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drawings/drawing3.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charts/style1.xml" ContentType="application/vnd.ms-office.chartstyle+xml"/>
  <Override PartName="/xl/charts/colors1.xml" ContentType="application/vnd.ms-office.chartcolorstyle+xml"/>
  <Override PartName="/xl/charts/chart6.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defaultThemeVersion="124226"/>
  <mc:AlternateContent xmlns:mc="http://schemas.openxmlformats.org/markup-compatibility/2006">
    <mc:Choice Requires="x15">
      <x15ac:absPath xmlns:x15ac="http://schemas.microsoft.com/office/spreadsheetml/2010/11/ac" url="C:\360 Local\_CBECC Com 2022.2\Documentation\T24N\"/>
    </mc:Choice>
  </mc:AlternateContent>
  <xr:revisionPtr revIDLastSave="0" documentId="13_ncr:1_{D26D70E1-AAF7-4A37-8230-C5B68D772A81}" xr6:coauthVersionLast="47" xr6:coauthVersionMax="47" xr10:uidLastSave="{00000000-0000-0000-0000-000000000000}"/>
  <bookViews>
    <workbookView xWindow="15885" yWindow="285" windowWidth="22110" windowHeight="20685" tabRatio="837" firstSheet="2" activeTab="10" xr2:uid="{00000000-000D-0000-FFFF-FFFF00000000}"/>
  </bookViews>
  <sheets>
    <sheet name="ACM Performance Curves" sheetId="1" r:id="rId1"/>
    <sheet name="TO DO" sheetId="8" r:id="rId2"/>
    <sheet name="Data Maps" sheetId="2" r:id="rId3"/>
    <sheet name="Abbreviations" sheetId="4" r:id="rId4"/>
    <sheet name="DX SEER Curves - Ref Only" sheetId="12" r:id="rId5"/>
    <sheet name="Chiller Curves - Ref Only" sheetId="7" r:id="rId6"/>
    <sheet name="Fan Curves - Ref Only" sheetId="11" r:id="rId7"/>
    <sheet name="Pump Curves - Ref Only" sheetId="13" r:id="rId8"/>
    <sheet name="E+ Reference" sheetId="3" r:id="rId9"/>
    <sheet name="SEER CrvMap" sheetId="14" r:id="rId10"/>
    <sheet name="VRF E+ to CSE" sheetId="15" r:id="rId11"/>
    <sheet name="SDD Curve Name Proposal" sheetId="5" state="hidden" r:id="rId12"/>
  </sheets>
  <definedNames>
    <definedName name="_xlnm._FilterDatabase" localSheetId="0" hidden="1">'ACM Performance Curves'!$B$15:$AO$15</definedName>
    <definedName name="dT" localSheetId="5">'Chiller Curves - Ref Only'!$F$98</definedName>
    <definedName name="dT">#REF!</definedName>
    <definedName name="EERref" localSheetId="5">#REF!</definedName>
    <definedName name="EIRFPLR" localSheetId="5">#REF!</definedName>
    <definedName name="EIRFPLR">#REF!</definedName>
    <definedName name="EIRFT" localSheetId="5">#REF!</definedName>
    <definedName name="EIRFT">#REF!</definedName>
    <definedName name="Pref" localSheetId="5">#REF!</definedName>
    <definedName name="Pref">#REF!</definedName>
    <definedName name="Qref" localSheetId="5">#REF!</definedName>
    <definedName name="Qref">#REF!</definedName>
    <definedName name="solver_adj" localSheetId="0" hidden="1">'ACM Performance Curves'!$AJ$25</definedName>
    <definedName name="solver_cvg" localSheetId="0" hidden="1">0.0001</definedName>
    <definedName name="solver_drv" localSheetId="0" hidden="1">1</definedName>
    <definedName name="solver_eng" localSheetId="0" hidden="1">1</definedName>
    <definedName name="solver_est" localSheetId="0" hidden="1">1</definedName>
    <definedName name="solver_itr" localSheetId="0" hidden="1">2147483647</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0</definedName>
    <definedName name="solver_nwt" localSheetId="0" hidden="1">1</definedName>
    <definedName name="solver_opt" localSheetId="0" hidden="1">'ACM Performance Curves'!$AF$25</definedName>
    <definedName name="solver_pre" localSheetId="0" hidden="1">0.000001</definedName>
    <definedName name="solver_rbv" localSheetId="0" hidden="1">1</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3</definedName>
    <definedName name="solver_val" localSheetId="0" hidden="1">0.1</definedName>
    <definedName name="solver_ver" localSheetId="0" hidden="1">3</definedName>
    <definedName name="Tchws" localSheetId="5">#REF!</definedName>
    <definedName name="Tchw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N62" i="15" l="1"/>
  <c r="AS57" i="15"/>
  <c r="AR57" i="15"/>
  <c r="AQ57" i="15"/>
  <c r="AP57" i="15"/>
  <c r="AO57" i="15"/>
  <c r="AN57" i="15"/>
  <c r="AS37" i="15"/>
  <c r="AR37" i="15"/>
  <c r="AQ37" i="15"/>
  <c r="AP37" i="15"/>
  <c r="AO37" i="15"/>
  <c r="AN37" i="15"/>
  <c r="AN55" i="15"/>
  <c r="AS43" i="15" l="1"/>
  <c r="AR43" i="15"/>
  <c r="AQ43" i="15"/>
  <c r="AP43" i="15"/>
  <c r="AO43" i="15"/>
  <c r="AN43" i="15"/>
  <c r="AS35" i="15"/>
  <c r="AR35" i="15"/>
  <c r="AQ35" i="15"/>
  <c r="AP35" i="15"/>
  <c r="AO35" i="15"/>
  <c r="AN35" i="15"/>
  <c r="AS54" i="15"/>
  <c r="AR54" i="15"/>
  <c r="AQ54" i="15"/>
  <c r="AP54" i="15"/>
  <c r="AO54" i="15"/>
  <c r="AN54" i="15"/>
  <c r="AW7" i="15"/>
  <c r="AW35" i="15"/>
  <c r="AW34" i="15"/>
  <c r="AW33" i="15"/>
  <c r="AW32" i="15"/>
  <c r="AW31" i="15"/>
  <c r="AW30" i="15"/>
  <c r="AA271" i="1"/>
  <c r="Z271" i="1"/>
  <c r="Y271" i="1"/>
  <c r="X271" i="1"/>
  <c r="W271" i="1"/>
  <c r="V271" i="1"/>
  <c r="AA269" i="1"/>
  <c r="Z269" i="1"/>
  <c r="Y269" i="1"/>
  <c r="X269" i="1"/>
  <c r="W269" i="1"/>
  <c r="V269" i="1"/>
  <c r="AR61" i="15" l="1"/>
  <c r="AS61" i="15"/>
  <c r="AO61" i="15"/>
  <c r="AP61" i="15"/>
  <c r="AQ61" i="15"/>
  <c r="AN61" i="15"/>
  <c r="AR60" i="15"/>
  <c r="AS60" i="15"/>
  <c r="AQ60" i="15"/>
  <c r="AO60" i="15"/>
  <c r="AP60" i="15"/>
  <c r="AN60" i="15"/>
  <c r="AR55" i="15"/>
  <c r="AS55" i="15"/>
  <c r="AQ55" i="15"/>
  <c r="AO62" i="15"/>
  <c r="AW25" i="15" s="1"/>
  <c r="AP59" i="15"/>
  <c r="AW20" i="15" s="1"/>
  <c r="AN59" i="15"/>
  <c r="AW18" i="15" s="1"/>
  <c r="AP58" i="15"/>
  <c r="AO58" i="15"/>
  <c r="AN58" i="15"/>
  <c r="AS53" i="15"/>
  <c r="AR53" i="15"/>
  <c r="AP53" i="15"/>
  <c r="AO53" i="15"/>
  <c r="AN53" i="15"/>
  <c r="AN15" i="15"/>
  <c r="AH21" i="15"/>
  <c r="AR67" i="15"/>
  <c r="AS67" i="15" s="1"/>
  <c r="AD52" i="15"/>
  <c r="AD51" i="15"/>
  <c r="AO59" i="15" l="1"/>
  <c r="AW19" i="15" s="1"/>
  <c r="AO55" i="15"/>
  <c r="AO56" i="15" s="1"/>
  <c r="AP55" i="15"/>
  <c r="AP56" i="15" s="1"/>
  <c r="AW15" i="15" s="1"/>
  <c r="AW24" i="15"/>
  <c r="AP62" i="15"/>
  <c r="AW26" i="15" s="1"/>
  <c r="AW38" i="15"/>
  <c r="AW37" i="15"/>
  <c r="AN20" i="15"/>
  <c r="AN19" i="15"/>
  <c r="Y56" i="15"/>
  <c r="Z54" i="15"/>
  <c r="Y54" i="15"/>
  <c r="X54" i="15"/>
  <c r="Z53" i="15"/>
  <c r="Y53" i="15"/>
  <c r="S57" i="15"/>
  <c r="Y57" i="15" s="1"/>
  <c r="U56" i="15"/>
  <c r="Z12" i="15"/>
  <c r="Y12" i="15"/>
  <c r="X12" i="15"/>
  <c r="Z11" i="15"/>
  <c r="Y11" i="15"/>
  <c r="U14" i="15"/>
  <c r="S15" i="15"/>
  <c r="S16" i="15" s="1"/>
  <c r="S17" i="15" s="1"/>
  <c r="S18" i="15" s="1"/>
  <c r="S19" i="15" s="1"/>
  <c r="S20" i="15" s="1"/>
  <c r="S21" i="15" s="1"/>
  <c r="S22" i="15" s="1"/>
  <c r="S23" i="15" s="1"/>
  <c r="S24" i="15" s="1"/>
  <c r="S25" i="15" s="1"/>
  <c r="S26" i="15" s="1"/>
  <c r="S27" i="15" s="1"/>
  <c r="S28" i="15" s="1"/>
  <c r="S29" i="15" s="1"/>
  <c r="S30" i="15" s="1"/>
  <c r="S31" i="15" s="1"/>
  <c r="S32" i="15" s="1"/>
  <c r="AN56" i="15" l="1"/>
  <c r="AW14" i="15" s="1"/>
  <c r="AH24" i="15"/>
  <c r="AI24" i="15" s="1"/>
  <c r="AJ24" i="15" s="1"/>
  <c r="AE23" i="15"/>
  <c r="AF23" i="15" s="1"/>
  <c r="AG23" i="15" s="1"/>
  <c r="X56" i="15"/>
  <c r="X14" i="15"/>
  <c r="Y28" i="15"/>
  <c r="Y27" i="15"/>
  <c r="Y25" i="15"/>
  <c r="U57" i="15"/>
  <c r="Y24" i="15"/>
  <c r="X15" i="15"/>
  <c r="Y26" i="15"/>
  <c r="Y23" i="15"/>
  <c r="Y22" i="15"/>
  <c r="Y20" i="15"/>
  <c r="Y29" i="15"/>
  <c r="Y18" i="15"/>
  <c r="Y30" i="15"/>
  <c r="Y17" i="15"/>
  <c r="Y16" i="15"/>
  <c r="Y21" i="15"/>
  <c r="Y19" i="15"/>
  <c r="Y31" i="15"/>
  <c r="Y15" i="15"/>
  <c r="X57" i="15"/>
  <c r="Z57" i="15" s="1"/>
  <c r="Z56" i="15"/>
  <c r="S58" i="15"/>
  <c r="U20" i="15"/>
  <c r="U19" i="15"/>
  <c r="U27" i="15"/>
  <c r="U17" i="15"/>
  <c r="U32" i="15"/>
  <c r="U16" i="15"/>
  <c r="U31" i="15"/>
  <c r="U15" i="15"/>
  <c r="U30" i="15"/>
  <c r="S33" i="15"/>
  <c r="Y33" i="15" s="1"/>
  <c r="U18" i="15"/>
  <c r="U29" i="15"/>
  <c r="U28" i="15"/>
  <c r="U24" i="15"/>
  <c r="U23" i="15"/>
  <c r="U25" i="15"/>
  <c r="U22" i="15"/>
  <c r="U26" i="15"/>
  <c r="U21" i="15"/>
  <c r="U33" i="15" l="1"/>
  <c r="Z15" i="15"/>
  <c r="S59" i="15"/>
  <c r="Y58" i="15"/>
  <c r="U58" i="15"/>
  <c r="Y14" i="15"/>
  <c r="Z14" i="15" s="1"/>
  <c r="X16" i="15"/>
  <c r="Y32" i="15"/>
  <c r="X58" i="15"/>
  <c r="Z58" i="15" s="1"/>
  <c r="Z16" i="15" l="1"/>
  <c r="X17" i="15"/>
  <c r="S60" i="15"/>
  <c r="Y59" i="15"/>
  <c r="U59" i="15"/>
  <c r="X59" i="15"/>
  <c r="Z59" i="15" s="1"/>
  <c r="X18" i="15" l="1"/>
  <c r="Z17" i="15"/>
  <c r="Y60" i="15"/>
  <c r="U60" i="15"/>
  <c r="X60" i="15"/>
  <c r="Z60" i="15" s="1"/>
  <c r="S61" i="15"/>
  <c r="X19" i="15" l="1"/>
  <c r="Z18" i="15"/>
  <c r="Y61" i="15"/>
  <c r="U61" i="15"/>
  <c r="X61" i="15"/>
  <c r="Z61" i="15" s="1"/>
  <c r="S62" i="15"/>
  <c r="X20" i="15" l="1"/>
  <c r="Z19" i="15"/>
  <c r="Y62" i="15"/>
  <c r="U62" i="15"/>
  <c r="X62" i="15"/>
  <c r="Z62" i="15" s="1"/>
  <c r="S63" i="15"/>
  <c r="X21" i="15" l="1"/>
  <c r="Z20" i="15"/>
  <c r="Y63" i="15"/>
  <c r="U63" i="15"/>
  <c r="X63" i="15"/>
  <c r="Z63" i="15" s="1"/>
  <c r="S64" i="15"/>
  <c r="X22" i="15" l="1"/>
  <c r="Z21" i="15"/>
  <c r="Y64" i="15"/>
  <c r="U64" i="15"/>
  <c r="X64" i="15"/>
  <c r="Z64" i="15" s="1"/>
  <c r="S65" i="15"/>
  <c r="X23" i="15" l="1"/>
  <c r="Z22" i="15"/>
  <c r="Y65" i="15"/>
  <c r="U65" i="15"/>
  <c r="S66" i="15"/>
  <c r="X65" i="15"/>
  <c r="X24" i="15" l="1"/>
  <c r="Z23" i="15"/>
  <c r="X66" i="15"/>
  <c r="Z65" i="15"/>
  <c r="U66" i="15"/>
  <c r="Y66" i="15"/>
  <c r="Z66" i="15" s="1"/>
  <c r="S67" i="15"/>
  <c r="X25" i="15" l="1"/>
  <c r="Z24" i="15"/>
  <c r="U67" i="15"/>
  <c r="Y67" i="15"/>
  <c r="S68" i="15"/>
  <c r="X67" i="15"/>
  <c r="X68" i="15" s="1"/>
  <c r="X26" i="15" l="1"/>
  <c r="Z25" i="15"/>
  <c r="U68" i="15"/>
  <c r="Y68" i="15"/>
  <c r="S69" i="15"/>
  <c r="Z68" i="15"/>
  <c r="Z67" i="15"/>
  <c r="X69" i="15"/>
  <c r="X27" i="15" l="1"/>
  <c r="Z26" i="15"/>
  <c r="U69" i="15"/>
  <c r="Y69" i="15"/>
  <c r="Z69" i="15" s="1"/>
  <c r="S70" i="15"/>
  <c r="X28" i="15" l="1"/>
  <c r="Z27" i="15"/>
  <c r="U70" i="15"/>
  <c r="Y70" i="15"/>
  <c r="S71" i="15"/>
  <c r="X70" i="15"/>
  <c r="X29" i="15" l="1"/>
  <c r="Z28" i="15"/>
  <c r="U71" i="15"/>
  <c r="Y71" i="15"/>
  <c r="S72" i="15"/>
  <c r="X71" i="15"/>
  <c r="X72" i="15" s="1"/>
  <c r="Z70" i="15"/>
  <c r="X30" i="15" l="1"/>
  <c r="Z29" i="15"/>
  <c r="Z71" i="15"/>
  <c r="U72" i="15"/>
  <c r="Y72" i="15"/>
  <c r="Z72" i="15" s="1"/>
  <c r="S73" i="15"/>
  <c r="X31" i="15" l="1"/>
  <c r="Z30" i="15"/>
  <c r="U73" i="15"/>
  <c r="Y73" i="15"/>
  <c r="S74" i="15"/>
  <c r="X73" i="15"/>
  <c r="X32" i="15" l="1"/>
  <c r="Z31" i="15"/>
  <c r="X74" i="15"/>
  <c r="Z73" i="15"/>
  <c r="Y74" i="15"/>
  <c r="U74" i="15"/>
  <c r="S75" i="15"/>
  <c r="X33" i="15" l="1"/>
  <c r="Z33" i="15" s="1"/>
  <c r="Z32" i="15"/>
  <c r="Z74" i="15"/>
  <c r="Y75" i="15"/>
  <c r="U75" i="15"/>
  <c r="X75" i="15"/>
  <c r="Z75" i="15" s="1"/>
  <c r="AN10" i="15" l="1"/>
  <c r="AN9" i="15"/>
  <c r="AW9" i="15" l="1"/>
  <c r="AW8" i="15"/>
  <c r="AN21" i="15"/>
  <c r="AN22" i="15" s="1"/>
  <c r="AF9" i="15"/>
  <c r="AG9" i="15" s="1"/>
  <c r="AH9" i="15" s="1"/>
  <c r="AI9" i="15" s="1"/>
  <c r="AJ9" i="15" s="1"/>
  <c r="D34" i="15"/>
  <c r="D69" i="15" s="1"/>
  <c r="E34" i="15"/>
  <c r="E69" i="15" s="1"/>
  <c r="F34" i="15"/>
  <c r="F69" i="15" s="1"/>
  <c r="G34" i="15"/>
  <c r="G69" i="15" s="1"/>
  <c r="H34" i="15"/>
  <c r="H69" i="15" s="1"/>
  <c r="I34" i="15"/>
  <c r="I69" i="15" s="1"/>
  <c r="J34" i="15"/>
  <c r="J69" i="15" s="1"/>
  <c r="K34" i="15"/>
  <c r="L34" i="15"/>
  <c r="M34" i="15"/>
  <c r="M69" i="15" s="1"/>
  <c r="N34" i="15"/>
  <c r="O34" i="15"/>
  <c r="O69" i="15" s="1"/>
  <c r="P34" i="15"/>
  <c r="P69" i="15" s="1"/>
  <c r="D35" i="15"/>
  <c r="D70" i="15" s="1"/>
  <c r="E35" i="15"/>
  <c r="E70" i="15" s="1"/>
  <c r="F35" i="15"/>
  <c r="F70" i="15" s="1"/>
  <c r="G35" i="15"/>
  <c r="G70" i="15" s="1"/>
  <c r="H35" i="15"/>
  <c r="H70" i="15" s="1"/>
  <c r="I35" i="15"/>
  <c r="I70" i="15" s="1"/>
  <c r="J35" i="15"/>
  <c r="J70" i="15" s="1"/>
  <c r="K35" i="15"/>
  <c r="K70" i="15" s="1"/>
  <c r="L35" i="15"/>
  <c r="L70" i="15" s="1"/>
  <c r="M35" i="15"/>
  <c r="M70" i="15" s="1"/>
  <c r="N35" i="15"/>
  <c r="N70" i="15" s="1"/>
  <c r="O35" i="15"/>
  <c r="O70" i="15" s="1"/>
  <c r="P35" i="15"/>
  <c r="P70" i="15" s="1"/>
  <c r="B35" i="15"/>
  <c r="B70" i="15" s="1"/>
  <c r="B34" i="15"/>
  <c r="B69" i="15" s="1"/>
  <c r="D32" i="15"/>
  <c r="D67" i="15" s="1"/>
  <c r="E32" i="15"/>
  <c r="E67" i="15" s="1"/>
  <c r="F32" i="15"/>
  <c r="F67" i="15" s="1"/>
  <c r="G32" i="15"/>
  <c r="G67" i="15" s="1"/>
  <c r="H32" i="15"/>
  <c r="H67" i="15" s="1"/>
  <c r="I32" i="15"/>
  <c r="I67" i="15" s="1"/>
  <c r="J32" i="15"/>
  <c r="J67" i="15" s="1"/>
  <c r="K32" i="15"/>
  <c r="L32" i="15"/>
  <c r="M32" i="15"/>
  <c r="M67" i="15" s="1"/>
  <c r="N32" i="15"/>
  <c r="O32" i="15"/>
  <c r="O67" i="15" s="1"/>
  <c r="P32" i="15"/>
  <c r="P67" i="15" s="1"/>
  <c r="D33" i="15"/>
  <c r="D68" i="15" s="1"/>
  <c r="E33" i="15"/>
  <c r="E68" i="15" s="1"/>
  <c r="F33" i="15"/>
  <c r="F68" i="15" s="1"/>
  <c r="G33" i="15"/>
  <c r="G68" i="15" s="1"/>
  <c r="H33" i="15"/>
  <c r="H68" i="15" s="1"/>
  <c r="I33" i="15"/>
  <c r="I68" i="15" s="1"/>
  <c r="J33" i="15"/>
  <c r="J68" i="15" s="1"/>
  <c r="K33" i="15"/>
  <c r="K68" i="15" s="1"/>
  <c r="L33" i="15"/>
  <c r="L68" i="15" s="1"/>
  <c r="M33" i="15"/>
  <c r="M68" i="15" s="1"/>
  <c r="N33" i="15"/>
  <c r="N68" i="15" s="1"/>
  <c r="O33" i="15"/>
  <c r="O68" i="15" s="1"/>
  <c r="P33" i="15"/>
  <c r="P68" i="15" s="1"/>
  <c r="B33" i="15"/>
  <c r="B68" i="15" s="1"/>
  <c r="B32" i="15"/>
  <c r="B67" i="15" s="1"/>
  <c r="AN12" i="15"/>
  <c r="AN11" i="15"/>
  <c r="J5" i="15"/>
  <c r="J40" i="15" s="1"/>
  <c r="K5" i="15"/>
  <c r="K40" i="15" s="1"/>
  <c r="L5" i="15"/>
  <c r="L40" i="15" s="1"/>
  <c r="M5" i="15"/>
  <c r="M40" i="15" s="1"/>
  <c r="N5" i="15"/>
  <c r="N40" i="15" s="1"/>
  <c r="O5" i="15"/>
  <c r="O40" i="15" s="1"/>
  <c r="P5" i="15"/>
  <c r="P40" i="15" s="1"/>
  <c r="J6" i="15"/>
  <c r="J41" i="15" s="1"/>
  <c r="K6" i="15"/>
  <c r="L6" i="15"/>
  <c r="M6" i="15"/>
  <c r="N6" i="15"/>
  <c r="O6" i="15"/>
  <c r="O41" i="15" s="1"/>
  <c r="P6" i="15"/>
  <c r="P41" i="15" s="1"/>
  <c r="J7" i="15"/>
  <c r="J42" i="15" s="1"/>
  <c r="K7" i="15"/>
  <c r="L7" i="15"/>
  <c r="M7" i="15"/>
  <c r="M42" i="15" s="1"/>
  <c r="N7" i="15"/>
  <c r="O7" i="15"/>
  <c r="P7" i="15"/>
  <c r="J8" i="15"/>
  <c r="J43" i="15" s="1"/>
  <c r="K8" i="15"/>
  <c r="L8" i="15"/>
  <c r="M8" i="15"/>
  <c r="M43" i="15" s="1"/>
  <c r="N8" i="15"/>
  <c r="O8" i="15"/>
  <c r="O43" i="15" s="1"/>
  <c r="P8" i="15"/>
  <c r="P43" i="15" s="1"/>
  <c r="J9" i="15"/>
  <c r="J44" i="15" s="1"/>
  <c r="K9" i="15"/>
  <c r="K44" i="15" s="1"/>
  <c r="L9" i="15"/>
  <c r="L44" i="15" s="1"/>
  <c r="M9" i="15"/>
  <c r="M44" i="15" s="1"/>
  <c r="N9" i="15"/>
  <c r="O9" i="15"/>
  <c r="P9" i="15"/>
  <c r="J10" i="15"/>
  <c r="J45" i="15" s="1"/>
  <c r="K10" i="15"/>
  <c r="L10" i="15"/>
  <c r="M10" i="15"/>
  <c r="M45" i="15" s="1"/>
  <c r="N10" i="15"/>
  <c r="O10" i="15"/>
  <c r="O45" i="15" s="1"/>
  <c r="P10" i="15"/>
  <c r="P45" i="15" s="1"/>
  <c r="J11" i="15"/>
  <c r="J46" i="15" s="1"/>
  <c r="K11" i="15"/>
  <c r="L11" i="15"/>
  <c r="M11" i="15"/>
  <c r="M46" i="15" s="1"/>
  <c r="N11" i="15"/>
  <c r="O11" i="15"/>
  <c r="O46" i="15" s="1"/>
  <c r="P11" i="15"/>
  <c r="J12" i="15"/>
  <c r="J47" i="15" s="1"/>
  <c r="K12" i="15"/>
  <c r="L12" i="15"/>
  <c r="M12" i="15"/>
  <c r="M47" i="15" s="1"/>
  <c r="N12" i="15"/>
  <c r="O12" i="15"/>
  <c r="P12" i="15"/>
  <c r="J13" i="15"/>
  <c r="J48" i="15" s="1"/>
  <c r="K13" i="15"/>
  <c r="L13" i="15"/>
  <c r="M13" i="15"/>
  <c r="M48" i="15" s="1"/>
  <c r="N13" i="15"/>
  <c r="O13" i="15"/>
  <c r="O48" i="15" s="1"/>
  <c r="P13" i="15"/>
  <c r="P48" i="15" s="1"/>
  <c r="J14" i="15"/>
  <c r="J49" i="15" s="1"/>
  <c r="K14" i="15"/>
  <c r="K49" i="15" s="1"/>
  <c r="L14" i="15"/>
  <c r="L49" i="15" s="1"/>
  <c r="M14" i="15"/>
  <c r="M49" i="15" s="1"/>
  <c r="N14" i="15"/>
  <c r="O14" i="15"/>
  <c r="P14" i="15"/>
  <c r="J15" i="15"/>
  <c r="J50" i="15" s="1"/>
  <c r="K15" i="15"/>
  <c r="L15" i="15"/>
  <c r="M15" i="15"/>
  <c r="M50" i="15" s="1"/>
  <c r="N15" i="15"/>
  <c r="O15" i="15"/>
  <c r="O50" i="15" s="1"/>
  <c r="P15" i="15"/>
  <c r="P50" i="15" s="1"/>
  <c r="J16" i="15"/>
  <c r="J51" i="15" s="1"/>
  <c r="K16" i="15"/>
  <c r="L16" i="15"/>
  <c r="M16" i="15"/>
  <c r="M51" i="15" s="1"/>
  <c r="N16" i="15"/>
  <c r="O16" i="15"/>
  <c r="O51" i="15" s="1"/>
  <c r="P16" i="15"/>
  <c r="P51" i="15" s="1"/>
  <c r="J17" i="15"/>
  <c r="J52" i="15" s="1"/>
  <c r="K17" i="15"/>
  <c r="L17" i="15"/>
  <c r="M17" i="15"/>
  <c r="M52" i="15" s="1"/>
  <c r="N17" i="15"/>
  <c r="O17" i="15"/>
  <c r="P17" i="15"/>
  <c r="J18" i="15"/>
  <c r="J53" i="15" s="1"/>
  <c r="K18" i="15"/>
  <c r="L18" i="15"/>
  <c r="M18" i="15"/>
  <c r="M53" i="15" s="1"/>
  <c r="N18" i="15"/>
  <c r="O18" i="15"/>
  <c r="O53" i="15" s="1"/>
  <c r="P18" i="15"/>
  <c r="P53" i="15" s="1"/>
  <c r="J19" i="15"/>
  <c r="J54" i="15" s="1"/>
  <c r="K19" i="15"/>
  <c r="K54" i="15" s="1"/>
  <c r="L19" i="15"/>
  <c r="L54" i="15" s="1"/>
  <c r="M19" i="15"/>
  <c r="M54" i="15" s="1"/>
  <c r="N19" i="15"/>
  <c r="N54" i="15" s="1"/>
  <c r="O19" i="15"/>
  <c r="O54" i="15" s="1"/>
  <c r="P19" i="15"/>
  <c r="P54" i="15" s="1"/>
  <c r="J20" i="15"/>
  <c r="J55" i="15" s="1"/>
  <c r="K20" i="15"/>
  <c r="K55" i="15" s="1"/>
  <c r="L20" i="15"/>
  <c r="L55" i="15" s="1"/>
  <c r="M20" i="15"/>
  <c r="M55" i="15" s="1"/>
  <c r="N20" i="15"/>
  <c r="N55" i="15" s="1"/>
  <c r="O20" i="15"/>
  <c r="O55" i="15" s="1"/>
  <c r="P20" i="15"/>
  <c r="P55" i="15" s="1"/>
  <c r="J21" i="15"/>
  <c r="J56" i="15" s="1"/>
  <c r="K21" i="15"/>
  <c r="K56" i="15" s="1"/>
  <c r="L21" i="15"/>
  <c r="L56" i="15" s="1"/>
  <c r="M21" i="15"/>
  <c r="M56" i="15" s="1"/>
  <c r="N21" i="15"/>
  <c r="N56" i="15" s="1"/>
  <c r="O21" i="15"/>
  <c r="O56" i="15" s="1"/>
  <c r="P21" i="15"/>
  <c r="P56" i="15" s="1"/>
  <c r="J22" i="15"/>
  <c r="J57" i="15" s="1"/>
  <c r="K22" i="15"/>
  <c r="L22" i="15"/>
  <c r="M22" i="15"/>
  <c r="M57" i="15" s="1"/>
  <c r="N22" i="15"/>
  <c r="O22" i="15"/>
  <c r="O57" i="15" s="1"/>
  <c r="P22" i="15"/>
  <c r="P57" i="15" s="1"/>
  <c r="J23" i="15"/>
  <c r="J58" i="15" s="1"/>
  <c r="K23" i="15"/>
  <c r="L23" i="15"/>
  <c r="M23" i="15"/>
  <c r="M58" i="15" s="1"/>
  <c r="N23" i="15"/>
  <c r="O23" i="15"/>
  <c r="O58" i="15" s="1"/>
  <c r="P23" i="15"/>
  <c r="P58" i="15" s="1"/>
  <c r="J24" i="15"/>
  <c r="J59" i="15" s="1"/>
  <c r="K24" i="15"/>
  <c r="L24" i="15"/>
  <c r="M24" i="15"/>
  <c r="M59" i="15" s="1"/>
  <c r="N24" i="15"/>
  <c r="O24" i="15"/>
  <c r="P24" i="15"/>
  <c r="J25" i="15"/>
  <c r="J60" i="15" s="1"/>
  <c r="K25" i="15"/>
  <c r="L25" i="15"/>
  <c r="M25" i="15"/>
  <c r="M60" i="15" s="1"/>
  <c r="N25" i="15"/>
  <c r="O25" i="15"/>
  <c r="O60" i="15" s="1"/>
  <c r="P25" i="15"/>
  <c r="P60" i="15" s="1"/>
  <c r="J26" i="15"/>
  <c r="J61" i="15" s="1"/>
  <c r="K26" i="15"/>
  <c r="K61" i="15" s="1"/>
  <c r="L26" i="15"/>
  <c r="L61" i="15" s="1"/>
  <c r="M26" i="15"/>
  <c r="M61" i="15" s="1"/>
  <c r="N26" i="15"/>
  <c r="N61" i="15" s="1"/>
  <c r="O26" i="15"/>
  <c r="O61" i="15" s="1"/>
  <c r="P26" i="15"/>
  <c r="P61" i="15" s="1"/>
  <c r="J27" i="15"/>
  <c r="J62" i="15" s="1"/>
  <c r="K27" i="15"/>
  <c r="K62" i="15" s="1"/>
  <c r="L27" i="15"/>
  <c r="L62" i="15" s="1"/>
  <c r="M27" i="15"/>
  <c r="M62" i="15" s="1"/>
  <c r="N27" i="15"/>
  <c r="N62" i="15" s="1"/>
  <c r="O27" i="15"/>
  <c r="O62" i="15" s="1"/>
  <c r="P27" i="15"/>
  <c r="P62" i="15" s="1"/>
  <c r="J28" i="15"/>
  <c r="J63" i="15" s="1"/>
  <c r="K28" i="15"/>
  <c r="K63" i="15" s="1"/>
  <c r="L28" i="15"/>
  <c r="L63" i="15" s="1"/>
  <c r="M28" i="15"/>
  <c r="M63" i="15" s="1"/>
  <c r="N28" i="15"/>
  <c r="N63" i="15" s="1"/>
  <c r="O28" i="15"/>
  <c r="O63" i="15" s="1"/>
  <c r="P28" i="15"/>
  <c r="P63" i="15" s="1"/>
  <c r="J29" i="15"/>
  <c r="J64" i="15" s="1"/>
  <c r="K29" i="15"/>
  <c r="L29" i="15"/>
  <c r="M29" i="15"/>
  <c r="M64" i="15" s="1"/>
  <c r="N29" i="15"/>
  <c r="O29" i="15"/>
  <c r="O64" i="15" s="1"/>
  <c r="P29" i="15"/>
  <c r="P64" i="15" s="1"/>
  <c r="J30" i="15"/>
  <c r="J65" i="15" s="1"/>
  <c r="K30" i="15"/>
  <c r="K65" i="15" s="1"/>
  <c r="L30" i="15"/>
  <c r="L65" i="15" s="1"/>
  <c r="M30" i="15"/>
  <c r="M65" i="15" s="1"/>
  <c r="N30" i="15"/>
  <c r="N65" i="15" s="1"/>
  <c r="O30" i="15"/>
  <c r="O65" i="15" s="1"/>
  <c r="P30" i="15"/>
  <c r="P65" i="15" s="1"/>
  <c r="J31" i="15"/>
  <c r="J66" i="15" s="1"/>
  <c r="K31" i="15"/>
  <c r="K66" i="15" s="1"/>
  <c r="L31" i="15"/>
  <c r="L66" i="15" s="1"/>
  <c r="M31" i="15"/>
  <c r="M66" i="15" s="1"/>
  <c r="N31" i="15"/>
  <c r="N66" i="15" s="1"/>
  <c r="O31" i="15"/>
  <c r="O66" i="15" s="1"/>
  <c r="P31" i="15"/>
  <c r="P66" i="15" s="1"/>
  <c r="D5" i="15"/>
  <c r="D40" i="15" s="1"/>
  <c r="E5" i="15"/>
  <c r="E40" i="15" s="1"/>
  <c r="F5" i="15"/>
  <c r="F40" i="15" s="1"/>
  <c r="G5" i="15"/>
  <c r="G40" i="15" s="1"/>
  <c r="H5" i="15"/>
  <c r="H40" i="15" s="1"/>
  <c r="I5" i="15"/>
  <c r="I40" i="15" s="1"/>
  <c r="D6" i="15"/>
  <c r="D41" i="15" s="1"/>
  <c r="E6" i="15"/>
  <c r="E41" i="15" s="1"/>
  <c r="F6" i="15"/>
  <c r="F41" i="15" s="1"/>
  <c r="G6" i="15"/>
  <c r="G41" i="15" s="1"/>
  <c r="H6" i="15"/>
  <c r="H41" i="15" s="1"/>
  <c r="I6" i="15"/>
  <c r="I41" i="15" s="1"/>
  <c r="D7" i="15"/>
  <c r="D42" i="15" s="1"/>
  <c r="E7" i="15"/>
  <c r="E42" i="15" s="1"/>
  <c r="F7" i="15"/>
  <c r="F42" i="15" s="1"/>
  <c r="G7" i="15"/>
  <c r="G42" i="15" s="1"/>
  <c r="H7" i="15"/>
  <c r="H42" i="15" s="1"/>
  <c r="I7" i="15"/>
  <c r="I42" i="15" s="1"/>
  <c r="D8" i="15"/>
  <c r="D43" i="15" s="1"/>
  <c r="E8" i="15"/>
  <c r="E43" i="15" s="1"/>
  <c r="F8" i="15"/>
  <c r="F43" i="15" s="1"/>
  <c r="G8" i="15"/>
  <c r="G43" i="15" s="1"/>
  <c r="H8" i="15"/>
  <c r="H43" i="15" s="1"/>
  <c r="I8" i="15"/>
  <c r="I43" i="15" s="1"/>
  <c r="D9" i="15"/>
  <c r="D44" i="15" s="1"/>
  <c r="E9" i="15"/>
  <c r="E44" i="15" s="1"/>
  <c r="F9" i="15"/>
  <c r="F44" i="15" s="1"/>
  <c r="G9" i="15"/>
  <c r="G44" i="15" s="1"/>
  <c r="H9" i="15"/>
  <c r="H44" i="15" s="1"/>
  <c r="I9" i="15"/>
  <c r="I44" i="15" s="1"/>
  <c r="D10" i="15"/>
  <c r="D45" i="15" s="1"/>
  <c r="E10" i="15"/>
  <c r="E45" i="15" s="1"/>
  <c r="F10" i="15"/>
  <c r="F45" i="15" s="1"/>
  <c r="G10" i="15"/>
  <c r="G45" i="15" s="1"/>
  <c r="H10" i="15"/>
  <c r="H45" i="15" s="1"/>
  <c r="I10" i="15"/>
  <c r="I45" i="15" s="1"/>
  <c r="D11" i="15"/>
  <c r="D46" i="15" s="1"/>
  <c r="E11" i="15"/>
  <c r="E46" i="15" s="1"/>
  <c r="F11" i="15"/>
  <c r="F46" i="15" s="1"/>
  <c r="G11" i="15"/>
  <c r="G46" i="15" s="1"/>
  <c r="H11" i="15"/>
  <c r="H46" i="15" s="1"/>
  <c r="I11" i="15"/>
  <c r="I46" i="15" s="1"/>
  <c r="D12" i="15"/>
  <c r="D47" i="15" s="1"/>
  <c r="E12" i="15"/>
  <c r="E47" i="15" s="1"/>
  <c r="F12" i="15"/>
  <c r="F47" i="15" s="1"/>
  <c r="G12" i="15"/>
  <c r="G47" i="15" s="1"/>
  <c r="H12" i="15"/>
  <c r="H47" i="15" s="1"/>
  <c r="I12" i="15"/>
  <c r="I47" i="15" s="1"/>
  <c r="D13" i="15"/>
  <c r="D48" i="15" s="1"/>
  <c r="E13" i="15"/>
  <c r="E48" i="15" s="1"/>
  <c r="F13" i="15"/>
  <c r="F48" i="15" s="1"/>
  <c r="G13" i="15"/>
  <c r="G48" i="15" s="1"/>
  <c r="H13" i="15"/>
  <c r="H48" i="15" s="1"/>
  <c r="I13" i="15"/>
  <c r="I48" i="15" s="1"/>
  <c r="D14" i="15"/>
  <c r="D49" i="15" s="1"/>
  <c r="E14" i="15"/>
  <c r="E49" i="15" s="1"/>
  <c r="F14" i="15"/>
  <c r="F49" i="15" s="1"/>
  <c r="G14" i="15"/>
  <c r="G49" i="15" s="1"/>
  <c r="H14" i="15"/>
  <c r="H49" i="15" s="1"/>
  <c r="I14" i="15"/>
  <c r="I49" i="15" s="1"/>
  <c r="D15" i="15"/>
  <c r="D50" i="15" s="1"/>
  <c r="E15" i="15"/>
  <c r="E50" i="15" s="1"/>
  <c r="F15" i="15"/>
  <c r="F50" i="15" s="1"/>
  <c r="G15" i="15"/>
  <c r="G50" i="15" s="1"/>
  <c r="H15" i="15"/>
  <c r="H50" i="15" s="1"/>
  <c r="I15" i="15"/>
  <c r="I50" i="15" s="1"/>
  <c r="D16" i="15"/>
  <c r="D51" i="15" s="1"/>
  <c r="E16" i="15"/>
  <c r="E51" i="15" s="1"/>
  <c r="F16" i="15"/>
  <c r="F51" i="15" s="1"/>
  <c r="G16" i="15"/>
  <c r="G51" i="15" s="1"/>
  <c r="H16" i="15"/>
  <c r="H51" i="15" s="1"/>
  <c r="I16" i="15"/>
  <c r="I51" i="15" s="1"/>
  <c r="D17" i="15"/>
  <c r="D52" i="15" s="1"/>
  <c r="E17" i="15"/>
  <c r="E52" i="15" s="1"/>
  <c r="F17" i="15"/>
  <c r="F52" i="15" s="1"/>
  <c r="G17" i="15"/>
  <c r="G52" i="15" s="1"/>
  <c r="H17" i="15"/>
  <c r="H52" i="15" s="1"/>
  <c r="I17" i="15"/>
  <c r="I52" i="15" s="1"/>
  <c r="D18" i="15"/>
  <c r="D53" i="15" s="1"/>
  <c r="E18" i="15"/>
  <c r="E53" i="15" s="1"/>
  <c r="F18" i="15"/>
  <c r="F53" i="15" s="1"/>
  <c r="G18" i="15"/>
  <c r="G53" i="15" s="1"/>
  <c r="H18" i="15"/>
  <c r="H53" i="15" s="1"/>
  <c r="I18" i="15"/>
  <c r="I53" i="15" s="1"/>
  <c r="D19" i="15"/>
  <c r="D54" i="15" s="1"/>
  <c r="E19" i="15"/>
  <c r="E54" i="15" s="1"/>
  <c r="F19" i="15"/>
  <c r="F54" i="15" s="1"/>
  <c r="G19" i="15"/>
  <c r="G54" i="15" s="1"/>
  <c r="H19" i="15"/>
  <c r="H54" i="15" s="1"/>
  <c r="I19" i="15"/>
  <c r="I54" i="15" s="1"/>
  <c r="D20" i="15"/>
  <c r="D55" i="15" s="1"/>
  <c r="E20" i="15"/>
  <c r="E55" i="15" s="1"/>
  <c r="F20" i="15"/>
  <c r="F55" i="15" s="1"/>
  <c r="G20" i="15"/>
  <c r="G55" i="15" s="1"/>
  <c r="H20" i="15"/>
  <c r="H55" i="15" s="1"/>
  <c r="I20" i="15"/>
  <c r="I55" i="15" s="1"/>
  <c r="D21" i="15"/>
  <c r="D56" i="15" s="1"/>
  <c r="E21" i="15"/>
  <c r="E56" i="15" s="1"/>
  <c r="F21" i="15"/>
  <c r="F56" i="15" s="1"/>
  <c r="G21" i="15"/>
  <c r="G56" i="15" s="1"/>
  <c r="H21" i="15"/>
  <c r="H56" i="15" s="1"/>
  <c r="I21" i="15"/>
  <c r="I56" i="15" s="1"/>
  <c r="D22" i="15"/>
  <c r="D57" i="15" s="1"/>
  <c r="E22" i="15"/>
  <c r="E57" i="15" s="1"/>
  <c r="F22" i="15"/>
  <c r="F57" i="15" s="1"/>
  <c r="G22" i="15"/>
  <c r="G57" i="15" s="1"/>
  <c r="H22" i="15"/>
  <c r="H57" i="15" s="1"/>
  <c r="I22" i="15"/>
  <c r="I57" i="15" s="1"/>
  <c r="D23" i="15"/>
  <c r="D58" i="15" s="1"/>
  <c r="E23" i="15"/>
  <c r="E58" i="15" s="1"/>
  <c r="F23" i="15"/>
  <c r="F58" i="15" s="1"/>
  <c r="G23" i="15"/>
  <c r="G58" i="15" s="1"/>
  <c r="H23" i="15"/>
  <c r="H58" i="15" s="1"/>
  <c r="I23" i="15"/>
  <c r="I58" i="15" s="1"/>
  <c r="D24" i="15"/>
  <c r="D59" i="15" s="1"/>
  <c r="E24" i="15"/>
  <c r="E59" i="15" s="1"/>
  <c r="F24" i="15"/>
  <c r="F59" i="15" s="1"/>
  <c r="G24" i="15"/>
  <c r="G59" i="15" s="1"/>
  <c r="H24" i="15"/>
  <c r="H59" i="15" s="1"/>
  <c r="I24" i="15"/>
  <c r="I59" i="15" s="1"/>
  <c r="D25" i="15"/>
  <c r="D60" i="15" s="1"/>
  <c r="E25" i="15"/>
  <c r="E60" i="15" s="1"/>
  <c r="F25" i="15"/>
  <c r="F60" i="15" s="1"/>
  <c r="G25" i="15"/>
  <c r="G60" i="15" s="1"/>
  <c r="H25" i="15"/>
  <c r="H60" i="15" s="1"/>
  <c r="I25" i="15"/>
  <c r="I60" i="15" s="1"/>
  <c r="D26" i="15"/>
  <c r="D61" i="15" s="1"/>
  <c r="E26" i="15"/>
  <c r="E61" i="15" s="1"/>
  <c r="F26" i="15"/>
  <c r="F61" i="15" s="1"/>
  <c r="G26" i="15"/>
  <c r="G61" i="15" s="1"/>
  <c r="H26" i="15"/>
  <c r="H61" i="15" s="1"/>
  <c r="I26" i="15"/>
  <c r="I61" i="15" s="1"/>
  <c r="D27" i="15"/>
  <c r="D62" i="15" s="1"/>
  <c r="E27" i="15"/>
  <c r="E62" i="15" s="1"/>
  <c r="F27" i="15"/>
  <c r="F62" i="15" s="1"/>
  <c r="G27" i="15"/>
  <c r="G62" i="15" s="1"/>
  <c r="H27" i="15"/>
  <c r="H62" i="15" s="1"/>
  <c r="I27" i="15"/>
  <c r="I62" i="15" s="1"/>
  <c r="D28" i="15"/>
  <c r="D63" i="15" s="1"/>
  <c r="E28" i="15"/>
  <c r="E63" i="15" s="1"/>
  <c r="F28" i="15"/>
  <c r="F63" i="15" s="1"/>
  <c r="G28" i="15"/>
  <c r="G63" i="15" s="1"/>
  <c r="H28" i="15"/>
  <c r="H63" i="15" s="1"/>
  <c r="I28" i="15"/>
  <c r="I63" i="15" s="1"/>
  <c r="D29" i="15"/>
  <c r="D64" i="15" s="1"/>
  <c r="E29" i="15"/>
  <c r="E64" i="15" s="1"/>
  <c r="F29" i="15"/>
  <c r="F64" i="15" s="1"/>
  <c r="G29" i="15"/>
  <c r="G64" i="15" s="1"/>
  <c r="H29" i="15"/>
  <c r="H64" i="15" s="1"/>
  <c r="I29" i="15"/>
  <c r="I64" i="15" s="1"/>
  <c r="D30" i="15"/>
  <c r="D65" i="15" s="1"/>
  <c r="E30" i="15"/>
  <c r="E65" i="15" s="1"/>
  <c r="F30" i="15"/>
  <c r="F65" i="15" s="1"/>
  <c r="G30" i="15"/>
  <c r="G65" i="15" s="1"/>
  <c r="H30" i="15"/>
  <c r="H65" i="15" s="1"/>
  <c r="I30" i="15"/>
  <c r="I65" i="15" s="1"/>
  <c r="D31" i="15"/>
  <c r="D66" i="15" s="1"/>
  <c r="E31" i="15"/>
  <c r="E66" i="15" s="1"/>
  <c r="F31" i="15"/>
  <c r="F66" i="15" s="1"/>
  <c r="G31" i="15"/>
  <c r="G66" i="15" s="1"/>
  <c r="H31" i="15"/>
  <c r="H66" i="15" s="1"/>
  <c r="I31" i="15"/>
  <c r="I66" i="15" s="1"/>
  <c r="B27" i="15"/>
  <c r="B62" i="15" s="1"/>
  <c r="B28" i="15"/>
  <c r="B63" i="15" s="1"/>
  <c r="B29" i="15"/>
  <c r="B64" i="15" s="1"/>
  <c r="B30" i="15"/>
  <c r="B65" i="15" s="1"/>
  <c r="B31" i="15"/>
  <c r="B66" i="15" s="1"/>
  <c r="B7" i="15"/>
  <c r="B42" i="15" s="1"/>
  <c r="B8" i="15"/>
  <c r="B43" i="15" s="1"/>
  <c r="B9" i="15"/>
  <c r="B44" i="15" s="1"/>
  <c r="B10" i="15"/>
  <c r="B45" i="15" s="1"/>
  <c r="B11" i="15"/>
  <c r="B46" i="15" s="1"/>
  <c r="B12" i="15"/>
  <c r="B47" i="15" s="1"/>
  <c r="B13" i="15"/>
  <c r="B48" i="15" s="1"/>
  <c r="B14" i="15"/>
  <c r="B49" i="15" s="1"/>
  <c r="B15" i="15"/>
  <c r="B50" i="15" s="1"/>
  <c r="B16" i="15"/>
  <c r="B51" i="15" s="1"/>
  <c r="B17" i="15"/>
  <c r="B52" i="15" s="1"/>
  <c r="B18" i="15"/>
  <c r="B53" i="15" s="1"/>
  <c r="B19" i="15"/>
  <c r="B54" i="15" s="1"/>
  <c r="B20" i="15"/>
  <c r="B55" i="15" s="1"/>
  <c r="B21" i="15"/>
  <c r="B56" i="15" s="1"/>
  <c r="B22" i="15"/>
  <c r="B57" i="15" s="1"/>
  <c r="B23" i="15"/>
  <c r="B58" i="15" s="1"/>
  <c r="B24" i="15"/>
  <c r="B59" i="15" s="1"/>
  <c r="B25" i="15"/>
  <c r="B60" i="15" s="1"/>
  <c r="B26" i="15"/>
  <c r="B61" i="15" s="1"/>
  <c r="C5" i="15"/>
  <c r="C40" i="15" s="1"/>
  <c r="B5" i="15"/>
  <c r="B40" i="15" s="1"/>
  <c r="B6" i="15"/>
  <c r="B41" i="15" s="1"/>
  <c r="AO67" i="15"/>
  <c r="I20" i="14"/>
  <c r="H20" i="14"/>
  <c r="I19" i="14"/>
  <c r="H19" i="14"/>
  <c r="I18" i="14"/>
  <c r="H18" i="14"/>
  <c r="I17" i="14"/>
  <c r="H17" i="14"/>
  <c r="I16" i="14"/>
  <c r="H16" i="14"/>
  <c r="I15" i="14"/>
  <c r="H15" i="14"/>
  <c r="I14" i="14"/>
  <c r="H14" i="14"/>
  <c r="I13" i="14"/>
  <c r="H13" i="14"/>
  <c r="C13" i="14"/>
  <c r="C19" i="14" s="1"/>
  <c r="D19" i="14" s="1"/>
  <c r="E19" i="14" s="1"/>
  <c r="F19" i="14" s="1"/>
  <c r="I12" i="14"/>
  <c r="H12" i="14"/>
  <c r="E4" i="14"/>
  <c r="B4" i="14" s="1"/>
  <c r="C12" i="14" s="1"/>
  <c r="AP45" i="15" l="1"/>
  <c r="AO45" i="15"/>
  <c r="AN45" i="15"/>
  <c r="AS45" i="15"/>
  <c r="AR45" i="15"/>
  <c r="AQ45" i="15"/>
  <c r="AJ34" i="15"/>
  <c r="AI34" i="15"/>
  <c r="AH34" i="15"/>
  <c r="AG33" i="15"/>
  <c r="AF33" i="15"/>
  <c r="AE33" i="15"/>
  <c r="T56" i="15"/>
  <c r="V56" i="15" s="1"/>
  <c r="T57" i="15"/>
  <c r="V57" i="15" s="1"/>
  <c r="T58" i="15"/>
  <c r="V58" i="15" s="1"/>
  <c r="T59" i="15"/>
  <c r="V59" i="15" s="1"/>
  <c r="T60" i="15"/>
  <c r="V60" i="15" s="1"/>
  <c r="T61" i="15"/>
  <c r="V61" i="15" s="1"/>
  <c r="T62" i="15"/>
  <c r="V62" i="15" s="1"/>
  <c r="T63" i="15"/>
  <c r="V63" i="15" s="1"/>
  <c r="T64" i="15"/>
  <c r="V64" i="15" s="1"/>
  <c r="T65" i="15"/>
  <c r="V65" i="15" s="1"/>
  <c r="T66" i="15"/>
  <c r="V66" i="15" s="1"/>
  <c r="T67" i="15"/>
  <c r="V67" i="15" s="1"/>
  <c r="T68" i="15"/>
  <c r="V68" i="15" s="1"/>
  <c r="T69" i="15"/>
  <c r="V69" i="15" s="1"/>
  <c r="T70" i="15"/>
  <c r="V70" i="15" s="1"/>
  <c r="T71" i="15"/>
  <c r="T14" i="15"/>
  <c r="V14" i="15" s="1"/>
  <c r="T29" i="15"/>
  <c r="T28" i="15"/>
  <c r="V28" i="15" s="1"/>
  <c r="T24" i="15"/>
  <c r="V24" i="15" s="1"/>
  <c r="T23" i="15"/>
  <c r="V23" i="15" s="1"/>
  <c r="T27" i="15"/>
  <c r="V27" i="15" s="1"/>
  <c r="T22" i="15"/>
  <c r="V22" i="15" s="1"/>
  <c r="T18" i="15"/>
  <c r="V18" i="15" s="1"/>
  <c r="T17" i="15"/>
  <c r="V17" i="15" s="1"/>
  <c r="T26" i="15"/>
  <c r="V26" i="15" s="1"/>
  <c r="T21" i="15"/>
  <c r="V21" i="15" s="1"/>
  <c r="T25" i="15"/>
  <c r="V25" i="15" s="1"/>
  <c r="T20" i="15"/>
  <c r="V20" i="15" s="1"/>
  <c r="T19" i="15"/>
  <c r="V19" i="15" s="1"/>
  <c r="T15" i="15"/>
  <c r="V15" i="15" s="1"/>
  <c r="T16" i="15"/>
  <c r="V16" i="15" s="1"/>
  <c r="AP74" i="15"/>
  <c r="AP71" i="15"/>
  <c r="AO74" i="15"/>
  <c r="AR69" i="15"/>
  <c r="AQ69" i="15"/>
  <c r="AS69" i="15"/>
  <c r="AQ71" i="15"/>
  <c r="AR71" i="15"/>
  <c r="AS71" i="15"/>
  <c r="AN69" i="15"/>
  <c r="AN71" i="15"/>
  <c r="AO71" i="15"/>
  <c r="AS88" i="15"/>
  <c r="AP69" i="15"/>
  <c r="AQ74" i="15"/>
  <c r="AN74" i="15"/>
  <c r="AR74" i="15"/>
  <c r="AS74" i="15"/>
  <c r="AR88" i="15"/>
  <c r="AN88" i="15"/>
  <c r="AQ88" i="15"/>
  <c r="AO88" i="15"/>
  <c r="AP88" i="15"/>
  <c r="AO69" i="15"/>
  <c r="L67" i="15"/>
  <c r="N53" i="15"/>
  <c r="N69" i="15"/>
  <c r="L69" i="15"/>
  <c r="N67" i="15"/>
  <c r="L64" i="15"/>
  <c r="N60" i="15"/>
  <c r="N64" i="15"/>
  <c r="L45" i="15"/>
  <c r="N58" i="15"/>
  <c r="N51" i="15"/>
  <c r="L58" i="15"/>
  <c r="L60" i="15"/>
  <c r="N57" i="15"/>
  <c r="N50" i="15"/>
  <c r="L57" i="15"/>
  <c r="N43" i="15"/>
  <c r="L59" i="15"/>
  <c r="K59" i="15" s="1"/>
  <c r="L50" i="15"/>
  <c r="L52" i="15"/>
  <c r="K52" i="15" s="1"/>
  <c r="AE18" i="15" s="1"/>
  <c r="N45" i="15"/>
  <c r="L47" i="15"/>
  <c r="K47" i="15" s="1"/>
  <c r="AH15" i="15" s="1"/>
  <c r="L51" i="15"/>
  <c r="L53" i="15"/>
  <c r="N48" i="15"/>
  <c r="N46" i="15"/>
  <c r="L46" i="15"/>
  <c r="N41" i="15"/>
  <c r="L48" i="15"/>
  <c r="L41" i="15"/>
  <c r="L42" i="15"/>
  <c r="K42" i="15" s="1"/>
  <c r="L43" i="15"/>
  <c r="P46" i="15"/>
  <c r="M41" i="15"/>
  <c r="AP67" i="15"/>
  <c r="C14" i="14"/>
  <c r="D12" i="14"/>
  <c r="E12" i="14" s="1"/>
  <c r="F12" i="14" s="1"/>
  <c r="J12" i="14" s="1"/>
  <c r="C15" i="14"/>
  <c r="D15" i="14" s="1"/>
  <c r="E15" i="14" s="1"/>
  <c r="F15" i="14" s="1"/>
  <c r="C18" i="14"/>
  <c r="D18" i="14" s="1"/>
  <c r="E18" i="14" s="1"/>
  <c r="F18" i="14" s="1"/>
  <c r="J18" i="14" s="1"/>
  <c r="D13" i="14"/>
  <c r="E13" i="14" s="1"/>
  <c r="F13" i="14" s="1"/>
  <c r="J13" i="14" s="1"/>
  <c r="C16" i="14"/>
  <c r="D16" i="14" s="1"/>
  <c r="E16" i="14" s="1"/>
  <c r="F16" i="14" s="1"/>
  <c r="J16" i="14" s="1"/>
  <c r="BW277" i="1"/>
  <c r="BU277" i="1"/>
  <c r="BM277" i="1"/>
  <c r="BJ277" i="1"/>
  <c r="BI277" i="1"/>
  <c r="BH277" i="1"/>
  <c r="BG277" i="1"/>
  <c r="BF277" i="1"/>
  <c r="BE277" i="1"/>
  <c r="BC277" i="1"/>
  <c r="BB277" i="1"/>
  <c r="BA277" i="1"/>
  <c r="AZ277" i="1"/>
  <c r="AY277" i="1"/>
  <c r="AX277" i="1"/>
  <c r="AT277" i="1"/>
  <c r="AU277" i="1" s="1"/>
  <c r="AS277" i="1"/>
  <c r="N277" i="1"/>
  <c r="BW276" i="1"/>
  <c r="BU276" i="1"/>
  <c r="BM276" i="1"/>
  <c r="BJ276" i="1"/>
  <c r="BI276" i="1"/>
  <c r="BH276" i="1"/>
  <c r="BG276" i="1"/>
  <c r="BF276" i="1"/>
  <c r="BE276" i="1"/>
  <c r="BC276" i="1"/>
  <c r="BB276" i="1"/>
  <c r="BA276" i="1"/>
  <c r="AZ276" i="1"/>
  <c r="AY276" i="1"/>
  <c r="AX276" i="1"/>
  <c r="AT276" i="1"/>
  <c r="AU276" i="1" s="1"/>
  <c r="AS276" i="1"/>
  <c r="N276" i="1"/>
  <c r="BW275" i="1"/>
  <c r="BU275" i="1"/>
  <c r="BN275" i="1"/>
  <c r="BM275" i="1"/>
  <c r="BJ275" i="1"/>
  <c r="BI275" i="1"/>
  <c r="BH275" i="1"/>
  <c r="BG275" i="1"/>
  <c r="BF275" i="1"/>
  <c r="BE275" i="1"/>
  <c r="BC275" i="1"/>
  <c r="BB275" i="1"/>
  <c r="BA275" i="1"/>
  <c r="AZ275" i="1"/>
  <c r="AY275" i="1"/>
  <c r="AX275" i="1"/>
  <c r="AT275" i="1"/>
  <c r="AU275" i="1" s="1"/>
  <c r="AS275" i="1"/>
  <c r="N275" i="1"/>
  <c r="BW274" i="1"/>
  <c r="BU274" i="1"/>
  <c r="BM274" i="1"/>
  <c r="BJ274" i="1"/>
  <c r="BI274" i="1"/>
  <c r="BH274" i="1"/>
  <c r="BG274" i="1"/>
  <c r="BF274" i="1"/>
  <c r="BE274" i="1"/>
  <c r="BC274" i="1"/>
  <c r="BB274" i="1"/>
  <c r="BA274" i="1"/>
  <c r="AZ274" i="1"/>
  <c r="AY274" i="1"/>
  <c r="AX274" i="1"/>
  <c r="AT274" i="1"/>
  <c r="AU274" i="1" s="1"/>
  <c r="AS274" i="1"/>
  <c r="N274" i="1"/>
  <c r="BW273" i="1"/>
  <c r="BU273" i="1"/>
  <c r="BN273" i="1"/>
  <c r="BM273" i="1"/>
  <c r="BJ273" i="1"/>
  <c r="BI273" i="1"/>
  <c r="BH273" i="1"/>
  <c r="BG273" i="1"/>
  <c r="BF273" i="1"/>
  <c r="BE273" i="1"/>
  <c r="BC273" i="1"/>
  <c r="BB273" i="1"/>
  <c r="BA273" i="1"/>
  <c r="AZ273" i="1"/>
  <c r="AY273" i="1"/>
  <c r="AX273" i="1"/>
  <c r="AT273" i="1"/>
  <c r="AU273" i="1" s="1"/>
  <c r="AS273" i="1"/>
  <c r="N273" i="1"/>
  <c r="BW272" i="1"/>
  <c r="BU272" i="1"/>
  <c r="BN272" i="1"/>
  <c r="BM272" i="1"/>
  <c r="BJ272" i="1"/>
  <c r="BI272" i="1"/>
  <c r="BH272" i="1"/>
  <c r="BG272" i="1"/>
  <c r="BF272" i="1"/>
  <c r="BE272" i="1"/>
  <c r="BC272" i="1"/>
  <c r="BB272" i="1"/>
  <c r="BA272" i="1"/>
  <c r="AZ272" i="1"/>
  <c r="AY272" i="1"/>
  <c r="AX272" i="1"/>
  <c r="AT272" i="1"/>
  <c r="AU272" i="1" s="1"/>
  <c r="AS272" i="1"/>
  <c r="N272" i="1"/>
  <c r="BW271" i="1"/>
  <c r="BU271" i="1"/>
  <c r="BN271" i="1"/>
  <c r="BM271" i="1"/>
  <c r="BJ271" i="1"/>
  <c r="BI271" i="1"/>
  <c r="BH271" i="1"/>
  <c r="BG271" i="1"/>
  <c r="BF271" i="1"/>
  <c r="BE271" i="1"/>
  <c r="BC271" i="1"/>
  <c r="BB271" i="1"/>
  <c r="BA271" i="1"/>
  <c r="AZ271" i="1"/>
  <c r="AY271" i="1"/>
  <c r="AX271" i="1"/>
  <c r="AT271" i="1"/>
  <c r="AU271" i="1" s="1"/>
  <c r="AS271" i="1"/>
  <c r="N271" i="1"/>
  <c r="BW270" i="1"/>
  <c r="BU270" i="1"/>
  <c r="BM270" i="1"/>
  <c r="BJ270" i="1"/>
  <c r="BI270" i="1"/>
  <c r="BH270" i="1"/>
  <c r="BG270" i="1"/>
  <c r="BF270" i="1"/>
  <c r="BE270" i="1"/>
  <c r="BC270" i="1"/>
  <c r="BB270" i="1"/>
  <c r="BA270" i="1"/>
  <c r="AZ270" i="1"/>
  <c r="AY270" i="1"/>
  <c r="AX270" i="1"/>
  <c r="AT270" i="1"/>
  <c r="AU270" i="1" s="1"/>
  <c r="AS270" i="1"/>
  <c r="N270" i="1"/>
  <c r="BW269" i="1"/>
  <c r="BU269" i="1"/>
  <c r="BN269" i="1"/>
  <c r="BM269" i="1"/>
  <c r="BJ269" i="1"/>
  <c r="BI269" i="1"/>
  <c r="BH269" i="1"/>
  <c r="BG269" i="1"/>
  <c r="BF269" i="1"/>
  <c r="BE269" i="1"/>
  <c r="BC269" i="1"/>
  <c r="BB269" i="1"/>
  <c r="BA269" i="1"/>
  <c r="AZ269" i="1"/>
  <c r="AY269" i="1"/>
  <c r="AX269" i="1"/>
  <c r="AT269" i="1"/>
  <c r="AU269" i="1" s="1"/>
  <c r="AS269" i="1"/>
  <c r="N269" i="1"/>
  <c r="BW268" i="1"/>
  <c r="BU268" i="1"/>
  <c r="BN268" i="1"/>
  <c r="BM268" i="1"/>
  <c r="BJ268" i="1"/>
  <c r="BI268" i="1"/>
  <c r="BH268" i="1"/>
  <c r="BG268" i="1"/>
  <c r="BF268" i="1"/>
  <c r="BE268" i="1"/>
  <c r="BC268" i="1"/>
  <c r="BB268" i="1"/>
  <c r="BA268" i="1"/>
  <c r="AZ268" i="1"/>
  <c r="AY268" i="1"/>
  <c r="AX268" i="1"/>
  <c r="AT268" i="1"/>
  <c r="AU268" i="1" s="1"/>
  <c r="AS268" i="1"/>
  <c r="N268" i="1"/>
  <c r="BW267" i="1"/>
  <c r="BU267" i="1"/>
  <c r="BM267" i="1"/>
  <c r="BJ267" i="1"/>
  <c r="BI267" i="1"/>
  <c r="BH267" i="1"/>
  <c r="BG267" i="1"/>
  <c r="BF267" i="1"/>
  <c r="BE267" i="1"/>
  <c r="BC267" i="1"/>
  <c r="BB267" i="1"/>
  <c r="BA267" i="1"/>
  <c r="AZ267" i="1"/>
  <c r="AY267" i="1"/>
  <c r="AX267" i="1"/>
  <c r="AT267" i="1"/>
  <c r="AU267" i="1" s="1"/>
  <c r="AS267" i="1"/>
  <c r="N267" i="1"/>
  <c r="BW266" i="1"/>
  <c r="BU266" i="1"/>
  <c r="BN266" i="1"/>
  <c r="BM266" i="1"/>
  <c r="BJ266" i="1"/>
  <c r="BI266" i="1"/>
  <c r="BH266" i="1"/>
  <c r="BG266" i="1"/>
  <c r="BF266" i="1"/>
  <c r="BE266" i="1"/>
  <c r="BC266" i="1"/>
  <c r="BB266" i="1"/>
  <c r="BA266" i="1"/>
  <c r="AZ266" i="1"/>
  <c r="AY266" i="1"/>
  <c r="AX266" i="1"/>
  <c r="AT266" i="1"/>
  <c r="AU266" i="1" s="1"/>
  <c r="AS266" i="1"/>
  <c r="N266" i="1"/>
  <c r="BW265" i="1"/>
  <c r="BU265" i="1"/>
  <c r="BN265" i="1"/>
  <c r="BM265" i="1"/>
  <c r="BJ265" i="1"/>
  <c r="BI265" i="1"/>
  <c r="BH265" i="1"/>
  <c r="BG265" i="1"/>
  <c r="BF265" i="1"/>
  <c r="BE265" i="1"/>
  <c r="BC265" i="1"/>
  <c r="BB265" i="1"/>
  <c r="BA265" i="1"/>
  <c r="AZ265" i="1"/>
  <c r="AY265" i="1"/>
  <c r="AX265" i="1"/>
  <c r="AT265" i="1"/>
  <c r="AU265" i="1" s="1"/>
  <c r="AS265" i="1"/>
  <c r="N265" i="1"/>
  <c r="BW264" i="1"/>
  <c r="BU264" i="1"/>
  <c r="BN264" i="1"/>
  <c r="BM264" i="1"/>
  <c r="BJ264" i="1"/>
  <c r="BI264" i="1"/>
  <c r="BH264" i="1"/>
  <c r="BG264" i="1"/>
  <c r="BF264" i="1"/>
  <c r="BE264" i="1"/>
  <c r="BC264" i="1"/>
  <c r="BB264" i="1"/>
  <c r="BA264" i="1"/>
  <c r="AZ264" i="1"/>
  <c r="AY264" i="1"/>
  <c r="AX264" i="1"/>
  <c r="AT264" i="1"/>
  <c r="AU264" i="1" s="1"/>
  <c r="AS264" i="1"/>
  <c r="N264" i="1"/>
  <c r="BW263" i="1"/>
  <c r="BU263" i="1"/>
  <c r="BM263" i="1"/>
  <c r="BJ263" i="1"/>
  <c r="BI263" i="1"/>
  <c r="BH263" i="1"/>
  <c r="BG263" i="1"/>
  <c r="BF263" i="1"/>
  <c r="BE263" i="1"/>
  <c r="BC263" i="1"/>
  <c r="BB263" i="1"/>
  <c r="BA263" i="1"/>
  <c r="AZ263" i="1"/>
  <c r="AY263" i="1"/>
  <c r="AX263" i="1"/>
  <c r="AT263" i="1"/>
  <c r="AU263" i="1" s="1"/>
  <c r="AS263" i="1"/>
  <c r="N263" i="1"/>
  <c r="BW262" i="1"/>
  <c r="BU262" i="1"/>
  <c r="BN262" i="1"/>
  <c r="BM262" i="1"/>
  <c r="BJ262" i="1"/>
  <c r="BI262" i="1"/>
  <c r="BH262" i="1"/>
  <c r="BG262" i="1"/>
  <c r="BF262" i="1"/>
  <c r="BE262" i="1"/>
  <c r="BC262" i="1"/>
  <c r="BB262" i="1"/>
  <c r="BA262" i="1"/>
  <c r="AZ262" i="1"/>
  <c r="AY262" i="1"/>
  <c r="AX262" i="1"/>
  <c r="AT262" i="1"/>
  <c r="AU262" i="1" s="1"/>
  <c r="AS262" i="1"/>
  <c r="N262" i="1"/>
  <c r="BW261" i="1"/>
  <c r="BU261" i="1"/>
  <c r="BN261" i="1"/>
  <c r="BM261" i="1"/>
  <c r="BJ261" i="1"/>
  <c r="BI261" i="1"/>
  <c r="BH261" i="1"/>
  <c r="BG261" i="1"/>
  <c r="BF261" i="1"/>
  <c r="BE261" i="1"/>
  <c r="BA261" i="1"/>
  <c r="AZ261" i="1"/>
  <c r="AY261" i="1"/>
  <c r="AX261" i="1"/>
  <c r="AT261" i="1"/>
  <c r="AU261" i="1" s="1"/>
  <c r="AS261" i="1"/>
  <c r="N261" i="1"/>
  <c r="BW260" i="1"/>
  <c r="BU260" i="1"/>
  <c r="BM260" i="1"/>
  <c r="BJ260" i="1"/>
  <c r="BI260" i="1"/>
  <c r="BH260" i="1"/>
  <c r="BG260" i="1"/>
  <c r="BF260" i="1"/>
  <c r="BE260" i="1"/>
  <c r="BC260" i="1"/>
  <c r="BB260" i="1"/>
  <c r="BA260" i="1"/>
  <c r="AZ260" i="1"/>
  <c r="AY260" i="1"/>
  <c r="AX260" i="1"/>
  <c r="AT260" i="1"/>
  <c r="AU260" i="1" s="1"/>
  <c r="AS260" i="1"/>
  <c r="N260" i="1"/>
  <c r="BW259" i="1"/>
  <c r="BU259" i="1"/>
  <c r="BN259" i="1"/>
  <c r="BM259" i="1"/>
  <c r="BJ259" i="1"/>
  <c r="BI259" i="1"/>
  <c r="BH259" i="1"/>
  <c r="BG259" i="1"/>
  <c r="BF259" i="1"/>
  <c r="BE259" i="1"/>
  <c r="BC259" i="1"/>
  <c r="BB259" i="1"/>
  <c r="BA259" i="1"/>
  <c r="AZ259" i="1"/>
  <c r="AY259" i="1"/>
  <c r="AX259" i="1"/>
  <c r="AT259" i="1"/>
  <c r="AU259" i="1" s="1"/>
  <c r="AS259" i="1"/>
  <c r="N259" i="1"/>
  <c r="BW258" i="1"/>
  <c r="BU258" i="1"/>
  <c r="BM258" i="1"/>
  <c r="BJ258" i="1"/>
  <c r="BI258" i="1"/>
  <c r="BH258" i="1"/>
  <c r="BG258" i="1"/>
  <c r="BF258" i="1"/>
  <c r="BE258" i="1"/>
  <c r="BC258" i="1"/>
  <c r="BB258" i="1"/>
  <c r="BA258" i="1"/>
  <c r="AZ258" i="1"/>
  <c r="AY258" i="1"/>
  <c r="AX258" i="1"/>
  <c r="AT258" i="1"/>
  <c r="AU258" i="1" s="1"/>
  <c r="AS258" i="1"/>
  <c r="N258" i="1"/>
  <c r="BW257" i="1"/>
  <c r="BU257" i="1"/>
  <c r="BN257" i="1"/>
  <c r="BM257" i="1"/>
  <c r="BJ257" i="1"/>
  <c r="BI257" i="1"/>
  <c r="BH257" i="1"/>
  <c r="BG257" i="1"/>
  <c r="BF257" i="1"/>
  <c r="BE257" i="1"/>
  <c r="BC257" i="1"/>
  <c r="BB257" i="1"/>
  <c r="BA257" i="1"/>
  <c r="AZ257" i="1"/>
  <c r="AY257" i="1"/>
  <c r="AX257" i="1"/>
  <c r="AT257" i="1"/>
  <c r="AU257" i="1" s="1"/>
  <c r="AS257" i="1"/>
  <c r="N257" i="1"/>
  <c r="BW256" i="1"/>
  <c r="BU256" i="1"/>
  <c r="BN256" i="1"/>
  <c r="BM256" i="1"/>
  <c r="BJ256" i="1"/>
  <c r="BI256" i="1"/>
  <c r="BH256" i="1"/>
  <c r="BG256" i="1"/>
  <c r="BF256" i="1"/>
  <c r="BE256" i="1"/>
  <c r="BC256" i="1"/>
  <c r="BB256" i="1"/>
  <c r="BA256" i="1"/>
  <c r="AZ256" i="1"/>
  <c r="AY256" i="1"/>
  <c r="AX256" i="1"/>
  <c r="AT256" i="1"/>
  <c r="AS256" i="1"/>
  <c r="N256" i="1"/>
  <c r="BW255" i="1"/>
  <c r="BU255" i="1"/>
  <c r="BM255" i="1"/>
  <c r="BJ255" i="1"/>
  <c r="BI255" i="1"/>
  <c r="BH255" i="1"/>
  <c r="BG255" i="1"/>
  <c r="BF255" i="1"/>
  <c r="BE255" i="1"/>
  <c r="BC255" i="1"/>
  <c r="BB255" i="1"/>
  <c r="BA255" i="1"/>
  <c r="AZ255" i="1"/>
  <c r="AY255" i="1"/>
  <c r="AX255" i="1"/>
  <c r="AT255" i="1"/>
  <c r="AU255" i="1" s="1"/>
  <c r="AS255" i="1"/>
  <c r="N255" i="1"/>
  <c r="BW254" i="1"/>
  <c r="BU254" i="1"/>
  <c r="BN254" i="1"/>
  <c r="BM254" i="1"/>
  <c r="BJ254" i="1"/>
  <c r="BI254" i="1"/>
  <c r="BH254" i="1"/>
  <c r="BG254" i="1"/>
  <c r="BF254" i="1"/>
  <c r="BE254" i="1"/>
  <c r="BC254" i="1"/>
  <c r="BB254" i="1"/>
  <c r="BA254" i="1"/>
  <c r="AZ254" i="1"/>
  <c r="AY254" i="1"/>
  <c r="AX254" i="1"/>
  <c r="AT254" i="1"/>
  <c r="AS254" i="1"/>
  <c r="N254" i="1"/>
  <c r="BW253" i="1"/>
  <c r="BU253" i="1"/>
  <c r="BM253" i="1"/>
  <c r="BJ253" i="1"/>
  <c r="BI253" i="1"/>
  <c r="BH253" i="1"/>
  <c r="BG253" i="1"/>
  <c r="BF253" i="1"/>
  <c r="BE253" i="1"/>
  <c r="BC253" i="1"/>
  <c r="BB253" i="1"/>
  <c r="BA253" i="1"/>
  <c r="AZ253" i="1"/>
  <c r="AY253" i="1"/>
  <c r="AX253" i="1"/>
  <c r="AT253" i="1"/>
  <c r="AU253" i="1" s="1"/>
  <c r="AS253" i="1"/>
  <c r="N253" i="1"/>
  <c r="BW252" i="1"/>
  <c r="BU252" i="1"/>
  <c r="BN252" i="1"/>
  <c r="BM252" i="1"/>
  <c r="BJ252" i="1"/>
  <c r="BI252" i="1"/>
  <c r="BH252" i="1"/>
  <c r="BG252" i="1"/>
  <c r="BF252" i="1"/>
  <c r="BE252" i="1"/>
  <c r="BC252" i="1"/>
  <c r="BB252" i="1"/>
  <c r="BA252" i="1"/>
  <c r="AZ252" i="1"/>
  <c r="AY252" i="1"/>
  <c r="AX252" i="1"/>
  <c r="AT252" i="1"/>
  <c r="AU252" i="1" s="1"/>
  <c r="AS252" i="1"/>
  <c r="N252" i="1"/>
  <c r="AE52" i="15" l="1"/>
  <c r="AQ47" i="15"/>
  <c r="AR47" i="15" s="1"/>
  <c r="AS47" i="15" s="1"/>
  <c r="AE51" i="15"/>
  <c r="AN47" i="15"/>
  <c r="AO47" i="15" s="1"/>
  <c r="AP47" i="15" s="1"/>
  <c r="AV272" i="1"/>
  <c r="AW272" i="1" s="1"/>
  <c r="C26" i="15"/>
  <c r="C61" i="15" s="1"/>
  <c r="AV254" i="1"/>
  <c r="AW254" i="1" s="1"/>
  <c r="C8" i="15"/>
  <c r="C43" i="15" s="1"/>
  <c r="AV257" i="1"/>
  <c r="AW257" i="1" s="1"/>
  <c r="C11" i="15"/>
  <c r="C46" i="15" s="1"/>
  <c r="AV260" i="1"/>
  <c r="AW260" i="1" s="1"/>
  <c r="C14" i="15"/>
  <c r="C49" i="15" s="1"/>
  <c r="AV264" i="1"/>
  <c r="C18" i="15"/>
  <c r="C53" i="15" s="1"/>
  <c r="AV267" i="1"/>
  <c r="AW267" i="1" s="1"/>
  <c r="C21" i="15"/>
  <c r="C56" i="15" s="1"/>
  <c r="AV270" i="1"/>
  <c r="AW270" i="1" s="1"/>
  <c r="C24" i="15"/>
  <c r="C59" i="15" s="1"/>
  <c r="AV273" i="1"/>
  <c r="AW273" i="1" s="1"/>
  <c r="C27" i="15"/>
  <c r="C62" i="15" s="1"/>
  <c r="AV261" i="1"/>
  <c r="C15" i="15"/>
  <c r="C50" i="15" s="1"/>
  <c r="AV255" i="1"/>
  <c r="AW255" i="1" s="1"/>
  <c r="C9" i="15"/>
  <c r="C44" i="15" s="1"/>
  <c r="AV258" i="1"/>
  <c r="AW258" i="1" s="1"/>
  <c r="C12" i="15"/>
  <c r="C47" i="15" s="1"/>
  <c r="AV262" i="1"/>
  <c r="AW262" i="1" s="1"/>
  <c r="C16" i="15"/>
  <c r="C51" i="15" s="1"/>
  <c r="AV265" i="1"/>
  <c r="AW265" i="1" s="1"/>
  <c r="C19" i="15"/>
  <c r="C54" i="15" s="1"/>
  <c r="AV268" i="1"/>
  <c r="AW268" i="1" s="1"/>
  <c r="C22" i="15"/>
  <c r="C57" i="15" s="1"/>
  <c r="AV271" i="1"/>
  <c r="AW271" i="1" s="1"/>
  <c r="C25" i="15"/>
  <c r="C60" i="15" s="1"/>
  <c r="AV253" i="1"/>
  <c r="AW253" i="1" s="1"/>
  <c r="C7" i="15"/>
  <c r="C42" i="15" s="1"/>
  <c r="AV269" i="1"/>
  <c r="AW269" i="1" s="1"/>
  <c r="C23" i="15"/>
  <c r="C58" i="15" s="1"/>
  <c r="AV252" i="1"/>
  <c r="AW252" i="1" s="1"/>
  <c r="C6" i="15"/>
  <c r="C41" i="15" s="1"/>
  <c r="AV274" i="1"/>
  <c r="AW274" i="1" s="1"/>
  <c r="C28" i="15"/>
  <c r="C63" i="15" s="1"/>
  <c r="AV263" i="1"/>
  <c r="AW263" i="1" s="1"/>
  <c r="C17" i="15"/>
  <c r="C52" i="15" s="1"/>
  <c r="AV266" i="1"/>
  <c r="AW266" i="1" s="1"/>
  <c r="C20" i="15"/>
  <c r="C55" i="15" s="1"/>
  <c r="AV275" i="1"/>
  <c r="AW275" i="1" s="1"/>
  <c r="C29" i="15"/>
  <c r="C64" i="15" s="1"/>
  <c r="AV256" i="1"/>
  <c r="AW256" i="1" s="1"/>
  <c r="C10" i="15"/>
  <c r="C45" i="15" s="1"/>
  <c r="AV259" i="1"/>
  <c r="AW259" i="1" s="1"/>
  <c r="C13" i="15"/>
  <c r="C48" i="15" s="1"/>
  <c r="T72" i="15"/>
  <c r="V71" i="15"/>
  <c r="T30" i="15"/>
  <c r="V29" i="15"/>
  <c r="K69" i="15"/>
  <c r="AH26" i="15" s="1"/>
  <c r="AH36" i="15" s="1"/>
  <c r="K67" i="15"/>
  <c r="AG25" i="15" s="1"/>
  <c r="AG35" i="15" s="1"/>
  <c r="K53" i="15"/>
  <c r="K58" i="15"/>
  <c r="K64" i="15"/>
  <c r="K50" i="15"/>
  <c r="K45" i="15"/>
  <c r="K57" i="15"/>
  <c r="K60" i="15"/>
  <c r="K51" i="15"/>
  <c r="K43" i="15"/>
  <c r="K48" i="15"/>
  <c r="AJ21" i="15"/>
  <c r="AI21" i="15"/>
  <c r="AG18" i="15"/>
  <c r="AF18" i="15"/>
  <c r="AJ15" i="15"/>
  <c r="AI15" i="15"/>
  <c r="AG12" i="15"/>
  <c r="AF12" i="15"/>
  <c r="AE12" i="15"/>
  <c r="K46" i="15"/>
  <c r="AV276" i="1"/>
  <c r="AW276" i="1" s="1"/>
  <c r="C30" i="15"/>
  <c r="C65" i="15" s="1"/>
  <c r="AV277" i="1"/>
  <c r="AW277" i="1" s="1"/>
  <c r="AQ277" i="1" s="1"/>
  <c r="C31" i="15"/>
  <c r="C66" i="15" s="1"/>
  <c r="K41" i="15"/>
  <c r="J19" i="14"/>
  <c r="J15" i="14"/>
  <c r="C17" i="14"/>
  <c r="D17" i="14" s="1"/>
  <c r="E17" i="14" s="1"/>
  <c r="F17" i="14" s="1"/>
  <c r="J17" i="14" s="1"/>
  <c r="D14" i="14"/>
  <c r="E14" i="14" s="1"/>
  <c r="F14" i="14" s="1"/>
  <c r="J14" i="14" s="1"/>
  <c r="C20" i="14"/>
  <c r="D20" i="14" s="1"/>
  <c r="E20" i="14" s="1"/>
  <c r="F20" i="14" s="1"/>
  <c r="J20" i="14" s="1"/>
  <c r="AQ261" i="1"/>
  <c r="AQ269" i="1"/>
  <c r="AQ274" i="1"/>
  <c r="AW264" i="1"/>
  <c r="AQ264" i="1" s="1"/>
  <c r="AQ275" i="1"/>
  <c r="AQ265" i="1"/>
  <c r="AQ273" i="1"/>
  <c r="AR261" i="1"/>
  <c r="AQ266" i="1"/>
  <c r="AQ267" i="1"/>
  <c r="AQ268" i="1"/>
  <c r="AQ271" i="1"/>
  <c r="AU256" i="1"/>
  <c r="AQ272" i="1"/>
  <c r="AQ263" i="1"/>
  <c r="AQ252" i="1"/>
  <c r="AQ259" i="1"/>
  <c r="AQ260" i="1"/>
  <c r="AU254" i="1"/>
  <c r="AQ254" i="1" s="1"/>
  <c r="AQ253" i="1"/>
  <c r="AQ255" i="1"/>
  <c r="AQ257" i="1"/>
  <c r="AQ258" i="1"/>
  <c r="BM225" i="1"/>
  <c r="BJ225" i="1"/>
  <c r="BI225" i="1"/>
  <c r="BH225" i="1"/>
  <c r="BG225" i="1"/>
  <c r="BF225" i="1"/>
  <c r="BE225" i="1"/>
  <c r="BC225" i="1"/>
  <c r="BB225" i="1"/>
  <c r="BA225" i="1"/>
  <c r="AZ225" i="1"/>
  <c r="AY225" i="1"/>
  <c r="AX225" i="1"/>
  <c r="AT225" i="1"/>
  <c r="AU225" i="1" s="1"/>
  <c r="AS225" i="1"/>
  <c r="N225" i="1"/>
  <c r="AV225" i="1" s="1"/>
  <c r="AW225" i="1" s="1"/>
  <c r="BM224" i="1"/>
  <c r="BJ224" i="1"/>
  <c r="BI224" i="1"/>
  <c r="BH224" i="1"/>
  <c r="BG224" i="1"/>
  <c r="BF224" i="1"/>
  <c r="BE224" i="1"/>
  <c r="BC224" i="1"/>
  <c r="BB224" i="1"/>
  <c r="BA224" i="1"/>
  <c r="AZ224" i="1"/>
  <c r="AY224" i="1"/>
  <c r="AX224" i="1"/>
  <c r="AT224" i="1"/>
  <c r="AS224" i="1"/>
  <c r="N224" i="1"/>
  <c r="AV224" i="1" s="1"/>
  <c r="AW224" i="1" s="1"/>
  <c r="BM223" i="1"/>
  <c r="BJ223" i="1"/>
  <c r="BI223" i="1"/>
  <c r="BH223" i="1"/>
  <c r="BG223" i="1"/>
  <c r="BF223" i="1"/>
  <c r="BE223" i="1"/>
  <c r="BC223" i="1"/>
  <c r="BB223" i="1"/>
  <c r="BA223" i="1"/>
  <c r="AZ223" i="1"/>
  <c r="AY223" i="1"/>
  <c r="AX223" i="1"/>
  <c r="AT223" i="1"/>
  <c r="AU223" i="1" s="1"/>
  <c r="AS223" i="1"/>
  <c r="N223" i="1"/>
  <c r="AV223" i="1" s="1"/>
  <c r="AW223" i="1" s="1"/>
  <c r="BM222" i="1"/>
  <c r="BJ222" i="1"/>
  <c r="BI222" i="1"/>
  <c r="BH222" i="1"/>
  <c r="BG222" i="1"/>
  <c r="BF222" i="1"/>
  <c r="BE222" i="1"/>
  <c r="BC222" i="1"/>
  <c r="BB222" i="1"/>
  <c r="BA222" i="1"/>
  <c r="AZ222" i="1"/>
  <c r="AY222" i="1"/>
  <c r="AX222" i="1"/>
  <c r="AT222" i="1"/>
  <c r="AU222" i="1" s="1"/>
  <c r="AS222" i="1"/>
  <c r="N222" i="1"/>
  <c r="AV222" i="1" s="1"/>
  <c r="AW222" i="1" s="1"/>
  <c r="BT221" i="1"/>
  <c r="BS221" i="1"/>
  <c r="BR221" i="1"/>
  <c r="BQ221" i="1"/>
  <c r="BN221" i="1"/>
  <c r="BM221" i="1"/>
  <c r="BJ221" i="1"/>
  <c r="BI221" i="1"/>
  <c r="BH221" i="1"/>
  <c r="BG221" i="1"/>
  <c r="BF221" i="1"/>
  <c r="BE221" i="1"/>
  <c r="BC221" i="1"/>
  <c r="BB221" i="1"/>
  <c r="BA221" i="1"/>
  <c r="AZ221" i="1"/>
  <c r="AY221" i="1"/>
  <c r="AX221" i="1"/>
  <c r="AT221" i="1"/>
  <c r="AS221" i="1"/>
  <c r="N221" i="1"/>
  <c r="AV221" i="1" s="1"/>
  <c r="AW221" i="1" s="1"/>
  <c r="BW220" i="1"/>
  <c r="BQ220" i="1"/>
  <c r="BV220" i="1" s="1"/>
  <c r="BJ220" i="1"/>
  <c r="BI220" i="1"/>
  <c r="BH220" i="1"/>
  <c r="BG220" i="1"/>
  <c r="BF220" i="1"/>
  <c r="BE220" i="1"/>
  <c r="BC220" i="1"/>
  <c r="BB220" i="1"/>
  <c r="BA220" i="1"/>
  <c r="AZ220" i="1"/>
  <c r="AY220" i="1"/>
  <c r="AX220" i="1"/>
  <c r="AT220" i="1"/>
  <c r="AS220" i="1"/>
  <c r="N220" i="1"/>
  <c r="AV220" i="1" s="1"/>
  <c r="AW220" i="1" s="1"/>
  <c r="BR219" i="1"/>
  <c r="BW219" i="1" s="1"/>
  <c r="BQ219" i="1"/>
  <c r="BV219" i="1" s="1"/>
  <c r="BM219" i="1"/>
  <c r="BJ219" i="1"/>
  <c r="BI219" i="1"/>
  <c r="BH219" i="1"/>
  <c r="BG219" i="1"/>
  <c r="BF219" i="1"/>
  <c r="BE219" i="1"/>
  <c r="BC219" i="1"/>
  <c r="BB219" i="1"/>
  <c r="BA219" i="1"/>
  <c r="AZ219" i="1"/>
  <c r="AY219" i="1"/>
  <c r="AX219" i="1"/>
  <c r="AT219" i="1"/>
  <c r="AU219" i="1" s="1"/>
  <c r="AS219" i="1"/>
  <c r="N219" i="1"/>
  <c r="AV219" i="1" s="1"/>
  <c r="AW219" i="1" s="1"/>
  <c r="BR218" i="1"/>
  <c r="BW218" i="1" s="1"/>
  <c r="BQ218" i="1"/>
  <c r="BV218" i="1" s="1"/>
  <c r="BM218" i="1"/>
  <c r="BJ218" i="1"/>
  <c r="BI218" i="1"/>
  <c r="BH218" i="1"/>
  <c r="BG218" i="1"/>
  <c r="BF218" i="1"/>
  <c r="BE218" i="1"/>
  <c r="BC218" i="1"/>
  <c r="BB218" i="1"/>
  <c r="BA218" i="1"/>
  <c r="AZ218" i="1"/>
  <c r="AY218" i="1"/>
  <c r="AX218" i="1"/>
  <c r="AT218" i="1"/>
  <c r="AU218" i="1" s="1"/>
  <c r="AS218" i="1"/>
  <c r="N218" i="1"/>
  <c r="AV218" i="1" s="1"/>
  <c r="AW218" i="1" s="1"/>
  <c r="BT217" i="1"/>
  <c r="BS217" i="1"/>
  <c r="BR217" i="1"/>
  <c r="BQ217" i="1"/>
  <c r="BN217" i="1"/>
  <c r="BM217" i="1"/>
  <c r="BJ217" i="1"/>
  <c r="BI217" i="1"/>
  <c r="BH217" i="1"/>
  <c r="BG217" i="1"/>
  <c r="BF217" i="1"/>
  <c r="BE217" i="1"/>
  <c r="BC217" i="1"/>
  <c r="BB217" i="1"/>
  <c r="BA217" i="1"/>
  <c r="AZ217" i="1"/>
  <c r="AY217" i="1"/>
  <c r="AX217" i="1"/>
  <c r="AT217" i="1"/>
  <c r="AU217" i="1" s="1"/>
  <c r="AS217" i="1"/>
  <c r="N217" i="1"/>
  <c r="AV217" i="1" s="1"/>
  <c r="AW217" i="1" s="1"/>
  <c r="BR216" i="1"/>
  <c r="BW216" i="1" s="1"/>
  <c r="BQ216" i="1"/>
  <c r="BV216" i="1" s="1"/>
  <c r="BM216" i="1"/>
  <c r="BJ216" i="1"/>
  <c r="BI216" i="1"/>
  <c r="BH216" i="1"/>
  <c r="BG216" i="1"/>
  <c r="BF216" i="1"/>
  <c r="BE216" i="1"/>
  <c r="BC216" i="1"/>
  <c r="BB216" i="1"/>
  <c r="BA216" i="1"/>
  <c r="AZ216" i="1"/>
  <c r="AY216" i="1"/>
  <c r="AX216" i="1"/>
  <c r="AT216" i="1"/>
  <c r="AU216" i="1" s="1"/>
  <c r="AS216" i="1"/>
  <c r="N216" i="1"/>
  <c r="AV216" i="1" s="1"/>
  <c r="AW216" i="1" s="1"/>
  <c r="BT215" i="1"/>
  <c r="BS215" i="1"/>
  <c r="BR215" i="1"/>
  <c r="BQ215" i="1"/>
  <c r="BN215" i="1"/>
  <c r="BM215" i="1"/>
  <c r="BJ215" i="1"/>
  <c r="BI215" i="1"/>
  <c r="BH215" i="1"/>
  <c r="BG215" i="1"/>
  <c r="BF215" i="1"/>
  <c r="BE215" i="1"/>
  <c r="BC215" i="1"/>
  <c r="BB215" i="1"/>
  <c r="BA215" i="1"/>
  <c r="AZ215" i="1"/>
  <c r="AY215" i="1"/>
  <c r="AX215" i="1"/>
  <c r="AT215" i="1"/>
  <c r="AS215" i="1"/>
  <c r="N215" i="1"/>
  <c r="AV215" i="1" s="1"/>
  <c r="AW215" i="1" s="1"/>
  <c r="BT214" i="1"/>
  <c r="BS214" i="1"/>
  <c r="BR214" i="1"/>
  <c r="BQ214" i="1"/>
  <c r="BN214" i="1"/>
  <c r="BM214" i="1"/>
  <c r="BJ214" i="1"/>
  <c r="BI214" i="1"/>
  <c r="BH214" i="1"/>
  <c r="BG214" i="1"/>
  <c r="BF214" i="1"/>
  <c r="BE214" i="1"/>
  <c r="BC214" i="1"/>
  <c r="BB214" i="1"/>
  <c r="BA214" i="1"/>
  <c r="AZ214" i="1"/>
  <c r="AY214" i="1"/>
  <c r="AX214" i="1"/>
  <c r="AT214" i="1"/>
  <c r="AU214" i="1" s="1"/>
  <c r="AS214" i="1"/>
  <c r="N214" i="1"/>
  <c r="AV214" i="1" s="1"/>
  <c r="AW214" i="1" s="1"/>
  <c r="BW213" i="1"/>
  <c r="BQ213" i="1"/>
  <c r="BV213" i="1" s="1"/>
  <c r="BM213" i="1"/>
  <c r="BJ213" i="1"/>
  <c r="BI213" i="1"/>
  <c r="BH213" i="1"/>
  <c r="BG213" i="1"/>
  <c r="BF213" i="1"/>
  <c r="BE213" i="1"/>
  <c r="BC213" i="1"/>
  <c r="BB213" i="1"/>
  <c r="BA213" i="1"/>
  <c r="AZ213" i="1"/>
  <c r="AY213" i="1"/>
  <c r="AX213" i="1"/>
  <c r="AT213" i="1"/>
  <c r="AU213" i="1" s="1"/>
  <c r="AS213" i="1"/>
  <c r="N213" i="1"/>
  <c r="AV213" i="1" s="1"/>
  <c r="BR212" i="1"/>
  <c r="BW212" i="1" s="1"/>
  <c r="BQ212" i="1"/>
  <c r="BV212" i="1" s="1"/>
  <c r="BM212" i="1"/>
  <c r="BJ212" i="1"/>
  <c r="BI212" i="1"/>
  <c r="BH212" i="1"/>
  <c r="BG212" i="1"/>
  <c r="BF212" i="1"/>
  <c r="BE212" i="1"/>
  <c r="BC212" i="1"/>
  <c r="BB212" i="1"/>
  <c r="BA212" i="1"/>
  <c r="AZ212" i="1"/>
  <c r="AY212" i="1"/>
  <c r="AX212" i="1"/>
  <c r="AT212" i="1"/>
  <c r="AS212" i="1"/>
  <c r="N212" i="1"/>
  <c r="AV212" i="1" s="1"/>
  <c r="AW212" i="1" s="1"/>
  <c r="BR211" i="1"/>
  <c r="BW211" i="1" s="1"/>
  <c r="BQ211" i="1"/>
  <c r="BV211" i="1" s="1"/>
  <c r="BM211" i="1"/>
  <c r="BJ211" i="1"/>
  <c r="BI211" i="1"/>
  <c r="BH211" i="1"/>
  <c r="BG211" i="1"/>
  <c r="BF211" i="1"/>
  <c r="BE211" i="1"/>
  <c r="BC211" i="1"/>
  <c r="BB211" i="1"/>
  <c r="BA211" i="1"/>
  <c r="AZ211" i="1"/>
  <c r="AY211" i="1"/>
  <c r="AX211" i="1"/>
  <c r="AT211" i="1"/>
  <c r="AU211" i="1" s="1"/>
  <c r="AS211" i="1"/>
  <c r="N211" i="1"/>
  <c r="AV211" i="1" s="1"/>
  <c r="AW211" i="1" s="1"/>
  <c r="BT210" i="1"/>
  <c r="BS210" i="1"/>
  <c r="BR210" i="1"/>
  <c r="BQ210" i="1"/>
  <c r="BN210" i="1"/>
  <c r="BM210" i="1"/>
  <c r="BJ210" i="1"/>
  <c r="BI210" i="1"/>
  <c r="BH210" i="1"/>
  <c r="BG210" i="1"/>
  <c r="BF210" i="1"/>
  <c r="BE210" i="1"/>
  <c r="BC210" i="1"/>
  <c r="BB210" i="1"/>
  <c r="BA210" i="1"/>
  <c r="AZ210" i="1"/>
  <c r="AY210" i="1"/>
  <c r="AX210" i="1"/>
  <c r="AT210" i="1"/>
  <c r="AS210" i="1"/>
  <c r="N210" i="1"/>
  <c r="AV210" i="1" s="1"/>
  <c r="AW210" i="1" s="1"/>
  <c r="BR209" i="1"/>
  <c r="BW209" i="1" s="1"/>
  <c r="BQ209" i="1"/>
  <c r="BV209" i="1" s="1"/>
  <c r="BM209" i="1"/>
  <c r="BJ209" i="1"/>
  <c r="BI209" i="1"/>
  <c r="BH209" i="1"/>
  <c r="BG209" i="1"/>
  <c r="BF209" i="1"/>
  <c r="BE209" i="1"/>
  <c r="BC209" i="1"/>
  <c r="BB209" i="1"/>
  <c r="BA209" i="1"/>
  <c r="AZ209" i="1"/>
  <c r="AY209" i="1"/>
  <c r="AX209" i="1"/>
  <c r="AT209" i="1"/>
  <c r="AU209" i="1" s="1"/>
  <c r="AS209" i="1"/>
  <c r="N209" i="1"/>
  <c r="AV209" i="1" s="1"/>
  <c r="AW209" i="1" s="1"/>
  <c r="BT208" i="1"/>
  <c r="BS208" i="1"/>
  <c r="BR208" i="1"/>
  <c r="BQ208" i="1"/>
  <c r="BN208" i="1"/>
  <c r="BM208" i="1"/>
  <c r="BJ208" i="1"/>
  <c r="BI208" i="1"/>
  <c r="BH208" i="1"/>
  <c r="BG208" i="1"/>
  <c r="BF208" i="1"/>
  <c r="BE208" i="1"/>
  <c r="BC208" i="1"/>
  <c r="BB208" i="1"/>
  <c r="BA208" i="1"/>
  <c r="AZ208" i="1"/>
  <c r="AY208" i="1"/>
  <c r="AX208" i="1"/>
  <c r="AT208" i="1"/>
  <c r="AS208" i="1"/>
  <c r="N208" i="1"/>
  <c r="AV208" i="1" s="1"/>
  <c r="AW208" i="1" s="1"/>
  <c r="BT207" i="1"/>
  <c r="BS207" i="1"/>
  <c r="BR207" i="1"/>
  <c r="BQ207" i="1"/>
  <c r="BN207" i="1"/>
  <c r="BM207" i="1"/>
  <c r="BJ207" i="1"/>
  <c r="BI207" i="1"/>
  <c r="BH207" i="1"/>
  <c r="BG207" i="1"/>
  <c r="BF207" i="1"/>
  <c r="BE207" i="1"/>
  <c r="BC207" i="1"/>
  <c r="BB207" i="1"/>
  <c r="BA207" i="1"/>
  <c r="AZ207" i="1"/>
  <c r="AY207" i="1"/>
  <c r="AX207" i="1"/>
  <c r="AT207" i="1"/>
  <c r="AU207" i="1" s="1"/>
  <c r="AS207" i="1"/>
  <c r="N207" i="1"/>
  <c r="AV207" i="1" s="1"/>
  <c r="AW207" i="1" s="1"/>
  <c r="BR206" i="1"/>
  <c r="BW206" i="1" s="1"/>
  <c r="BQ206" i="1"/>
  <c r="BV206" i="1" s="1"/>
  <c r="BM206" i="1"/>
  <c r="BJ206" i="1"/>
  <c r="BI206" i="1"/>
  <c r="BH206" i="1"/>
  <c r="BG206" i="1"/>
  <c r="BF206" i="1"/>
  <c r="BE206" i="1"/>
  <c r="BC206" i="1"/>
  <c r="BB206" i="1"/>
  <c r="BA206" i="1"/>
  <c r="AZ206" i="1"/>
  <c r="AY206" i="1"/>
  <c r="AX206" i="1"/>
  <c r="AT206" i="1"/>
  <c r="AU206" i="1" s="1"/>
  <c r="AS206" i="1"/>
  <c r="N206" i="1"/>
  <c r="AV206" i="1" s="1"/>
  <c r="AW206" i="1" s="1"/>
  <c r="BT205" i="1"/>
  <c r="BS205" i="1"/>
  <c r="BR205" i="1"/>
  <c r="BQ205" i="1"/>
  <c r="BN205" i="1"/>
  <c r="BM205" i="1"/>
  <c r="BJ205" i="1"/>
  <c r="BI205" i="1"/>
  <c r="BH205" i="1"/>
  <c r="BG205" i="1"/>
  <c r="BF205" i="1"/>
  <c r="BE205" i="1"/>
  <c r="BC205" i="1"/>
  <c r="BB205" i="1"/>
  <c r="BA205" i="1"/>
  <c r="AZ205" i="1"/>
  <c r="AY205" i="1"/>
  <c r="AX205" i="1"/>
  <c r="AT205" i="1"/>
  <c r="AU205" i="1" s="1"/>
  <c r="AS205" i="1"/>
  <c r="N205" i="1"/>
  <c r="AV205" i="1" s="1"/>
  <c r="AW205" i="1" s="1"/>
  <c r="BR204" i="1"/>
  <c r="BW204" i="1" s="1"/>
  <c r="BQ204" i="1"/>
  <c r="BV204" i="1" s="1"/>
  <c r="BM204" i="1"/>
  <c r="BJ204" i="1"/>
  <c r="BI204" i="1"/>
  <c r="BH204" i="1"/>
  <c r="BG204" i="1"/>
  <c r="BF204" i="1"/>
  <c r="BE204" i="1"/>
  <c r="BC204" i="1"/>
  <c r="BB204" i="1"/>
  <c r="BA204" i="1"/>
  <c r="AZ204" i="1"/>
  <c r="AY204" i="1"/>
  <c r="AX204" i="1"/>
  <c r="AT204" i="1"/>
  <c r="AU204" i="1" s="1"/>
  <c r="AS204" i="1"/>
  <c r="N204" i="1"/>
  <c r="AV204" i="1" s="1"/>
  <c r="AW204" i="1" s="1"/>
  <c r="BT203" i="1"/>
  <c r="BS203" i="1"/>
  <c r="BR203" i="1"/>
  <c r="BQ203" i="1"/>
  <c r="BN203" i="1"/>
  <c r="BM203" i="1"/>
  <c r="BJ203" i="1"/>
  <c r="BI203" i="1"/>
  <c r="BH203" i="1"/>
  <c r="BG203" i="1"/>
  <c r="BF203" i="1"/>
  <c r="BE203" i="1"/>
  <c r="BC203" i="1"/>
  <c r="BB203" i="1"/>
  <c r="BA203" i="1"/>
  <c r="AZ203" i="1"/>
  <c r="AY203" i="1"/>
  <c r="AX203" i="1"/>
  <c r="AT203" i="1"/>
  <c r="AU203" i="1" s="1"/>
  <c r="AS203" i="1"/>
  <c r="N203" i="1"/>
  <c r="AV203" i="1" s="1"/>
  <c r="AW203" i="1" s="1"/>
  <c r="BT202" i="1"/>
  <c r="BS202" i="1"/>
  <c r="BR202" i="1"/>
  <c r="BQ202" i="1"/>
  <c r="BN202" i="1"/>
  <c r="BM202" i="1"/>
  <c r="BJ202" i="1"/>
  <c r="BI202" i="1"/>
  <c r="BH202" i="1"/>
  <c r="BG202" i="1"/>
  <c r="BF202" i="1"/>
  <c r="BE202" i="1"/>
  <c r="BC202" i="1"/>
  <c r="BB202" i="1"/>
  <c r="BA202" i="1"/>
  <c r="AZ202" i="1"/>
  <c r="AY202" i="1"/>
  <c r="AX202" i="1"/>
  <c r="AT202" i="1"/>
  <c r="AS202" i="1"/>
  <c r="N202" i="1"/>
  <c r="AV202" i="1" s="1"/>
  <c r="AW202" i="1" s="1"/>
  <c r="BR201" i="1"/>
  <c r="BW201" i="1" s="1"/>
  <c r="BQ201" i="1"/>
  <c r="BV201" i="1" s="1"/>
  <c r="BM201" i="1"/>
  <c r="BJ201" i="1"/>
  <c r="BI201" i="1"/>
  <c r="BH201" i="1"/>
  <c r="BG201" i="1"/>
  <c r="BF201" i="1"/>
  <c r="BE201" i="1"/>
  <c r="BC201" i="1"/>
  <c r="BB201" i="1"/>
  <c r="BA201" i="1"/>
  <c r="AZ201" i="1"/>
  <c r="AY201" i="1"/>
  <c r="AX201" i="1"/>
  <c r="AT201" i="1"/>
  <c r="AS201" i="1"/>
  <c r="N201" i="1"/>
  <c r="AV201" i="1" s="1"/>
  <c r="AW201" i="1" s="1"/>
  <c r="BT200" i="1"/>
  <c r="BS200" i="1"/>
  <c r="BR200" i="1"/>
  <c r="BQ200" i="1"/>
  <c r="BN200" i="1"/>
  <c r="BM200" i="1"/>
  <c r="BJ200" i="1"/>
  <c r="BI200" i="1"/>
  <c r="BH200" i="1"/>
  <c r="BG200" i="1"/>
  <c r="BF200" i="1"/>
  <c r="BE200" i="1"/>
  <c r="BC200" i="1"/>
  <c r="BB200" i="1"/>
  <c r="BA200" i="1"/>
  <c r="AZ200" i="1"/>
  <c r="AY200" i="1"/>
  <c r="AX200" i="1"/>
  <c r="AT200" i="1"/>
  <c r="AU200" i="1" s="1"/>
  <c r="AS200" i="1"/>
  <c r="N200" i="1"/>
  <c r="AV200" i="1" s="1"/>
  <c r="AW200" i="1" s="1"/>
  <c r="BR199" i="1"/>
  <c r="BW199" i="1" s="1"/>
  <c r="BQ199" i="1"/>
  <c r="BV199" i="1" s="1"/>
  <c r="BM199" i="1"/>
  <c r="BJ199" i="1"/>
  <c r="BI199" i="1"/>
  <c r="BH199" i="1"/>
  <c r="BG199" i="1"/>
  <c r="BF199" i="1"/>
  <c r="BE199" i="1"/>
  <c r="BC199" i="1"/>
  <c r="BB199" i="1"/>
  <c r="BA199" i="1"/>
  <c r="AZ199" i="1"/>
  <c r="AY199" i="1"/>
  <c r="AX199" i="1"/>
  <c r="AT199" i="1"/>
  <c r="AS199" i="1"/>
  <c r="N199" i="1"/>
  <c r="AV199" i="1" s="1"/>
  <c r="AW199" i="1" s="1"/>
  <c r="BT198" i="1"/>
  <c r="BS198" i="1"/>
  <c r="BR198" i="1"/>
  <c r="BQ198" i="1"/>
  <c r="BN198" i="1"/>
  <c r="BM198" i="1"/>
  <c r="BJ198" i="1"/>
  <c r="BI198" i="1"/>
  <c r="BH198" i="1"/>
  <c r="BG198" i="1"/>
  <c r="BF198" i="1"/>
  <c r="BE198" i="1"/>
  <c r="BC198" i="1"/>
  <c r="BB198" i="1"/>
  <c r="BA198" i="1"/>
  <c r="AZ198" i="1"/>
  <c r="AY198" i="1"/>
  <c r="AX198" i="1"/>
  <c r="AT198" i="1"/>
  <c r="AU198" i="1" s="1"/>
  <c r="AS198" i="1"/>
  <c r="N198" i="1"/>
  <c r="AV198" i="1" s="1"/>
  <c r="AW198" i="1" s="1"/>
  <c r="AQ33" i="15" l="1"/>
  <c r="AQ34" i="15" s="1"/>
  <c r="AQ53" i="15"/>
  <c r="AP73" i="15"/>
  <c r="AP75" i="15" s="1"/>
  <c r="AP33" i="15"/>
  <c r="AP34" i="15" s="1"/>
  <c r="AH20" i="15"/>
  <c r="AQ270" i="1"/>
  <c r="AQ262" i="1"/>
  <c r="AQ256" i="1"/>
  <c r="AP261" i="1"/>
  <c r="T73" i="15"/>
  <c r="V72" i="15"/>
  <c r="T31" i="15"/>
  <c r="V30" i="15"/>
  <c r="AI22" i="15"/>
  <c r="AI32" i="15" s="1"/>
  <c r="AR58" i="15" s="1"/>
  <c r="AG13" i="15"/>
  <c r="AG29" i="15" s="1"/>
  <c r="AE19" i="15"/>
  <c r="AE31" i="15" s="1"/>
  <c r="AE17" i="15"/>
  <c r="AQ73" i="15"/>
  <c r="AQ75" i="15" s="1"/>
  <c r="AE56" i="15"/>
  <c r="AE55" i="15"/>
  <c r="AG19" i="15"/>
  <c r="AG31" i="15" s="1"/>
  <c r="AI26" i="15"/>
  <c r="AI36" i="15" s="1"/>
  <c r="AJ26" i="15"/>
  <c r="AJ36" i="15" s="1"/>
  <c r="AE25" i="15"/>
  <c r="AF25" i="15"/>
  <c r="AF35" i="15" s="1"/>
  <c r="AF19" i="15"/>
  <c r="AF31" i="15" s="1"/>
  <c r="AI20" i="15"/>
  <c r="AJ20" i="15"/>
  <c r="AF17" i="15"/>
  <c r="AJ22" i="15"/>
  <c r="AH22" i="15"/>
  <c r="AH32" i="15" s="1"/>
  <c r="AQ58" i="15" s="1"/>
  <c r="AG17" i="15"/>
  <c r="AE13" i="15"/>
  <c r="AE29" i="15" s="1"/>
  <c r="AF13" i="15"/>
  <c r="AF29" i="15" s="1"/>
  <c r="AJ14" i="15"/>
  <c r="AJ30" i="15" s="1"/>
  <c r="AI14" i="15"/>
  <c r="AH14" i="15"/>
  <c r="AJ16" i="15"/>
  <c r="AI16" i="15"/>
  <c r="AH16" i="15"/>
  <c r="AG11" i="15"/>
  <c r="AF11" i="15"/>
  <c r="AE11" i="15"/>
  <c r="AQ276" i="1"/>
  <c r="BV202" i="1"/>
  <c r="BV208" i="1"/>
  <c r="BW210" i="1"/>
  <c r="AR225" i="1"/>
  <c r="BW203" i="1"/>
  <c r="BV200" i="1"/>
  <c r="BW202" i="1"/>
  <c r="BW221" i="1"/>
  <c r="AR209" i="1"/>
  <c r="BV214" i="1"/>
  <c r="AR213" i="1"/>
  <c r="BW214" i="1"/>
  <c r="AQ225" i="1"/>
  <c r="AQ206" i="1"/>
  <c r="BV221" i="1"/>
  <c r="AR199" i="1"/>
  <c r="BV205" i="1"/>
  <c r="BV217" i="1"/>
  <c r="AQ223" i="1"/>
  <c r="BV203" i="1"/>
  <c r="AQ214" i="1"/>
  <c r="AR212" i="1"/>
  <c r="BW215" i="1"/>
  <c r="AR218" i="1"/>
  <c r="AR215" i="1"/>
  <c r="BV215" i="1"/>
  <c r="AR220" i="1"/>
  <c r="BW200" i="1"/>
  <c r="AR203" i="1"/>
  <c r="BW208" i="1"/>
  <c r="AR217" i="1"/>
  <c r="AR221" i="1"/>
  <c r="AR223" i="1"/>
  <c r="AQ200" i="1"/>
  <c r="AQ205" i="1"/>
  <c r="AR205" i="1"/>
  <c r="AR211" i="1"/>
  <c r="AR200" i="1"/>
  <c r="AR204" i="1"/>
  <c r="BW205" i="1"/>
  <c r="BV207" i="1"/>
  <c r="BV210" i="1"/>
  <c r="AR214" i="1"/>
  <c r="AQ219" i="1"/>
  <c r="AR219" i="1"/>
  <c r="BW198" i="1"/>
  <c r="AR198" i="1"/>
  <c r="BV198" i="1"/>
  <c r="AR201" i="1"/>
  <c r="AR202" i="1"/>
  <c r="AR206" i="1"/>
  <c r="AR207" i="1"/>
  <c r="BW207" i="1"/>
  <c r="AR208" i="1"/>
  <c r="AR210" i="1"/>
  <c r="AR216" i="1"/>
  <c r="BW217" i="1"/>
  <c r="AR222" i="1"/>
  <c r="AR224" i="1"/>
  <c r="AQ203" i="1"/>
  <c r="AQ209" i="1"/>
  <c r="AP209" i="1" s="1"/>
  <c r="AQ217" i="1"/>
  <c r="AP217" i="1" s="1"/>
  <c r="AU201" i="1"/>
  <c r="AQ201" i="1" s="1"/>
  <c r="AU212" i="1"/>
  <c r="AQ212" i="1" s="1"/>
  <c r="AU215" i="1"/>
  <c r="AQ215" i="1" s="1"/>
  <c r="AQ218" i="1"/>
  <c r="AU220" i="1"/>
  <c r="AQ220" i="1" s="1"/>
  <c r="AP220" i="1" s="1"/>
  <c r="AU221" i="1"/>
  <c r="AQ221" i="1" s="1"/>
  <c r="AQ198" i="1"/>
  <c r="AP198" i="1" s="1"/>
  <c r="AU199" i="1"/>
  <c r="AQ199" i="1" s="1"/>
  <c r="AQ207" i="1"/>
  <c r="AU210" i="1"/>
  <c r="AQ210" i="1" s="1"/>
  <c r="AQ216" i="1"/>
  <c r="AQ222" i="1"/>
  <c r="AU224" i="1"/>
  <c r="AQ224" i="1" s="1"/>
  <c r="AQ204" i="1"/>
  <c r="AP204" i="1" s="1"/>
  <c r="AU202" i="1"/>
  <c r="AQ202" i="1" s="1"/>
  <c r="AU208" i="1"/>
  <c r="AQ208" i="1" s="1"/>
  <c r="AP208" i="1" s="1"/>
  <c r="AQ211" i="1"/>
  <c r="AW213" i="1"/>
  <c r="AQ213" i="1" s="1"/>
  <c r="BW235" i="1"/>
  <c r="BU235" i="1"/>
  <c r="BN235" i="1"/>
  <c r="BM235" i="1"/>
  <c r="BJ235" i="1"/>
  <c r="BI235" i="1"/>
  <c r="BH235" i="1"/>
  <c r="BG235" i="1"/>
  <c r="BF235" i="1"/>
  <c r="BE235" i="1"/>
  <c r="BA235" i="1"/>
  <c r="AZ235" i="1"/>
  <c r="AY235" i="1"/>
  <c r="AX235" i="1"/>
  <c r="AT235" i="1"/>
  <c r="AU235" i="1" s="1"/>
  <c r="AS235" i="1"/>
  <c r="N235" i="1"/>
  <c r="AV235" i="1" s="1"/>
  <c r="BW234" i="1"/>
  <c r="BU234" i="1"/>
  <c r="BM234" i="1"/>
  <c r="BJ234" i="1"/>
  <c r="BI234" i="1"/>
  <c r="BH234" i="1"/>
  <c r="BG234" i="1"/>
  <c r="BF234" i="1"/>
  <c r="BE234" i="1"/>
  <c r="BC234" i="1"/>
  <c r="BB234" i="1"/>
  <c r="BA234" i="1"/>
  <c r="AZ234" i="1"/>
  <c r="AY234" i="1"/>
  <c r="AX234" i="1"/>
  <c r="AT234" i="1"/>
  <c r="AU234" i="1" s="1"/>
  <c r="AS234" i="1"/>
  <c r="N234" i="1"/>
  <c r="AV234" i="1" s="1"/>
  <c r="AW234" i="1" s="1"/>
  <c r="BW233" i="1"/>
  <c r="BU233" i="1"/>
  <c r="BN233" i="1"/>
  <c r="BM233" i="1"/>
  <c r="BJ233" i="1"/>
  <c r="BI233" i="1"/>
  <c r="BH233" i="1"/>
  <c r="BG233" i="1"/>
  <c r="BF233" i="1"/>
  <c r="BE233" i="1"/>
  <c r="BC233" i="1"/>
  <c r="BB233" i="1"/>
  <c r="BA233" i="1"/>
  <c r="AZ233" i="1"/>
  <c r="AY233" i="1"/>
  <c r="AX233" i="1"/>
  <c r="AT233" i="1"/>
  <c r="AU233" i="1" s="1"/>
  <c r="AS233" i="1"/>
  <c r="N233" i="1"/>
  <c r="AV233" i="1" s="1"/>
  <c r="AW233" i="1" s="1"/>
  <c r="BW232" i="1"/>
  <c r="BU232" i="1"/>
  <c r="BM232" i="1"/>
  <c r="BJ232" i="1"/>
  <c r="BI232" i="1"/>
  <c r="BH232" i="1"/>
  <c r="BG232" i="1"/>
  <c r="BF232" i="1"/>
  <c r="BE232" i="1"/>
  <c r="BC232" i="1"/>
  <c r="BB232" i="1"/>
  <c r="BA232" i="1"/>
  <c r="AZ232" i="1"/>
  <c r="AY232" i="1"/>
  <c r="AX232" i="1"/>
  <c r="AT232" i="1"/>
  <c r="AU232" i="1" s="1"/>
  <c r="AS232" i="1"/>
  <c r="N232" i="1"/>
  <c r="AV232" i="1" s="1"/>
  <c r="AW232" i="1" s="1"/>
  <c r="BW231" i="1"/>
  <c r="BU231" i="1"/>
  <c r="BN231" i="1"/>
  <c r="BM231" i="1"/>
  <c r="BJ231" i="1"/>
  <c r="BI231" i="1"/>
  <c r="BH231" i="1"/>
  <c r="BG231" i="1"/>
  <c r="BF231" i="1"/>
  <c r="BE231" i="1"/>
  <c r="BC231" i="1"/>
  <c r="BB231" i="1"/>
  <c r="BA231" i="1"/>
  <c r="AZ231" i="1"/>
  <c r="AY231" i="1"/>
  <c r="AX231" i="1"/>
  <c r="AT231" i="1"/>
  <c r="AS231" i="1"/>
  <c r="N231" i="1"/>
  <c r="AV231" i="1" s="1"/>
  <c r="AW231" i="1" s="1"/>
  <c r="BW230" i="1"/>
  <c r="BU230" i="1"/>
  <c r="BN230" i="1"/>
  <c r="BM230" i="1"/>
  <c r="BJ230" i="1"/>
  <c r="BI230" i="1"/>
  <c r="BH230" i="1"/>
  <c r="BG230" i="1"/>
  <c r="BF230" i="1"/>
  <c r="BE230" i="1"/>
  <c r="BC230" i="1"/>
  <c r="BB230" i="1"/>
  <c r="BA230" i="1"/>
  <c r="AZ230" i="1"/>
  <c r="AY230" i="1"/>
  <c r="AX230" i="1"/>
  <c r="AT230" i="1"/>
  <c r="AU230" i="1" s="1"/>
  <c r="AS230" i="1"/>
  <c r="N230" i="1"/>
  <c r="AV230" i="1" s="1"/>
  <c r="AW230" i="1" s="1"/>
  <c r="BW229" i="1"/>
  <c r="BU229" i="1"/>
  <c r="BM229" i="1"/>
  <c r="BJ229" i="1"/>
  <c r="BI229" i="1"/>
  <c r="BH229" i="1"/>
  <c r="BG229" i="1"/>
  <c r="BF229" i="1"/>
  <c r="BE229" i="1"/>
  <c r="BC229" i="1"/>
  <c r="BB229" i="1"/>
  <c r="BA229" i="1"/>
  <c r="AZ229" i="1"/>
  <c r="AY229" i="1"/>
  <c r="AX229" i="1"/>
  <c r="AT229" i="1"/>
  <c r="AU229" i="1" s="1"/>
  <c r="AS229" i="1"/>
  <c r="N229" i="1"/>
  <c r="AV229" i="1" s="1"/>
  <c r="AW229" i="1" s="1"/>
  <c r="BW228" i="1"/>
  <c r="BU228" i="1"/>
  <c r="BN228" i="1"/>
  <c r="BM228" i="1"/>
  <c r="BJ228" i="1"/>
  <c r="BI228" i="1"/>
  <c r="BH228" i="1"/>
  <c r="BG228" i="1"/>
  <c r="BF228" i="1"/>
  <c r="BE228" i="1"/>
  <c r="BC228" i="1"/>
  <c r="BB228" i="1"/>
  <c r="BA228" i="1"/>
  <c r="AZ228" i="1"/>
  <c r="AY228" i="1"/>
  <c r="AX228" i="1"/>
  <c r="AT228" i="1"/>
  <c r="AU228" i="1" s="1"/>
  <c r="AS228" i="1"/>
  <c r="N228" i="1"/>
  <c r="AV228" i="1" s="1"/>
  <c r="AW228" i="1" s="1"/>
  <c r="BW227" i="1"/>
  <c r="BU227" i="1"/>
  <c r="BM227" i="1"/>
  <c r="BJ227" i="1"/>
  <c r="BI227" i="1"/>
  <c r="BH227" i="1"/>
  <c r="BG227" i="1"/>
  <c r="BF227" i="1"/>
  <c r="BE227" i="1"/>
  <c r="BC227" i="1"/>
  <c r="BB227" i="1"/>
  <c r="BA227" i="1"/>
  <c r="AZ227" i="1"/>
  <c r="AY227" i="1"/>
  <c r="AX227" i="1"/>
  <c r="AT227" i="1"/>
  <c r="AU227" i="1" s="1"/>
  <c r="AS227" i="1"/>
  <c r="N227" i="1"/>
  <c r="AV227" i="1" s="1"/>
  <c r="AW227" i="1" s="1"/>
  <c r="BW226" i="1"/>
  <c r="BU226" i="1"/>
  <c r="BN226" i="1"/>
  <c r="BM226" i="1"/>
  <c r="BJ226" i="1"/>
  <c r="BI226" i="1"/>
  <c r="BH226" i="1"/>
  <c r="BG226" i="1"/>
  <c r="BF226" i="1"/>
  <c r="BE226" i="1"/>
  <c r="BC226" i="1"/>
  <c r="BB226" i="1"/>
  <c r="BA226" i="1"/>
  <c r="AZ226" i="1"/>
  <c r="AY226" i="1"/>
  <c r="AX226" i="1"/>
  <c r="AV226" i="1"/>
  <c r="AW226" i="1" s="1"/>
  <c r="AT226" i="1"/>
  <c r="AS226" i="1"/>
  <c r="N226" i="1"/>
  <c r="AR59" i="15" l="1"/>
  <c r="AW22" i="15" s="1"/>
  <c r="AR62" i="15"/>
  <c r="AW28" i="15" s="1"/>
  <c r="AQ62" i="15"/>
  <c r="AW27" i="15" s="1"/>
  <c r="AQ59" i="15"/>
  <c r="AW21" i="15" s="1"/>
  <c r="AQ42" i="15"/>
  <c r="AR56" i="15"/>
  <c r="AW16" i="15" s="1"/>
  <c r="AQ56" i="15"/>
  <c r="AS56" i="15"/>
  <c r="AW17" i="15" s="1"/>
  <c r="AJ32" i="15"/>
  <c r="AP89" i="15"/>
  <c r="AR82" i="15"/>
  <c r="AR39" i="15"/>
  <c r="AO82" i="15"/>
  <c r="AO39" i="15"/>
  <c r="AO73" i="15"/>
  <c r="AO33" i="15"/>
  <c r="AO34" i="15" s="1"/>
  <c r="AS73" i="15"/>
  <c r="AS75" i="15" s="1"/>
  <c r="AS33" i="15"/>
  <c r="AS34" i="15" s="1"/>
  <c r="AR73" i="15"/>
  <c r="AR89" i="15" s="1"/>
  <c r="AR33" i="15"/>
  <c r="AR34" i="15" s="1"/>
  <c r="AN82" i="15"/>
  <c r="AN39" i="15"/>
  <c r="AP82" i="15"/>
  <c r="AP39" i="15"/>
  <c r="AP38" i="15"/>
  <c r="AP36" i="15"/>
  <c r="AP42" i="15"/>
  <c r="AQ82" i="15"/>
  <c r="AQ39" i="15"/>
  <c r="AI30" i="15"/>
  <c r="AE43" i="15" s="1"/>
  <c r="AH30" i="15"/>
  <c r="AE42" i="15" s="1"/>
  <c r="T74" i="15"/>
  <c r="V73" i="15"/>
  <c r="T32" i="15"/>
  <c r="V31" i="15"/>
  <c r="AE35" i="15"/>
  <c r="AQ89" i="15"/>
  <c r="AO75" i="15"/>
  <c r="AO89" i="15"/>
  <c r="AE54" i="15"/>
  <c r="AE58" i="15"/>
  <c r="AE57" i="15"/>
  <c r="AE49" i="15"/>
  <c r="AE45" i="15"/>
  <c r="AE47" i="15"/>
  <c r="AE48" i="15"/>
  <c r="AE46" i="15"/>
  <c r="AE39" i="15"/>
  <c r="AN68" i="15"/>
  <c r="AN70" i="15" s="1"/>
  <c r="AE40" i="15"/>
  <c r="AO68" i="15"/>
  <c r="AO70" i="15" s="1"/>
  <c r="AO86" i="15" s="1"/>
  <c r="AE41" i="15"/>
  <c r="AP68" i="15"/>
  <c r="AP70" i="15" s="1"/>
  <c r="AP86" i="15" s="1"/>
  <c r="AE44" i="15"/>
  <c r="AS68" i="15"/>
  <c r="AS70" i="15" s="1"/>
  <c r="AS86" i="15" s="1"/>
  <c r="AP225" i="1"/>
  <c r="AP210" i="1"/>
  <c r="AP213" i="1"/>
  <c r="AP206" i="1"/>
  <c r="AP212" i="1"/>
  <c r="AP211" i="1"/>
  <c r="AP201" i="1"/>
  <c r="AP199" i="1"/>
  <c r="AP221" i="1"/>
  <c r="AP203" i="1"/>
  <c r="AP218" i="1"/>
  <c r="AP214" i="1"/>
  <c r="AP216" i="1"/>
  <c r="AP200" i="1"/>
  <c r="AP223" i="1"/>
  <c r="AP205" i="1"/>
  <c r="AP207" i="1"/>
  <c r="AP202" i="1"/>
  <c r="AP224" i="1"/>
  <c r="AP222" i="1"/>
  <c r="AP215" i="1"/>
  <c r="AP219" i="1"/>
  <c r="AQ235" i="1"/>
  <c r="AQ230" i="1"/>
  <c r="AQ234" i="1"/>
  <c r="AQ229" i="1"/>
  <c r="AQ233" i="1"/>
  <c r="AR235" i="1"/>
  <c r="AQ227" i="1"/>
  <c r="AQ232" i="1"/>
  <c r="AQ228" i="1"/>
  <c r="AU226" i="1"/>
  <c r="AQ226" i="1" s="1"/>
  <c r="AU231" i="1"/>
  <c r="AQ231" i="1" s="1"/>
  <c r="K21" i="12"/>
  <c r="J21" i="12"/>
  <c r="I21" i="12"/>
  <c r="H21" i="12"/>
  <c r="G21" i="12"/>
  <c r="F21" i="12"/>
  <c r="AS82" i="15" l="1"/>
  <c r="AS58" i="15"/>
  <c r="AS39" i="15"/>
  <c r="AE50" i="15"/>
  <c r="AS89" i="15"/>
  <c r="AR38" i="15"/>
  <c r="AR48" i="15" s="1"/>
  <c r="AR36" i="15"/>
  <c r="AR42" i="15"/>
  <c r="AO42" i="15"/>
  <c r="AO38" i="15"/>
  <c r="AO36" i="15"/>
  <c r="AW12" i="15" s="1"/>
  <c r="AR68" i="15"/>
  <c r="AR70" i="15" s="1"/>
  <c r="AR86" i="15" s="1"/>
  <c r="AR87" i="15" s="1"/>
  <c r="AR90" i="15" s="1"/>
  <c r="AR75" i="15"/>
  <c r="AP46" i="15"/>
  <c r="AP44" i="15"/>
  <c r="AN73" i="15"/>
  <c r="AN89" i="15" s="1"/>
  <c r="AN33" i="15"/>
  <c r="AN34" i="15" s="1"/>
  <c r="AS38" i="15"/>
  <c r="AS42" i="15"/>
  <c r="AS36" i="15"/>
  <c r="AQ68" i="15"/>
  <c r="AQ70" i="15" s="1"/>
  <c r="AQ86" i="15" s="1"/>
  <c r="AQ87" i="15" s="1"/>
  <c r="AQ90" i="15" s="1"/>
  <c r="AP48" i="15"/>
  <c r="AP40" i="15"/>
  <c r="AP41" i="15" s="1"/>
  <c r="AN86" i="15"/>
  <c r="AN87" i="15" s="1"/>
  <c r="AN72" i="15"/>
  <c r="AQ38" i="15"/>
  <c r="AQ48" i="15" s="1"/>
  <c r="AQ36" i="15"/>
  <c r="AW13" i="15" s="1"/>
  <c r="AE53" i="15"/>
  <c r="T75" i="15"/>
  <c r="V75" i="15" s="1"/>
  <c r="V74" i="15"/>
  <c r="V32" i="15"/>
  <c r="T33" i="15"/>
  <c r="V33" i="15" s="1"/>
  <c r="AP87" i="15"/>
  <c r="AP90" i="15" s="1"/>
  <c r="AP72" i="15"/>
  <c r="AP76" i="15" s="1"/>
  <c r="AO87" i="15"/>
  <c r="AO90" i="15" s="1"/>
  <c r="AO72" i="15"/>
  <c r="AO76" i="15" s="1"/>
  <c r="AS87" i="15"/>
  <c r="AS90" i="15" s="1"/>
  <c r="AS72" i="15"/>
  <c r="AS76" i="15" s="1"/>
  <c r="AP235" i="1"/>
  <c r="AS48" i="15" l="1"/>
  <c r="AS62" i="15"/>
  <c r="AW29" i="15" s="1"/>
  <c r="AS59" i="15"/>
  <c r="AW23" i="15" s="1"/>
  <c r="AQ72" i="15"/>
  <c r="AQ76" i="15" s="1"/>
  <c r="AQ77" i="15" s="1"/>
  <c r="AQ78" i="15" s="1"/>
  <c r="AS40" i="15"/>
  <c r="AS41" i="15" s="1"/>
  <c r="AN38" i="15"/>
  <c r="AN36" i="15"/>
  <c r="AN42" i="15"/>
  <c r="AO48" i="15"/>
  <c r="AO40" i="15"/>
  <c r="AO41" i="15" s="1"/>
  <c r="AN75" i="15"/>
  <c r="AN76" i="15" s="1"/>
  <c r="AN77" i="15" s="1"/>
  <c r="AN78" i="15" s="1"/>
  <c r="AO46" i="15"/>
  <c r="AO44" i="15"/>
  <c r="AS46" i="15"/>
  <c r="AS44" i="15"/>
  <c r="AR44" i="15"/>
  <c r="AR46" i="15"/>
  <c r="AP49" i="15"/>
  <c r="AR72" i="15"/>
  <c r="AR76" i="15" s="1"/>
  <c r="AR40" i="15"/>
  <c r="AR41" i="15" s="1"/>
  <c r="AQ46" i="15"/>
  <c r="AQ44" i="15"/>
  <c r="AQ40" i="15"/>
  <c r="AQ41" i="15" s="1"/>
  <c r="AN90" i="15"/>
  <c r="AN93" i="15" s="1"/>
  <c r="AN94" i="15" s="1"/>
  <c r="AN95" i="15" s="1"/>
  <c r="AN96" i="15" s="1"/>
  <c r="AN97" i="15" s="1"/>
  <c r="AS93" i="15"/>
  <c r="AS94" i="15" s="1"/>
  <c r="AS95" i="15" s="1"/>
  <c r="AS96" i="15" s="1"/>
  <c r="AS91" i="15"/>
  <c r="AS92" i="15" s="1"/>
  <c r="AR91" i="15"/>
  <c r="AR92" i="15" s="1"/>
  <c r="AR93" i="15"/>
  <c r="AR94" i="15" s="1"/>
  <c r="AR95" i="15" s="1"/>
  <c r="AR96" i="15" s="1"/>
  <c r="AR79" i="15"/>
  <c r="AR80" i="15" s="1"/>
  <c r="AR81" i="15" s="1"/>
  <c r="AR77" i="15"/>
  <c r="AR78" i="15" s="1"/>
  <c r="AO93" i="15"/>
  <c r="AO94" i="15" s="1"/>
  <c r="AO95" i="15" s="1"/>
  <c r="AO91" i="15"/>
  <c r="AO92" i="15" s="1"/>
  <c r="AP79" i="15"/>
  <c r="AP80" i="15" s="1"/>
  <c r="AP81" i="15" s="1"/>
  <c r="AP77" i="15"/>
  <c r="AP78" i="15" s="1"/>
  <c r="AS79" i="15"/>
  <c r="AS80" i="15" s="1"/>
  <c r="AS81" i="15" s="1"/>
  <c r="AS77" i="15"/>
  <c r="AS78" i="15" s="1"/>
  <c r="AO79" i="15"/>
  <c r="AO80" i="15" s="1"/>
  <c r="AO81" i="15" s="1"/>
  <c r="AO77" i="15"/>
  <c r="AO78" i="15" s="1"/>
  <c r="AQ93" i="15"/>
  <c r="AQ94" i="15" s="1"/>
  <c r="AQ95" i="15" s="1"/>
  <c r="AQ96" i="15" s="1"/>
  <c r="AQ91" i="15"/>
  <c r="AQ92" i="15" s="1"/>
  <c r="AP93" i="15"/>
  <c r="AP94" i="15" s="1"/>
  <c r="AP95" i="15" s="1"/>
  <c r="AP91" i="15"/>
  <c r="AP92" i="15" s="1"/>
  <c r="BM251" i="1"/>
  <c r="BM250" i="1"/>
  <c r="BN249" i="1"/>
  <c r="BM249" i="1"/>
  <c r="BM248" i="1"/>
  <c r="BN247" i="1"/>
  <c r="BM247" i="1"/>
  <c r="BN246" i="1"/>
  <c r="BM246" i="1"/>
  <c r="BN245" i="1"/>
  <c r="BM245" i="1"/>
  <c r="BM244" i="1"/>
  <c r="BN243" i="1"/>
  <c r="BM243" i="1"/>
  <c r="BN242" i="1"/>
  <c r="BM242" i="1"/>
  <c r="BM241" i="1"/>
  <c r="BN240" i="1"/>
  <c r="BM240" i="1"/>
  <c r="BN239" i="1"/>
  <c r="BM239" i="1"/>
  <c r="BN238" i="1"/>
  <c r="BM238" i="1"/>
  <c r="BM237" i="1"/>
  <c r="BN236" i="1"/>
  <c r="BM236" i="1"/>
  <c r="BM195" i="1"/>
  <c r="BM183" i="1"/>
  <c r="BN182" i="1"/>
  <c r="BM182" i="1"/>
  <c r="BN181" i="1"/>
  <c r="BM181" i="1"/>
  <c r="BN180" i="1"/>
  <c r="BM180" i="1"/>
  <c r="BM179" i="1"/>
  <c r="BM178" i="1"/>
  <c r="BN177" i="1"/>
  <c r="BM177" i="1"/>
  <c r="BM176" i="1"/>
  <c r="BM175" i="1"/>
  <c r="BN174" i="1"/>
  <c r="BM174" i="1"/>
  <c r="BM173" i="1"/>
  <c r="BM172" i="1"/>
  <c r="BM171" i="1"/>
  <c r="BM170" i="1"/>
  <c r="BM169" i="1"/>
  <c r="BM168" i="1"/>
  <c r="BM167" i="1"/>
  <c r="BN166" i="1"/>
  <c r="BM166" i="1"/>
  <c r="BN165" i="1"/>
  <c r="BM165" i="1"/>
  <c r="BN164" i="1"/>
  <c r="BM164" i="1"/>
  <c r="BM163" i="1"/>
  <c r="BM162" i="1"/>
  <c r="BM161" i="1"/>
  <c r="BN160" i="1"/>
  <c r="BM160" i="1"/>
  <c r="BN159" i="1"/>
  <c r="BM159" i="1"/>
  <c r="BN158" i="1"/>
  <c r="BM158" i="1"/>
  <c r="BN157" i="1"/>
  <c r="BM157" i="1"/>
  <c r="BN156" i="1"/>
  <c r="BM156" i="1"/>
  <c r="BN155" i="1"/>
  <c r="BM155" i="1"/>
  <c r="BN154" i="1"/>
  <c r="BM154" i="1"/>
  <c r="BN153" i="1"/>
  <c r="BM153" i="1"/>
  <c r="BM152" i="1"/>
  <c r="BM151" i="1"/>
  <c r="BM150" i="1"/>
  <c r="BM149" i="1"/>
  <c r="BM148" i="1"/>
  <c r="BM147" i="1"/>
  <c r="AQ79" i="15" l="1"/>
  <c r="AQ80" i="15" s="1"/>
  <c r="AQ81" i="15" s="1"/>
  <c r="AQ83" i="15" s="1"/>
  <c r="AO49" i="15"/>
  <c r="AR49" i="15"/>
  <c r="AS49" i="15"/>
  <c r="AN79" i="15"/>
  <c r="AN80" i="15" s="1"/>
  <c r="AN81" i="15" s="1"/>
  <c r="AN83" i="15" s="1"/>
  <c r="AN84" i="15" s="1"/>
  <c r="AN85" i="15" s="1"/>
  <c r="AN44" i="15"/>
  <c r="AN46" i="15"/>
  <c r="AN40" i="15"/>
  <c r="AN48" i="15"/>
  <c r="AN91" i="15"/>
  <c r="AN92" i="15" s="1"/>
  <c r="AN98" i="15" s="1"/>
  <c r="AQ49" i="15"/>
  <c r="AR83" i="15"/>
  <c r="AR84" i="15" s="1"/>
  <c r="AR85" i="15" s="1"/>
  <c r="AS83" i="15"/>
  <c r="AS84" i="15" s="1"/>
  <c r="AS85" i="15" s="1"/>
  <c r="AR97" i="15"/>
  <c r="AS97" i="15"/>
  <c r="AS98" i="15" s="1"/>
  <c r="AQ97" i="15"/>
  <c r="AQ98" i="15" s="1"/>
  <c r="AO83" i="15"/>
  <c r="AO84" i="15" s="1"/>
  <c r="AO85" i="15" s="1"/>
  <c r="AP83" i="15"/>
  <c r="AP84" i="15" s="1"/>
  <c r="AP85" i="15" s="1"/>
  <c r="AO96" i="15"/>
  <c r="AO97" i="15" s="1"/>
  <c r="AO98" i="15" s="1"/>
  <c r="AP96" i="15"/>
  <c r="AP97" i="15" s="1"/>
  <c r="AP98" i="15" s="1"/>
  <c r="AQ84" i="15"/>
  <c r="AQ85" i="15" s="1"/>
  <c r="BW249" i="1"/>
  <c r="BU249" i="1"/>
  <c r="BJ249" i="1"/>
  <c r="BI249" i="1"/>
  <c r="BH249" i="1"/>
  <c r="BG249" i="1"/>
  <c r="BF249" i="1"/>
  <c r="BE249" i="1"/>
  <c r="BC249" i="1"/>
  <c r="BB249" i="1"/>
  <c r="BA249" i="1"/>
  <c r="AZ249" i="1"/>
  <c r="AY249" i="1"/>
  <c r="AX249" i="1"/>
  <c r="AT249" i="1"/>
  <c r="AU249" i="1" s="1"/>
  <c r="AS249" i="1"/>
  <c r="N249" i="1"/>
  <c r="AV249" i="1" s="1"/>
  <c r="AW249" i="1" s="1"/>
  <c r="AN41" i="15" l="1"/>
  <c r="AN49" i="15"/>
  <c r="AR98" i="15"/>
  <c r="AQ249" i="1"/>
  <c r="BW163" i="1" l="1"/>
  <c r="BU163" i="1"/>
  <c r="AO163" i="1"/>
  <c r="BE163" i="1" s="1"/>
  <c r="N183" i="1"/>
  <c r="BW182" i="1"/>
  <c r="BU182" i="1"/>
  <c r="BD182" i="1"/>
  <c r="AO182" i="1"/>
  <c r="BE182" i="1" s="1"/>
  <c r="N182" i="1"/>
  <c r="N163" i="1"/>
  <c r="BF182" i="1" l="1"/>
  <c r="AY182" i="1"/>
  <c r="BG182" i="1"/>
  <c r="AP182" i="1"/>
  <c r="AQ182" i="1"/>
  <c r="AV182" i="1"/>
  <c r="AW182" i="1" s="1"/>
  <c r="AX182" i="1"/>
  <c r="AV163" i="1"/>
  <c r="AW163" i="1" s="1"/>
  <c r="AX163" i="1"/>
  <c r="BF163" i="1"/>
  <c r="AY163" i="1"/>
  <c r="BG163" i="1"/>
  <c r="AZ163" i="1"/>
  <c r="BH163" i="1"/>
  <c r="AS163" i="1"/>
  <c r="BA163" i="1"/>
  <c r="BI163" i="1"/>
  <c r="AT163" i="1"/>
  <c r="AU163" i="1" s="1"/>
  <c r="BB163" i="1"/>
  <c r="BJ163" i="1"/>
  <c r="BC163" i="1"/>
  <c r="AR182" i="1"/>
  <c r="AZ182" i="1"/>
  <c r="BH182" i="1"/>
  <c r="AS182" i="1"/>
  <c r="BA182" i="1"/>
  <c r="BI182" i="1"/>
  <c r="AT182" i="1"/>
  <c r="AU182" i="1" s="1"/>
  <c r="BB182" i="1"/>
  <c r="BJ182" i="1"/>
  <c r="BC182" i="1"/>
  <c r="AQ163" i="1" l="1"/>
  <c r="BW183" i="1" l="1"/>
  <c r="BU183" i="1"/>
  <c r="BD183" i="1"/>
  <c r="BW181" i="1"/>
  <c r="BU181" i="1"/>
  <c r="BD181" i="1"/>
  <c r="BW180" i="1"/>
  <c r="BU180" i="1"/>
  <c r="BD180" i="1"/>
  <c r="BW179" i="1"/>
  <c r="BU179" i="1"/>
  <c r="BD179" i="1"/>
  <c r="BW178" i="1"/>
  <c r="BU178" i="1"/>
  <c r="BD178" i="1"/>
  <c r="BW177" i="1"/>
  <c r="BU177" i="1"/>
  <c r="BD177" i="1"/>
  <c r="BW176" i="1"/>
  <c r="BU176" i="1"/>
  <c r="BW175" i="1"/>
  <c r="BU175" i="1"/>
  <c r="BW174" i="1"/>
  <c r="BU174" i="1"/>
  <c r="BD174" i="1"/>
  <c r="BW173" i="1"/>
  <c r="BU173" i="1"/>
  <c r="BD173" i="1"/>
  <c r="BW172" i="1"/>
  <c r="BU172" i="1"/>
  <c r="BD172" i="1"/>
  <c r="BW171" i="1"/>
  <c r="BU171" i="1"/>
  <c r="BD171" i="1"/>
  <c r="BW170" i="1"/>
  <c r="BU170" i="1"/>
  <c r="BD170" i="1"/>
  <c r="BW169" i="1"/>
  <c r="BU169" i="1"/>
  <c r="BD169" i="1"/>
  <c r="BW168" i="1"/>
  <c r="BU168" i="1"/>
  <c r="BW167" i="1"/>
  <c r="BU167" i="1"/>
  <c r="BD167" i="1"/>
  <c r="BW166" i="1"/>
  <c r="BU166" i="1"/>
  <c r="BD166" i="1"/>
  <c r="BW165" i="1"/>
  <c r="BU165" i="1"/>
  <c r="BD165" i="1"/>
  <c r="BW164" i="1"/>
  <c r="BU164" i="1"/>
  <c r="BD164" i="1"/>
  <c r="BW162" i="1"/>
  <c r="BU162" i="1"/>
  <c r="BW161" i="1"/>
  <c r="BU161" i="1"/>
  <c r="BW160" i="1"/>
  <c r="BU160" i="1"/>
  <c r="BD160" i="1"/>
  <c r="AO183" i="1"/>
  <c r="BE183" i="1" s="1"/>
  <c r="AO181" i="1"/>
  <c r="BJ181" i="1" s="1"/>
  <c r="AO180" i="1"/>
  <c r="BH180" i="1" s="1"/>
  <c r="AO179" i="1"/>
  <c r="BE179" i="1" s="1"/>
  <c r="AO178" i="1"/>
  <c r="AT178" i="1" s="1"/>
  <c r="AU178" i="1" s="1"/>
  <c r="AO177" i="1"/>
  <c r="BI177" i="1" s="1"/>
  <c r="AO176" i="1"/>
  <c r="BG176" i="1" s="1"/>
  <c r="AO175" i="1"/>
  <c r="BJ175" i="1" s="1"/>
  <c r="AO174" i="1"/>
  <c r="BF174" i="1" s="1"/>
  <c r="AO173" i="1"/>
  <c r="BE173" i="1" s="1"/>
  <c r="AO172" i="1"/>
  <c r="BC172" i="1" s="1"/>
  <c r="AO171" i="1"/>
  <c r="BJ171" i="1" s="1"/>
  <c r="AO170" i="1"/>
  <c r="BG170" i="1" s="1"/>
  <c r="AO169" i="1"/>
  <c r="BE169" i="1" s="1"/>
  <c r="AO168" i="1"/>
  <c r="BJ168" i="1" s="1"/>
  <c r="AO167" i="1"/>
  <c r="BE167" i="1" s="1"/>
  <c r="N176" i="1"/>
  <c r="N175" i="1"/>
  <c r="N168" i="1"/>
  <c r="AO162" i="1"/>
  <c r="BF162" i="1" s="1"/>
  <c r="AO161" i="1"/>
  <c r="AT161" i="1" s="1"/>
  <c r="AU161" i="1" s="1"/>
  <c r="N162" i="1"/>
  <c r="N161" i="1"/>
  <c r="AT171" i="1" l="1"/>
  <c r="AU171" i="1" s="1"/>
  <c r="AT168" i="1"/>
  <c r="AU168" i="1" s="1"/>
  <c r="BF168" i="1"/>
  <c r="BC162" i="1"/>
  <c r="AQ170" i="1"/>
  <c r="BE162" i="1"/>
  <c r="AX171" i="1"/>
  <c r="AV162" i="1"/>
  <c r="AW162" i="1" s="1"/>
  <c r="AS171" i="1"/>
  <c r="BJ161" i="1"/>
  <c r="AS176" i="1"/>
  <c r="AV175" i="1"/>
  <c r="AW175" i="1" s="1"/>
  <c r="AT176" i="1"/>
  <c r="AU176" i="1" s="1"/>
  <c r="BG168" i="1"/>
  <c r="BG162" i="1"/>
  <c r="AZ170" i="1"/>
  <c r="AQ179" i="1"/>
  <c r="BH162" i="1"/>
  <c r="AY179" i="1"/>
  <c r="AS162" i="1"/>
  <c r="BJ162" i="1"/>
  <c r="BC171" i="1"/>
  <c r="AZ176" i="1"/>
  <c r="BA179" i="1"/>
  <c r="AY162" i="1"/>
  <c r="BH170" i="1"/>
  <c r="AX175" i="1"/>
  <c r="BC176" i="1"/>
  <c r="BB179" i="1"/>
  <c r="BA180" i="1"/>
  <c r="AZ162" i="1"/>
  <c r="AY175" i="1"/>
  <c r="BE178" i="1"/>
  <c r="BB161" i="1"/>
  <c r="BB162" i="1"/>
  <c r="BF179" i="1"/>
  <c r="AP167" i="1"/>
  <c r="BB167" i="1"/>
  <c r="AT181" i="1"/>
  <c r="AU181" i="1" s="1"/>
  <c r="BG183" i="1"/>
  <c r="AP171" i="1"/>
  <c r="AS168" i="1"/>
  <c r="AY171" i="1"/>
  <c r="AV172" i="1"/>
  <c r="AW172" i="1" s="1"/>
  <c r="AT174" i="1"/>
  <c r="AU174" i="1" s="1"/>
  <c r="BJ174" i="1"/>
  <c r="BF175" i="1"/>
  <c r="BA176" i="1"/>
  <c r="AQ180" i="1"/>
  <c r="AX181" i="1"/>
  <c r="BI183" i="1"/>
  <c r="AY167" i="1"/>
  <c r="AR173" i="1"/>
  <c r="BA167" i="1"/>
  <c r="BF183" i="1"/>
  <c r="AX173" i="1"/>
  <c r="AQ174" i="1"/>
  <c r="BG174" i="1"/>
  <c r="BF173" i="1"/>
  <c r="AY174" i="1"/>
  <c r="BG175" i="1"/>
  <c r="BC181" i="1"/>
  <c r="AX183" i="1"/>
  <c r="BJ183" i="1"/>
  <c r="AR167" i="1"/>
  <c r="BG167" i="1"/>
  <c r="AX168" i="1"/>
  <c r="BI173" i="1"/>
  <c r="AZ174" i="1"/>
  <c r="BH176" i="1"/>
  <c r="AS179" i="1"/>
  <c r="BG179" i="1"/>
  <c r="AY183" i="1"/>
  <c r="BF167" i="1"/>
  <c r="AS167" i="1"/>
  <c r="BI167" i="1"/>
  <c r="AY168" i="1"/>
  <c r="BF171" i="1"/>
  <c r="BB174" i="1"/>
  <c r="BI176" i="1"/>
  <c r="AV178" i="1"/>
  <c r="AW178" i="1" s="1"/>
  <c r="AT179" i="1"/>
  <c r="AU179" i="1" s="1"/>
  <c r="BI179" i="1"/>
  <c r="BI180" i="1"/>
  <c r="BF181" i="1"/>
  <c r="BA183" i="1"/>
  <c r="BA173" i="1"/>
  <c r="AR174" i="1"/>
  <c r="BH174" i="1"/>
  <c r="BC175" i="1"/>
  <c r="AX167" i="1"/>
  <c r="BJ167" i="1"/>
  <c r="BC168" i="1"/>
  <c r="BG171" i="1"/>
  <c r="BC174" i="1"/>
  <c r="AT175" i="1"/>
  <c r="AU175" i="1" s="1"/>
  <c r="AX179" i="1"/>
  <c r="BJ179" i="1"/>
  <c r="BB183" i="1"/>
  <c r="AY169" i="1"/>
  <c r="BG169" i="1"/>
  <c r="AR170" i="1"/>
  <c r="BA170" i="1"/>
  <c r="BI170" i="1"/>
  <c r="BE172" i="1"/>
  <c r="AY173" i="1"/>
  <c r="BG173" i="1"/>
  <c r="AT177" i="1"/>
  <c r="AU177" i="1" s="1"/>
  <c r="BC177" i="1"/>
  <c r="AX178" i="1"/>
  <c r="BF178" i="1"/>
  <c r="AR180" i="1"/>
  <c r="BB180" i="1"/>
  <c r="BJ180" i="1"/>
  <c r="AV181" i="1"/>
  <c r="AW181" i="1" s="1"/>
  <c r="AP169" i="1"/>
  <c r="AP179" i="1"/>
  <c r="AS161" i="1"/>
  <c r="BA162" i="1"/>
  <c r="BI162" i="1"/>
  <c r="AQ167" i="1"/>
  <c r="AZ167" i="1"/>
  <c r="BH167" i="1"/>
  <c r="AV168" i="1"/>
  <c r="AW168" i="1" s="1"/>
  <c r="BE168" i="1"/>
  <c r="AZ169" i="1"/>
  <c r="BH169" i="1"/>
  <c r="AS170" i="1"/>
  <c r="BB170" i="1"/>
  <c r="BJ170" i="1"/>
  <c r="AV171" i="1"/>
  <c r="AW171" i="1" s="1"/>
  <c r="BE171" i="1"/>
  <c r="AX172" i="1"/>
  <c r="BF172" i="1"/>
  <c r="AQ173" i="1"/>
  <c r="AZ173" i="1"/>
  <c r="BH173" i="1"/>
  <c r="AS174" i="1"/>
  <c r="BA174" i="1"/>
  <c r="BI174" i="1"/>
  <c r="BE175" i="1"/>
  <c r="BB176" i="1"/>
  <c r="BJ176" i="1"/>
  <c r="AY178" i="1"/>
  <c r="BG178" i="1"/>
  <c r="AR179" i="1"/>
  <c r="AZ179" i="1"/>
  <c r="BH179" i="1"/>
  <c r="AS180" i="1"/>
  <c r="BC180" i="1"/>
  <c r="BE181" i="1"/>
  <c r="AZ183" i="1"/>
  <c r="BH183" i="1"/>
  <c r="AP178" i="1"/>
  <c r="BC161" i="1"/>
  <c r="AQ169" i="1"/>
  <c r="BA169" i="1"/>
  <c r="AT170" i="1"/>
  <c r="AU170" i="1" s="1"/>
  <c r="AQ172" i="1"/>
  <c r="AY172" i="1"/>
  <c r="BG172" i="1"/>
  <c r="AV177" i="1"/>
  <c r="AW177" i="1" s="1"/>
  <c r="BE177" i="1"/>
  <c r="AP181" i="1"/>
  <c r="BF161" i="1"/>
  <c r="AX177" i="1"/>
  <c r="AQ178" i="1"/>
  <c r="BI178" i="1"/>
  <c r="AV180" i="1"/>
  <c r="AW180" i="1" s="1"/>
  <c r="BE180" i="1"/>
  <c r="AY181" i="1"/>
  <c r="BG181" i="1"/>
  <c r="AP172" i="1"/>
  <c r="AV161" i="1"/>
  <c r="AW161" i="1" s="1"/>
  <c r="BG161" i="1"/>
  <c r="AT162" i="1"/>
  <c r="AU162" i="1" s="1"/>
  <c r="AT167" i="1"/>
  <c r="AU167" i="1" s="1"/>
  <c r="BC167" i="1"/>
  <c r="AZ168" i="1"/>
  <c r="BH168" i="1"/>
  <c r="AS169" i="1"/>
  <c r="BC169" i="1"/>
  <c r="AV170" i="1"/>
  <c r="AW170" i="1" s="1"/>
  <c r="BE170" i="1"/>
  <c r="AZ171" i="1"/>
  <c r="BH171" i="1"/>
  <c r="AS172" i="1"/>
  <c r="BA172" i="1"/>
  <c r="BI172" i="1"/>
  <c r="AT173" i="1"/>
  <c r="AU173" i="1" s="1"/>
  <c r="BC173" i="1"/>
  <c r="AV174" i="1"/>
  <c r="AW174" i="1" s="1"/>
  <c r="AZ175" i="1"/>
  <c r="BH175" i="1"/>
  <c r="AV176" i="1"/>
  <c r="AW176" i="1" s="1"/>
  <c r="BE176" i="1"/>
  <c r="AY177" i="1"/>
  <c r="BG177" i="1"/>
  <c r="AR178" i="1"/>
  <c r="BB178" i="1"/>
  <c r="BJ178" i="1"/>
  <c r="BC179" i="1"/>
  <c r="AX180" i="1"/>
  <c r="BF180" i="1"/>
  <c r="AQ181" i="1"/>
  <c r="AZ181" i="1"/>
  <c r="BH181" i="1"/>
  <c r="AS183" i="1"/>
  <c r="BC183" i="1"/>
  <c r="AP177" i="1"/>
  <c r="AX169" i="1"/>
  <c r="BF169" i="1"/>
  <c r="BJ177" i="1"/>
  <c r="AP170" i="1"/>
  <c r="BH178" i="1"/>
  <c r="BA178" i="1"/>
  <c r="AV167" i="1"/>
  <c r="AW167" i="1" s="1"/>
  <c r="BA168" i="1"/>
  <c r="BI168" i="1"/>
  <c r="AT169" i="1"/>
  <c r="AU169" i="1" s="1"/>
  <c r="AX170" i="1"/>
  <c r="BF170" i="1"/>
  <c r="AQ171" i="1"/>
  <c r="BA171" i="1"/>
  <c r="BI171" i="1"/>
  <c r="AT172" i="1"/>
  <c r="AU172" i="1" s="1"/>
  <c r="BB172" i="1"/>
  <c r="BJ172" i="1"/>
  <c r="BE174" i="1"/>
  <c r="BA175" i="1"/>
  <c r="BI175" i="1"/>
  <c r="AX176" i="1"/>
  <c r="BF176" i="1"/>
  <c r="AQ177" i="1"/>
  <c r="AZ177" i="1"/>
  <c r="BH177" i="1"/>
  <c r="AS178" i="1"/>
  <c r="BC178" i="1"/>
  <c r="AV179" i="1"/>
  <c r="AW179" i="1" s="1"/>
  <c r="AY180" i="1"/>
  <c r="BG180" i="1"/>
  <c r="AR181" i="1"/>
  <c r="BA181" i="1"/>
  <c r="BI181" i="1"/>
  <c r="AT183" i="1"/>
  <c r="AU183" i="1" s="1"/>
  <c r="AS177" i="1"/>
  <c r="BB177" i="1"/>
  <c r="AX161" i="1"/>
  <c r="AY161" i="1"/>
  <c r="AP180" i="1"/>
  <c r="BE161" i="1"/>
  <c r="BI169" i="1"/>
  <c r="BC170" i="1"/>
  <c r="AZ178" i="1"/>
  <c r="AT180" i="1"/>
  <c r="AU180" i="1" s="1"/>
  <c r="AR169" i="1"/>
  <c r="BB169" i="1"/>
  <c r="BJ169" i="1"/>
  <c r="AR172" i="1"/>
  <c r="AZ172" i="1"/>
  <c r="BH172" i="1"/>
  <c r="AS173" i="1"/>
  <c r="BB173" i="1"/>
  <c r="BJ173" i="1"/>
  <c r="BF177" i="1"/>
  <c r="AP173" i="1"/>
  <c r="AZ161" i="1"/>
  <c r="BH161" i="1"/>
  <c r="AP174" i="1"/>
  <c r="BA161" i="1"/>
  <c r="BI161" i="1"/>
  <c r="AX162" i="1"/>
  <c r="BB168" i="1"/>
  <c r="AV169" i="1"/>
  <c r="AW169" i="1" s="1"/>
  <c r="AY170" i="1"/>
  <c r="AR171" i="1"/>
  <c r="BB171" i="1"/>
  <c r="AV173" i="1"/>
  <c r="AW173" i="1" s="1"/>
  <c r="AX174" i="1"/>
  <c r="AS175" i="1"/>
  <c r="BB175" i="1"/>
  <c r="AY176" i="1"/>
  <c r="AR177" i="1"/>
  <c r="BA177" i="1"/>
  <c r="AZ180" i="1"/>
  <c r="AS181" i="1"/>
  <c r="BB181" i="1"/>
  <c r="AV183" i="1"/>
  <c r="AW183" i="1" s="1"/>
  <c r="N42" i="1"/>
  <c r="C33" i="15" s="1"/>
  <c r="C68" i="15" s="1"/>
  <c r="N41" i="1"/>
  <c r="C32" i="15" s="1"/>
  <c r="C67" i="15" s="1"/>
  <c r="BM41" i="1"/>
  <c r="BN41" i="1"/>
  <c r="BU41" i="1"/>
  <c r="BM42" i="1"/>
  <c r="BN42" i="1"/>
  <c r="BU42" i="1"/>
  <c r="BM83" i="1"/>
  <c r="BN83" i="1"/>
  <c r="BM84" i="1"/>
  <c r="BN84" i="1"/>
  <c r="N83" i="1"/>
  <c r="C34" i="15" s="1"/>
  <c r="C69" i="15" s="1"/>
  <c r="N84" i="1"/>
  <c r="C35" i="15" s="1"/>
  <c r="C70" i="15" s="1"/>
  <c r="AO84" i="1"/>
  <c r="BE84" i="1" s="1"/>
  <c r="AO83" i="1"/>
  <c r="AS83" i="1" s="1"/>
  <c r="AO42" i="1"/>
  <c r="AS42" i="1" s="1"/>
  <c r="AO41" i="1"/>
  <c r="AS41" i="1" s="1"/>
  <c r="AR183" i="1" l="1"/>
  <c r="AQ168" i="1"/>
  <c r="AQ175" i="1"/>
  <c r="AQ161" i="1"/>
  <c r="AQ162" i="1"/>
  <c r="AQ183" i="1"/>
  <c r="AQ176" i="1"/>
  <c r="BB83" i="1"/>
  <c r="AZ42" i="1"/>
  <c r="AZ83" i="1"/>
  <c r="AX42" i="1"/>
  <c r="BI42" i="1"/>
  <c r="BA42" i="1"/>
  <c r="BI41" i="1"/>
  <c r="BH41" i="1"/>
  <c r="AY42" i="1"/>
  <c r="BJ83" i="1"/>
  <c r="AT41" i="1"/>
  <c r="AU41" i="1" s="1"/>
  <c r="AZ41" i="1"/>
  <c r="BH42" i="1"/>
  <c r="BH83" i="1"/>
  <c r="BC83" i="1"/>
  <c r="BJ41" i="1"/>
  <c r="BF42" i="1"/>
  <c r="BC41" i="1"/>
  <c r="AT83" i="1"/>
  <c r="AU83" i="1" s="1"/>
  <c r="BE42" i="1"/>
  <c r="BB41" i="1"/>
  <c r="BA41" i="1"/>
  <c r="BE41" i="1"/>
  <c r="AV41" i="1"/>
  <c r="AW41" i="1" s="1"/>
  <c r="BG42" i="1"/>
  <c r="AV42" i="1"/>
  <c r="AW42" i="1" s="1"/>
  <c r="BG84" i="1"/>
  <c r="AY84" i="1"/>
  <c r="AV84" i="1"/>
  <c r="AW84" i="1" s="1"/>
  <c r="BJ84" i="1"/>
  <c r="BB84" i="1"/>
  <c r="AT84" i="1"/>
  <c r="AU84" i="1" s="1"/>
  <c r="BF83" i="1"/>
  <c r="AX83" i="1"/>
  <c r="BC42" i="1"/>
  <c r="AT42" i="1"/>
  <c r="AU42" i="1" s="1"/>
  <c r="BG41" i="1"/>
  <c r="AY41" i="1"/>
  <c r="AX84" i="1"/>
  <c r="BC84" i="1"/>
  <c r="BG83" i="1"/>
  <c r="AY83" i="1"/>
  <c r="BI84" i="1"/>
  <c r="BA84" i="1"/>
  <c r="AS84" i="1"/>
  <c r="BE83" i="1"/>
  <c r="BJ42" i="1"/>
  <c r="BB42" i="1"/>
  <c r="BF41" i="1"/>
  <c r="AX41" i="1"/>
  <c r="BH84" i="1"/>
  <c r="AZ84" i="1"/>
  <c r="AV83" i="1"/>
  <c r="BF84" i="1"/>
  <c r="BI83" i="1"/>
  <c r="BA83" i="1"/>
  <c r="N250" i="1"/>
  <c r="N251" i="1"/>
  <c r="BU236" i="1"/>
  <c r="BW236" i="1"/>
  <c r="BU237" i="1"/>
  <c r="BW237" i="1"/>
  <c r="BU238" i="1"/>
  <c r="BW238" i="1"/>
  <c r="BU239" i="1"/>
  <c r="BW239" i="1"/>
  <c r="BU240" i="1"/>
  <c r="BW240" i="1"/>
  <c r="BU241" i="1"/>
  <c r="BW241" i="1"/>
  <c r="BU242" i="1"/>
  <c r="BW242" i="1"/>
  <c r="BU243" i="1"/>
  <c r="BW243" i="1"/>
  <c r="BU244" i="1"/>
  <c r="BW244" i="1"/>
  <c r="BU245" i="1"/>
  <c r="BW245" i="1"/>
  <c r="BU246" i="1"/>
  <c r="BW246" i="1"/>
  <c r="BU247" i="1"/>
  <c r="BW247" i="1"/>
  <c r="BU248" i="1"/>
  <c r="BW248" i="1"/>
  <c r="BU250" i="1"/>
  <c r="BW250" i="1"/>
  <c r="BU251" i="1"/>
  <c r="BW251" i="1"/>
  <c r="AX239" i="1"/>
  <c r="AY239" i="1"/>
  <c r="AZ239" i="1"/>
  <c r="BA239" i="1"/>
  <c r="BB239" i="1"/>
  <c r="BC239" i="1"/>
  <c r="AX240" i="1"/>
  <c r="AY240" i="1"/>
  <c r="AZ240" i="1"/>
  <c r="BA240" i="1"/>
  <c r="BB240" i="1"/>
  <c r="BC240" i="1"/>
  <c r="AX241" i="1"/>
  <c r="AY241" i="1"/>
  <c r="AZ241" i="1"/>
  <c r="BA241" i="1"/>
  <c r="BB241" i="1"/>
  <c r="BC241" i="1"/>
  <c r="AX246" i="1"/>
  <c r="AY246" i="1"/>
  <c r="AZ246" i="1"/>
  <c r="BA246" i="1"/>
  <c r="BB246" i="1"/>
  <c r="BC246" i="1"/>
  <c r="AX247" i="1"/>
  <c r="AY247" i="1"/>
  <c r="AZ247" i="1"/>
  <c r="BA247" i="1"/>
  <c r="BB247" i="1"/>
  <c r="BC247" i="1"/>
  <c r="AP183" i="1" l="1"/>
  <c r="AQ41" i="1"/>
  <c r="AQ84" i="1"/>
  <c r="AQ42" i="1"/>
  <c r="AW83" i="1"/>
  <c r="AQ83" i="1" s="1"/>
  <c r="N242" i="1"/>
  <c r="N243" i="1"/>
  <c r="N244" i="1"/>
  <c r="N245" i="1"/>
  <c r="N246" i="1"/>
  <c r="N247" i="1"/>
  <c r="N248" i="1"/>
  <c r="BH251" i="1"/>
  <c r="AT251" i="1"/>
  <c r="AU251" i="1" s="1"/>
  <c r="BE251" i="1"/>
  <c r="BG250" i="1"/>
  <c r="BE247" i="1"/>
  <c r="BF246" i="1"/>
  <c r="BG241" i="1"/>
  <c r="N241" i="1"/>
  <c r="N240" i="1"/>
  <c r="AV240" i="1" s="1"/>
  <c r="AW240" i="1" s="1"/>
  <c r="N239" i="1"/>
  <c r="N238" i="1"/>
  <c r="N237" i="1"/>
  <c r="N236" i="1"/>
  <c r="BI248" i="1" l="1"/>
  <c r="BA248" i="1"/>
  <c r="BB248" i="1"/>
  <c r="BC248" i="1"/>
  <c r="AX248" i="1"/>
  <c r="AY248" i="1"/>
  <c r="AZ248" i="1"/>
  <c r="BG242" i="1"/>
  <c r="AX242" i="1"/>
  <c r="AY242" i="1"/>
  <c r="AZ242" i="1"/>
  <c r="BC242" i="1"/>
  <c r="BA242" i="1"/>
  <c r="BB242" i="1"/>
  <c r="BE244" i="1"/>
  <c r="BB244" i="1"/>
  <c r="BC244" i="1"/>
  <c r="AX244" i="1"/>
  <c r="AY244" i="1"/>
  <c r="AZ244" i="1"/>
  <c r="BA244" i="1"/>
  <c r="BE243" i="1"/>
  <c r="AZ243" i="1"/>
  <c r="BA243" i="1"/>
  <c r="BB243" i="1"/>
  <c r="BC243" i="1"/>
  <c r="AX243" i="1"/>
  <c r="AY243" i="1"/>
  <c r="BG245" i="1"/>
  <c r="AX245" i="1"/>
  <c r="BA245" i="1"/>
  <c r="BB245" i="1"/>
  <c r="BC245" i="1"/>
  <c r="AY245" i="1"/>
  <c r="AZ245" i="1"/>
  <c r="BE236" i="1"/>
  <c r="BB236" i="1"/>
  <c r="BC236" i="1"/>
  <c r="AX236" i="1"/>
  <c r="AY236" i="1"/>
  <c r="AZ236" i="1"/>
  <c r="BA236" i="1"/>
  <c r="BG238" i="1"/>
  <c r="AX238" i="1"/>
  <c r="AY238" i="1"/>
  <c r="AZ238" i="1"/>
  <c r="BA238" i="1"/>
  <c r="BB238" i="1"/>
  <c r="BC238" i="1"/>
  <c r="BF237" i="1"/>
  <c r="AX237" i="1"/>
  <c r="AY237" i="1"/>
  <c r="AZ237" i="1"/>
  <c r="BA237" i="1"/>
  <c r="BB237" i="1"/>
  <c r="BC237" i="1"/>
  <c r="AV241" i="1"/>
  <c r="AW241" i="1" s="1"/>
  <c r="BJ240" i="1"/>
  <c r="AX251" i="1"/>
  <c r="AS251" i="1"/>
  <c r="BE245" i="1"/>
  <c r="BF251" i="1"/>
  <c r="AT242" i="1"/>
  <c r="AU242" i="1" s="1"/>
  <c r="BF241" i="1"/>
  <c r="AZ251" i="1"/>
  <c r="BH241" i="1"/>
  <c r="BI242" i="1"/>
  <c r="BJ251" i="1"/>
  <c r="AS236" i="1"/>
  <c r="AT240" i="1"/>
  <c r="AU240" i="1" s="1"/>
  <c r="AS242" i="1"/>
  <c r="AV251" i="1"/>
  <c r="AW251" i="1" s="1"/>
  <c r="BG236" i="1"/>
  <c r="AT243" i="1"/>
  <c r="AU243" i="1" s="1"/>
  <c r="AV243" i="1"/>
  <c r="AW243" i="1" s="1"/>
  <c r="BH236" i="1"/>
  <c r="AV248" i="1"/>
  <c r="AW248" i="1" s="1"/>
  <c r="BG251" i="1"/>
  <c r="BI236" i="1"/>
  <c r="BF243" i="1"/>
  <c r="BJ242" i="1"/>
  <c r="BG243" i="1"/>
  <c r="AV239" i="1"/>
  <c r="AW239" i="1" s="1"/>
  <c r="AS244" i="1"/>
  <c r="BG244" i="1"/>
  <c r="BH250" i="1"/>
  <c r="BI241" i="1"/>
  <c r="BH243" i="1"/>
  <c r="BH244" i="1"/>
  <c r="AS250" i="1"/>
  <c r="BI250" i="1"/>
  <c r="BJ241" i="1"/>
  <c r="BI243" i="1"/>
  <c r="BI244" i="1"/>
  <c r="AT250" i="1"/>
  <c r="AU250" i="1" s="1"/>
  <c r="BJ250" i="1"/>
  <c r="BJ243" i="1"/>
  <c r="BJ248" i="1"/>
  <c r="AZ250" i="1"/>
  <c r="AY251" i="1"/>
  <c r="BI251" i="1"/>
  <c r="BF244" i="1"/>
  <c r="BA250" i="1"/>
  <c r="AS241" i="1"/>
  <c r="AT248" i="1"/>
  <c r="AU248" i="1" s="1"/>
  <c r="BB250" i="1"/>
  <c r="BA251" i="1"/>
  <c r="BF236" i="1"/>
  <c r="AT241" i="1"/>
  <c r="AU241" i="1" s="1"/>
  <c r="BH242" i="1"/>
  <c r="AS243" i="1"/>
  <c r="BC250" i="1"/>
  <c r="BB251" i="1"/>
  <c r="BJ246" i="1"/>
  <c r="AT246" i="1"/>
  <c r="AU246" i="1" s="1"/>
  <c r="BI246" i="1"/>
  <c r="AS246" i="1"/>
  <c r="BH246" i="1"/>
  <c r="BG246" i="1"/>
  <c r="AV237" i="1"/>
  <c r="AW237" i="1" s="1"/>
  <c r="BJ237" i="1"/>
  <c r="AT237" i="1"/>
  <c r="BI237" i="1"/>
  <c r="AS237" i="1"/>
  <c r="BI238" i="1"/>
  <c r="BJ238" i="1"/>
  <c r="AT238" i="1"/>
  <c r="AS238" i="1"/>
  <c r="BH238" i="1"/>
  <c r="BE238" i="1"/>
  <c r="AV246" i="1"/>
  <c r="AW246" i="1" s="1"/>
  <c r="BE237" i="1"/>
  <c r="BF238" i="1"/>
  <c r="AV245" i="1"/>
  <c r="AW245" i="1" s="1"/>
  <c r="BJ245" i="1"/>
  <c r="AT245" i="1"/>
  <c r="AU245" i="1" s="1"/>
  <c r="BI245" i="1"/>
  <c r="AS245" i="1"/>
  <c r="BH245" i="1"/>
  <c r="BF245" i="1"/>
  <c r="BJ247" i="1"/>
  <c r="AT247" i="1"/>
  <c r="AU247" i="1" s="1"/>
  <c r="BI247" i="1"/>
  <c r="AS247" i="1"/>
  <c r="BH247" i="1"/>
  <c r="BG247" i="1"/>
  <c r="BF247" i="1"/>
  <c r="BJ239" i="1"/>
  <c r="AT239" i="1"/>
  <c r="AU239" i="1" s="1"/>
  <c r="BH239" i="1"/>
  <c r="BI239" i="1"/>
  <c r="AS239" i="1"/>
  <c r="BG239" i="1"/>
  <c r="BF239" i="1"/>
  <c r="BG237" i="1"/>
  <c r="AV238" i="1"/>
  <c r="AW238" i="1" s="1"/>
  <c r="BI240" i="1"/>
  <c r="AS240" i="1"/>
  <c r="BG240" i="1"/>
  <c r="BH240" i="1"/>
  <c r="BF240" i="1"/>
  <c r="BE240" i="1"/>
  <c r="AV247" i="1"/>
  <c r="AW247" i="1" s="1"/>
  <c r="BE239" i="1"/>
  <c r="BH237" i="1"/>
  <c r="BE246" i="1"/>
  <c r="BE248" i="1"/>
  <c r="AT236" i="1"/>
  <c r="BJ236" i="1"/>
  <c r="BE241" i="1"/>
  <c r="AV242" i="1"/>
  <c r="AW242" i="1" s="1"/>
  <c r="AT244" i="1"/>
  <c r="BJ244" i="1"/>
  <c r="BF248" i="1"/>
  <c r="AV250" i="1"/>
  <c r="AW250" i="1" s="1"/>
  <c r="BC251" i="1"/>
  <c r="BE242" i="1"/>
  <c r="BG248" i="1"/>
  <c r="BE250" i="1"/>
  <c r="AV236" i="1"/>
  <c r="AW236" i="1" s="1"/>
  <c r="BF242" i="1"/>
  <c r="AV244" i="1"/>
  <c r="AW244" i="1" s="1"/>
  <c r="BH248" i="1"/>
  <c r="AX250" i="1"/>
  <c r="BF250" i="1"/>
  <c r="AS248" i="1"/>
  <c r="AY250" i="1"/>
  <c r="BW23" i="1"/>
  <c r="BU23" i="1"/>
  <c r="BM23" i="1"/>
  <c r="AO23" i="1"/>
  <c r="BE23" i="1" s="1"/>
  <c r="AF23" i="1"/>
  <c r="AH23" i="1" s="1"/>
  <c r="N23" i="1"/>
  <c r="AV23" i="1" l="1"/>
  <c r="AW23" i="1" s="1"/>
  <c r="AQ241" i="1"/>
  <c r="AQ243" i="1"/>
  <c r="AQ239" i="1"/>
  <c r="AQ248" i="1"/>
  <c r="AQ250" i="1"/>
  <c r="AQ251" i="1"/>
  <c r="AQ245" i="1"/>
  <c r="AQ240" i="1"/>
  <c r="AQ246" i="1"/>
  <c r="AQ242" i="1"/>
  <c r="AU244" i="1"/>
  <c r="AQ244" i="1" s="1"/>
  <c r="AU238" i="1"/>
  <c r="AQ238" i="1" s="1"/>
  <c r="AU237" i="1"/>
  <c r="AQ237" i="1" s="1"/>
  <c r="AQ247" i="1"/>
  <c r="AU236" i="1"/>
  <c r="AQ236" i="1" s="1"/>
  <c r="BA23" i="1"/>
  <c r="BG23" i="1"/>
  <c r="AZ23" i="1"/>
  <c r="BC23" i="1"/>
  <c r="BH23" i="1"/>
  <c r="AS23" i="1"/>
  <c r="BI23" i="1"/>
  <c r="AX23" i="1"/>
  <c r="AY23" i="1"/>
  <c r="BF23" i="1"/>
  <c r="AT23" i="1"/>
  <c r="BB23" i="1"/>
  <c r="BJ23" i="1"/>
  <c r="BM24" i="1"/>
  <c r="AO24" i="1"/>
  <c r="BB24" i="1" s="1"/>
  <c r="N24" i="1"/>
  <c r="BI24" i="1" l="1"/>
  <c r="BJ24" i="1"/>
  <c r="BC24" i="1"/>
  <c r="BH24" i="1"/>
  <c r="AS24" i="1"/>
  <c r="AT24" i="1"/>
  <c r="AU24" i="1" s="1"/>
  <c r="AU23" i="1"/>
  <c r="AQ23" i="1" s="1"/>
  <c r="AV24" i="1"/>
  <c r="AW24" i="1" s="1"/>
  <c r="BE24" i="1"/>
  <c r="BG24" i="1"/>
  <c r="BW98" i="1" l="1"/>
  <c r="AH98" i="1" s="1"/>
  <c r="BU98" i="1"/>
  <c r="AJ98" i="1"/>
  <c r="BM98" i="1"/>
  <c r="AO98" i="1"/>
  <c r="BG98" i="1" s="1"/>
  <c r="N98" i="1"/>
  <c r="BH98" i="1" l="1"/>
  <c r="BA98" i="1"/>
  <c r="BE98" i="1"/>
  <c r="BI98" i="1"/>
  <c r="AY98" i="1"/>
  <c r="AV98" i="1"/>
  <c r="AW98" i="1" s="1"/>
  <c r="AZ98" i="1"/>
  <c r="AS98" i="1"/>
  <c r="AT98" i="1"/>
  <c r="AU98" i="1" s="1"/>
  <c r="AX98" i="1"/>
  <c r="BB98" i="1"/>
  <c r="BF98" i="1"/>
  <c r="BJ98" i="1"/>
  <c r="BC98" i="1"/>
  <c r="BV78" i="1"/>
  <c r="AQ98" i="1" l="1"/>
  <c r="CB57" i="1"/>
  <c r="CB58" i="1"/>
  <c r="CB59" i="1"/>
  <c r="CB60" i="1"/>
  <c r="CB61" i="1"/>
  <c r="CB56" i="1"/>
  <c r="BW100" i="1" l="1"/>
  <c r="CE100" i="1" s="1"/>
  <c r="BT100" i="1"/>
  <c r="BV100" i="1" s="1"/>
  <c r="CD100" i="1" s="1"/>
  <c r="BJ193" i="1" l="1"/>
  <c r="BI193" i="1"/>
  <c r="BH193" i="1"/>
  <c r="BG193" i="1"/>
  <c r="BF193" i="1"/>
  <c r="BE193" i="1"/>
  <c r="BJ192" i="1"/>
  <c r="BI192" i="1"/>
  <c r="BH192" i="1"/>
  <c r="BG192" i="1"/>
  <c r="BF192" i="1"/>
  <c r="BE192" i="1"/>
  <c r="BJ191" i="1"/>
  <c r="BI191" i="1"/>
  <c r="BH191" i="1"/>
  <c r="BG191" i="1"/>
  <c r="BF191" i="1"/>
  <c r="BE191" i="1"/>
  <c r="BJ190" i="1"/>
  <c r="BI190" i="1"/>
  <c r="BH190" i="1"/>
  <c r="BG190" i="1"/>
  <c r="BF190" i="1"/>
  <c r="BE190" i="1"/>
  <c r="BJ187" i="1"/>
  <c r="BI187" i="1"/>
  <c r="BH187" i="1"/>
  <c r="BG187" i="1"/>
  <c r="BF187" i="1"/>
  <c r="BE187" i="1"/>
  <c r="BJ121" i="1"/>
  <c r="BI121" i="1"/>
  <c r="BH121" i="1"/>
  <c r="BG121" i="1"/>
  <c r="BF121" i="1"/>
  <c r="BE121" i="1"/>
  <c r="BJ117" i="1"/>
  <c r="BI117" i="1"/>
  <c r="BH117" i="1"/>
  <c r="BG117" i="1"/>
  <c r="BF117" i="1"/>
  <c r="BE117" i="1"/>
  <c r="BJ109" i="1"/>
  <c r="BI109" i="1"/>
  <c r="BH109" i="1"/>
  <c r="BG109" i="1"/>
  <c r="BF109" i="1"/>
  <c r="BE109" i="1"/>
  <c r="BJ95" i="1"/>
  <c r="BI95" i="1"/>
  <c r="BH95" i="1"/>
  <c r="BG95" i="1"/>
  <c r="BF95" i="1"/>
  <c r="BE95" i="1"/>
  <c r="BJ94" i="1"/>
  <c r="BI94" i="1"/>
  <c r="BH94" i="1"/>
  <c r="BG94" i="1"/>
  <c r="BF94" i="1"/>
  <c r="BE94" i="1"/>
  <c r="BJ90" i="1"/>
  <c r="BI90" i="1"/>
  <c r="BH90" i="1"/>
  <c r="BG90" i="1"/>
  <c r="BF90" i="1"/>
  <c r="BE90" i="1"/>
  <c r="BJ89" i="1"/>
  <c r="BI89" i="1"/>
  <c r="BH89" i="1"/>
  <c r="BG89" i="1"/>
  <c r="BF89" i="1"/>
  <c r="BE89" i="1"/>
  <c r="BJ82" i="1"/>
  <c r="BI82" i="1"/>
  <c r="BH82" i="1"/>
  <c r="BG82" i="1"/>
  <c r="BF82" i="1"/>
  <c r="BE82" i="1"/>
  <c r="BJ72" i="1"/>
  <c r="BI72" i="1"/>
  <c r="BH72" i="1"/>
  <c r="BG72" i="1"/>
  <c r="BF72" i="1"/>
  <c r="BE72" i="1"/>
  <c r="BJ71" i="1"/>
  <c r="BI71" i="1"/>
  <c r="BH71" i="1"/>
  <c r="BG71" i="1"/>
  <c r="BF71" i="1"/>
  <c r="BE71" i="1"/>
  <c r="BJ70" i="1"/>
  <c r="BI70" i="1"/>
  <c r="BH70" i="1"/>
  <c r="BG70" i="1"/>
  <c r="BF70" i="1"/>
  <c r="BE70" i="1"/>
  <c r="BJ69" i="1"/>
  <c r="BI69" i="1"/>
  <c r="BH69" i="1"/>
  <c r="BG69" i="1"/>
  <c r="BF69" i="1"/>
  <c r="BE69" i="1"/>
  <c r="BJ66" i="1"/>
  <c r="BI66" i="1"/>
  <c r="BH66" i="1"/>
  <c r="BG66" i="1"/>
  <c r="BF66" i="1"/>
  <c r="BE66" i="1"/>
  <c r="BJ50" i="1"/>
  <c r="BI50" i="1"/>
  <c r="BH50" i="1"/>
  <c r="BG50" i="1"/>
  <c r="BF50" i="1"/>
  <c r="BE50" i="1"/>
  <c r="BJ49" i="1"/>
  <c r="BI49" i="1"/>
  <c r="BH49" i="1"/>
  <c r="BG49" i="1"/>
  <c r="BF49" i="1"/>
  <c r="BE49" i="1"/>
  <c r="BJ48" i="1"/>
  <c r="BI48" i="1"/>
  <c r="BH48" i="1"/>
  <c r="BG48" i="1"/>
  <c r="BF48" i="1"/>
  <c r="BE48" i="1"/>
  <c r="BJ46" i="1"/>
  <c r="BI46" i="1"/>
  <c r="BH46" i="1"/>
  <c r="BG46" i="1"/>
  <c r="BF46" i="1"/>
  <c r="BE46" i="1"/>
  <c r="BJ45" i="1"/>
  <c r="BI45" i="1"/>
  <c r="BH45" i="1"/>
  <c r="BG45" i="1"/>
  <c r="BF45" i="1"/>
  <c r="BE45" i="1"/>
  <c r="BJ44" i="1"/>
  <c r="BI44" i="1"/>
  <c r="BH44" i="1"/>
  <c r="BG44" i="1"/>
  <c r="BF44" i="1"/>
  <c r="BE44" i="1"/>
  <c r="BJ43" i="1"/>
  <c r="BI43" i="1"/>
  <c r="BH43" i="1"/>
  <c r="BG43" i="1"/>
  <c r="BF43" i="1"/>
  <c r="BE43" i="1"/>
  <c r="BJ38" i="1"/>
  <c r="BI38" i="1"/>
  <c r="BH38" i="1"/>
  <c r="BG38" i="1"/>
  <c r="BF38" i="1"/>
  <c r="BE38" i="1"/>
  <c r="BJ28" i="1"/>
  <c r="BI28" i="1"/>
  <c r="BH28" i="1"/>
  <c r="BG28" i="1"/>
  <c r="BF28" i="1"/>
  <c r="BE28" i="1"/>
  <c r="BJ27" i="1"/>
  <c r="BI27" i="1"/>
  <c r="BH27" i="1"/>
  <c r="BG27" i="1"/>
  <c r="BF27" i="1"/>
  <c r="BE27" i="1"/>
  <c r="AR43" i="1"/>
  <c r="AR44" i="1"/>
  <c r="AR45" i="1"/>
  <c r="AR46" i="1"/>
  <c r="AR48" i="1"/>
  <c r="AR49" i="1"/>
  <c r="AR50" i="1"/>
  <c r="AG38" i="1"/>
  <c r="AH38" i="1"/>
  <c r="AI38" i="1"/>
  <c r="AJ38" i="1"/>
  <c r="AK38" i="1"/>
  <c r="AL38" i="1"/>
  <c r="AG39" i="1"/>
  <c r="AH39" i="1"/>
  <c r="AI39" i="1"/>
  <c r="AJ39" i="1"/>
  <c r="AK39" i="1"/>
  <c r="AL39" i="1"/>
  <c r="AG40" i="1"/>
  <c r="AH40" i="1"/>
  <c r="AI40" i="1"/>
  <c r="AJ40" i="1"/>
  <c r="AK40" i="1"/>
  <c r="AL40" i="1"/>
  <c r="AG43" i="1"/>
  <c r="AH43" i="1"/>
  <c r="AI43" i="1"/>
  <c r="AJ43" i="1"/>
  <c r="AK43" i="1"/>
  <c r="AL43" i="1"/>
  <c r="AG44" i="1"/>
  <c r="AH44" i="1"/>
  <c r="AI44" i="1"/>
  <c r="AJ44" i="1"/>
  <c r="AK44" i="1"/>
  <c r="AL44" i="1"/>
  <c r="AG45" i="1"/>
  <c r="AH45" i="1"/>
  <c r="AI45" i="1"/>
  <c r="AJ45" i="1"/>
  <c r="AK45" i="1"/>
  <c r="AL45" i="1"/>
  <c r="AG46" i="1"/>
  <c r="AH46" i="1"/>
  <c r="AI46" i="1"/>
  <c r="AJ46" i="1"/>
  <c r="AK46" i="1"/>
  <c r="AL46" i="1"/>
  <c r="AR27" i="1"/>
  <c r="AR28" i="1"/>
  <c r="AR38" i="1"/>
  <c r="BM28" i="1"/>
  <c r="BU28" i="1"/>
  <c r="BW28" i="1"/>
  <c r="BW86" i="1"/>
  <c r="AH86" i="1" s="1"/>
  <c r="BV86" i="1"/>
  <c r="AG86" i="1" s="1"/>
  <c r="BW65" i="1"/>
  <c r="AH65" i="1" s="1"/>
  <c r="BV65" i="1"/>
  <c r="AG65" i="1" s="1"/>
  <c r="BW64" i="1"/>
  <c r="AH64" i="1" s="1"/>
  <c r="BV64" i="1"/>
  <c r="AG64" i="1" s="1"/>
  <c r="BW62" i="1"/>
  <c r="AH62" i="1" s="1"/>
  <c r="BV62" i="1"/>
  <c r="AG62" i="1" s="1"/>
  <c r="BW55" i="1"/>
  <c r="AH55" i="1" s="1"/>
  <c r="BV55" i="1"/>
  <c r="AG55" i="1" s="1"/>
  <c r="BW53" i="1"/>
  <c r="AH53" i="1" s="1"/>
  <c r="BV53" i="1"/>
  <c r="AG53" i="1" s="1"/>
  <c r="BW47" i="1"/>
  <c r="AH47" i="1" s="1"/>
  <c r="BV47" i="1"/>
  <c r="AG47" i="1" s="1"/>
  <c r="BW37" i="1"/>
  <c r="AH37" i="1" s="1"/>
  <c r="BV37" i="1"/>
  <c r="AG37" i="1" s="1"/>
  <c r="BW36" i="1"/>
  <c r="AH36" i="1" s="1"/>
  <c r="BV36" i="1"/>
  <c r="AG36" i="1" s="1"/>
  <c r="BW34" i="1"/>
  <c r="AH34" i="1" s="1"/>
  <c r="BV34" i="1"/>
  <c r="AG34" i="1" s="1"/>
  <c r="BV32" i="1"/>
  <c r="AG32" i="1" s="1"/>
  <c r="BW32" i="1"/>
  <c r="AH32" i="1" s="1"/>
  <c r="AH109" i="1"/>
  <c r="AG109" i="1"/>
  <c r="AH108" i="1"/>
  <c r="AG108" i="1"/>
  <c r="BW114" i="1"/>
  <c r="AH114" i="1" s="1"/>
  <c r="BV114" i="1"/>
  <c r="AG114" i="1" s="1"/>
  <c r="BW112" i="1"/>
  <c r="AH112" i="1" s="1"/>
  <c r="BV112" i="1"/>
  <c r="AG112" i="1" s="1"/>
  <c r="BW110" i="1"/>
  <c r="AH110" i="1" s="1"/>
  <c r="BV110" i="1"/>
  <c r="AG110" i="1" s="1"/>
  <c r="BW106" i="1"/>
  <c r="AH106" i="1" s="1"/>
  <c r="BV106" i="1"/>
  <c r="AG106" i="1" s="1"/>
  <c r="BW104" i="1"/>
  <c r="AH104" i="1" s="1"/>
  <c r="BV104" i="1"/>
  <c r="AG104" i="1" s="1"/>
  <c r="BW102" i="1"/>
  <c r="AH102" i="1" s="1"/>
  <c r="BV102" i="1"/>
  <c r="AG102" i="1" s="1"/>
  <c r="BS158" i="1"/>
  <c r="BV158" i="1" s="1"/>
  <c r="AG158" i="1" s="1"/>
  <c r="BS157" i="1"/>
  <c r="AK157" i="1" s="1"/>
  <c r="BS156" i="1"/>
  <c r="AK156" i="1" s="1"/>
  <c r="BS155" i="1"/>
  <c r="BV155" i="1" s="1"/>
  <c r="AG155" i="1" s="1"/>
  <c r="BS154" i="1"/>
  <c r="BV154" i="1" s="1"/>
  <c r="AG154" i="1" s="1"/>
  <c r="BS153" i="1"/>
  <c r="BV153" i="1" s="1"/>
  <c r="AG153" i="1" s="1"/>
  <c r="BT158" i="1"/>
  <c r="BW158" i="1" s="1"/>
  <c r="AH158" i="1" s="1"/>
  <c r="BT157" i="1"/>
  <c r="BW157" i="1" s="1"/>
  <c r="AH157" i="1" s="1"/>
  <c r="BT156" i="1"/>
  <c r="AL156" i="1" s="1"/>
  <c r="BT155" i="1"/>
  <c r="AL155" i="1" s="1"/>
  <c r="BT154" i="1"/>
  <c r="AL154" i="1" s="1"/>
  <c r="BT153" i="1"/>
  <c r="AL153" i="1" s="1"/>
  <c r="BW133" i="1"/>
  <c r="AH133" i="1" s="1"/>
  <c r="BV133" i="1"/>
  <c r="AG133" i="1" s="1"/>
  <c r="BW131" i="1"/>
  <c r="AH131" i="1" s="1"/>
  <c r="BV131" i="1"/>
  <c r="AG131" i="1" s="1"/>
  <c r="BW129" i="1"/>
  <c r="AH129" i="1" s="1"/>
  <c r="BV129" i="1"/>
  <c r="AG129" i="1" s="1"/>
  <c r="BW127" i="1"/>
  <c r="AH127" i="1" s="1"/>
  <c r="BV127" i="1"/>
  <c r="AG127" i="1" s="1"/>
  <c r="BW125" i="1"/>
  <c r="AH125" i="1" s="1"/>
  <c r="BV125" i="1"/>
  <c r="AG125" i="1" s="1"/>
  <c r="BW145" i="1"/>
  <c r="AH145" i="1" s="1"/>
  <c r="BV145" i="1"/>
  <c r="AG145" i="1" s="1"/>
  <c r="BW143" i="1"/>
  <c r="AH143" i="1" s="1"/>
  <c r="BV143" i="1"/>
  <c r="AG143" i="1" s="1"/>
  <c r="BW141" i="1"/>
  <c r="AH141" i="1" s="1"/>
  <c r="BV141" i="1"/>
  <c r="AG141" i="1" s="1"/>
  <c r="BW139" i="1"/>
  <c r="AH139" i="1" s="1"/>
  <c r="BV139" i="1"/>
  <c r="AG139" i="1" s="1"/>
  <c r="BW137" i="1"/>
  <c r="AH137" i="1" s="1"/>
  <c r="BV137" i="1"/>
  <c r="AG137" i="1" s="1"/>
  <c r="BV135" i="1"/>
  <c r="AG135" i="1" s="1"/>
  <c r="BW135" i="1"/>
  <c r="AH135" i="1" s="1"/>
  <c r="BW123" i="1"/>
  <c r="AH123" i="1" s="1"/>
  <c r="BV123" i="1"/>
  <c r="AG123" i="1" s="1"/>
  <c r="BT134" i="1"/>
  <c r="AL134" i="1" s="1"/>
  <c r="BR134" i="1"/>
  <c r="AJ134" i="1" s="1"/>
  <c r="BS134" i="1"/>
  <c r="AK134" i="1" s="1"/>
  <c r="BQ134" i="1"/>
  <c r="AI134" i="1" s="1"/>
  <c r="BP134" i="1"/>
  <c r="BO134" i="1"/>
  <c r="BT132" i="1"/>
  <c r="AL132" i="1" s="1"/>
  <c r="BR132" i="1"/>
  <c r="AJ132" i="1" s="1"/>
  <c r="BS132" i="1"/>
  <c r="AK132" i="1" s="1"/>
  <c r="BQ132" i="1"/>
  <c r="AI132" i="1" s="1"/>
  <c r="BP132" i="1"/>
  <c r="BO132" i="1"/>
  <c r="BT130" i="1"/>
  <c r="AL130" i="1" s="1"/>
  <c r="BR130" i="1"/>
  <c r="BS130" i="1"/>
  <c r="AK130" i="1" s="1"/>
  <c r="BQ130" i="1"/>
  <c r="AI130" i="1" s="1"/>
  <c r="BP130" i="1"/>
  <c r="BO130" i="1"/>
  <c r="BT128" i="1"/>
  <c r="AL128" i="1" s="1"/>
  <c r="BR128" i="1"/>
  <c r="AJ128" i="1" s="1"/>
  <c r="BS128" i="1"/>
  <c r="BQ128" i="1"/>
  <c r="AI128" i="1" s="1"/>
  <c r="BP128" i="1"/>
  <c r="BO128" i="1"/>
  <c r="BT126" i="1"/>
  <c r="AL126" i="1" s="1"/>
  <c r="BR126" i="1"/>
  <c r="AJ126" i="1" s="1"/>
  <c r="BS126" i="1"/>
  <c r="AK126" i="1" s="1"/>
  <c r="BQ126" i="1"/>
  <c r="AI126" i="1" s="1"/>
  <c r="BP126" i="1"/>
  <c r="BO126" i="1"/>
  <c r="BT124" i="1"/>
  <c r="AL124" i="1" s="1"/>
  <c r="BR124" i="1"/>
  <c r="AJ124" i="1" s="1"/>
  <c r="BS124" i="1"/>
  <c r="AK124" i="1" s="1"/>
  <c r="BQ124" i="1"/>
  <c r="AI124" i="1" s="1"/>
  <c r="BP124" i="1"/>
  <c r="BO124" i="1"/>
  <c r="BT146" i="1"/>
  <c r="AL146" i="1" s="1"/>
  <c r="BR146" i="1"/>
  <c r="AJ146" i="1" s="1"/>
  <c r="BS146" i="1"/>
  <c r="BQ146" i="1"/>
  <c r="BP146" i="1"/>
  <c r="BO146" i="1"/>
  <c r="BT144" i="1"/>
  <c r="AL144" i="1" s="1"/>
  <c r="BR144" i="1"/>
  <c r="BS144" i="1"/>
  <c r="AK144" i="1" s="1"/>
  <c r="BQ144" i="1"/>
  <c r="BP144" i="1"/>
  <c r="BO144" i="1"/>
  <c r="BT142" i="1"/>
  <c r="AL142" i="1" s="1"/>
  <c r="BR142" i="1"/>
  <c r="BS142" i="1"/>
  <c r="AK142" i="1" s="1"/>
  <c r="BQ142" i="1"/>
  <c r="AI142" i="1" s="1"/>
  <c r="BP142" i="1"/>
  <c r="BO142" i="1"/>
  <c r="BT140" i="1"/>
  <c r="AL140" i="1" s="1"/>
  <c r="BR140" i="1"/>
  <c r="BS140" i="1"/>
  <c r="AK140" i="1" s="1"/>
  <c r="BQ140" i="1"/>
  <c r="AI140" i="1" s="1"/>
  <c r="BP140" i="1"/>
  <c r="BO140" i="1"/>
  <c r="BT138" i="1"/>
  <c r="AL138" i="1" s="1"/>
  <c r="BR138" i="1"/>
  <c r="AJ138" i="1" s="1"/>
  <c r="BS138" i="1"/>
  <c r="AK138" i="1" s="1"/>
  <c r="BQ138" i="1"/>
  <c r="AI138" i="1" s="1"/>
  <c r="BP138" i="1"/>
  <c r="BO138" i="1"/>
  <c r="BT136" i="1"/>
  <c r="AL136" i="1" s="1"/>
  <c r="BR136" i="1"/>
  <c r="BS136" i="1"/>
  <c r="AK136" i="1" s="1"/>
  <c r="BQ136" i="1"/>
  <c r="AI136" i="1" s="1"/>
  <c r="BP136" i="1"/>
  <c r="BO136" i="1"/>
  <c r="AL137" i="1"/>
  <c r="BU137" i="1"/>
  <c r="BT115" i="1"/>
  <c r="BR115" i="1"/>
  <c r="BS115" i="1"/>
  <c r="AK115" i="1" s="1"/>
  <c r="BQ115" i="1"/>
  <c r="AI115" i="1" s="1"/>
  <c r="BP115" i="1"/>
  <c r="BO115" i="1"/>
  <c r="BT113" i="1"/>
  <c r="AL113" i="1" s="1"/>
  <c r="BR113" i="1"/>
  <c r="AJ113" i="1" s="1"/>
  <c r="BS113" i="1"/>
  <c r="AK113" i="1" s="1"/>
  <c r="BQ113" i="1"/>
  <c r="BP113" i="1"/>
  <c r="BO113" i="1"/>
  <c r="BT111" i="1"/>
  <c r="AL111" i="1" s="1"/>
  <c r="BR111" i="1"/>
  <c r="AJ111" i="1" s="1"/>
  <c r="BS111" i="1"/>
  <c r="BQ111" i="1"/>
  <c r="BP111" i="1"/>
  <c r="BO111" i="1"/>
  <c r="BT107" i="1"/>
  <c r="AL107" i="1" s="1"/>
  <c r="BR107" i="1"/>
  <c r="AJ107" i="1" s="1"/>
  <c r="BS107" i="1"/>
  <c r="BQ107" i="1"/>
  <c r="AI107" i="1" s="1"/>
  <c r="BP107" i="1"/>
  <c r="BO107" i="1"/>
  <c r="BT105" i="1"/>
  <c r="AL105" i="1" s="1"/>
  <c r="BR105" i="1"/>
  <c r="AJ105" i="1" s="1"/>
  <c r="BS105" i="1"/>
  <c r="AK105" i="1" s="1"/>
  <c r="BQ105" i="1"/>
  <c r="BP105" i="1"/>
  <c r="BO105" i="1"/>
  <c r="BT103" i="1"/>
  <c r="AL103" i="1" s="1"/>
  <c r="BR103" i="1"/>
  <c r="AJ103" i="1" s="1"/>
  <c r="BS103" i="1"/>
  <c r="BQ103" i="1"/>
  <c r="BP103" i="1"/>
  <c r="BO103" i="1"/>
  <c r="BR87" i="1"/>
  <c r="BQ87" i="1"/>
  <c r="AI87" i="1" s="1"/>
  <c r="BO87" i="1"/>
  <c r="BU87" i="1" s="1"/>
  <c r="BR80" i="1"/>
  <c r="BQ80" i="1"/>
  <c r="AI80" i="1" s="1"/>
  <c r="BO80" i="1"/>
  <c r="BU80" i="1" s="1"/>
  <c r="BO63" i="1"/>
  <c r="BO33" i="1"/>
  <c r="BO35" i="1"/>
  <c r="BO54" i="1"/>
  <c r="BO57" i="1"/>
  <c r="BO58" i="1" s="1"/>
  <c r="BT63" i="1"/>
  <c r="AL63" i="1" s="1"/>
  <c r="BR63" i="1"/>
  <c r="BS63" i="1"/>
  <c r="AK63" i="1" s="1"/>
  <c r="BQ63" i="1"/>
  <c r="AI63" i="1" s="1"/>
  <c r="BP63" i="1"/>
  <c r="BT56" i="1"/>
  <c r="BT57" i="1" s="1"/>
  <c r="BR56" i="1"/>
  <c r="BR57" i="1" s="1"/>
  <c r="BS56" i="1"/>
  <c r="BS57" i="1" s="1"/>
  <c r="BQ56" i="1"/>
  <c r="BP56" i="1"/>
  <c r="BP57" i="1" s="1"/>
  <c r="BP58" i="1" s="1"/>
  <c r="BP59" i="1" s="1"/>
  <c r="BP60" i="1" s="1"/>
  <c r="BP61" i="1" s="1"/>
  <c r="BT54" i="1"/>
  <c r="AL54" i="1" s="1"/>
  <c r="BR54" i="1"/>
  <c r="AJ54" i="1" s="1"/>
  <c r="BS54" i="1"/>
  <c r="AK54" i="1" s="1"/>
  <c r="BQ54" i="1"/>
  <c r="BP54" i="1"/>
  <c r="BT35" i="1"/>
  <c r="BR35" i="1"/>
  <c r="BS35" i="1"/>
  <c r="AK35" i="1" s="1"/>
  <c r="BQ35" i="1"/>
  <c r="AI35" i="1" s="1"/>
  <c r="BP35" i="1"/>
  <c r="BQ33" i="1"/>
  <c r="BS33" i="1"/>
  <c r="AK33" i="1" s="1"/>
  <c r="BR33" i="1"/>
  <c r="BT33" i="1"/>
  <c r="AL33" i="1" s="1"/>
  <c r="BP33" i="1"/>
  <c r="AG147" i="1"/>
  <c r="AI147" i="1"/>
  <c r="AJ147" i="1"/>
  <c r="AK147" i="1"/>
  <c r="AL147" i="1"/>
  <c r="AG148" i="1"/>
  <c r="AI148" i="1"/>
  <c r="AJ148" i="1"/>
  <c r="AK148" i="1"/>
  <c r="AL148" i="1"/>
  <c r="AG149" i="1"/>
  <c r="AI149" i="1"/>
  <c r="AJ149" i="1"/>
  <c r="AK149" i="1"/>
  <c r="AL149" i="1"/>
  <c r="AG150" i="1"/>
  <c r="AI150" i="1"/>
  <c r="AJ150" i="1"/>
  <c r="AK150" i="1"/>
  <c r="AL150" i="1"/>
  <c r="AG151" i="1"/>
  <c r="AI151" i="1"/>
  <c r="AJ151" i="1"/>
  <c r="AK151" i="1"/>
  <c r="AL151" i="1"/>
  <c r="AG152" i="1"/>
  <c r="AI152" i="1"/>
  <c r="AJ152" i="1"/>
  <c r="AK152" i="1"/>
  <c r="AL152" i="1"/>
  <c r="AI153" i="1"/>
  <c r="AJ153" i="1"/>
  <c r="AI154" i="1"/>
  <c r="AJ154" i="1"/>
  <c r="AI155" i="1"/>
  <c r="AJ155" i="1"/>
  <c r="AI156" i="1"/>
  <c r="AJ156" i="1"/>
  <c r="AI157" i="1"/>
  <c r="AJ157" i="1"/>
  <c r="AI158" i="1"/>
  <c r="AJ158" i="1"/>
  <c r="BW152" i="1"/>
  <c r="AH152" i="1" s="1"/>
  <c r="BU152" i="1"/>
  <c r="BW151" i="1"/>
  <c r="AH151" i="1" s="1"/>
  <c r="BU151" i="1"/>
  <c r="BW150" i="1"/>
  <c r="AH150" i="1" s="1"/>
  <c r="BU150" i="1"/>
  <c r="BW149" i="1"/>
  <c r="AH149" i="1" s="1"/>
  <c r="BU149" i="1"/>
  <c r="BW148" i="1"/>
  <c r="AH148" i="1" s="1"/>
  <c r="BU148" i="1"/>
  <c r="BW147" i="1"/>
  <c r="AH147" i="1" s="1"/>
  <c r="BU147" i="1"/>
  <c r="BP158" i="1"/>
  <c r="BU158" i="1" s="1"/>
  <c r="BP157" i="1"/>
  <c r="BU157" i="1" s="1"/>
  <c r="BP156" i="1"/>
  <c r="BU156" i="1" s="1"/>
  <c r="BP155" i="1"/>
  <c r="BU155" i="1" s="1"/>
  <c r="BP154" i="1"/>
  <c r="BU154" i="1" s="1"/>
  <c r="BP153" i="1"/>
  <c r="BU153" i="1" s="1"/>
  <c r="AL145" i="1"/>
  <c r="AK145" i="1"/>
  <c r="AJ145" i="1"/>
  <c r="AI145" i="1"/>
  <c r="AL143" i="1"/>
  <c r="AK143" i="1"/>
  <c r="AJ143" i="1"/>
  <c r="AI143" i="1"/>
  <c r="AL141" i="1"/>
  <c r="AK141" i="1"/>
  <c r="AJ141" i="1"/>
  <c r="AI141" i="1"/>
  <c r="AL139" i="1"/>
  <c r="AK139" i="1"/>
  <c r="AJ139" i="1"/>
  <c r="AI139" i="1"/>
  <c r="AK137" i="1"/>
  <c r="AJ137" i="1"/>
  <c r="AI137" i="1"/>
  <c r="AL135" i="1"/>
  <c r="AK135" i="1"/>
  <c r="AJ135" i="1"/>
  <c r="AI135" i="1"/>
  <c r="AL133" i="1"/>
  <c r="AK133" i="1"/>
  <c r="AJ133" i="1"/>
  <c r="AI133" i="1"/>
  <c r="AL131" i="1"/>
  <c r="AK131" i="1"/>
  <c r="AJ131" i="1"/>
  <c r="AI131" i="1"/>
  <c r="AL129" i="1"/>
  <c r="AK129" i="1"/>
  <c r="AJ129" i="1"/>
  <c r="AI129" i="1"/>
  <c r="AL127" i="1"/>
  <c r="AK127" i="1"/>
  <c r="AJ127" i="1"/>
  <c r="AI127" i="1"/>
  <c r="AL125" i="1"/>
  <c r="AK125" i="1"/>
  <c r="AJ125" i="1"/>
  <c r="AI125" i="1"/>
  <c r="AL123" i="1"/>
  <c r="AK123" i="1"/>
  <c r="AJ123" i="1"/>
  <c r="AI123" i="1"/>
  <c r="AL122" i="1"/>
  <c r="AK122" i="1"/>
  <c r="AJ122" i="1"/>
  <c r="AI122" i="1"/>
  <c r="AH122" i="1"/>
  <c r="AG122" i="1"/>
  <c r="AL121" i="1"/>
  <c r="AK121" i="1"/>
  <c r="AJ121" i="1"/>
  <c r="AI121" i="1"/>
  <c r="AH121" i="1"/>
  <c r="AG121" i="1"/>
  <c r="AL120" i="1"/>
  <c r="AK120" i="1"/>
  <c r="AJ120" i="1"/>
  <c r="AI120" i="1"/>
  <c r="AG120" i="1"/>
  <c r="AL119" i="1"/>
  <c r="AK119" i="1"/>
  <c r="AJ119" i="1"/>
  <c r="AI119" i="1"/>
  <c r="AG119" i="1"/>
  <c r="AL118" i="1"/>
  <c r="AK118" i="1"/>
  <c r="AJ118" i="1"/>
  <c r="AI118" i="1"/>
  <c r="AG118" i="1"/>
  <c r="AL117" i="1"/>
  <c r="AK117" i="1"/>
  <c r="AJ117" i="1"/>
  <c r="AI117" i="1"/>
  <c r="AL116" i="1"/>
  <c r="AK116" i="1"/>
  <c r="AJ116" i="1"/>
  <c r="AI116" i="1"/>
  <c r="AL114" i="1"/>
  <c r="AK114" i="1"/>
  <c r="AJ114" i="1"/>
  <c r="AI114" i="1"/>
  <c r="AL112" i="1"/>
  <c r="AK112" i="1"/>
  <c r="AJ112" i="1"/>
  <c r="AI112" i="1"/>
  <c r="AL110" i="1"/>
  <c r="AK110" i="1"/>
  <c r="AJ110" i="1"/>
  <c r="AI110" i="1"/>
  <c r="AL109" i="1"/>
  <c r="AK109" i="1"/>
  <c r="AJ109" i="1"/>
  <c r="AI109" i="1"/>
  <c r="AL108" i="1"/>
  <c r="AK108" i="1"/>
  <c r="AJ108" i="1"/>
  <c r="AI108" i="1"/>
  <c r="AL106" i="1"/>
  <c r="AK106" i="1"/>
  <c r="AJ106" i="1"/>
  <c r="AI106" i="1"/>
  <c r="AL104" i="1"/>
  <c r="AK104" i="1"/>
  <c r="AJ104" i="1"/>
  <c r="AI104" i="1"/>
  <c r="AL102" i="1"/>
  <c r="AK102" i="1"/>
  <c r="AJ102" i="1"/>
  <c r="AI102" i="1"/>
  <c r="AL101" i="1"/>
  <c r="AK101" i="1"/>
  <c r="AJ101" i="1"/>
  <c r="AI101" i="1"/>
  <c r="AH101" i="1"/>
  <c r="AG101" i="1"/>
  <c r="AG93" i="1"/>
  <c r="AH93" i="1"/>
  <c r="AI93" i="1"/>
  <c r="AJ93" i="1"/>
  <c r="AK93" i="1"/>
  <c r="AL93" i="1"/>
  <c r="AG94" i="1"/>
  <c r="AI94" i="1"/>
  <c r="AJ94" i="1"/>
  <c r="AK94" i="1"/>
  <c r="AL94" i="1"/>
  <c r="AG95" i="1"/>
  <c r="AI95" i="1"/>
  <c r="AJ95" i="1"/>
  <c r="AK95" i="1"/>
  <c r="AL95" i="1"/>
  <c r="AG96" i="1"/>
  <c r="AH96" i="1"/>
  <c r="AI96" i="1"/>
  <c r="AJ96" i="1"/>
  <c r="AK96" i="1"/>
  <c r="AL96" i="1"/>
  <c r="AG97" i="1"/>
  <c r="AI97" i="1"/>
  <c r="AJ97" i="1"/>
  <c r="AK97" i="1"/>
  <c r="AL97" i="1"/>
  <c r="AG99" i="1"/>
  <c r="AI99" i="1"/>
  <c r="AJ99" i="1"/>
  <c r="AK99" i="1"/>
  <c r="AL99" i="1"/>
  <c r="AI100" i="1"/>
  <c r="AJ100" i="1"/>
  <c r="AK100" i="1"/>
  <c r="AL100" i="1"/>
  <c r="AG75" i="1"/>
  <c r="AI75" i="1"/>
  <c r="AJ75" i="1"/>
  <c r="AK75" i="1"/>
  <c r="AL75" i="1"/>
  <c r="AG76" i="1"/>
  <c r="AI76" i="1"/>
  <c r="AJ76" i="1"/>
  <c r="AK76" i="1"/>
  <c r="AL76" i="1"/>
  <c r="AG77" i="1"/>
  <c r="AH77" i="1"/>
  <c r="AI77" i="1"/>
  <c r="AJ77" i="1"/>
  <c r="AK77" i="1"/>
  <c r="AL77" i="1"/>
  <c r="AG78" i="1"/>
  <c r="AI78" i="1"/>
  <c r="AJ78" i="1"/>
  <c r="AK78" i="1"/>
  <c r="AL78" i="1"/>
  <c r="AI79" i="1"/>
  <c r="AJ79" i="1"/>
  <c r="AK79" i="1"/>
  <c r="AL79" i="1"/>
  <c r="AK80" i="1"/>
  <c r="AL80" i="1"/>
  <c r="AG81" i="1"/>
  <c r="AH81" i="1"/>
  <c r="AI81" i="1"/>
  <c r="AJ81" i="1"/>
  <c r="AK81" i="1"/>
  <c r="AL81" i="1"/>
  <c r="AG82" i="1"/>
  <c r="AH82" i="1"/>
  <c r="AI82" i="1"/>
  <c r="AJ82" i="1"/>
  <c r="AK82" i="1"/>
  <c r="AL82" i="1"/>
  <c r="AG85" i="1"/>
  <c r="AI85" i="1"/>
  <c r="AJ85" i="1"/>
  <c r="AK85" i="1"/>
  <c r="AL85" i="1"/>
  <c r="AI86" i="1"/>
  <c r="AJ86" i="1"/>
  <c r="AK86" i="1"/>
  <c r="AL86" i="1"/>
  <c r="AK87" i="1"/>
  <c r="AL87" i="1"/>
  <c r="AG88" i="1"/>
  <c r="AH88" i="1"/>
  <c r="AI88" i="1"/>
  <c r="AJ88" i="1"/>
  <c r="AK88" i="1"/>
  <c r="AL88" i="1"/>
  <c r="AG89" i="1"/>
  <c r="AH89" i="1"/>
  <c r="AI89" i="1"/>
  <c r="AJ89" i="1"/>
  <c r="AK89" i="1"/>
  <c r="AL89" i="1"/>
  <c r="AG90" i="1"/>
  <c r="AI90" i="1"/>
  <c r="AJ90" i="1"/>
  <c r="AK90" i="1"/>
  <c r="AL90" i="1"/>
  <c r="AG91" i="1"/>
  <c r="AI91" i="1"/>
  <c r="AJ91" i="1"/>
  <c r="AK91" i="1"/>
  <c r="AL91" i="1"/>
  <c r="AG92" i="1"/>
  <c r="AI92" i="1"/>
  <c r="AJ92" i="1"/>
  <c r="AK92" i="1"/>
  <c r="AL92" i="1"/>
  <c r="AI64" i="1"/>
  <c r="AJ64" i="1"/>
  <c r="AK64" i="1"/>
  <c r="AL64" i="1"/>
  <c r="AI65" i="1"/>
  <c r="AJ65" i="1"/>
  <c r="AK65" i="1"/>
  <c r="AL65" i="1"/>
  <c r="AG66" i="1"/>
  <c r="AH66" i="1"/>
  <c r="AI66" i="1"/>
  <c r="AJ66" i="1"/>
  <c r="AK66" i="1"/>
  <c r="AL66" i="1"/>
  <c r="AG69" i="1"/>
  <c r="AI69" i="1"/>
  <c r="AJ69" i="1"/>
  <c r="AK69" i="1"/>
  <c r="AL69" i="1"/>
  <c r="AG70" i="1"/>
  <c r="AI70" i="1"/>
  <c r="AJ70" i="1"/>
  <c r="AK70" i="1"/>
  <c r="AL70" i="1"/>
  <c r="AG71" i="1"/>
  <c r="AI71" i="1"/>
  <c r="AJ71" i="1"/>
  <c r="AK71" i="1"/>
  <c r="AL71" i="1"/>
  <c r="AG72" i="1"/>
  <c r="AI72" i="1"/>
  <c r="AJ72" i="1"/>
  <c r="AK72" i="1"/>
  <c r="AL72" i="1"/>
  <c r="AG73" i="1"/>
  <c r="BE73" i="1" s="1"/>
  <c r="AI73" i="1"/>
  <c r="BG73" i="1" s="1"/>
  <c r="AJ73" i="1"/>
  <c r="BH73" i="1" s="1"/>
  <c r="AK73" i="1"/>
  <c r="BI73" i="1" s="1"/>
  <c r="AL73" i="1"/>
  <c r="BJ73" i="1" s="1"/>
  <c r="AG74" i="1"/>
  <c r="AI74" i="1"/>
  <c r="AJ74" i="1"/>
  <c r="AK74" i="1"/>
  <c r="AL74" i="1"/>
  <c r="AI55" i="1"/>
  <c r="AJ55" i="1"/>
  <c r="AK55" i="1"/>
  <c r="AL55" i="1"/>
  <c r="AI62" i="1"/>
  <c r="AJ62" i="1"/>
  <c r="AK62" i="1"/>
  <c r="AL62" i="1"/>
  <c r="AI47" i="1"/>
  <c r="AJ47" i="1"/>
  <c r="AK47" i="1"/>
  <c r="AL47" i="1"/>
  <c r="AG48" i="1"/>
  <c r="AI48" i="1"/>
  <c r="AJ48" i="1"/>
  <c r="AK48" i="1"/>
  <c r="AL48" i="1"/>
  <c r="AG49" i="1"/>
  <c r="AI49" i="1"/>
  <c r="AJ49" i="1"/>
  <c r="AK49" i="1"/>
  <c r="AL49" i="1"/>
  <c r="AG50" i="1"/>
  <c r="AI50" i="1"/>
  <c r="AJ50" i="1"/>
  <c r="AK50" i="1"/>
  <c r="AL50" i="1"/>
  <c r="AG51" i="1"/>
  <c r="AI51" i="1"/>
  <c r="AJ51" i="1"/>
  <c r="AK51" i="1"/>
  <c r="AL51" i="1"/>
  <c r="AG52" i="1"/>
  <c r="AI52" i="1"/>
  <c r="AJ52" i="1"/>
  <c r="AK52" i="1"/>
  <c r="AL52" i="1"/>
  <c r="AI53" i="1"/>
  <c r="AJ53" i="1"/>
  <c r="AK53" i="1"/>
  <c r="AL53" i="1"/>
  <c r="AI34" i="1"/>
  <c r="AJ34" i="1"/>
  <c r="AK34" i="1"/>
  <c r="AL34" i="1"/>
  <c r="AI36" i="1"/>
  <c r="AJ36" i="1"/>
  <c r="AK36" i="1"/>
  <c r="AL36" i="1"/>
  <c r="AI37" i="1"/>
  <c r="AJ37" i="1"/>
  <c r="AK37" i="1"/>
  <c r="AL37" i="1"/>
  <c r="AK32" i="1"/>
  <c r="AJ32" i="1"/>
  <c r="BN47" i="1"/>
  <c r="BN66" i="1"/>
  <c r="BN81" i="1"/>
  <c r="BN82" i="1"/>
  <c r="BN88" i="1"/>
  <c r="BN89" i="1"/>
  <c r="BM78" i="1"/>
  <c r="BM79" i="1"/>
  <c r="BM80" i="1"/>
  <c r="BM81" i="1"/>
  <c r="BM82" i="1"/>
  <c r="BM85" i="1"/>
  <c r="BM86" i="1"/>
  <c r="BM87" i="1"/>
  <c r="BM88" i="1"/>
  <c r="BM89" i="1"/>
  <c r="BM90" i="1"/>
  <c r="BM91" i="1"/>
  <c r="BM95" i="1"/>
  <c r="BM111" i="1"/>
  <c r="BN111" i="1"/>
  <c r="BM112" i="1"/>
  <c r="BN112" i="1"/>
  <c r="BM113" i="1"/>
  <c r="BN113" i="1"/>
  <c r="BM114" i="1"/>
  <c r="BN114" i="1"/>
  <c r="BM115" i="1"/>
  <c r="BN115" i="1"/>
  <c r="BM116" i="1"/>
  <c r="BN116" i="1"/>
  <c r="BM117" i="1"/>
  <c r="BN117" i="1"/>
  <c r="BM118" i="1"/>
  <c r="BM119" i="1"/>
  <c r="BM120" i="1"/>
  <c r="BM121" i="1"/>
  <c r="BM142" i="1"/>
  <c r="BN142" i="1"/>
  <c r="BM143" i="1"/>
  <c r="BN143" i="1"/>
  <c r="BM144" i="1"/>
  <c r="BN144" i="1"/>
  <c r="BM145" i="1"/>
  <c r="BN145" i="1"/>
  <c r="BM146" i="1"/>
  <c r="BN146" i="1"/>
  <c r="BW120" i="1"/>
  <c r="AH120" i="1" s="1"/>
  <c r="BU120" i="1"/>
  <c r="BW119" i="1"/>
  <c r="AH119" i="1" s="1"/>
  <c r="BU119" i="1"/>
  <c r="BW118" i="1"/>
  <c r="AH118" i="1" s="1"/>
  <c r="BU118" i="1"/>
  <c r="BW97" i="1"/>
  <c r="AH97" i="1" s="1"/>
  <c r="BU97" i="1"/>
  <c r="BW99" i="1"/>
  <c r="AH99" i="1" s="1"/>
  <c r="BU99" i="1"/>
  <c r="BW79" i="1"/>
  <c r="AH79" i="1" s="1"/>
  <c r="BV79" i="1"/>
  <c r="AG79" i="1" s="1"/>
  <c r="BU79" i="1"/>
  <c r="BU85" i="1"/>
  <c r="BW85" i="1"/>
  <c r="AH85" i="1" s="1"/>
  <c r="BW78" i="1"/>
  <c r="AH78" i="1" s="1"/>
  <c r="BU78" i="1"/>
  <c r="BW76" i="1"/>
  <c r="AH76" i="1" s="1"/>
  <c r="BU76" i="1"/>
  <c r="BW75" i="1"/>
  <c r="AH75" i="1" s="1"/>
  <c r="BU75" i="1"/>
  <c r="BW74" i="1"/>
  <c r="AH74" i="1" s="1"/>
  <c r="BU74" i="1"/>
  <c r="BW73" i="1"/>
  <c r="AH73" i="1" s="1"/>
  <c r="BF73" i="1" s="1"/>
  <c r="BU73" i="1"/>
  <c r="BW72" i="1"/>
  <c r="AH72" i="1" s="1"/>
  <c r="BU72" i="1"/>
  <c r="BW71" i="1"/>
  <c r="AH71" i="1" s="1"/>
  <c r="BU71" i="1"/>
  <c r="BW70" i="1"/>
  <c r="AH70" i="1" s="1"/>
  <c r="BU70" i="1"/>
  <c r="BW69" i="1"/>
  <c r="AH69" i="1" s="1"/>
  <c r="BU69" i="1"/>
  <c r="BW52" i="1"/>
  <c r="AH52" i="1" s="1"/>
  <c r="BU52" i="1"/>
  <c r="BW51" i="1"/>
  <c r="AH51" i="1" s="1"/>
  <c r="BU51" i="1"/>
  <c r="BU67" i="1"/>
  <c r="BU68" i="1"/>
  <c r="BW30" i="1"/>
  <c r="BU30" i="1"/>
  <c r="BW29" i="1"/>
  <c r="BU29" i="1"/>
  <c r="BW27" i="1"/>
  <c r="BU27" i="1"/>
  <c r="BW50" i="1"/>
  <c r="AH50" i="1" s="1"/>
  <c r="BU50" i="1"/>
  <c r="BW49" i="1"/>
  <c r="AH49" i="1" s="1"/>
  <c r="BU49" i="1"/>
  <c r="BW48" i="1"/>
  <c r="AH48" i="1" s="1"/>
  <c r="BU48" i="1"/>
  <c r="BU46" i="1"/>
  <c r="BU45" i="1"/>
  <c r="BU44" i="1"/>
  <c r="BW17" i="1"/>
  <c r="BW18" i="1"/>
  <c r="BW19" i="1"/>
  <c r="BW20" i="1"/>
  <c r="BW21" i="1"/>
  <c r="BW22" i="1"/>
  <c r="BW25" i="1"/>
  <c r="BU18" i="1"/>
  <c r="BU19" i="1"/>
  <c r="BU20" i="1"/>
  <c r="BU21" i="1"/>
  <c r="BU22" i="1"/>
  <c r="BU25" i="1"/>
  <c r="BU32" i="1"/>
  <c r="BU34" i="1"/>
  <c r="BU36" i="1"/>
  <c r="BU37" i="1"/>
  <c r="BU39" i="1"/>
  <c r="BU40" i="1"/>
  <c r="BU47" i="1"/>
  <c r="BU53" i="1"/>
  <c r="BU62" i="1"/>
  <c r="BU64" i="1"/>
  <c r="BU65" i="1"/>
  <c r="BU86" i="1"/>
  <c r="BU90" i="1"/>
  <c r="BW90" i="1"/>
  <c r="AH90" i="1" s="1"/>
  <c r="BU91" i="1"/>
  <c r="BW91" i="1"/>
  <c r="AH91" i="1" s="1"/>
  <c r="BU92" i="1"/>
  <c r="BW92" i="1"/>
  <c r="AH92" i="1" s="1"/>
  <c r="BU94" i="1"/>
  <c r="BW94" i="1"/>
  <c r="AH94" i="1" s="1"/>
  <c r="BU95" i="1"/>
  <c r="BW95" i="1"/>
  <c r="AH95" i="1" s="1"/>
  <c r="BU100" i="1"/>
  <c r="AG100" i="1"/>
  <c r="AH100" i="1"/>
  <c r="BU102" i="1"/>
  <c r="BU104" i="1"/>
  <c r="BU106" i="1"/>
  <c r="BU110" i="1"/>
  <c r="BU112" i="1"/>
  <c r="BU114" i="1"/>
  <c r="BU123" i="1"/>
  <c r="BU125" i="1"/>
  <c r="BU127" i="1"/>
  <c r="BU129" i="1"/>
  <c r="BU131" i="1"/>
  <c r="BU133" i="1"/>
  <c r="BU135" i="1"/>
  <c r="BU139" i="1"/>
  <c r="BU141" i="1"/>
  <c r="BU143" i="1"/>
  <c r="BU145" i="1"/>
  <c r="BU188" i="1"/>
  <c r="BW188" i="1"/>
  <c r="BU195" i="1"/>
  <c r="BW195" i="1"/>
  <c r="BN62" i="1"/>
  <c r="BN63" i="1"/>
  <c r="BN64" i="1"/>
  <c r="BN65" i="1"/>
  <c r="BM55" i="1"/>
  <c r="BN55" i="1"/>
  <c r="BM56" i="1"/>
  <c r="BN56" i="1"/>
  <c r="AL32" i="1"/>
  <c r="AI32" i="1"/>
  <c r="BN141" i="1"/>
  <c r="BM141" i="1"/>
  <c r="BN140" i="1"/>
  <c r="BM140" i="1"/>
  <c r="BN139" i="1"/>
  <c r="BM139" i="1"/>
  <c r="BN138" i="1"/>
  <c r="BM138" i="1"/>
  <c r="BN137" i="1"/>
  <c r="BM137" i="1"/>
  <c r="BN136" i="1"/>
  <c r="BM136" i="1"/>
  <c r="BN135" i="1"/>
  <c r="BM135" i="1"/>
  <c r="BN134" i="1"/>
  <c r="BM134" i="1"/>
  <c r="BN133" i="1"/>
  <c r="BM133" i="1"/>
  <c r="BN132" i="1"/>
  <c r="BM132" i="1"/>
  <c r="BN131" i="1"/>
  <c r="BM131" i="1"/>
  <c r="BN130" i="1"/>
  <c r="BM130" i="1"/>
  <c r="BN129" i="1"/>
  <c r="BM129" i="1"/>
  <c r="BN128" i="1"/>
  <c r="BM128" i="1"/>
  <c r="BN127" i="1"/>
  <c r="BM127" i="1"/>
  <c r="BN126" i="1"/>
  <c r="BM126" i="1"/>
  <c r="BN125" i="1"/>
  <c r="BM125" i="1"/>
  <c r="BN124" i="1"/>
  <c r="BM124" i="1"/>
  <c r="BN123" i="1"/>
  <c r="BM123" i="1"/>
  <c r="BN110" i="1"/>
  <c r="BM110" i="1"/>
  <c r="BN109" i="1"/>
  <c r="BM109" i="1"/>
  <c r="BN108" i="1"/>
  <c r="BM108" i="1"/>
  <c r="BN107" i="1"/>
  <c r="BM107" i="1"/>
  <c r="BN106" i="1"/>
  <c r="BM106" i="1"/>
  <c r="BN105" i="1"/>
  <c r="BM105" i="1"/>
  <c r="BN102" i="1"/>
  <c r="BM102" i="1"/>
  <c r="BN100" i="1"/>
  <c r="BM100" i="1"/>
  <c r="BN99" i="1"/>
  <c r="BM99" i="1"/>
  <c r="BM97" i="1"/>
  <c r="BM94" i="1"/>
  <c r="BM92" i="1"/>
  <c r="BM76" i="1"/>
  <c r="BM75" i="1"/>
  <c r="BM74" i="1"/>
  <c r="BM73" i="1"/>
  <c r="BM71" i="1"/>
  <c r="BM70" i="1"/>
  <c r="BM69" i="1"/>
  <c r="BM68" i="1"/>
  <c r="BM67" i="1"/>
  <c r="BM66" i="1"/>
  <c r="BM65" i="1"/>
  <c r="BM64" i="1"/>
  <c r="BM63" i="1"/>
  <c r="BM62" i="1"/>
  <c r="BN61" i="1"/>
  <c r="BM61" i="1"/>
  <c r="BN60" i="1"/>
  <c r="BM60" i="1"/>
  <c r="BN59" i="1"/>
  <c r="BM59" i="1"/>
  <c r="BN58" i="1"/>
  <c r="BM58" i="1"/>
  <c r="BN57" i="1"/>
  <c r="BM57" i="1"/>
  <c r="BN54" i="1"/>
  <c r="BM54" i="1"/>
  <c r="BN53" i="1"/>
  <c r="BM53" i="1"/>
  <c r="BM52" i="1"/>
  <c r="BM51" i="1"/>
  <c r="BM50" i="1"/>
  <c r="BM49" i="1"/>
  <c r="BM48" i="1"/>
  <c r="BM47" i="1"/>
  <c r="BM46" i="1"/>
  <c r="BM45" i="1"/>
  <c r="BM44" i="1"/>
  <c r="BN43" i="1"/>
  <c r="BM43" i="1"/>
  <c r="BN40" i="1"/>
  <c r="BM40" i="1"/>
  <c r="BN39" i="1"/>
  <c r="BM39" i="1"/>
  <c r="BN37" i="1"/>
  <c r="BM37" i="1"/>
  <c r="BN36" i="1"/>
  <c r="BM36" i="1"/>
  <c r="BN35" i="1"/>
  <c r="BM35" i="1"/>
  <c r="BN34" i="1"/>
  <c r="BM34" i="1"/>
  <c r="BN33" i="1"/>
  <c r="BM33" i="1"/>
  <c r="BN32" i="1"/>
  <c r="BM32" i="1"/>
  <c r="BM30" i="1"/>
  <c r="BM29" i="1"/>
  <c r="BM27" i="1"/>
  <c r="BM25" i="1"/>
  <c r="BM22" i="1"/>
  <c r="BM21" i="1"/>
  <c r="BM20" i="1"/>
  <c r="BM19" i="1"/>
  <c r="BM18" i="1"/>
  <c r="BU17" i="1"/>
  <c r="BM17" i="1"/>
  <c r="BV157" i="1" l="1"/>
  <c r="AG157" i="1" s="1"/>
  <c r="AK155" i="1"/>
  <c r="BW155" i="1"/>
  <c r="AH155" i="1" s="1"/>
  <c r="AK158" i="1"/>
  <c r="BU140" i="1"/>
  <c r="BU124" i="1"/>
  <c r="BU132" i="1"/>
  <c r="BV124" i="1"/>
  <c r="AG124" i="1" s="1"/>
  <c r="BW103" i="1"/>
  <c r="AH103" i="1" s="1"/>
  <c r="BV156" i="1"/>
  <c r="AG156" i="1" s="1"/>
  <c r="BW115" i="1"/>
  <c r="AH115" i="1" s="1"/>
  <c r="BU134" i="1"/>
  <c r="BV138" i="1"/>
  <c r="AG138" i="1" s="1"/>
  <c r="BU115" i="1"/>
  <c r="BU138" i="1"/>
  <c r="BU146" i="1"/>
  <c r="BU130" i="1"/>
  <c r="BU63" i="1"/>
  <c r="AL56" i="1"/>
  <c r="BJ56" i="1" s="1"/>
  <c r="BW54" i="1"/>
  <c r="AH54" i="1" s="1"/>
  <c r="AL158" i="1"/>
  <c r="BU35" i="1"/>
  <c r="BW107" i="1"/>
  <c r="AH107" i="1" s="1"/>
  <c r="BV103" i="1"/>
  <c r="AG103" i="1" s="1"/>
  <c r="BU111" i="1"/>
  <c r="BW113" i="1"/>
  <c r="AH113" i="1" s="1"/>
  <c r="BU56" i="1"/>
  <c r="BW63" i="1"/>
  <c r="AH63" i="1" s="1"/>
  <c r="BU33" i="1"/>
  <c r="BV35" i="1"/>
  <c r="AG35" i="1" s="1"/>
  <c r="BV54" i="1"/>
  <c r="AG54" i="1" s="1"/>
  <c r="BW33" i="1"/>
  <c r="AH33" i="1" s="1"/>
  <c r="AI103" i="1"/>
  <c r="AK103" i="1"/>
  <c r="BV105" i="1"/>
  <c r="AG105" i="1" s="1"/>
  <c r="BV144" i="1"/>
  <c r="AG144" i="1" s="1"/>
  <c r="BV142" i="1"/>
  <c r="AG142" i="1" s="1"/>
  <c r="AJ142" i="1"/>
  <c r="BU136" i="1"/>
  <c r="BV140" i="1"/>
  <c r="AG140" i="1" s="1"/>
  <c r="BU144" i="1"/>
  <c r="BU128" i="1"/>
  <c r="BW134" i="1"/>
  <c r="AH134" i="1" s="1"/>
  <c r="BV136" i="1"/>
  <c r="AG136" i="1" s="1"/>
  <c r="AJ144" i="1"/>
  <c r="BU142" i="1"/>
  <c r="BV146" i="1"/>
  <c r="AG146" i="1" s="1"/>
  <c r="BU126" i="1"/>
  <c r="BV115" i="1"/>
  <c r="AG115" i="1" s="1"/>
  <c r="AJ115" i="1"/>
  <c r="BW105" i="1"/>
  <c r="AH105" i="1" s="1"/>
  <c r="BV113" i="1"/>
  <c r="AG113" i="1" s="1"/>
  <c r="AK107" i="1"/>
  <c r="BV107" i="1"/>
  <c r="AG107" i="1" s="1"/>
  <c r="BU105" i="1"/>
  <c r="BW87" i="1"/>
  <c r="AH87" i="1" s="1"/>
  <c r="BW35" i="1"/>
  <c r="AH35" i="1" s="1"/>
  <c r="AJ33" i="1"/>
  <c r="AJ56" i="1"/>
  <c r="BH56" i="1" s="1"/>
  <c r="BV63" i="1"/>
  <c r="AG63" i="1" s="1"/>
  <c r="AK56" i="1"/>
  <c r="BI56" i="1" s="1"/>
  <c r="BV33" i="1"/>
  <c r="AG33" i="1" s="1"/>
  <c r="BV56" i="1"/>
  <c r="AG56" i="1" s="1"/>
  <c r="BE56" i="1" s="1"/>
  <c r="AL35" i="1"/>
  <c r="AJ63" i="1"/>
  <c r="AL115" i="1"/>
  <c r="AJ140" i="1"/>
  <c r="AK153" i="1"/>
  <c r="BW80" i="1"/>
  <c r="AH80" i="1" s="1"/>
  <c r="AJ80" i="1"/>
  <c r="BW130" i="1"/>
  <c r="AH130" i="1" s="1"/>
  <c r="AJ130" i="1"/>
  <c r="BW144" i="1"/>
  <c r="AH144" i="1" s="1"/>
  <c r="BW124" i="1"/>
  <c r="AH124" i="1" s="1"/>
  <c r="BW126" i="1"/>
  <c r="AH126" i="1" s="1"/>
  <c r="BW132" i="1"/>
  <c r="AH132" i="1" s="1"/>
  <c r="AJ35" i="1"/>
  <c r="AI144" i="1"/>
  <c r="AI146" i="1"/>
  <c r="AK154" i="1"/>
  <c r="BV57" i="1"/>
  <c r="CD57" i="1" s="1"/>
  <c r="BW138" i="1"/>
  <c r="AH138" i="1" s="1"/>
  <c r="BW146" i="1"/>
  <c r="AH146" i="1" s="1"/>
  <c r="BV130" i="1"/>
  <c r="AG130" i="1" s="1"/>
  <c r="BV134" i="1"/>
  <c r="AG134" i="1" s="1"/>
  <c r="BV111" i="1"/>
  <c r="AG111" i="1" s="1"/>
  <c r="BQ57" i="1"/>
  <c r="BW57" i="1" s="1"/>
  <c r="CE57" i="1" s="1"/>
  <c r="AI56" i="1"/>
  <c r="BG56" i="1" s="1"/>
  <c r="BS58" i="1"/>
  <c r="BS59" i="1" s="1"/>
  <c r="AK57" i="1"/>
  <c r="BI57" i="1" s="1"/>
  <c r="BV87" i="1"/>
  <c r="AG87" i="1" s="1"/>
  <c r="AJ87" i="1"/>
  <c r="BV126" i="1"/>
  <c r="AG126" i="1" s="1"/>
  <c r="BW128" i="1"/>
  <c r="AH128" i="1" s="1"/>
  <c r="BW111" i="1"/>
  <c r="AH111" i="1" s="1"/>
  <c r="BW56" i="1"/>
  <c r="CE56" i="1" s="1"/>
  <c r="BU113" i="1"/>
  <c r="BW136" i="1"/>
  <c r="AH136" i="1" s="1"/>
  <c r="BW140" i="1"/>
  <c r="AH140" i="1" s="1"/>
  <c r="BV128" i="1"/>
  <c r="AG128" i="1" s="1"/>
  <c r="BV132" i="1"/>
  <c r="AG132" i="1" s="1"/>
  <c r="BW154" i="1"/>
  <c r="AH154" i="1" s="1"/>
  <c r="BW142" i="1"/>
  <c r="AH142" i="1" s="1"/>
  <c r="AJ57" i="1"/>
  <c r="BH57" i="1" s="1"/>
  <c r="BR58" i="1"/>
  <c r="BT58" i="1"/>
  <c r="AL57" i="1"/>
  <c r="BJ57" i="1" s="1"/>
  <c r="BU103" i="1"/>
  <c r="BU107" i="1"/>
  <c r="BU54" i="1"/>
  <c r="AK146" i="1"/>
  <c r="AJ136" i="1"/>
  <c r="AK128" i="1"/>
  <c r="AI113" i="1"/>
  <c r="AK111" i="1"/>
  <c r="AI111" i="1"/>
  <c r="AI105" i="1"/>
  <c r="BV80" i="1"/>
  <c r="AG80" i="1" s="1"/>
  <c r="BU58" i="1"/>
  <c r="BO59" i="1"/>
  <c r="BO60" i="1" s="1"/>
  <c r="BU57" i="1"/>
  <c r="AI54" i="1"/>
  <c r="AI33" i="1"/>
  <c r="AL157" i="1"/>
  <c r="BW156" i="1"/>
  <c r="AH156" i="1" s="1"/>
  <c r="BW153" i="1"/>
  <c r="AH153" i="1" s="1"/>
  <c r="CD56" i="1" l="1"/>
  <c r="AK58" i="1"/>
  <c r="BI58" i="1" s="1"/>
  <c r="AH57" i="1"/>
  <c r="BF57" i="1" s="1"/>
  <c r="BQ58" i="1"/>
  <c r="BW58" i="1" s="1"/>
  <c r="CE58" i="1" s="1"/>
  <c r="AG57" i="1"/>
  <c r="BE57" i="1" s="1"/>
  <c r="AI57" i="1"/>
  <c r="BG57" i="1" s="1"/>
  <c r="AH56" i="1"/>
  <c r="BF56" i="1" s="1"/>
  <c r="BV58" i="1"/>
  <c r="CD58" i="1" s="1"/>
  <c r="BR59" i="1"/>
  <c r="BV59" i="1" s="1"/>
  <c r="CD59" i="1" s="1"/>
  <c r="BU59" i="1"/>
  <c r="BS60" i="1"/>
  <c r="AK59" i="1"/>
  <c r="BI59" i="1" s="1"/>
  <c r="AJ58" i="1"/>
  <c r="BH58" i="1" s="1"/>
  <c r="BT59" i="1"/>
  <c r="AL58" i="1"/>
  <c r="BJ58" i="1" s="1"/>
  <c r="BU60" i="1"/>
  <c r="BO61" i="1"/>
  <c r="BU61" i="1" s="1"/>
  <c r="BQ59" i="1" l="1"/>
  <c r="BW59" i="1" s="1"/>
  <c r="CE59" i="1" s="1"/>
  <c r="AI58" i="1"/>
  <c r="BG58" i="1" s="1"/>
  <c r="AH58" i="1"/>
  <c r="BF58" i="1" s="1"/>
  <c r="AG58" i="1"/>
  <c r="BE58" i="1" s="1"/>
  <c r="BR60" i="1"/>
  <c r="BV60" i="1" s="1"/>
  <c r="CD60" i="1" s="1"/>
  <c r="AJ59" i="1"/>
  <c r="BH59" i="1" s="1"/>
  <c r="BS61" i="1"/>
  <c r="AK61" i="1" s="1"/>
  <c r="BI61" i="1" s="1"/>
  <c r="AK60" i="1"/>
  <c r="BI60" i="1" s="1"/>
  <c r="AG59" i="1"/>
  <c r="BE59" i="1" s="1"/>
  <c r="AL59" i="1"/>
  <c r="BJ59" i="1" s="1"/>
  <c r="BT60" i="1"/>
  <c r="AI59" i="1" l="1"/>
  <c r="BG59" i="1" s="1"/>
  <c r="BQ60" i="1"/>
  <c r="BW60" i="1" s="1"/>
  <c r="AH59" i="1"/>
  <c r="BF59" i="1" s="1"/>
  <c r="AG60" i="1"/>
  <c r="BE60" i="1" s="1"/>
  <c r="AL60" i="1"/>
  <c r="BJ60" i="1" s="1"/>
  <c r="BT61" i="1"/>
  <c r="AL61" i="1" s="1"/>
  <c r="BJ61" i="1" s="1"/>
  <c r="BR61" i="1"/>
  <c r="BV61" i="1" s="1"/>
  <c r="CD61" i="1" s="1"/>
  <c r="AJ60" i="1"/>
  <c r="BH60" i="1" s="1"/>
  <c r="CE60" i="1" l="1"/>
  <c r="AH60" i="1"/>
  <c r="BF60" i="1" s="1"/>
  <c r="AI60" i="1"/>
  <c r="BG60" i="1" s="1"/>
  <c r="BQ61" i="1"/>
  <c r="BW61" i="1" s="1"/>
  <c r="CE61" i="1" s="1"/>
  <c r="AJ61" i="1"/>
  <c r="BH61" i="1" s="1"/>
  <c r="AG61" i="1"/>
  <c r="BE61" i="1" s="1"/>
  <c r="AI61" i="1" l="1"/>
  <c r="BG61" i="1" s="1"/>
  <c r="AH61" i="1"/>
  <c r="BF61" i="1" s="1"/>
  <c r="AF30" i="1"/>
  <c r="AH30" i="1" s="1"/>
  <c r="AF29" i="1"/>
  <c r="AH29" i="1" s="1"/>
  <c r="AO29" i="1"/>
  <c r="N29" i="1"/>
  <c r="N28" i="1"/>
  <c r="J18" i="13"/>
  <c r="J19" i="13" s="1"/>
  <c r="J20" i="13" s="1"/>
  <c r="J21" i="13" s="1"/>
  <c r="J22" i="13" s="1"/>
  <c r="I18" i="13"/>
  <c r="I19" i="13" s="1"/>
  <c r="I20" i="13" s="1"/>
  <c r="I21" i="13" s="1"/>
  <c r="I22" i="13" s="1"/>
  <c r="J17" i="13"/>
  <c r="I17" i="13"/>
  <c r="J16" i="13"/>
  <c r="I16" i="13"/>
  <c r="J15" i="13"/>
  <c r="I15" i="13"/>
  <c r="J14" i="13"/>
  <c r="I14" i="13"/>
  <c r="J13" i="13"/>
  <c r="I13" i="13"/>
  <c r="J12" i="13"/>
  <c r="I12" i="13"/>
  <c r="J11" i="13"/>
  <c r="I11" i="13"/>
  <c r="J10" i="13"/>
  <c r="I10" i="13"/>
  <c r="J9" i="13"/>
  <c r="I9" i="13"/>
  <c r="J8" i="13"/>
  <c r="I8" i="13"/>
  <c r="J7" i="13"/>
  <c r="I7" i="13"/>
  <c r="J6" i="13"/>
  <c r="I6" i="13"/>
  <c r="J5" i="13"/>
  <c r="I5" i="13"/>
  <c r="J4" i="13"/>
  <c r="I4" i="13"/>
  <c r="J3" i="13"/>
  <c r="I3" i="13"/>
  <c r="J2" i="13"/>
  <c r="I2" i="13"/>
  <c r="BH29" i="1" l="1"/>
  <c r="BJ29" i="1"/>
  <c r="BF29" i="1"/>
  <c r="BI29" i="1"/>
  <c r="BE29" i="1"/>
  <c r="BG29" i="1"/>
  <c r="AV29" i="1"/>
  <c r="AW29" i="1" s="1"/>
  <c r="AZ29" i="1"/>
  <c r="AS29" i="1"/>
  <c r="BA29" i="1"/>
  <c r="AY29" i="1"/>
  <c r="BC29" i="1"/>
  <c r="AT29" i="1"/>
  <c r="AX29" i="1"/>
  <c r="BB29" i="1"/>
  <c r="AS28" i="1"/>
  <c r="BA28" i="1"/>
  <c r="AT28" i="1"/>
  <c r="AU28" i="1" s="1"/>
  <c r="AX28" i="1"/>
  <c r="BB28" i="1"/>
  <c r="AY28" i="1"/>
  <c r="BC28" i="1"/>
  <c r="AV28" i="1"/>
  <c r="AW28" i="1" s="1"/>
  <c r="AZ28" i="1"/>
  <c r="AO30" i="1"/>
  <c r="N30" i="1"/>
  <c r="BI30" i="1" l="1"/>
  <c r="BG30" i="1"/>
  <c r="BE30" i="1"/>
  <c r="BJ30" i="1"/>
  <c r="BH30" i="1"/>
  <c r="BF30" i="1"/>
  <c r="AU29" i="1"/>
  <c r="AQ29" i="1" s="1"/>
  <c r="AQ28" i="1"/>
  <c r="AS30" i="1"/>
  <c r="BA30" i="1"/>
  <c r="AT30" i="1"/>
  <c r="AU30" i="1" s="1"/>
  <c r="AX30" i="1"/>
  <c r="BB30" i="1"/>
  <c r="AY30" i="1"/>
  <c r="BC30" i="1"/>
  <c r="AV30" i="1"/>
  <c r="AW30" i="1" s="1"/>
  <c r="AZ30" i="1"/>
  <c r="BC61" i="1"/>
  <c r="BB61" i="1"/>
  <c r="BA61" i="1"/>
  <c r="AZ61" i="1"/>
  <c r="AY61" i="1"/>
  <c r="AX61" i="1"/>
  <c r="AT61" i="1"/>
  <c r="AU61" i="1" s="1"/>
  <c r="AS61" i="1"/>
  <c r="BC60" i="1"/>
  <c r="BB60" i="1"/>
  <c r="BA60" i="1"/>
  <c r="AZ60" i="1"/>
  <c r="AY60" i="1"/>
  <c r="AX60" i="1"/>
  <c r="AT60" i="1"/>
  <c r="AU60" i="1" s="1"/>
  <c r="AS60" i="1"/>
  <c r="BC59" i="1"/>
  <c r="BB59" i="1"/>
  <c r="BA59" i="1"/>
  <c r="AZ59" i="1"/>
  <c r="AY59" i="1"/>
  <c r="AX59" i="1"/>
  <c r="AT59" i="1"/>
  <c r="AU59" i="1" s="1"/>
  <c r="AS59" i="1"/>
  <c r="BC58" i="1"/>
  <c r="BB58" i="1"/>
  <c r="BA58" i="1"/>
  <c r="AZ58" i="1"/>
  <c r="AY58" i="1"/>
  <c r="AX58" i="1"/>
  <c r="AT58" i="1"/>
  <c r="AU58" i="1" s="1"/>
  <c r="AS58" i="1"/>
  <c r="BC57" i="1"/>
  <c r="BB57" i="1"/>
  <c r="BA57" i="1"/>
  <c r="AZ57" i="1"/>
  <c r="AY57" i="1"/>
  <c r="AX57" i="1"/>
  <c r="AT57" i="1"/>
  <c r="AU57" i="1" s="1"/>
  <c r="AS57" i="1"/>
  <c r="E26" i="12"/>
  <c r="E25" i="12"/>
  <c r="E24" i="12"/>
  <c r="E23" i="12"/>
  <c r="E22" i="12"/>
  <c r="E19" i="12"/>
  <c r="O8" i="12"/>
  <c r="R8" i="12" s="1"/>
  <c r="N8" i="12"/>
  <c r="Q8" i="12" s="1"/>
  <c r="O7" i="12"/>
  <c r="R7" i="12" s="1"/>
  <c r="N7" i="12"/>
  <c r="Q7" i="12" s="1"/>
  <c r="O6" i="12"/>
  <c r="R6" i="12" s="1"/>
  <c r="N6" i="12"/>
  <c r="Q6" i="12" s="1"/>
  <c r="O13" i="12"/>
  <c r="R13" i="12" s="1"/>
  <c r="N13" i="12"/>
  <c r="Q13" i="12" s="1"/>
  <c r="O12" i="12"/>
  <c r="R12" i="12" s="1"/>
  <c r="N12" i="12"/>
  <c r="Q12" i="12" s="1"/>
  <c r="O11" i="12"/>
  <c r="R11" i="12" s="1"/>
  <c r="N11" i="12"/>
  <c r="Q11" i="12" s="1"/>
  <c r="N57" i="1"/>
  <c r="AV57" i="1" s="1"/>
  <c r="AW57" i="1" s="1"/>
  <c r="N58" i="1"/>
  <c r="AV58" i="1" s="1"/>
  <c r="AW58" i="1" s="1"/>
  <c r="N59" i="1"/>
  <c r="AV59" i="1" s="1"/>
  <c r="AW59" i="1" s="1"/>
  <c r="N60" i="1"/>
  <c r="AV60" i="1" s="1"/>
  <c r="AW60" i="1" s="1"/>
  <c r="N61" i="1"/>
  <c r="AV61" i="1" s="1"/>
  <c r="AW61" i="1" s="1"/>
  <c r="AQ57" i="1" l="1"/>
  <c r="H26" i="12"/>
  <c r="AQ30" i="1"/>
  <c r="K24" i="12"/>
  <c r="AQ61" i="1"/>
  <c r="AQ58" i="1"/>
  <c r="AQ59" i="1"/>
  <c r="AQ60" i="1"/>
  <c r="H24" i="12"/>
  <c r="J22" i="12"/>
  <c r="F25" i="12"/>
  <c r="G23" i="12"/>
  <c r="I26" i="12"/>
  <c r="H23" i="12"/>
  <c r="I23" i="12"/>
  <c r="J23" i="12"/>
  <c r="J24" i="12"/>
  <c r="K25" i="12"/>
  <c r="F22" i="12"/>
  <c r="F26" i="12"/>
  <c r="G26" i="12"/>
  <c r="K22" i="12"/>
  <c r="F23" i="12"/>
  <c r="I24" i="12"/>
  <c r="G24" i="12"/>
  <c r="J25" i="12"/>
  <c r="H25" i="12"/>
  <c r="K26" i="12"/>
  <c r="I22" i="12"/>
  <c r="G22" i="12"/>
  <c r="H22" i="12"/>
  <c r="K23" i="12"/>
  <c r="F24" i="12"/>
  <c r="I25" i="12"/>
  <c r="G25" i="12"/>
  <c r="J26" i="12"/>
  <c r="AO100" i="1"/>
  <c r="N100" i="1"/>
  <c r="AO99" i="1"/>
  <c r="N99" i="1"/>
  <c r="BG99" i="1" l="1"/>
  <c r="BJ99" i="1"/>
  <c r="BE99" i="1"/>
  <c r="BF99" i="1"/>
  <c r="BI99" i="1"/>
  <c r="BH99" i="1"/>
  <c r="BE100" i="1"/>
  <c r="BG100" i="1"/>
  <c r="BJ100" i="1"/>
  <c r="BH100" i="1"/>
  <c r="BI100" i="1"/>
  <c r="BF100" i="1"/>
  <c r="AV99" i="1"/>
  <c r="AW99" i="1" s="1"/>
  <c r="AV100" i="1"/>
  <c r="AW100" i="1" s="1"/>
  <c r="AZ100" i="1"/>
  <c r="BC100" i="1"/>
  <c r="AY100" i="1"/>
  <c r="AZ99" i="1"/>
  <c r="AY99" i="1"/>
  <c r="BC99" i="1"/>
  <c r="AS100" i="1"/>
  <c r="BA100" i="1"/>
  <c r="AT100" i="1"/>
  <c r="AX100" i="1"/>
  <c r="BB100" i="1"/>
  <c r="AS99" i="1"/>
  <c r="BA99" i="1"/>
  <c r="AR99" i="1"/>
  <c r="AT99" i="1"/>
  <c r="AX99" i="1"/>
  <c r="BB99" i="1"/>
  <c r="AA3" i="11"/>
  <c r="AA5" i="11"/>
  <c r="AA6" i="11"/>
  <c r="Y7" i="11"/>
  <c r="Y8" i="11" s="1"/>
  <c r="Y9" i="11" s="1"/>
  <c r="AA9" i="11" s="1"/>
  <c r="AB1" i="11"/>
  <c r="B13" i="11"/>
  <c r="A4" i="11"/>
  <c r="AU100" i="1" l="1"/>
  <c r="AQ100" i="1" s="1"/>
  <c r="AU99" i="1"/>
  <c r="AQ99" i="1" s="1"/>
  <c r="AP99" i="1" s="1"/>
  <c r="AB5" i="11"/>
  <c r="AB8" i="11"/>
  <c r="AB6" i="11"/>
  <c r="AA8" i="11"/>
  <c r="AB3" i="11"/>
  <c r="AC1" i="11"/>
  <c r="AB9" i="11"/>
  <c r="AB7" i="11"/>
  <c r="AA7" i="11"/>
  <c r="A5" i="11"/>
  <c r="C5" i="11" s="1"/>
  <c r="B14" i="11"/>
  <c r="D5" i="11" l="1"/>
  <c r="AC8" i="11"/>
  <c r="AC5" i="11"/>
  <c r="AC7" i="11"/>
  <c r="AC9" i="11"/>
  <c r="AD1" i="11"/>
  <c r="AC3" i="11"/>
  <c r="AC6" i="11"/>
  <c r="A6" i="11"/>
  <c r="C6" i="11" s="1"/>
  <c r="B15" i="11"/>
  <c r="D6" i="11" l="1"/>
  <c r="E6" i="11"/>
  <c r="E5" i="11"/>
  <c r="AD3" i="11"/>
  <c r="AD6" i="11"/>
  <c r="AD9" i="11"/>
  <c r="AD8" i="11"/>
  <c r="AD5" i="11"/>
  <c r="AD7" i="11"/>
  <c r="AE1" i="11"/>
  <c r="B16" i="11"/>
  <c r="A7" i="11"/>
  <c r="E7" i="11" s="1"/>
  <c r="C7" i="11" l="1"/>
  <c r="D7" i="11"/>
  <c r="F6" i="11"/>
  <c r="F5" i="11"/>
  <c r="F7" i="11"/>
  <c r="AE5" i="11"/>
  <c r="AE7" i="11"/>
  <c r="AE9" i="11"/>
  <c r="AF1" i="11"/>
  <c r="AG1" i="11" s="1"/>
  <c r="AE8" i="11"/>
  <c r="AE6" i="11"/>
  <c r="AE3" i="11"/>
  <c r="A8" i="11"/>
  <c r="F8" i="11" s="1"/>
  <c r="B17" i="11"/>
  <c r="AG3" i="11" l="1"/>
  <c r="AH1" i="11"/>
  <c r="G8" i="11"/>
  <c r="D8" i="11"/>
  <c r="C8" i="11"/>
  <c r="E8" i="11"/>
  <c r="AG5" i="11"/>
  <c r="G6" i="11"/>
  <c r="G5" i="11"/>
  <c r="AF3" i="11"/>
  <c r="AF6" i="11"/>
  <c r="AF5" i="11"/>
  <c r="AF8" i="11"/>
  <c r="AF7" i="11"/>
  <c r="AF9" i="11"/>
  <c r="G7" i="11" s="1"/>
  <c r="B18" i="11"/>
  <c r="A9" i="11"/>
  <c r="G9" i="11" s="1"/>
  <c r="AH6" i="11" l="1"/>
  <c r="AH9" i="11"/>
  <c r="AH5" i="11"/>
  <c r="AH7" i="11"/>
  <c r="AH8" i="11"/>
  <c r="AH3" i="11"/>
  <c r="K6" i="11" s="1"/>
  <c r="AH2" i="11"/>
  <c r="AI1" i="11"/>
  <c r="D9" i="11"/>
  <c r="E9" i="11"/>
  <c r="F9" i="11"/>
  <c r="H6" i="11"/>
  <c r="H7" i="11"/>
  <c r="H8" i="11"/>
  <c r="H9" i="11"/>
  <c r="H5" i="11"/>
  <c r="B19" i="11"/>
  <c r="C9" i="11"/>
  <c r="I5" i="11" l="1"/>
  <c r="J5" i="11"/>
  <c r="K7" i="11"/>
  <c r="K5" i="11"/>
  <c r="K9" i="11"/>
  <c r="K8" i="11"/>
  <c r="B20" i="11"/>
  <c r="B21" i="11" l="1"/>
  <c r="B22" i="11" l="1"/>
  <c r="B23" i="11" l="1"/>
  <c r="B24" i="11" l="1"/>
  <c r="B25" i="11" l="1"/>
  <c r="B26" i="11" l="1"/>
  <c r="B27" i="11" l="1"/>
  <c r="B28" i="11" l="1"/>
  <c r="B29" i="11" l="1"/>
  <c r="B30" i="11" l="1"/>
  <c r="B31" i="11" l="1"/>
  <c r="B32" i="11" l="1"/>
  <c r="AF18" i="1" l="1"/>
  <c r="AF19" i="1"/>
  <c r="AF20" i="1"/>
  <c r="AF21" i="1"/>
  <c r="AF22" i="1"/>
  <c r="AF25" i="1"/>
  <c r="AH25" i="1" s="1"/>
  <c r="AH21" i="1" l="1"/>
  <c r="AE4" i="11" s="1"/>
  <c r="G4" i="11" s="1"/>
  <c r="AH22" i="1"/>
  <c r="AF4" i="11" s="1"/>
  <c r="H4" i="11" s="1"/>
  <c r="AH19" i="1"/>
  <c r="AC4" i="11" s="1"/>
  <c r="E4" i="11" s="1"/>
  <c r="AH20" i="1"/>
  <c r="AD4" i="11" s="1"/>
  <c r="F4" i="11" s="1"/>
  <c r="AH18" i="1"/>
  <c r="AB4" i="11" s="1"/>
  <c r="D4" i="11" s="1"/>
  <c r="D18" i="11" s="1"/>
  <c r="K4" i="11"/>
  <c r="AF17" i="1"/>
  <c r="AH17" i="1" l="1"/>
  <c r="AA4" i="11" s="1"/>
  <c r="C4" i="11" s="1"/>
  <c r="E12" i="11"/>
  <c r="E24" i="11"/>
  <c r="E32" i="11"/>
  <c r="E26" i="11"/>
  <c r="E13" i="11"/>
  <c r="E22" i="11"/>
  <c r="E23" i="11"/>
  <c r="E17" i="11"/>
  <c r="E25" i="11"/>
  <c r="E14" i="11"/>
  <c r="E21" i="11"/>
  <c r="E30" i="11"/>
  <c r="E31" i="11"/>
  <c r="E19" i="11"/>
  <c r="E27" i="11"/>
  <c r="E15" i="11"/>
  <c r="E20" i="11"/>
  <c r="E28" i="11"/>
  <c r="E29" i="11"/>
  <c r="E18" i="11"/>
  <c r="E16" i="11"/>
  <c r="F16" i="11"/>
  <c r="F21" i="11"/>
  <c r="F29" i="11"/>
  <c r="F31" i="11"/>
  <c r="F15" i="11"/>
  <c r="F18" i="11"/>
  <c r="F20" i="11"/>
  <c r="F14" i="11"/>
  <c r="F22" i="11"/>
  <c r="F30" i="11"/>
  <c r="F19" i="11"/>
  <c r="F23" i="11"/>
  <c r="F27" i="11"/>
  <c r="F28" i="11"/>
  <c r="F13" i="11"/>
  <c r="F24" i="11"/>
  <c r="F32" i="11"/>
  <c r="F12" i="11"/>
  <c r="F25" i="11"/>
  <c r="F26" i="11"/>
  <c r="F17" i="11"/>
  <c r="G17" i="11"/>
  <c r="G26" i="11"/>
  <c r="G28" i="11"/>
  <c r="G23" i="11"/>
  <c r="G16" i="11"/>
  <c r="G19" i="11"/>
  <c r="G27" i="11"/>
  <c r="G12" i="11"/>
  <c r="G20" i="11"/>
  <c r="G24" i="11"/>
  <c r="G25" i="11"/>
  <c r="G13" i="11"/>
  <c r="G21" i="11"/>
  <c r="G29" i="11"/>
  <c r="G14" i="11"/>
  <c r="G22" i="11"/>
  <c r="G30" i="11"/>
  <c r="G18" i="11"/>
  <c r="G31" i="11"/>
  <c r="G15" i="11"/>
  <c r="G32" i="11"/>
  <c r="D16" i="11"/>
  <c r="D14" i="11"/>
  <c r="D15" i="11"/>
  <c r="D12" i="11"/>
  <c r="D17" i="11"/>
  <c r="D13" i="11"/>
  <c r="D29" i="11"/>
  <c r="D26" i="11"/>
  <c r="D20" i="11"/>
  <c r="D21" i="11"/>
  <c r="D25" i="11"/>
  <c r="D32" i="11"/>
  <c r="D22" i="11"/>
  <c r="D19" i="11"/>
  <c r="D30" i="11"/>
  <c r="D31" i="11"/>
  <c r="D28" i="11"/>
  <c r="D23" i="11"/>
  <c r="D27" i="11"/>
  <c r="D24" i="11"/>
  <c r="K20" i="11"/>
  <c r="K12" i="11"/>
  <c r="K22" i="11"/>
  <c r="K15" i="11"/>
  <c r="K24" i="11"/>
  <c r="K16" i="11"/>
  <c r="K19" i="11"/>
  <c r="K30" i="11"/>
  <c r="K27" i="11"/>
  <c r="K21" i="11"/>
  <c r="K17" i="11"/>
  <c r="K29" i="11"/>
  <c r="K26" i="11"/>
  <c r="K14" i="11"/>
  <c r="K32" i="11"/>
  <c r="K18" i="11"/>
  <c r="K13" i="11"/>
  <c r="K31" i="11"/>
  <c r="K25" i="11"/>
  <c r="K28" i="11"/>
  <c r="K23" i="11"/>
  <c r="H19" i="11"/>
  <c r="H16" i="11"/>
  <c r="H14" i="11"/>
  <c r="H15" i="11"/>
  <c r="H13" i="11"/>
  <c r="H18" i="11"/>
  <c r="H17" i="11"/>
  <c r="H12" i="11"/>
  <c r="H20" i="11"/>
  <c r="H21" i="11"/>
  <c r="H22" i="11"/>
  <c r="H23" i="11"/>
  <c r="H24" i="11"/>
  <c r="H25" i="11"/>
  <c r="H26" i="11"/>
  <c r="H27" i="11"/>
  <c r="H28" i="11"/>
  <c r="H29" i="11"/>
  <c r="H30" i="11"/>
  <c r="H31" i="11"/>
  <c r="H32" i="11"/>
  <c r="C13" i="11" l="1"/>
  <c r="L13" i="11" s="1"/>
  <c r="C26" i="11"/>
  <c r="L26" i="11" s="1"/>
  <c r="C16" i="11"/>
  <c r="L16" i="11" s="1"/>
  <c r="C27" i="11"/>
  <c r="L27" i="11" s="1"/>
  <c r="C14" i="11"/>
  <c r="L14" i="11" s="1"/>
  <c r="C30" i="11"/>
  <c r="L30" i="11" s="1"/>
  <c r="C12" i="11"/>
  <c r="L12" i="11" s="1"/>
  <c r="C23" i="11"/>
  <c r="L23" i="11" s="1"/>
  <c r="C17" i="11"/>
  <c r="L17" i="11" s="1"/>
  <c r="C25" i="11"/>
  <c r="L25" i="11" s="1"/>
  <c r="C15" i="11"/>
  <c r="L15" i="11" s="1"/>
  <c r="C20" i="11"/>
  <c r="L20" i="11" s="1"/>
  <c r="C28" i="11"/>
  <c r="L28" i="11" s="1"/>
  <c r="C19" i="11"/>
  <c r="L19" i="11" s="1"/>
  <c r="C21" i="11"/>
  <c r="L21" i="11" s="1"/>
  <c r="C29" i="11"/>
  <c r="L29" i="11" s="1"/>
  <c r="C22" i="11"/>
  <c r="L22" i="11" s="1"/>
  <c r="C31" i="11"/>
  <c r="L31" i="11" s="1"/>
  <c r="C18" i="11"/>
  <c r="L18" i="11" s="1"/>
  <c r="C24" i="11"/>
  <c r="L24" i="11" s="1"/>
  <c r="C32" i="11"/>
  <c r="L32" i="11" s="1"/>
  <c r="BD194" i="1"/>
  <c r="BD193" i="1"/>
  <c r="BD192" i="1"/>
  <c r="BD191" i="1"/>
  <c r="BD190" i="1"/>
  <c r="BD189" i="1"/>
  <c r="BD188" i="1"/>
  <c r="BD187" i="1"/>
  <c r="BD186" i="1"/>
  <c r="BD185" i="1"/>
  <c r="BD184" i="1"/>
  <c r="BD159" i="1"/>
  <c r="BD122" i="1"/>
  <c r="BD121" i="1"/>
  <c r="BD117" i="1"/>
  <c r="BD116" i="1"/>
  <c r="BD109" i="1"/>
  <c r="BD108" i="1"/>
  <c r="BD101" i="1"/>
  <c r="BD96" i="1"/>
  <c r="BD93" i="1"/>
  <c r="BD89" i="1"/>
  <c r="BD88" i="1"/>
  <c r="BD82" i="1"/>
  <c r="BD81" i="1"/>
  <c r="BD77" i="1"/>
  <c r="BD72" i="1"/>
  <c r="BD66" i="1"/>
  <c r="BD50" i="1"/>
  <c r="BD49" i="1"/>
  <c r="BD48" i="1"/>
  <c r="BD46" i="1"/>
  <c r="BD45" i="1"/>
  <c r="BD44" i="1"/>
  <c r="BD43" i="1"/>
  <c r="BD40" i="1"/>
  <c r="BD39" i="1"/>
  <c r="BD38" i="1"/>
  <c r="BD31" i="1"/>
  <c r="BD26" i="1"/>
  <c r="BD14" i="1"/>
  <c r="AU122" i="1"/>
  <c r="AU26" i="1"/>
  <c r="BD270" i="1" l="1"/>
  <c r="AR270" i="1" s="1"/>
  <c r="AP270" i="1" s="1"/>
  <c r="BD258" i="1"/>
  <c r="AR258" i="1" s="1"/>
  <c r="AP258" i="1" s="1"/>
  <c r="BD253" i="1"/>
  <c r="AR253" i="1" s="1"/>
  <c r="AP253" i="1" s="1"/>
  <c r="BD272" i="1"/>
  <c r="AR272" i="1" s="1"/>
  <c r="AP272" i="1" s="1"/>
  <c r="BD277" i="1"/>
  <c r="AR277" i="1" s="1"/>
  <c r="AP277" i="1" s="1"/>
  <c r="BD273" i="1"/>
  <c r="AR273" i="1" s="1"/>
  <c r="AP273" i="1" s="1"/>
  <c r="BD267" i="1"/>
  <c r="AR267" i="1" s="1"/>
  <c r="AP267" i="1" s="1"/>
  <c r="BD263" i="1"/>
  <c r="AR263" i="1" s="1"/>
  <c r="AP263" i="1" s="1"/>
  <c r="BD274" i="1"/>
  <c r="AR274" i="1" s="1"/>
  <c r="AP274" i="1" s="1"/>
  <c r="BD256" i="1"/>
  <c r="AR256" i="1" s="1"/>
  <c r="AP256" i="1" s="1"/>
  <c r="BD254" i="1"/>
  <c r="AR254" i="1" s="1"/>
  <c r="AP254" i="1" s="1"/>
  <c r="BD271" i="1"/>
  <c r="AR271" i="1" s="1"/>
  <c r="AP271" i="1" s="1"/>
  <c r="BD264" i="1"/>
  <c r="AR264" i="1" s="1"/>
  <c r="AP264" i="1" s="1"/>
  <c r="BD268" i="1"/>
  <c r="AR268" i="1" s="1"/>
  <c r="AP268" i="1" s="1"/>
  <c r="BD259" i="1"/>
  <c r="AR259" i="1" s="1"/>
  <c r="AP259" i="1" s="1"/>
  <c r="BD257" i="1"/>
  <c r="AR257" i="1" s="1"/>
  <c r="AP257" i="1" s="1"/>
  <c r="BD269" i="1"/>
  <c r="AR269" i="1" s="1"/>
  <c r="AP269" i="1" s="1"/>
  <c r="BD275" i="1"/>
  <c r="AR275" i="1" s="1"/>
  <c r="AP275" i="1" s="1"/>
  <c r="BD265" i="1"/>
  <c r="AR265" i="1" s="1"/>
  <c r="AP265" i="1" s="1"/>
  <c r="BD252" i="1"/>
  <c r="AR252" i="1" s="1"/>
  <c r="AP252" i="1" s="1"/>
  <c r="BD276" i="1"/>
  <c r="AR276" i="1" s="1"/>
  <c r="AP276" i="1" s="1"/>
  <c r="BD266" i="1"/>
  <c r="AR266" i="1" s="1"/>
  <c r="AP266" i="1" s="1"/>
  <c r="BD262" i="1"/>
  <c r="AR262" i="1" s="1"/>
  <c r="AP262" i="1" s="1"/>
  <c r="BD260" i="1"/>
  <c r="AR260" i="1" s="1"/>
  <c r="AP260" i="1" s="1"/>
  <c r="BD255" i="1"/>
  <c r="AR255" i="1" s="1"/>
  <c r="AP255" i="1" s="1"/>
  <c r="BD228" i="1"/>
  <c r="AR228" i="1" s="1"/>
  <c r="AP228" i="1" s="1"/>
  <c r="BD226" i="1"/>
  <c r="AR226" i="1" s="1"/>
  <c r="AP226" i="1" s="1"/>
  <c r="BD234" i="1"/>
  <c r="AR234" i="1" s="1"/>
  <c r="AP234" i="1" s="1"/>
  <c r="BD233" i="1"/>
  <c r="AR233" i="1" s="1"/>
  <c r="AP233" i="1" s="1"/>
  <c r="BD231" i="1"/>
  <c r="AR231" i="1" s="1"/>
  <c r="AP231" i="1" s="1"/>
  <c r="BD227" i="1"/>
  <c r="AR227" i="1" s="1"/>
  <c r="AP227" i="1" s="1"/>
  <c r="BD232" i="1"/>
  <c r="AR232" i="1" s="1"/>
  <c r="AP232" i="1" s="1"/>
  <c r="BD229" i="1"/>
  <c r="AR229" i="1" s="1"/>
  <c r="AP229" i="1" s="1"/>
  <c r="BD230" i="1"/>
  <c r="AR230" i="1" s="1"/>
  <c r="AP230" i="1" s="1"/>
  <c r="BD249" i="1"/>
  <c r="AR249" i="1" s="1"/>
  <c r="AP249" i="1" s="1"/>
  <c r="BD163" i="1"/>
  <c r="AR163" i="1" s="1"/>
  <c r="AP163" i="1" s="1"/>
  <c r="BD162" i="1"/>
  <c r="AR162" i="1" s="1"/>
  <c r="AP162" i="1" s="1"/>
  <c r="BD176" i="1"/>
  <c r="AR176" i="1" s="1"/>
  <c r="AP176" i="1" s="1"/>
  <c r="BD161" i="1"/>
  <c r="AR161" i="1" s="1"/>
  <c r="AP161" i="1" s="1"/>
  <c r="BD175" i="1"/>
  <c r="AR175" i="1" s="1"/>
  <c r="AP175" i="1" s="1"/>
  <c r="BD168" i="1"/>
  <c r="AR168" i="1" s="1"/>
  <c r="AP168" i="1" s="1"/>
  <c r="BD83" i="1"/>
  <c r="AR83" i="1" s="1"/>
  <c r="AP83" i="1" s="1"/>
  <c r="BD84" i="1"/>
  <c r="AR84" i="1" s="1"/>
  <c r="AP84" i="1" s="1"/>
  <c r="BD42" i="1"/>
  <c r="AR42" i="1" s="1"/>
  <c r="AP42" i="1" s="1"/>
  <c r="BD41" i="1"/>
  <c r="AR41" i="1" s="1"/>
  <c r="AP41" i="1" s="1"/>
  <c r="BD250" i="1"/>
  <c r="AR250" i="1" s="1"/>
  <c r="AP250" i="1" s="1"/>
  <c r="BD243" i="1"/>
  <c r="AR243" i="1" s="1"/>
  <c r="AP243" i="1" s="1"/>
  <c r="BD248" i="1"/>
  <c r="AR248" i="1" s="1"/>
  <c r="AP248" i="1" s="1"/>
  <c r="BD244" i="1"/>
  <c r="AR244" i="1" s="1"/>
  <c r="AP244" i="1" s="1"/>
  <c r="BD246" i="1"/>
  <c r="AR246" i="1" s="1"/>
  <c r="AP246" i="1" s="1"/>
  <c r="BD245" i="1"/>
  <c r="AR245" i="1" s="1"/>
  <c r="AP245" i="1" s="1"/>
  <c r="BD242" i="1"/>
  <c r="AR242" i="1" s="1"/>
  <c r="AP242" i="1" s="1"/>
  <c r="BD251" i="1"/>
  <c r="AR251" i="1" s="1"/>
  <c r="AP251" i="1" s="1"/>
  <c r="BD241" i="1"/>
  <c r="AR241" i="1" s="1"/>
  <c r="AP241" i="1" s="1"/>
  <c r="BD247" i="1"/>
  <c r="AR247" i="1" s="1"/>
  <c r="AP247" i="1" s="1"/>
  <c r="BD238" i="1"/>
  <c r="AR238" i="1" s="1"/>
  <c r="AP238" i="1" s="1"/>
  <c r="BD239" i="1"/>
  <c r="AR239" i="1" s="1"/>
  <c r="AP239" i="1" s="1"/>
  <c r="BD236" i="1"/>
  <c r="AR236" i="1" s="1"/>
  <c r="AP236" i="1" s="1"/>
  <c r="BD240" i="1"/>
  <c r="AR240" i="1" s="1"/>
  <c r="AP240" i="1" s="1"/>
  <c r="BD237" i="1"/>
  <c r="AR237" i="1" s="1"/>
  <c r="AP237" i="1" s="1"/>
  <c r="BD23" i="1"/>
  <c r="AR23" i="1" s="1"/>
  <c r="AP23" i="1" s="1"/>
  <c r="BD36" i="1"/>
  <c r="BD98" i="1"/>
  <c r="AR98" i="1" s="1"/>
  <c r="AP98" i="1" s="1"/>
  <c r="BD76" i="1"/>
  <c r="BD104" i="1"/>
  <c r="BD112" i="1"/>
  <c r="BD120" i="1"/>
  <c r="BD124" i="1"/>
  <c r="BD128" i="1"/>
  <c r="BD132" i="1"/>
  <c r="BD136" i="1"/>
  <c r="BD140" i="1"/>
  <c r="BD144" i="1"/>
  <c r="BD105" i="1"/>
  <c r="BD113" i="1"/>
  <c r="BD125" i="1"/>
  <c r="BD129" i="1"/>
  <c r="BD133" i="1"/>
  <c r="BD137" i="1"/>
  <c r="BD141" i="1"/>
  <c r="BD145" i="1"/>
  <c r="BD102" i="1"/>
  <c r="BD106" i="1"/>
  <c r="BD110" i="1"/>
  <c r="BD114" i="1"/>
  <c r="BD118" i="1"/>
  <c r="BD126" i="1"/>
  <c r="BD130" i="1"/>
  <c r="BD134" i="1"/>
  <c r="BD138" i="1"/>
  <c r="BD142" i="1"/>
  <c r="BD146" i="1"/>
  <c r="BD103" i="1"/>
  <c r="BD107" i="1"/>
  <c r="BD111" i="1"/>
  <c r="BD115" i="1"/>
  <c r="BD119" i="1"/>
  <c r="BD123" i="1"/>
  <c r="BD127" i="1"/>
  <c r="BD131" i="1"/>
  <c r="BD135" i="1"/>
  <c r="BD139" i="1"/>
  <c r="BD143" i="1"/>
  <c r="BD55" i="1"/>
  <c r="BD158" i="1"/>
  <c r="BD99" i="1"/>
  <c r="BD87" i="1"/>
  <c r="BD37" i="1"/>
  <c r="BD47" i="1"/>
  <c r="BD53" i="1"/>
  <c r="BD63" i="1"/>
  <c r="BD69" i="1"/>
  <c r="BD73" i="1"/>
  <c r="BD94" i="1"/>
  <c r="BD62" i="1"/>
  <c r="BD97" i="1"/>
  <c r="BD54" i="1"/>
  <c r="BD64" i="1"/>
  <c r="BD70" i="1"/>
  <c r="BD74" i="1"/>
  <c r="BD78" i="1"/>
  <c r="BD95" i="1"/>
  <c r="BD80" i="1"/>
  <c r="BD33" i="1"/>
  <c r="BD65" i="1"/>
  <c r="BD71" i="1"/>
  <c r="BD75" i="1"/>
  <c r="BD79" i="1"/>
  <c r="BD86" i="1"/>
  <c r="BD90" i="1"/>
  <c r="BD34" i="1"/>
  <c r="BD35" i="1"/>
  <c r="BD32" i="1"/>
  <c r="BD17" i="1"/>
  <c r="BD21" i="1"/>
  <c r="BD27" i="1"/>
  <c r="BD67" i="1"/>
  <c r="BD85" i="1"/>
  <c r="BD149" i="1"/>
  <c r="BD153" i="1"/>
  <c r="BD157" i="1"/>
  <c r="BD18" i="1"/>
  <c r="BD22" i="1"/>
  <c r="BD51" i="1"/>
  <c r="BD68" i="1"/>
  <c r="BD150" i="1"/>
  <c r="BD154" i="1"/>
  <c r="BD28" i="1"/>
  <c r="AP28" i="1" s="1"/>
  <c r="BD29" i="1"/>
  <c r="BD30" i="1"/>
  <c r="BD61" i="1"/>
  <c r="AR61" i="1" s="1"/>
  <c r="AP61" i="1" s="1"/>
  <c r="BD59" i="1"/>
  <c r="AR59" i="1" s="1"/>
  <c r="AP59" i="1" s="1"/>
  <c r="BD60" i="1"/>
  <c r="AR60" i="1" s="1"/>
  <c r="AP60" i="1" s="1"/>
  <c r="BD58" i="1"/>
  <c r="AR58" i="1" s="1"/>
  <c r="AP58" i="1" s="1"/>
  <c r="BD57" i="1"/>
  <c r="AR57" i="1" s="1"/>
  <c r="AP57" i="1" s="1"/>
  <c r="BD100" i="1"/>
  <c r="AR100" i="1" s="1"/>
  <c r="AP100" i="1" s="1"/>
  <c r="BD19" i="1"/>
  <c r="BD25" i="1"/>
  <c r="BD52" i="1"/>
  <c r="BD56" i="1"/>
  <c r="BD91" i="1"/>
  <c r="BD151" i="1"/>
  <c r="BD155" i="1"/>
  <c r="BD147" i="1"/>
  <c r="BD20" i="1"/>
  <c r="BD92" i="1"/>
  <c r="BD148" i="1"/>
  <c r="BD152" i="1"/>
  <c r="BD156" i="1"/>
  <c r="BD195" i="1"/>
  <c r="AO87" i="1"/>
  <c r="N87" i="1"/>
  <c r="AO80" i="1"/>
  <c r="N80" i="1"/>
  <c r="AO146" i="1"/>
  <c r="N146" i="1"/>
  <c r="AO144" i="1"/>
  <c r="N144" i="1"/>
  <c r="AO142" i="1"/>
  <c r="N142" i="1"/>
  <c r="AO140" i="1"/>
  <c r="N140" i="1"/>
  <c r="AO138" i="1"/>
  <c r="N138" i="1"/>
  <c r="AO136" i="1"/>
  <c r="N136" i="1"/>
  <c r="AO134" i="1"/>
  <c r="N134" i="1"/>
  <c r="AO132" i="1"/>
  <c r="N132" i="1"/>
  <c r="AO130" i="1"/>
  <c r="N130" i="1"/>
  <c r="AO128" i="1"/>
  <c r="N128" i="1"/>
  <c r="AO126" i="1"/>
  <c r="N126" i="1"/>
  <c r="AO124" i="1"/>
  <c r="N124" i="1"/>
  <c r="N117" i="1"/>
  <c r="AS117" i="1"/>
  <c r="AX117" i="1"/>
  <c r="BB117" i="1"/>
  <c r="N109" i="1"/>
  <c r="AS109" i="1"/>
  <c r="AO115" i="1"/>
  <c r="N115" i="1"/>
  <c r="AO113" i="1"/>
  <c r="N113" i="1"/>
  <c r="AO111" i="1"/>
  <c r="N111" i="1"/>
  <c r="AO107" i="1"/>
  <c r="N107" i="1"/>
  <c r="AO105" i="1"/>
  <c r="N105" i="1"/>
  <c r="AO103" i="1"/>
  <c r="N103" i="1"/>
  <c r="N179" i="1"/>
  <c r="AO63" i="1"/>
  <c r="N63" i="1"/>
  <c r="N56" i="1"/>
  <c r="AO54" i="1"/>
  <c r="N54" i="1"/>
  <c r="AO35" i="1"/>
  <c r="N35" i="1"/>
  <c r="AO33" i="1"/>
  <c r="N33" i="1"/>
  <c r="BI105" i="1" l="1"/>
  <c r="BE105" i="1"/>
  <c r="BH105" i="1"/>
  <c r="BJ105" i="1"/>
  <c r="BG105" i="1"/>
  <c r="BF105" i="1"/>
  <c r="BI115" i="1"/>
  <c r="BE115" i="1"/>
  <c r="BJ115" i="1"/>
  <c r="BG115" i="1"/>
  <c r="BF115" i="1"/>
  <c r="BH115" i="1"/>
  <c r="BG132" i="1"/>
  <c r="BH132" i="1"/>
  <c r="BI132" i="1"/>
  <c r="BJ132" i="1"/>
  <c r="BE132" i="1"/>
  <c r="BF132" i="1"/>
  <c r="BH63" i="1"/>
  <c r="BG63" i="1"/>
  <c r="BF63" i="1"/>
  <c r="BJ63" i="1"/>
  <c r="BI63" i="1"/>
  <c r="BE63" i="1"/>
  <c r="BI103" i="1"/>
  <c r="BE103" i="1"/>
  <c r="BJ103" i="1"/>
  <c r="BG103" i="1"/>
  <c r="BF103" i="1"/>
  <c r="BH103" i="1"/>
  <c r="BI107" i="1"/>
  <c r="BE107" i="1"/>
  <c r="BG107" i="1"/>
  <c r="BJ107" i="1"/>
  <c r="BH107" i="1"/>
  <c r="BF107" i="1"/>
  <c r="BI113" i="1"/>
  <c r="BE113" i="1"/>
  <c r="BF113" i="1"/>
  <c r="BJ113" i="1"/>
  <c r="BH113" i="1"/>
  <c r="BG113" i="1"/>
  <c r="BG126" i="1"/>
  <c r="BF126" i="1"/>
  <c r="BJ126" i="1"/>
  <c r="BI126" i="1"/>
  <c r="BH126" i="1"/>
  <c r="BE126" i="1"/>
  <c r="BI130" i="1"/>
  <c r="BJ130" i="1"/>
  <c r="BH130" i="1"/>
  <c r="BG130" i="1"/>
  <c r="BE130" i="1"/>
  <c r="BF130" i="1"/>
  <c r="BG134" i="1"/>
  <c r="BJ134" i="1"/>
  <c r="BE134" i="1"/>
  <c r="BI134" i="1"/>
  <c r="BH134" i="1"/>
  <c r="BF134" i="1"/>
  <c r="BG138" i="1"/>
  <c r="BH138" i="1"/>
  <c r="BF138" i="1"/>
  <c r="BE138" i="1"/>
  <c r="BJ138" i="1"/>
  <c r="BI138" i="1"/>
  <c r="BG142" i="1"/>
  <c r="BJ142" i="1"/>
  <c r="BE142" i="1"/>
  <c r="BI142" i="1"/>
  <c r="BF142" i="1"/>
  <c r="BH142" i="1"/>
  <c r="BG146" i="1"/>
  <c r="BH146" i="1"/>
  <c r="BI146" i="1"/>
  <c r="BF146" i="1"/>
  <c r="BJ146" i="1"/>
  <c r="BE146" i="1"/>
  <c r="BF87" i="1"/>
  <c r="BJ87" i="1"/>
  <c r="BI87" i="1"/>
  <c r="BG87" i="1"/>
  <c r="BH87" i="1"/>
  <c r="BE87" i="1"/>
  <c r="BI111" i="1"/>
  <c r="BE111" i="1"/>
  <c r="BG111" i="1"/>
  <c r="BJ111" i="1"/>
  <c r="BH111" i="1"/>
  <c r="BF111" i="1"/>
  <c r="BG124" i="1"/>
  <c r="BH124" i="1"/>
  <c r="BI124" i="1"/>
  <c r="BF124" i="1"/>
  <c r="BJ124" i="1"/>
  <c r="BE124" i="1"/>
  <c r="BG128" i="1"/>
  <c r="BJ128" i="1"/>
  <c r="BE128" i="1"/>
  <c r="BF128" i="1"/>
  <c r="BI128" i="1"/>
  <c r="BH128" i="1"/>
  <c r="BG136" i="1"/>
  <c r="BI136" i="1"/>
  <c r="BE136" i="1"/>
  <c r="BJ136" i="1"/>
  <c r="BH136" i="1"/>
  <c r="BF136" i="1"/>
  <c r="BG140" i="1"/>
  <c r="BF140" i="1"/>
  <c r="BI140" i="1"/>
  <c r="BH140" i="1"/>
  <c r="BJ140" i="1"/>
  <c r="BE140" i="1"/>
  <c r="BG144" i="1"/>
  <c r="BI144" i="1"/>
  <c r="BF144" i="1"/>
  <c r="BE144" i="1"/>
  <c r="BH144" i="1"/>
  <c r="BJ144" i="1"/>
  <c r="BJ80" i="1"/>
  <c r="BI80" i="1"/>
  <c r="BG80" i="1"/>
  <c r="BE80" i="1"/>
  <c r="BH80" i="1"/>
  <c r="BF80" i="1"/>
  <c r="BG35" i="1"/>
  <c r="BF35" i="1"/>
  <c r="BI35" i="1"/>
  <c r="BJ35" i="1"/>
  <c r="BH35" i="1"/>
  <c r="BE35" i="1"/>
  <c r="BJ33" i="1"/>
  <c r="BI33" i="1"/>
  <c r="BF33" i="1"/>
  <c r="BH33" i="1"/>
  <c r="BE33" i="1"/>
  <c r="BG33" i="1"/>
  <c r="BJ54" i="1"/>
  <c r="BI54" i="1"/>
  <c r="BH54" i="1"/>
  <c r="BF54" i="1"/>
  <c r="BE54" i="1"/>
  <c r="BG54" i="1"/>
  <c r="AR29" i="1"/>
  <c r="AP29" i="1" s="1"/>
  <c r="AR30" i="1"/>
  <c r="AP30" i="1" s="1"/>
  <c r="AV146" i="1"/>
  <c r="AW146" i="1" s="1"/>
  <c r="BA117" i="1"/>
  <c r="AV117" i="1"/>
  <c r="AW117" i="1" s="1"/>
  <c r="AZ117" i="1"/>
  <c r="AT117" i="1"/>
  <c r="AU117" i="1" s="1"/>
  <c r="AY134" i="1"/>
  <c r="BC117" i="1"/>
  <c r="AY117" i="1"/>
  <c r="AV136" i="1"/>
  <c r="AW136" i="1" s="1"/>
  <c r="AV128" i="1"/>
  <c r="AW128" i="1" s="1"/>
  <c r="AV130" i="1"/>
  <c r="AW130" i="1" s="1"/>
  <c r="AY130" i="1"/>
  <c r="BC130" i="1"/>
  <c r="AV132" i="1"/>
  <c r="AW132" i="1" s="1"/>
  <c r="AZ132" i="1"/>
  <c r="AV138" i="1"/>
  <c r="AW138" i="1" s="1"/>
  <c r="AZ138" i="1"/>
  <c r="AV140" i="1"/>
  <c r="AW140" i="1" s="1"/>
  <c r="BC140" i="1"/>
  <c r="AV142" i="1"/>
  <c r="AW142" i="1" s="1"/>
  <c r="AZ142" i="1"/>
  <c r="AV144" i="1"/>
  <c r="AW144" i="1" s="1"/>
  <c r="AX105" i="1"/>
  <c r="AR117" i="1"/>
  <c r="AX130" i="1"/>
  <c r="BB130" i="1"/>
  <c r="BC132" i="1"/>
  <c r="AZ87" i="1"/>
  <c r="BC87" i="1"/>
  <c r="AV87" i="1"/>
  <c r="AW87" i="1" s="1"/>
  <c r="AY87" i="1"/>
  <c r="AS87" i="1"/>
  <c r="BA87" i="1"/>
  <c r="AT87" i="1"/>
  <c r="AU87" i="1" s="1"/>
  <c r="AX87" i="1"/>
  <c r="BB87" i="1"/>
  <c r="AY80" i="1"/>
  <c r="AZ80" i="1"/>
  <c r="BC80" i="1"/>
  <c r="AV80" i="1"/>
  <c r="AW80" i="1" s="1"/>
  <c r="AS80" i="1"/>
  <c r="BA80" i="1"/>
  <c r="AT80" i="1"/>
  <c r="AU80" i="1" s="1"/>
  <c r="AX80" i="1"/>
  <c r="BB80" i="1"/>
  <c r="AZ146" i="1"/>
  <c r="BC146" i="1"/>
  <c r="AY146" i="1"/>
  <c r="AY144" i="1"/>
  <c r="AZ144" i="1"/>
  <c r="BC144" i="1"/>
  <c r="BC142" i="1"/>
  <c r="AY142" i="1"/>
  <c r="AY140" i="1"/>
  <c r="AZ140" i="1"/>
  <c r="BC138" i="1"/>
  <c r="AY138" i="1"/>
  <c r="AY136" i="1"/>
  <c r="AZ136" i="1"/>
  <c r="BC136" i="1"/>
  <c r="AS146" i="1"/>
  <c r="BA146" i="1"/>
  <c r="AT146" i="1"/>
  <c r="AU146" i="1" s="1"/>
  <c r="AX146" i="1"/>
  <c r="BB146" i="1"/>
  <c r="AS144" i="1"/>
  <c r="BA144" i="1"/>
  <c r="AT144" i="1"/>
  <c r="AU144" i="1" s="1"/>
  <c r="AX144" i="1"/>
  <c r="BB144" i="1"/>
  <c r="AS142" i="1"/>
  <c r="BA142" i="1"/>
  <c r="AT142" i="1"/>
  <c r="AU142" i="1" s="1"/>
  <c r="AX142" i="1"/>
  <c r="BB142" i="1"/>
  <c r="AS140" i="1"/>
  <c r="BA140" i="1"/>
  <c r="AT140" i="1"/>
  <c r="AU140" i="1" s="1"/>
  <c r="AX140" i="1"/>
  <c r="BB140" i="1"/>
  <c r="AS138" i="1"/>
  <c r="BA138" i="1"/>
  <c r="AT138" i="1"/>
  <c r="AU138" i="1" s="1"/>
  <c r="AX138" i="1"/>
  <c r="BB138" i="1"/>
  <c r="AS136" i="1"/>
  <c r="BA136" i="1"/>
  <c r="AT136" i="1"/>
  <c r="AU136" i="1" s="1"/>
  <c r="AX136" i="1"/>
  <c r="BB136" i="1"/>
  <c r="AT134" i="1"/>
  <c r="AU134" i="1" s="1"/>
  <c r="AZ134" i="1"/>
  <c r="AV134" i="1"/>
  <c r="AW134" i="1" s="1"/>
  <c r="BB134" i="1"/>
  <c r="AX134" i="1"/>
  <c r="BC134" i="1"/>
  <c r="AY132" i="1"/>
  <c r="AT130" i="1"/>
  <c r="AU130" i="1" s="1"/>
  <c r="AZ130" i="1"/>
  <c r="AZ128" i="1"/>
  <c r="AY128" i="1"/>
  <c r="BC128" i="1"/>
  <c r="AV124" i="1"/>
  <c r="AW124" i="1" s="1"/>
  <c r="AZ124" i="1"/>
  <c r="AY124" i="1"/>
  <c r="BC124" i="1"/>
  <c r="AS134" i="1"/>
  <c r="BA134" i="1"/>
  <c r="AS132" i="1"/>
  <c r="BA132" i="1"/>
  <c r="AT132" i="1"/>
  <c r="AU132" i="1" s="1"/>
  <c r="AX132" i="1"/>
  <c r="BB132" i="1"/>
  <c r="AS130" i="1"/>
  <c r="BA130" i="1"/>
  <c r="AS128" i="1"/>
  <c r="BA128" i="1"/>
  <c r="AT128" i="1"/>
  <c r="AU128" i="1" s="1"/>
  <c r="AX128" i="1"/>
  <c r="BB128" i="1"/>
  <c r="AS126" i="1"/>
  <c r="BA126" i="1"/>
  <c r="AT126" i="1"/>
  <c r="AU126" i="1" s="1"/>
  <c r="AX126" i="1"/>
  <c r="BB126" i="1"/>
  <c r="AY126" i="1"/>
  <c r="BC126" i="1"/>
  <c r="AV126" i="1"/>
  <c r="AW126" i="1" s="1"/>
  <c r="AZ126" i="1"/>
  <c r="AS124" i="1"/>
  <c r="BA124" i="1"/>
  <c r="AT124" i="1"/>
  <c r="AU124" i="1" s="1"/>
  <c r="AX124" i="1"/>
  <c r="BB124" i="1"/>
  <c r="BA109" i="1"/>
  <c r="BC105" i="1"/>
  <c r="AZ109" i="1"/>
  <c r="AV109" i="1"/>
  <c r="AW109" i="1" s="1"/>
  <c r="AV107" i="1"/>
  <c r="AW107" i="1" s="1"/>
  <c r="AV113" i="1"/>
  <c r="AW113" i="1" s="1"/>
  <c r="BC109" i="1"/>
  <c r="AY109" i="1"/>
  <c r="AY105" i="1"/>
  <c r="BC107" i="1"/>
  <c r="BC113" i="1"/>
  <c r="BB109" i="1"/>
  <c r="AX109" i="1"/>
  <c r="AT109" i="1"/>
  <c r="AU109" i="1" s="1"/>
  <c r="AY103" i="1"/>
  <c r="AY115" i="1"/>
  <c r="AZ103" i="1"/>
  <c r="AZ115" i="1"/>
  <c r="BC103" i="1"/>
  <c r="AT105" i="1"/>
  <c r="AU105" i="1" s="1"/>
  <c r="AZ105" i="1"/>
  <c r="AY107" i="1"/>
  <c r="AY113" i="1"/>
  <c r="BC115" i="1"/>
  <c r="AV103" i="1"/>
  <c r="AW103" i="1" s="1"/>
  <c r="AV105" i="1"/>
  <c r="AW105" i="1" s="1"/>
  <c r="BB105" i="1"/>
  <c r="AZ107" i="1"/>
  <c r="AZ113" i="1"/>
  <c r="AV115" i="1"/>
  <c r="AW115" i="1" s="1"/>
  <c r="AS115" i="1"/>
  <c r="BA115" i="1"/>
  <c r="AT115" i="1"/>
  <c r="AU115" i="1" s="1"/>
  <c r="AX115" i="1"/>
  <c r="BB115" i="1"/>
  <c r="AS113" i="1"/>
  <c r="BA113" i="1"/>
  <c r="AT113" i="1"/>
  <c r="AU113" i="1" s="1"/>
  <c r="AX113" i="1"/>
  <c r="BB113" i="1"/>
  <c r="AS111" i="1"/>
  <c r="BA111" i="1"/>
  <c r="AY111" i="1"/>
  <c r="BC111" i="1"/>
  <c r="AV111" i="1"/>
  <c r="AW111" i="1" s="1"/>
  <c r="AZ111" i="1"/>
  <c r="AT111" i="1"/>
  <c r="AU111" i="1" s="1"/>
  <c r="AX111" i="1"/>
  <c r="BB111" i="1"/>
  <c r="AS107" i="1"/>
  <c r="BA107" i="1"/>
  <c r="AT107" i="1"/>
  <c r="AU107" i="1" s="1"/>
  <c r="AX107" i="1"/>
  <c r="BB107" i="1"/>
  <c r="AS105" i="1"/>
  <c r="BA105" i="1"/>
  <c r="AS103" i="1"/>
  <c r="BA103" i="1"/>
  <c r="AT103" i="1"/>
  <c r="AU103" i="1" s="1"/>
  <c r="AX103" i="1"/>
  <c r="BB103" i="1"/>
  <c r="BC56" i="1"/>
  <c r="AZ63" i="1"/>
  <c r="BC63" i="1"/>
  <c r="AY35" i="1"/>
  <c r="AV56" i="1"/>
  <c r="AW56" i="1" s="1"/>
  <c r="AV63" i="1"/>
  <c r="AW63" i="1" s="1"/>
  <c r="AY56" i="1"/>
  <c r="AZ56" i="1"/>
  <c r="AY54" i="1"/>
  <c r="AZ54" i="1"/>
  <c r="BC54" i="1"/>
  <c r="AV54" i="1"/>
  <c r="AW54" i="1" s="1"/>
  <c r="AY63" i="1"/>
  <c r="AS63" i="1"/>
  <c r="BA63" i="1"/>
  <c r="AT63" i="1"/>
  <c r="AU63" i="1" s="1"/>
  <c r="AX63" i="1"/>
  <c r="BB63" i="1"/>
  <c r="AS56" i="1"/>
  <c r="BA56" i="1"/>
  <c r="AT56" i="1"/>
  <c r="AU56" i="1" s="1"/>
  <c r="AX56" i="1"/>
  <c r="BB56" i="1"/>
  <c r="AS54" i="1"/>
  <c r="BA54" i="1"/>
  <c r="AT54" i="1"/>
  <c r="AU54" i="1" s="1"/>
  <c r="AX54" i="1"/>
  <c r="BB54" i="1"/>
  <c r="AT35" i="1"/>
  <c r="AU35" i="1" s="1"/>
  <c r="AZ35" i="1"/>
  <c r="AV35" i="1"/>
  <c r="AW35" i="1" s="1"/>
  <c r="BB35" i="1"/>
  <c r="AX35" i="1"/>
  <c r="BC35" i="1"/>
  <c r="AY33" i="1"/>
  <c r="BC33" i="1"/>
  <c r="AX33" i="1"/>
  <c r="AT33" i="1"/>
  <c r="AU33" i="1" s="1"/>
  <c r="AZ33" i="1"/>
  <c r="AV33" i="1"/>
  <c r="AW33" i="1" s="1"/>
  <c r="BB33" i="1"/>
  <c r="AS35" i="1"/>
  <c r="BA35" i="1"/>
  <c r="AS33" i="1"/>
  <c r="BA33" i="1"/>
  <c r="AV197" i="1"/>
  <c r="AV196" i="1"/>
  <c r="AV193" i="1"/>
  <c r="AV192" i="1"/>
  <c r="AV191" i="1"/>
  <c r="AV190" i="1"/>
  <c r="AV187" i="1"/>
  <c r="AV121" i="1"/>
  <c r="AV89" i="1"/>
  <c r="AV82" i="1"/>
  <c r="AV66" i="1"/>
  <c r="AV38" i="1"/>
  <c r="AV43" i="1"/>
  <c r="AR35" i="1" l="1"/>
  <c r="AR33" i="1"/>
  <c r="AR138" i="1"/>
  <c r="AR128" i="1"/>
  <c r="AQ117" i="1"/>
  <c r="AP117" i="1" s="1"/>
  <c r="AR124" i="1"/>
  <c r="AR87" i="1"/>
  <c r="AR105" i="1"/>
  <c r="AR136" i="1"/>
  <c r="AR140" i="1"/>
  <c r="AQ134" i="1"/>
  <c r="AR107" i="1"/>
  <c r="AR111" i="1"/>
  <c r="AR113" i="1"/>
  <c r="AR115" i="1"/>
  <c r="AR109" i="1"/>
  <c r="AR126" i="1"/>
  <c r="AR103" i="1"/>
  <c r="AR142" i="1"/>
  <c r="AR144" i="1"/>
  <c r="AR146" i="1"/>
  <c r="AR80" i="1"/>
  <c r="AQ87" i="1"/>
  <c r="AQ80" i="1"/>
  <c r="AQ136" i="1"/>
  <c r="AQ144" i="1"/>
  <c r="AQ103" i="1"/>
  <c r="AQ146" i="1"/>
  <c r="AQ142" i="1"/>
  <c r="AQ140" i="1"/>
  <c r="AQ138" i="1"/>
  <c r="AR134" i="1"/>
  <c r="AR132" i="1"/>
  <c r="AQ132" i="1"/>
  <c r="AR130" i="1"/>
  <c r="AQ130" i="1"/>
  <c r="AQ128" i="1"/>
  <c r="AQ126" i="1"/>
  <c r="AQ124" i="1"/>
  <c r="AQ115" i="1"/>
  <c r="AQ113" i="1"/>
  <c r="AQ111" i="1"/>
  <c r="AQ109" i="1"/>
  <c r="AP109" i="1" s="1"/>
  <c r="AQ107" i="1"/>
  <c r="AQ105" i="1"/>
  <c r="AQ56" i="1"/>
  <c r="AR54" i="1"/>
  <c r="AR56" i="1"/>
  <c r="AQ54" i="1"/>
  <c r="AR63" i="1"/>
  <c r="AQ63" i="1"/>
  <c r="AQ35" i="1"/>
  <c r="AQ33" i="1"/>
  <c r="AO31" i="1"/>
  <c r="AO32" i="1"/>
  <c r="N195" i="1"/>
  <c r="N194" i="1"/>
  <c r="N193" i="1"/>
  <c r="N192" i="1"/>
  <c r="N191" i="1"/>
  <c r="N190" i="1"/>
  <c r="N189" i="1"/>
  <c r="N188" i="1"/>
  <c r="N187" i="1"/>
  <c r="N186" i="1"/>
  <c r="N185" i="1"/>
  <c r="N184" i="1"/>
  <c r="N181" i="1"/>
  <c r="N180" i="1"/>
  <c r="N178" i="1"/>
  <c r="N177" i="1"/>
  <c r="N174" i="1"/>
  <c r="N173" i="1"/>
  <c r="N172" i="1"/>
  <c r="N171" i="1"/>
  <c r="N170" i="1"/>
  <c r="N169" i="1"/>
  <c r="N167" i="1"/>
  <c r="N166" i="1"/>
  <c r="N165" i="1"/>
  <c r="N164" i="1"/>
  <c r="N160" i="1"/>
  <c r="N159" i="1"/>
  <c r="N158" i="1"/>
  <c r="N157" i="1"/>
  <c r="N156" i="1"/>
  <c r="N155" i="1"/>
  <c r="N154" i="1"/>
  <c r="N153" i="1"/>
  <c r="N152" i="1"/>
  <c r="N151" i="1"/>
  <c r="N150" i="1"/>
  <c r="N149" i="1"/>
  <c r="N148" i="1"/>
  <c r="N147" i="1"/>
  <c r="N145" i="1"/>
  <c r="N143" i="1"/>
  <c r="N141" i="1"/>
  <c r="N139" i="1"/>
  <c r="N137" i="1"/>
  <c r="N135" i="1"/>
  <c r="N133" i="1"/>
  <c r="N131" i="1"/>
  <c r="N129" i="1"/>
  <c r="N127" i="1"/>
  <c r="N125" i="1"/>
  <c r="N123" i="1"/>
  <c r="N122" i="1"/>
  <c r="N121" i="1"/>
  <c r="N120" i="1"/>
  <c r="N119" i="1"/>
  <c r="N118" i="1"/>
  <c r="N116" i="1"/>
  <c r="N114" i="1"/>
  <c r="N112" i="1"/>
  <c r="N110" i="1"/>
  <c r="N108" i="1"/>
  <c r="N106" i="1"/>
  <c r="N104" i="1"/>
  <c r="N102" i="1"/>
  <c r="N101" i="1"/>
  <c r="N97" i="1"/>
  <c r="N96" i="1"/>
  <c r="N95" i="1"/>
  <c r="N94" i="1"/>
  <c r="N93" i="1"/>
  <c r="N92" i="1"/>
  <c r="N91" i="1"/>
  <c r="N90" i="1"/>
  <c r="N89" i="1"/>
  <c r="N88" i="1"/>
  <c r="N86" i="1"/>
  <c r="N85" i="1"/>
  <c r="N82" i="1"/>
  <c r="N81" i="1"/>
  <c r="N79" i="1"/>
  <c r="N78" i="1"/>
  <c r="N77" i="1"/>
  <c r="N76" i="1"/>
  <c r="N75" i="1"/>
  <c r="N74" i="1"/>
  <c r="N73" i="1"/>
  <c r="N72" i="1"/>
  <c r="N71" i="1"/>
  <c r="N70" i="1"/>
  <c r="N69" i="1"/>
  <c r="N68" i="1"/>
  <c r="N67" i="1"/>
  <c r="N66" i="1"/>
  <c r="N65" i="1"/>
  <c r="N64" i="1"/>
  <c r="N62" i="1"/>
  <c r="N55" i="1"/>
  <c r="N53" i="1"/>
  <c r="N52" i="1"/>
  <c r="N51" i="1"/>
  <c r="N50" i="1"/>
  <c r="N49" i="1"/>
  <c r="N48" i="1"/>
  <c r="N47" i="1"/>
  <c r="N46" i="1"/>
  <c r="N45" i="1"/>
  <c r="N44" i="1"/>
  <c r="N43" i="1"/>
  <c r="N40" i="1"/>
  <c r="N39" i="1"/>
  <c r="N38" i="1"/>
  <c r="N37" i="1"/>
  <c r="N36" i="1"/>
  <c r="N34" i="1"/>
  <c r="N31" i="1"/>
  <c r="N27" i="1"/>
  <c r="N26" i="1"/>
  <c r="N25" i="1"/>
  <c r="N22" i="1"/>
  <c r="AF2" i="11" s="1"/>
  <c r="N21" i="1"/>
  <c r="AE2" i="11" s="1"/>
  <c r="N20" i="1"/>
  <c r="AD2" i="11" s="1"/>
  <c r="N19" i="1"/>
  <c r="AC2" i="11" s="1"/>
  <c r="N18" i="1"/>
  <c r="AB2" i="11" s="1"/>
  <c r="N17" i="1"/>
  <c r="AA2" i="11" s="1"/>
  <c r="N16" i="1"/>
  <c r="N32" i="1"/>
  <c r="AP56" i="1" l="1"/>
  <c r="AG2" i="11"/>
  <c r="AI2" i="11"/>
  <c r="AV31" i="1"/>
  <c r="BH31" i="1"/>
  <c r="BJ31" i="1"/>
  <c r="BF31" i="1"/>
  <c r="AR31" i="1"/>
  <c r="BI31" i="1"/>
  <c r="BE31" i="1"/>
  <c r="BG31" i="1"/>
  <c r="AV32" i="1"/>
  <c r="BJ32" i="1"/>
  <c r="BF32" i="1"/>
  <c r="BH32" i="1"/>
  <c r="BG32" i="1"/>
  <c r="AR32" i="1"/>
  <c r="BE32" i="1"/>
  <c r="BI32" i="1"/>
  <c r="AP138" i="1"/>
  <c r="AP140" i="1"/>
  <c r="AP136" i="1"/>
  <c r="AP107" i="1"/>
  <c r="AP142" i="1"/>
  <c r="AP115" i="1"/>
  <c r="AP134" i="1"/>
  <c r="AP105" i="1"/>
  <c r="AP128" i="1"/>
  <c r="AP130" i="1"/>
  <c r="AP87" i="1"/>
  <c r="AP132" i="1"/>
  <c r="AP144" i="1"/>
  <c r="AP113" i="1"/>
  <c r="AP124" i="1"/>
  <c r="AP146" i="1"/>
  <c r="AP80" i="1"/>
  <c r="AP111" i="1"/>
  <c r="AP126" i="1"/>
  <c r="AP103" i="1"/>
  <c r="AP33" i="1"/>
  <c r="AP63" i="1"/>
  <c r="AP35" i="1"/>
  <c r="AP54" i="1"/>
  <c r="AO17" i="1"/>
  <c r="AO18" i="1"/>
  <c r="AO19" i="1"/>
  <c r="AO20" i="1"/>
  <c r="AO21" i="1"/>
  <c r="AO22" i="1"/>
  <c r="AO25" i="1"/>
  <c r="AO26" i="1"/>
  <c r="AV27" i="1"/>
  <c r="AO34" i="1"/>
  <c r="AO36" i="1"/>
  <c r="AO37" i="1"/>
  <c r="AO39" i="1"/>
  <c r="AO40" i="1"/>
  <c r="AV44" i="1"/>
  <c r="AV45" i="1"/>
  <c r="AV46" i="1"/>
  <c r="AO47" i="1"/>
  <c r="AV48" i="1"/>
  <c r="AV49" i="1"/>
  <c r="AV50" i="1"/>
  <c r="AO51" i="1"/>
  <c r="AO52" i="1"/>
  <c r="AO53" i="1"/>
  <c r="AO55" i="1"/>
  <c r="AO62" i="1"/>
  <c r="AO64" i="1"/>
  <c r="AO65" i="1"/>
  <c r="AO67" i="1"/>
  <c r="AO68" i="1"/>
  <c r="AV69" i="1"/>
  <c r="AV70" i="1"/>
  <c r="AV71" i="1"/>
  <c r="AV72" i="1"/>
  <c r="AV73" i="1"/>
  <c r="AO74" i="1"/>
  <c r="AO75" i="1"/>
  <c r="AO76" i="1"/>
  <c r="AO77" i="1"/>
  <c r="AO78" i="1"/>
  <c r="AO79" i="1"/>
  <c r="AO81" i="1"/>
  <c r="AO85" i="1"/>
  <c r="AO86" i="1"/>
  <c r="AO88" i="1"/>
  <c r="AV90" i="1"/>
  <c r="AO91" i="1"/>
  <c r="AO92" i="1"/>
  <c r="AO93" i="1"/>
  <c r="AV94" i="1"/>
  <c r="AV95" i="1"/>
  <c r="AO96" i="1"/>
  <c r="AO101" i="1"/>
  <c r="AO102" i="1"/>
  <c r="AO104" i="1"/>
  <c r="AO106" i="1"/>
  <c r="AO108" i="1"/>
  <c r="AO110" i="1"/>
  <c r="AO112" i="1"/>
  <c r="AO114" i="1"/>
  <c r="AO116" i="1"/>
  <c r="AO118" i="1"/>
  <c r="AO119" i="1"/>
  <c r="AO120" i="1"/>
  <c r="AO122" i="1"/>
  <c r="AO123" i="1"/>
  <c r="AO125" i="1"/>
  <c r="AO127" i="1"/>
  <c r="AO129" i="1"/>
  <c r="AO131" i="1"/>
  <c r="AO133" i="1"/>
  <c r="AO135" i="1"/>
  <c r="AO137" i="1"/>
  <c r="AO139" i="1"/>
  <c r="AO141" i="1"/>
  <c r="AO143" i="1"/>
  <c r="AO145" i="1"/>
  <c r="AO147" i="1"/>
  <c r="AO148" i="1"/>
  <c r="AO149" i="1"/>
  <c r="AO150" i="1"/>
  <c r="AO151" i="1"/>
  <c r="AO152" i="1"/>
  <c r="AO153" i="1"/>
  <c r="AO154" i="1"/>
  <c r="AO155" i="1"/>
  <c r="AO156" i="1"/>
  <c r="AO157" i="1"/>
  <c r="AO158" i="1"/>
  <c r="AO159" i="1"/>
  <c r="AO160" i="1"/>
  <c r="AO164" i="1"/>
  <c r="AO165" i="1"/>
  <c r="AO166" i="1"/>
  <c r="AO184" i="1"/>
  <c r="AO185" i="1"/>
  <c r="AO186" i="1"/>
  <c r="AO188" i="1"/>
  <c r="AO189" i="1"/>
  <c r="AO194" i="1"/>
  <c r="AO195" i="1"/>
  <c r="BI165" i="1" l="1"/>
  <c r="BA165" i="1"/>
  <c r="AR165" i="1"/>
  <c r="AP165" i="1"/>
  <c r="BH165" i="1"/>
  <c r="AZ165" i="1"/>
  <c r="AQ165" i="1"/>
  <c r="BE165" i="1"/>
  <c r="AV165" i="1"/>
  <c r="AW165" i="1" s="1"/>
  <c r="BJ165" i="1"/>
  <c r="AS165" i="1"/>
  <c r="BG165" i="1"/>
  <c r="AY165" i="1"/>
  <c r="BF165" i="1"/>
  <c r="AX165" i="1"/>
  <c r="BC165" i="1"/>
  <c r="AT165" i="1"/>
  <c r="AU165" i="1" s="1"/>
  <c r="BB165" i="1"/>
  <c r="BG164" i="1"/>
  <c r="AY164" i="1"/>
  <c r="AQ164" i="1"/>
  <c r="AP164" i="1"/>
  <c r="BF164" i="1"/>
  <c r="AX164" i="1"/>
  <c r="BC164" i="1"/>
  <c r="AR164" i="1"/>
  <c r="BE164" i="1"/>
  <c r="AV164" i="1"/>
  <c r="AW164" i="1" s="1"/>
  <c r="BH164" i="1"/>
  <c r="BJ164" i="1"/>
  <c r="BB164" i="1"/>
  <c r="AT164" i="1"/>
  <c r="AU164" i="1" s="1"/>
  <c r="BI164" i="1"/>
  <c r="BA164" i="1"/>
  <c r="AS164" i="1"/>
  <c r="AZ164" i="1"/>
  <c r="BC166" i="1"/>
  <c r="AT166" i="1"/>
  <c r="AU166" i="1" s="1"/>
  <c r="BG166" i="1"/>
  <c r="AY166" i="1"/>
  <c r="BJ166" i="1"/>
  <c r="BB166" i="1"/>
  <c r="AS166" i="1"/>
  <c r="AP166" i="1"/>
  <c r="BI166" i="1"/>
  <c r="BA166" i="1"/>
  <c r="AR166" i="1"/>
  <c r="BH166" i="1"/>
  <c r="AZ166" i="1"/>
  <c r="AQ166" i="1"/>
  <c r="AV166" i="1"/>
  <c r="AW166" i="1" s="1"/>
  <c r="BF166" i="1"/>
  <c r="AX166" i="1"/>
  <c r="BE166" i="1"/>
  <c r="BF160" i="1"/>
  <c r="AX160" i="1"/>
  <c r="BC160" i="1"/>
  <c r="AS160" i="1"/>
  <c r="BE160" i="1"/>
  <c r="AV160" i="1"/>
  <c r="AW160" i="1" s="1"/>
  <c r="AY160" i="1"/>
  <c r="AT160" i="1"/>
  <c r="AU160" i="1" s="1"/>
  <c r="BI160" i="1"/>
  <c r="BA160" i="1"/>
  <c r="AQ160" i="1"/>
  <c r="BG160" i="1"/>
  <c r="BJ160" i="1"/>
  <c r="BB160" i="1"/>
  <c r="AR160" i="1"/>
  <c r="BH160" i="1"/>
  <c r="AZ160" i="1"/>
  <c r="AP160" i="1"/>
  <c r="AV189" i="1"/>
  <c r="BG189" i="1"/>
  <c r="BH189" i="1"/>
  <c r="BI189" i="1"/>
  <c r="BF189" i="1"/>
  <c r="BJ189" i="1"/>
  <c r="BE189" i="1"/>
  <c r="AV184" i="1"/>
  <c r="BI184" i="1"/>
  <c r="BE184" i="1"/>
  <c r="BG184" i="1"/>
  <c r="BH184" i="1"/>
  <c r="BF184" i="1"/>
  <c r="BJ184" i="1"/>
  <c r="AV156" i="1"/>
  <c r="BG156" i="1"/>
  <c r="BF156" i="1"/>
  <c r="BE156" i="1"/>
  <c r="BJ156" i="1"/>
  <c r="BH156" i="1"/>
  <c r="BI156" i="1"/>
  <c r="AV152" i="1"/>
  <c r="BG152" i="1"/>
  <c r="BI152" i="1"/>
  <c r="BH152" i="1"/>
  <c r="BF152" i="1"/>
  <c r="BJ152" i="1"/>
  <c r="BE152" i="1"/>
  <c r="AV148" i="1"/>
  <c r="BG148" i="1"/>
  <c r="BF148" i="1"/>
  <c r="BJ148" i="1"/>
  <c r="BI148" i="1"/>
  <c r="BH148" i="1"/>
  <c r="BE148" i="1"/>
  <c r="AV141" i="1"/>
  <c r="BI141" i="1"/>
  <c r="BE141" i="1"/>
  <c r="BF141" i="1"/>
  <c r="BJ141" i="1"/>
  <c r="BH141" i="1"/>
  <c r="BG141" i="1"/>
  <c r="AV133" i="1"/>
  <c r="BI133" i="1"/>
  <c r="BE133" i="1"/>
  <c r="BF133" i="1"/>
  <c r="BH133" i="1"/>
  <c r="BG133" i="1"/>
  <c r="BJ133" i="1"/>
  <c r="AV125" i="1"/>
  <c r="BI125" i="1"/>
  <c r="BE125" i="1"/>
  <c r="BG125" i="1"/>
  <c r="BJ125" i="1"/>
  <c r="BH125" i="1"/>
  <c r="BF125" i="1"/>
  <c r="AV119" i="1"/>
  <c r="BI119" i="1"/>
  <c r="BE119" i="1"/>
  <c r="BJ119" i="1"/>
  <c r="BG119" i="1"/>
  <c r="BF119" i="1"/>
  <c r="BH119" i="1"/>
  <c r="AV112" i="1"/>
  <c r="BG112" i="1"/>
  <c r="BF112" i="1"/>
  <c r="BJ112" i="1"/>
  <c r="BI112" i="1"/>
  <c r="BH112" i="1"/>
  <c r="BE112" i="1"/>
  <c r="AV104" i="1"/>
  <c r="BG104" i="1"/>
  <c r="BI104" i="1"/>
  <c r="BH104" i="1"/>
  <c r="BF104" i="1"/>
  <c r="BE104" i="1"/>
  <c r="BJ104" i="1"/>
  <c r="AV188" i="1"/>
  <c r="BI188" i="1"/>
  <c r="BE188" i="1"/>
  <c r="BH188" i="1"/>
  <c r="BG188" i="1"/>
  <c r="BF188" i="1"/>
  <c r="BJ188" i="1"/>
  <c r="AV159" i="1"/>
  <c r="BI159" i="1"/>
  <c r="BE159" i="1"/>
  <c r="BJ159" i="1"/>
  <c r="BH159" i="1"/>
  <c r="BG159" i="1"/>
  <c r="BF159" i="1"/>
  <c r="AV155" i="1"/>
  <c r="BI155" i="1"/>
  <c r="BE155" i="1"/>
  <c r="BG155" i="1"/>
  <c r="BJ155" i="1"/>
  <c r="BH155" i="1"/>
  <c r="BF155" i="1"/>
  <c r="AV151" i="1"/>
  <c r="BI151" i="1"/>
  <c r="BE151" i="1"/>
  <c r="BJ151" i="1"/>
  <c r="BG151" i="1"/>
  <c r="BF151" i="1"/>
  <c r="BH151" i="1"/>
  <c r="AV147" i="1"/>
  <c r="BI147" i="1"/>
  <c r="BE147" i="1"/>
  <c r="BG147" i="1"/>
  <c r="BJ147" i="1"/>
  <c r="BH147" i="1"/>
  <c r="BF147" i="1"/>
  <c r="AV139" i="1"/>
  <c r="BI139" i="1"/>
  <c r="BE139" i="1"/>
  <c r="BG139" i="1"/>
  <c r="BH139" i="1"/>
  <c r="BF139" i="1"/>
  <c r="BJ139" i="1"/>
  <c r="AV131" i="1"/>
  <c r="BG131" i="1"/>
  <c r="BJ131" i="1"/>
  <c r="BE131" i="1"/>
  <c r="BI131" i="1"/>
  <c r="BH131" i="1"/>
  <c r="BF131" i="1"/>
  <c r="AV123" i="1"/>
  <c r="BI123" i="1"/>
  <c r="BE123" i="1"/>
  <c r="BH123" i="1"/>
  <c r="BG123" i="1"/>
  <c r="BF123" i="1"/>
  <c r="BJ123" i="1"/>
  <c r="AV118" i="1"/>
  <c r="BG118" i="1"/>
  <c r="BJ118" i="1"/>
  <c r="BE118" i="1"/>
  <c r="BF118" i="1"/>
  <c r="BI118" i="1"/>
  <c r="BH118" i="1"/>
  <c r="AV110" i="1"/>
  <c r="BG110" i="1"/>
  <c r="BH110" i="1"/>
  <c r="BI110" i="1"/>
  <c r="BF110" i="1"/>
  <c r="BE110" i="1"/>
  <c r="BJ110" i="1"/>
  <c r="AV195" i="1"/>
  <c r="AW195" i="1" s="1"/>
  <c r="BG195" i="1"/>
  <c r="BF195" i="1"/>
  <c r="BJ195" i="1"/>
  <c r="BI195" i="1"/>
  <c r="BE195" i="1"/>
  <c r="BH195" i="1"/>
  <c r="AV186" i="1"/>
  <c r="BI186" i="1"/>
  <c r="BE186" i="1"/>
  <c r="BF186" i="1"/>
  <c r="BJ186" i="1"/>
  <c r="BH186" i="1"/>
  <c r="BG186" i="1"/>
  <c r="AV158" i="1"/>
  <c r="BG158" i="1"/>
  <c r="BJ158" i="1"/>
  <c r="BE158" i="1"/>
  <c r="BH158" i="1"/>
  <c r="BF158" i="1"/>
  <c r="BI158" i="1"/>
  <c r="AV154" i="1"/>
  <c r="BG154" i="1"/>
  <c r="BH154" i="1"/>
  <c r="BJ154" i="1"/>
  <c r="BI154" i="1"/>
  <c r="BE154" i="1"/>
  <c r="BF154" i="1"/>
  <c r="AV150" i="1"/>
  <c r="BG150" i="1"/>
  <c r="BJ150" i="1"/>
  <c r="BE150" i="1"/>
  <c r="BF150" i="1"/>
  <c r="BI150" i="1"/>
  <c r="BH150" i="1"/>
  <c r="AV145" i="1"/>
  <c r="BI145" i="1"/>
  <c r="BE145" i="1"/>
  <c r="BH145" i="1"/>
  <c r="BG145" i="1"/>
  <c r="BF145" i="1"/>
  <c r="BJ145" i="1"/>
  <c r="AV137" i="1"/>
  <c r="BI137" i="1"/>
  <c r="BE137" i="1"/>
  <c r="BH137" i="1"/>
  <c r="BF137" i="1"/>
  <c r="BG137" i="1"/>
  <c r="BJ137" i="1"/>
  <c r="AV129" i="1"/>
  <c r="BI129" i="1"/>
  <c r="BE129" i="1"/>
  <c r="BJ129" i="1"/>
  <c r="BG129" i="1"/>
  <c r="BF129" i="1"/>
  <c r="BH129" i="1"/>
  <c r="AV122" i="1"/>
  <c r="BG122" i="1"/>
  <c r="BI122" i="1"/>
  <c r="BF122" i="1"/>
  <c r="BH122" i="1"/>
  <c r="BE122" i="1"/>
  <c r="BJ122" i="1"/>
  <c r="AV116" i="1"/>
  <c r="BG116" i="1"/>
  <c r="BI116" i="1"/>
  <c r="BH116" i="1"/>
  <c r="BF116" i="1"/>
  <c r="BE116" i="1"/>
  <c r="BJ116" i="1"/>
  <c r="AV108" i="1"/>
  <c r="BG108" i="1"/>
  <c r="BF108" i="1"/>
  <c r="BE108" i="1"/>
  <c r="BJ108" i="1"/>
  <c r="BI108" i="1"/>
  <c r="BH108" i="1"/>
  <c r="AV194" i="1"/>
  <c r="AW194" i="1" s="1"/>
  <c r="BI194" i="1"/>
  <c r="BE194" i="1"/>
  <c r="BG194" i="1"/>
  <c r="BJ194" i="1"/>
  <c r="BH194" i="1"/>
  <c r="BF194" i="1"/>
  <c r="AV185" i="1"/>
  <c r="BG185" i="1"/>
  <c r="BF185" i="1"/>
  <c r="BI185" i="1"/>
  <c r="BH185" i="1"/>
  <c r="BJ185" i="1"/>
  <c r="BE185" i="1"/>
  <c r="AV157" i="1"/>
  <c r="BI157" i="1"/>
  <c r="BE157" i="1"/>
  <c r="BF157" i="1"/>
  <c r="BG157" i="1"/>
  <c r="BJ157" i="1"/>
  <c r="BH157" i="1"/>
  <c r="AV153" i="1"/>
  <c r="BI153" i="1"/>
  <c r="BE153" i="1"/>
  <c r="BH153" i="1"/>
  <c r="BJ153" i="1"/>
  <c r="BG153" i="1"/>
  <c r="BF153" i="1"/>
  <c r="BI149" i="1"/>
  <c r="BE149" i="1"/>
  <c r="BF149" i="1"/>
  <c r="BJ149" i="1"/>
  <c r="BG149" i="1"/>
  <c r="BH149" i="1"/>
  <c r="AV143" i="1"/>
  <c r="BI143" i="1"/>
  <c r="BE143" i="1"/>
  <c r="BJ143" i="1"/>
  <c r="BF143" i="1"/>
  <c r="BH143" i="1"/>
  <c r="BG143" i="1"/>
  <c r="AV135" i="1"/>
  <c r="BI135" i="1"/>
  <c r="BE135" i="1"/>
  <c r="BJ135" i="1"/>
  <c r="BH135" i="1"/>
  <c r="BF135" i="1"/>
  <c r="BG135" i="1"/>
  <c r="AV127" i="1"/>
  <c r="BI127" i="1"/>
  <c r="BE127" i="1"/>
  <c r="BF127" i="1"/>
  <c r="BJ127" i="1"/>
  <c r="BG127" i="1"/>
  <c r="BH127" i="1"/>
  <c r="AV120" i="1"/>
  <c r="BG120" i="1"/>
  <c r="BH120" i="1"/>
  <c r="BJ120" i="1"/>
  <c r="BI120" i="1"/>
  <c r="BF120" i="1"/>
  <c r="BE120" i="1"/>
  <c r="AV114" i="1"/>
  <c r="BG114" i="1"/>
  <c r="BJ114" i="1"/>
  <c r="BE114" i="1"/>
  <c r="BF114" i="1"/>
  <c r="BI114" i="1"/>
  <c r="BH114" i="1"/>
  <c r="AV106" i="1"/>
  <c r="BG106" i="1"/>
  <c r="BH106" i="1"/>
  <c r="BJ106" i="1"/>
  <c r="BI106" i="1"/>
  <c r="BF106" i="1"/>
  <c r="BE106" i="1"/>
  <c r="AV102" i="1"/>
  <c r="BG102" i="1"/>
  <c r="BI102" i="1"/>
  <c r="BE102" i="1"/>
  <c r="BH102" i="1"/>
  <c r="BJ102" i="1"/>
  <c r="BF102" i="1"/>
  <c r="AV85" i="1"/>
  <c r="BI85" i="1"/>
  <c r="BE85" i="1"/>
  <c r="BG85" i="1"/>
  <c r="BJ85" i="1"/>
  <c r="BF85" i="1"/>
  <c r="BH85" i="1"/>
  <c r="AV52" i="1"/>
  <c r="BJ52" i="1"/>
  <c r="BF52" i="1"/>
  <c r="BH52" i="1"/>
  <c r="BG52" i="1"/>
  <c r="BI52" i="1"/>
  <c r="BE52" i="1"/>
  <c r="BH25" i="1"/>
  <c r="BJ25" i="1"/>
  <c r="BF25" i="1"/>
  <c r="BI25" i="1"/>
  <c r="BE25" i="1"/>
  <c r="BG25" i="1"/>
  <c r="BH19" i="1"/>
  <c r="BJ19" i="1"/>
  <c r="BF19" i="1"/>
  <c r="BI19" i="1"/>
  <c r="BE19" i="1"/>
  <c r="BG19" i="1"/>
  <c r="AV101" i="1"/>
  <c r="BI101" i="1"/>
  <c r="BE101" i="1"/>
  <c r="BG101" i="1"/>
  <c r="BJ101" i="1"/>
  <c r="BF101" i="1"/>
  <c r="BH101" i="1"/>
  <c r="AV81" i="1"/>
  <c r="BI81" i="1"/>
  <c r="BE81" i="1"/>
  <c r="BG81" i="1"/>
  <c r="BJ81" i="1"/>
  <c r="BF81" i="1"/>
  <c r="BH81" i="1"/>
  <c r="AV76" i="1"/>
  <c r="BJ76" i="1"/>
  <c r="BI76" i="1"/>
  <c r="BE76" i="1"/>
  <c r="BG76" i="1"/>
  <c r="BH76" i="1"/>
  <c r="BF76" i="1"/>
  <c r="AV68" i="1"/>
  <c r="BJ68" i="1"/>
  <c r="BF68" i="1"/>
  <c r="BH68" i="1"/>
  <c r="BG68" i="1"/>
  <c r="BI68" i="1"/>
  <c r="BE68" i="1"/>
  <c r="AV62" i="1"/>
  <c r="BJ62" i="1"/>
  <c r="BF62" i="1"/>
  <c r="BH62" i="1"/>
  <c r="BG62" i="1"/>
  <c r="BI62" i="1"/>
  <c r="BE62" i="1"/>
  <c r="AV51" i="1"/>
  <c r="BH51" i="1"/>
  <c r="BJ51" i="1"/>
  <c r="BF51" i="1"/>
  <c r="BI51" i="1"/>
  <c r="BE51" i="1"/>
  <c r="BG51" i="1"/>
  <c r="AV47" i="1"/>
  <c r="BH47" i="1"/>
  <c r="AR47" i="1"/>
  <c r="BJ47" i="1"/>
  <c r="BF47" i="1"/>
  <c r="BI47" i="1"/>
  <c r="BE47" i="1"/>
  <c r="BG47" i="1"/>
  <c r="AV40" i="1"/>
  <c r="BJ40" i="1"/>
  <c r="BF40" i="1"/>
  <c r="BH40" i="1"/>
  <c r="BG40" i="1"/>
  <c r="BE40" i="1"/>
  <c r="AR40" i="1"/>
  <c r="BI40" i="1"/>
  <c r="AV34" i="1"/>
  <c r="BJ34" i="1"/>
  <c r="BF34" i="1"/>
  <c r="AR34" i="1"/>
  <c r="BH34" i="1"/>
  <c r="BG34" i="1"/>
  <c r="BI34" i="1"/>
  <c r="BE34" i="1"/>
  <c r="BJ22" i="1"/>
  <c r="BF22" i="1"/>
  <c r="BH22" i="1"/>
  <c r="BG22" i="1"/>
  <c r="BE22" i="1"/>
  <c r="BI22" i="1"/>
  <c r="BJ18" i="1"/>
  <c r="BF18" i="1"/>
  <c r="BH18" i="1"/>
  <c r="BG18" i="1"/>
  <c r="BI18" i="1"/>
  <c r="BE18" i="1"/>
  <c r="AV64" i="1"/>
  <c r="BJ64" i="1"/>
  <c r="BF64" i="1"/>
  <c r="BH64" i="1"/>
  <c r="BG64" i="1"/>
  <c r="BI64" i="1"/>
  <c r="BE64" i="1"/>
  <c r="AV97" i="1"/>
  <c r="BI97" i="1"/>
  <c r="BE97" i="1"/>
  <c r="BG97" i="1"/>
  <c r="BJ97" i="1"/>
  <c r="BF97" i="1"/>
  <c r="BH97" i="1"/>
  <c r="AV93" i="1"/>
  <c r="BI93" i="1"/>
  <c r="BE93" i="1"/>
  <c r="BG93" i="1"/>
  <c r="BJ93" i="1"/>
  <c r="BF93" i="1"/>
  <c r="BH93" i="1"/>
  <c r="AV88" i="1"/>
  <c r="BG88" i="1"/>
  <c r="BI88" i="1"/>
  <c r="BE88" i="1"/>
  <c r="BH88" i="1"/>
  <c r="BJ88" i="1"/>
  <c r="BF88" i="1"/>
  <c r="AV79" i="1"/>
  <c r="BI79" i="1"/>
  <c r="BE79" i="1"/>
  <c r="BG79" i="1"/>
  <c r="BJ79" i="1"/>
  <c r="BF79" i="1"/>
  <c r="BH79" i="1"/>
  <c r="AV75" i="1"/>
  <c r="BJ75" i="1"/>
  <c r="BI75" i="1"/>
  <c r="BF75" i="1"/>
  <c r="BE75" i="1"/>
  <c r="BG75" i="1"/>
  <c r="BH75" i="1"/>
  <c r="AV67" i="1"/>
  <c r="BH67" i="1"/>
  <c r="BJ67" i="1"/>
  <c r="BF67" i="1"/>
  <c r="BI67" i="1"/>
  <c r="BE67" i="1"/>
  <c r="BG67" i="1"/>
  <c r="AV55" i="1"/>
  <c r="BH55" i="1"/>
  <c r="BJ55" i="1"/>
  <c r="BF55" i="1"/>
  <c r="BI55" i="1"/>
  <c r="BE55" i="1"/>
  <c r="BG55" i="1"/>
  <c r="AV39" i="1"/>
  <c r="BH39" i="1"/>
  <c r="AR39" i="1"/>
  <c r="BJ39" i="1"/>
  <c r="BF39" i="1"/>
  <c r="BI39" i="1"/>
  <c r="BE39" i="1"/>
  <c r="BG39" i="1"/>
  <c r="BH21" i="1"/>
  <c r="BJ21" i="1"/>
  <c r="BF21" i="1"/>
  <c r="BI21" i="1"/>
  <c r="BE21" i="1"/>
  <c r="BG21" i="1"/>
  <c r="BG17" i="1"/>
  <c r="BE17" i="1"/>
  <c r="BI17" i="1"/>
  <c r="BF17" i="1"/>
  <c r="BJ17" i="1"/>
  <c r="BH17" i="1"/>
  <c r="AV77" i="1"/>
  <c r="BJ77" i="1"/>
  <c r="BF77" i="1"/>
  <c r="BH77" i="1"/>
  <c r="BG77" i="1"/>
  <c r="BE77" i="1"/>
  <c r="BI77" i="1"/>
  <c r="AV36" i="1"/>
  <c r="BJ36" i="1"/>
  <c r="BF36" i="1"/>
  <c r="BH36" i="1"/>
  <c r="BG36" i="1"/>
  <c r="BI36" i="1"/>
  <c r="BE36" i="1"/>
  <c r="AR36" i="1"/>
  <c r="AV96" i="1"/>
  <c r="BG96" i="1"/>
  <c r="BI96" i="1"/>
  <c r="BE96" i="1"/>
  <c r="BH96" i="1"/>
  <c r="BF96" i="1"/>
  <c r="BJ96" i="1"/>
  <c r="AV86" i="1"/>
  <c r="BG86" i="1"/>
  <c r="BI86" i="1"/>
  <c r="BE86" i="1"/>
  <c r="BH86" i="1"/>
  <c r="BJ86" i="1"/>
  <c r="BF86" i="1"/>
  <c r="AV78" i="1"/>
  <c r="BI78" i="1"/>
  <c r="BH78" i="1"/>
  <c r="BJ78" i="1"/>
  <c r="BG78" i="1"/>
  <c r="BF78" i="1"/>
  <c r="BE78" i="1"/>
  <c r="AV65" i="1"/>
  <c r="BH65" i="1"/>
  <c r="BJ65" i="1"/>
  <c r="BF65" i="1"/>
  <c r="BI65" i="1"/>
  <c r="BE65" i="1"/>
  <c r="BG65" i="1"/>
  <c r="AV53" i="1"/>
  <c r="BH53" i="1"/>
  <c r="AR53" i="1"/>
  <c r="BJ53" i="1"/>
  <c r="BF53" i="1"/>
  <c r="BI53" i="1"/>
  <c r="BE53" i="1"/>
  <c r="BG53" i="1"/>
  <c r="AV37" i="1"/>
  <c r="BH37" i="1"/>
  <c r="BJ37" i="1"/>
  <c r="BF37" i="1"/>
  <c r="AR37" i="1"/>
  <c r="BI37" i="1"/>
  <c r="BE37" i="1"/>
  <c r="BG37" i="1"/>
  <c r="AV26" i="1"/>
  <c r="BJ26" i="1"/>
  <c r="BF26" i="1"/>
  <c r="BH26" i="1"/>
  <c r="BG26" i="1"/>
  <c r="AR26" i="1"/>
  <c r="BI26" i="1"/>
  <c r="BE26" i="1"/>
  <c r="BJ20" i="1"/>
  <c r="BF20" i="1"/>
  <c r="BH20" i="1"/>
  <c r="BG20" i="1"/>
  <c r="BI20" i="1"/>
  <c r="BE20" i="1"/>
  <c r="AV74" i="1"/>
  <c r="BG74" i="1"/>
  <c r="BJ74" i="1"/>
  <c r="BI74" i="1"/>
  <c r="BE74" i="1"/>
  <c r="BF74" i="1"/>
  <c r="BH74" i="1"/>
  <c r="AV92" i="1"/>
  <c r="BG92" i="1"/>
  <c r="BH92" i="1"/>
  <c r="BJ92" i="1"/>
  <c r="BF92" i="1"/>
  <c r="BI92" i="1"/>
  <c r="BE92" i="1"/>
  <c r="AV91" i="1"/>
  <c r="BI91" i="1"/>
  <c r="BE91" i="1"/>
  <c r="BH91" i="1"/>
  <c r="BG91" i="1"/>
  <c r="BJ91" i="1"/>
  <c r="BF91" i="1"/>
  <c r="AV20" i="1"/>
  <c r="AV149" i="1"/>
  <c r="AX149" i="1"/>
  <c r="AY149" i="1"/>
  <c r="AV25" i="1"/>
  <c r="AV19" i="1"/>
  <c r="AV22" i="1"/>
  <c r="AV18" i="1"/>
  <c r="AV21" i="1"/>
  <c r="AV17" i="1"/>
  <c r="BC195" i="1"/>
  <c r="BB195" i="1"/>
  <c r="BA195" i="1"/>
  <c r="AZ195" i="1"/>
  <c r="AY195" i="1"/>
  <c r="AX195" i="1"/>
  <c r="AT195" i="1"/>
  <c r="AU195" i="1" s="1"/>
  <c r="AS195" i="1"/>
  <c r="AR194" i="1"/>
  <c r="BC194" i="1"/>
  <c r="BB194" i="1"/>
  <c r="BA194" i="1"/>
  <c r="AZ194" i="1"/>
  <c r="AY194" i="1"/>
  <c r="AX194" i="1"/>
  <c r="AT194" i="1"/>
  <c r="AU194" i="1" s="1"/>
  <c r="AS194" i="1"/>
  <c r="AQ194" i="1"/>
  <c r="AR19" i="1" l="1"/>
  <c r="AR20" i="1"/>
  <c r="AR22" i="1"/>
  <c r="AR52" i="1"/>
  <c r="AR18" i="1"/>
  <c r="AR21" i="1"/>
  <c r="AR51" i="1"/>
  <c r="AR25" i="1"/>
  <c r="AP194" i="1"/>
  <c r="AR195" i="1"/>
  <c r="AQ195" i="1"/>
  <c r="L43" i="1"/>
  <c r="AP195" i="1" l="1"/>
  <c r="AT90" i="1"/>
  <c r="AU90" i="1" s="1"/>
  <c r="J95" i="7"/>
  <c r="I95" i="7"/>
  <c r="H95" i="7"/>
  <c r="J94" i="7"/>
  <c r="I94" i="7"/>
  <c r="H94" i="7"/>
  <c r="J93" i="7"/>
  <c r="I93" i="7"/>
  <c r="H93" i="7"/>
  <c r="J92" i="7"/>
  <c r="I92" i="7"/>
  <c r="H92" i="7"/>
  <c r="J91" i="7"/>
  <c r="I91" i="7"/>
  <c r="H91" i="7"/>
  <c r="J90" i="7"/>
  <c r="I90" i="7"/>
  <c r="H90" i="7"/>
  <c r="J89" i="7"/>
  <c r="I89" i="7"/>
  <c r="H89" i="7"/>
  <c r="J88" i="7"/>
  <c r="I88" i="7"/>
  <c r="H88" i="7"/>
  <c r="J87" i="7"/>
  <c r="I87" i="7"/>
  <c r="H87" i="7"/>
  <c r="J86" i="7"/>
  <c r="I86" i="7"/>
  <c r="H86" i="7"/>
  <c r="J85" i="7"/>
  <c r="I85" i="7"/>
  <c r="H85" i="7"/>
  <c r="J84" i="7"/>
  <c r="I84" i="7"/>
  <c r="H84" i="7"/>
  <c r="J83" i="7"/>
  <c r="I83" i="7"/>
  <c r="H83" i="7"/>
  <c r="J82" i="7"/>
  <c r="I82" i="7"/>
  <c r="H82" i="7"/>
  <c r="J81" i="7"/>
  <c r="I81" i="7"/>
  <c r="H81" i="7"/>
  <c r="K81" i="7" s="1"/>
  <c r="J80" i="7"/>
  <c r="I80" i="7"/>
  <c r="H80" i="7"/>
  <c r="H58" i="7"/>
  <c r="F58" i="7"/>
  <c r="H49" i="7"/>
  <c r="K92" i="7" l="1"/>
  <c r="K94" i="7"/>
  <c r="K93" i="7"/>
  <c r="K95" i="7"/>
  <c r="K87" i="7"/>
  <c r="K86" i="7"/>
  <c r="K82" i="7"/>
  <c r="K84" i="7"/>
  <c r="K88" i="7"/>
  <c r="K90" i="7"/>
  <c r="K85" i="7"/>
  <c r="K89" i="7"/>
  <c r="K80" i="7"/>
  <c r="K91" i="7"/>
  <c r="K83" i="7"/>
  <c r="AR90" i="1"/>
  <c r="BC158" i="1"/>
  <c r="BB158" i="1"/>
  <c r="BA158" i="1"/>
  <c r="AZ158" i="1"/>
  <c r="AY158" i="1"/>
  <c r="AX158" i="1"/>
  <c r="AT158" i="1"/>
  <c r="AU158" i="1" s="1"/>
  <c r="AS158" i="1"/>
  <c r="AW158" i="1"/>
  <c r="BC157" i="1"/>
  <c r="BB157" i="1"/>
  <c r="BA157" i="1"/>
  <c r="AZ157" i="1"/>
  <c r="AY157" i="1"/>
  <c r="AX157" i="1"/>
  <c r="AW157" i="1"/>
  <c r="AT157" i="1"/>
  <c r="AU157" i="1" s="1"/>
  <c r="AS157" i="1"/>
  <c r="BC156" i="1"/>
  <c r="BB156" i="1"/>
  <c r="BA156" i="1"/>
  <c r="AZ156" i="1"/>
  <c r="AY156" i="1"/>
  <c r="AX156" i="1"/>
  <c r="AT156" i="1"/>
  <c r="AU156" i="1" s="1"/>
  <c r="AS156" i="1"/>
  <c r="AW156" i="1"/>
  <c r="AR155" i="1"/>
  <c r="BC155" i="1"/>
  <c r="BB155" i="1"/>
  <c r="BA155" i="1"/>
  <c r="AZ155" i="1"/>
  <c r="AY155" i="1"/>
  <c r="AX155" i="1"/>
  <c r="AT155" i="1"/>
  <c r="AU155" i="1" s="1"/>
  <c r="AS155" i="1"/>
  <c r="AW155" i="1"/>
  <c r="BC154" i="1"/>
  <c r="BB154" i="1"/>
  <c r="BA154" i="1"/>
  <c r="AZ154" i="1"/>
  <c r="AY154" i="1"/>
  <c r="AX154" i="1"/>
  <c r="AT154" i="1"/>
  <c r="AU154" i="1" s="1"/>
  <c r="AS154" i="1"/>
  <c r="AW154" i="1"/>
  <c r="BC153" i="1"/>
  <c r="BB153" i="1"/>
  <c r="BA153" i="1"/>
  <c r="AZ153" i="1"/>
  <c r="AY153" i="1"/>
  <c r="AX153" i="1"/>
  <c r="AT153" i="1"/>
  <c r="AU153" i="1" s="1"/>
  <c r="AS153" i="1"/>
  <c r="AW153" i="1"/>
  <c r="AR156" i="1" l="1"/>
  <c r="AR158" i="1"/>
  <c r="AR153" i="1"/>
  <c r="AR154" i="1"/>
  <c r="AR157" i="1"/>
  <c r="AQ154" i="1"/>
  <c r="AQ158" i="1"/>
  <c r="AQ153" i="1"/>
  <c r="AP153" i="1" s="1"/>
  <c r="AQ157" i="1"/>
  <c r="AP157" i="1" s="1"/>
  <c r="AQ156" i="1"/>
  <c r="AP156" i="1" s="1"/>
  <c r="AQ155" i="1"/>
  <c r="AP155" i="1" s="1"/>
  <c r="AP158" i="1" l="1"/>
  <c r="AP154" i="1"/>
  <c r="AW92" i="1" l="1"/>
  <c r="AS92" i="1"/>
  <c r="AT92" i="1"/>
  <c r="AU92" i="1" s="1"/>
  <c r="AX92" i="1"/>
  <c r="AY92" i="1"/>
  <c r="AZ92" i="1"/>
  <c r="BA92" i="1"/>
  <c r="BB92" i="1"/>
  <c r="BC92" i="1"/>
  <c r="BC52" i="1"/>
  <c r="BB52" i="1"/>
  <c r="BA52" i="1"/>
  <c r="AZ52" i="1"/>
  <c r="AY52" i="1"/>
  <c r="AX52" i="1"/>
  <c r="AT52" i="1"/>
  <c r="AU52" i="1" s="1"/>
  <c r="AS52" i="1"/>
  <c r="AW52" i="1"/>
  <c r="BC68" i="1"/>
  <c r="BB68" i="1"/>
  <c r="BA68" i="1"/>
  <c r="AZ68" i="1"/>
  <c r="AY68" i="1"/>
  <c r="AX68" i="1"/>
  <c r="AT68" i="1"/>
  <c r="AU68" i="1" s="1"/>
  <c r="AS68" i="1"/>
  <c r="AW68" i="1"/>
  <c r="AR92" i="1" l="1"/>
  <c r="AQ92" i="1"/>
  <c r="AR68" i="1"/>
  <c r="AQ52" i="1"/>
  <c r="AQ68" i="1"/>
  <c r="AP92" i="1" l="1"/>
  <c r="AP52" i="1"/>
  <c r="AP68" i="1"/>
  <c r="L38" i="1" l="1"/>
  <c r="AW184" i="1" l="1"/>
  <c r="AW122" i="1"/>
  <c r="AW101" i="1"/>
  <c r="AW96" i="1"/>
  <c r="AW90" i="1"/>
  <c r="AW26" i="1"/>
  <c r="BC43" i="1"/>
  <c r="BB43" i="1"/>
  <c r="BA43" i="1"/>
  <c r="AZ43" i="1"/>
  <c r="AY43" i="1"/>
  <c r="AX43" i="1"/>
  <c r="AT43" i="1"/>
  <c r="AU43" i="1" s="1"/>
  <c r="AS43" i="1"/>
  <c r="AW43" i="1"/>
  <c r="AQ43" i="1" l="1"/>
  <c r="AP43" i="1" s="1"/>
  <c r="AS31" i="1"/>
  <c r="AS32" i="1"/>
  <c r="AS34" i="1"/>
  <c r="AS36" i="1"/>
  <c r="AS37" i="1"/>
  <c r="AS38" i="1"/>
  <c r="AS39" i="1"/>
  <c r="AS40" i="1"/>
  <c r="AS44" i="1"/>
  <c r="AS45" i="1"/>
  <c r="AS46" i="1"/>
  <c r="AS47" i="1"/>
  <c r="AS48" i="1"/>
  <c r="AS49" i="1"/>
  <c r="AS50" i="1"/>
  <c r="AS51" i="1"/>
  <c r="AS64" i="1"/>
  <c r="AS65" i="1"/>
  <c r="AS66" i="1"/>
  <c r="AS53" i="1"/>
  <c r="AS55" i="1"/>
  <c r="AS62" i="1"/>
  <c r="AS67" i="1"/>
  <c r="AS69" i="1"/>
  <c r="AS70" i="1"/>
  <c r="AS71" i="1"/>
  <c r="AS72" i="1"/>
  <c r="AS73" i="1"/>
  <c r="AS74" i="1"/>
  <c r="AS75" i="1"/>
  <c r="AS76" i="1"/>
  <c r="AS93" i="1"/>
  <c r="AS94" i="1"/>
  <c r="AS95" i="1"/>
  <c r="AS77" i="1"/>
  <c r="AS78" i="1"/>
  <c r="AS79" i="1"/>
  <c r="AS81" i="1"/>
  <c r="AS82" i="1"/>
  <c r="AS86" i="1"/>
  <c r="AS88" i="1"/>
  <c r="AS89" i="1"/>
  <c r="AS90" i="1"/>
  <c r="AS85" i="1"/>
  <c r="AS91" i="1"/>
  <c r="AS96" i="1"/>
  <c r="AS97" i="1"/>
  <c r="AS101" i="1"/>
  <c r="AS102" i="1"/>
  <c r="AS104" i="1"/>
  <c r="AS106" i="1"/>
  <c r="AS108" i="1"/>
  <c r="AS110" i="1"/>
  <c r="AS112" i="1"/>
  <c r="AS114" i="1"/>
  <c r="AS116" i="1"/>
  <c r="AS118" i="1"/>
  <c r="AS119" i="1"/>
  <c r="AS120" i="1"/>
  <c r="AS121" i="1"/>
  <c r="AS122" i="1"/>
  <c r="AS123" i="1"/>
  <c r="AS135" i="1"/>
  <c r="AS147" i="1"/>
  <c r="AS125" i="1"/>
  <c r="AS137" i="1"/>
  <c r="AS148" i="1"/>
  <c r="AS127" i="1"/>
  <c r="AS139" i="1"/>
  <c r="AS149" i="1"/>
  <c r="AS129" i="1"/>
  <c r="AS141" i="1"/>
  <c r="AS150" i="1"/>
  <c r="AS131" i="1"/>
  <c r="AS143" i="1"/>
  <c r="AS151" i="1"/>
  <c r="AS133" i="1"/>
  <c r="AS145" i="1"/>
  <c r="AS152" i="1"/>
  <c r="AS159" i="1"/>
  <c r="AS184" i="1"/>
  <c r="AS185" i="1"/>
  <c r="AS186" i="1"/>
  <c r="AS187" i="1"/>
  <c r="AS188" i="1"/>
  <c r="AS189" i="1"/>
  <c r="AS190" i="1"/>
  <c r="AS191" i="1"/>
  <c r="AS192" i="1"/>
  <c r="AS193" i="1"/>
  <c r="AS18" i="1"/>
  <c r="AS19" i="1"/>
  <c r="AS20" i="1"/>
  <c r="AS21" i="1"/>
  <c r="AS22" i="1"/>
  <c r="AS25" i="1"/>
  <c r="AS26" i="1"/>
  <c r="AS27" i="1"/>
  <c r="AS17" i="1"/>
  <c r="AX17" i="1"/>
  <c r="AY17" i="1"/>
  <c r="AZ17" i="1"/>
  <c r="BA17" i="1"/>
  <c r="BB17" i="1"/>
  <c r="BC17" i="1"/>
  <c r="AX18" i="1"/>
  <c r="AY18" i="1"/>
  <c r="AZ18" i="1"/>
  <c r="BA18" i="1"/>
  <c r="BB18" i="1"/>
  <c r="BC18" i="1"/>
  <c r="AX19" i="1"/>
  <c r="AY19" i="1"/>
  <c r="AZ19" i="1"/>
  <c r="BA19" i="1"/>
  <c r="BB19" i="1"/>
  <c r="BC19" i="1"/>
  <c r="AX20" i="1"/>
  <c r="AY20" i="1"/>
  <c r="AZ20" i="1"/>
  <c r="BA20" i="1"/>
  <c r="BB20" i="1"/>
  <c r="BC20" i="1"/>
  <c r="AX21" i="1"/>
  <c r="AY21" i="1"/>
  <c r="AZ21" i="1"/>
  <c r="BA21" i="1"/>
  <c r="BB21" i="1"/>
  <c r="BC21" i="1"/>
  <c r="AX22" i="1"/>
  <c r="AY22" i="1"/>
  <c r="AZ22" i="1"/>
  <c r="BA22" i="1"/>
  <c r="BB22" i="1"/>
  <c r="BC22" i="1"/>
  <c r="AX25" i="1"/>
  <c r="AY25" i="1"/>
  <c r="AZ25" i="1"/>
  <c r="BA25" i="1"/>
  <c r="BB25" i="1"/>
  <c r="BC25" i="1"/>
  <c r="AX26" i="1"/>
  <c r="AY26" i="1"/>
  <c r="AZ26" i="1"/>
  <c r="BA26" i="1"/>
  <c r="BB26" i="1"/>
  <c r="BC26" i="1"/>
  <c r="AX27" i="1"/>
  <c r="AY27" i="1"/>
  <c r="AZ27" i="1"/>
  <c r="BA27" i="1"/>
  <c r="BB27" i="1"/>
  <c r="BC27" i="1"/>
  <c r="AX31" i="1"/>
  <c r="AY31" i="1"/>
  <c r="AZ31" i="1"/>
  <c r="BA31" i="1"/>
  <c r="BB31" i="1"/>
  <c r="BC31" i="1"/>
  <c r="AX34" i="1"/>
  <c r="AY34" i="1"/>
  <c r="AZ34" i="1"/>
  <c r="BA34" i="1"/>
  <c r="BB34" i="1"/>
  <c r="BC34" i="1"/>
  <c r="AX36" i="1"/>
  <c r="AY36" i="1"/>
  <c r="AZ36" i="1"/>
  <c r="BA36" i="1"/>
  <c r="BB36" i="1"/>
  <c r="BC36" i="1"/>
  <c r="AX37" i="1"/>
  <c r="AY37" i="1"/>
  <c r="AZ37" i="1"/>
  <c r="BA37" i="1"/>
  <c r="BB37" i="1"/>
  <c r="BC37" i="1"/>
  <c r="AX38" i="1"/>
  <c r="AY38" i="1"/>
  <c r="AZ38" i="1"/>
  <c r="BA38" i="1"/>
  <c r="BB38" i="1"/>
  <c r="BC38" i="1"/>
  <c r="AX39" i="1"/>
  <c r="AY39" i="1"/>
  <c r="AZ39" i="1"/>
  <c r="BA39" i="1"/>
  <c r="BB39" i="1"/>
  <c r="BC39" i="1"/>
  <c r="AX40" i="1"/>
  <c r="AY40" i="1"/>
  <c r="AZ40" i="1"/>
  <c r="BA40" i="1"/>
  <c r="BB40" i="1"/>
  <c r="BC40" i="1"/>
  <c r="AX44" i="1"/>
  <c r="AY44" i="1"/>
  <c r="AZ44" i="1"/>
  <c r="BA44" i="1"/>
  <c r="BB44" i="1"/>
  <c r="BC44" i="1"/>
  <c r="AX45" i="1"/>
  <c r="AY45" i="1"/>
  <c r="AZ45" i="1"/>
  <c r="BA45" i="1"/>
  <c r="BB45" i="1"/>
  <c r="BC45" i="1"/>
  <c r="AX46" i="1"/>
  <c r="AY46" i="1"/>
  <c r="AZ46" i="1"/>
  <c r="BA46" i="1"/>
  <c r="BB46" i="1"/>
  <c r="BC46" i="1"/>
  <c r="AX47" i="1"/>
  <c r="AY47" i="1"/>
  <c r="AZ47" i="1"/>
  <c r="BA47" i="1"/>
  <c r="BB47" i="1"/>
  <c r="BC47" i="1"/>
  <c r="AX48" i="1"/>
  <c r="AY48" i="1"/>
  <c r="AZ48" i="1"/>
  <c r="BA48" i="1"/>
  <c r="BB48" i="1"/>
  <c r="BC48" i="1"/>
  <c r="AX49" i="1"/>
  <c r="AY49" i="1"/>
  <c r="AZ49" i="1"/>
  <c r="BA49" i="1"/>
  <c r="BB49" i="1"/>
  <c r="BC49" i="1"/>
  <c r="AX50" i="1"/>
  <c r="AY50" i="1"/>
  <c r="AZ50" i="1"/>
  <c r="BA50" i="1"/>
  <c r="BB50" i="1"/>
  <c r="BC50" i="1"/>
  <c r="AX51" i="1"/>
  <c r="AY51" i="1"/>
  <c r="AZ51" i="1"/>
  <c r="BA51" i="1"/>
  <c r="BB51" i="1"/>
  <c r="BC51" i="1"/>
  <c r="AX64" i="1"/>
  <c r="AY64" i="1"/>
  <c r="AZ64" i="1"/>
  <c r="BA64" i="1"/>
  <c r="BB64" i="1"/>
  <c r="BC64" i="1"/>
  <c r="AX65" i="1"/>
  <c r="AY65" i="1"/>
  <c r="AZ65" i="1"/>
  <c r="BA65" i="1"/>
  <c r="BB65" i="1"/>
  <c r="BC65" i="1"/>
  <c r="AX66" i="1"/>
  <c r="AY66" i="1"/>
  <c r="AZ66" i="1"/>
  <c r="BA66" i="1"/>
  <c r="BB66" i="1"/>
  <c r="BC66" i="1"/>
  <c r="AX53" i="1"/>
  <c r="AY53" i="1"/>
  <c r="AZ53" i="1"/>
  <c r="BA53" i="1"/>
  <c r="BB53" i="1"/>
  <c r="BC53" i="1"/>
  <c r="AX55" i="1"/>
  <c r="AY55" i="1"/>
  <c r="AZ55" i="1"/>
  <c r="BA55" i="1"/>
  <c r="BB55" i="1"/>
  <c r="BC55" i="1"/>
  <c r="AX62" i="1"/>
  <c r="AY62" i="1"/>
  <c r="AZ62" i="1"/>
  <c r="BA62" i="1"/>
  <c r="BB62" i="1"/>
  <c r="BC62" i="1"/>
  <c r="AX67" i="1"/>
  <c r="AY67" i="1"/>
  <c r="AZ67" i="1"/>
  <c r="BA67" i="1"/>
  <c r="BB67" i="1"/>
  <c r="BC67" i="1"/>
  <c r="AX69" i="1"/>
  <c r="AY69" i="1"/>
  <c r="AZ69" i="1"/>
  <c r="BA69" i="1"/>
  <c r="BB69" i="1"/>
  <c r="BC69" i="1"/>
  <c r="AX70" i="1"/>
  <c r="AY70" i="1"/>
  <c r="AZ70" i="1"/>
  <c r="BA70" i="1"/>
  <c r="BB70" i="1"/>
  <c r="BC70" i="1"/>
  <c r="AX71" i="1"/>
  <c r="AY71" i="1"/>
  <c r="AZ71" i="1"/>
  <c r="BA71" i="1"/>
  <c r="BB71" i="1"/>
  <c r="BC71" i="1"/>
  <c r="AX72" i="1"/>
  <c r="AY72" i="1"/>
  <c r="AZ72" i="1"/>
  <c r="BA72" i="1"/>
  <c r="BB72" i="1"/>
  <c r="BC72" i="1"/>
  <c r="AX73" i="1"/>
  <c r="AY73" i="1"/>
  <c r="AZ73" i="1"/>
  <c r="BA73" i="1"/>
  <c r="BB73" i="1"/>
  <c r="BC73" i="1"/>
  <c r="AX74" i="1"/>
  <c r="AY74" i="1"/>
  <c r="AZ74" i="1"/>
  <c r="BA74" i="1"/>
  <c r="BB74" i="1"/>
  <c r="BC74" i="1"/>
  <c r="AX75" i="1"/>
  <c r="AY75" i="1"/>
  <c r="AZ75" i="1"/>
  <c r="BA75" i="1"/>
  <c r="BB75" i="1"/>
  <c r="BC75" i="1"/>
  <c r="AX76" i="1"/>
  <c r="AY76" i="1"/>
  <c r="AZ76" i="1"/>
  <c r="BA76" i="1"/>
  <c r="BB76" i="1"/>
  <c r="BC76" i="1"/>
  <c r="AX93" i="1"/>
  <c r="AY93" i="1"/>
  <c r="AZ93" i="1"/>
  <c r="BA93" i="1"/>
  <c r="BB93" i="1"/>
  <c r="BC93" i="1"/>
  <c r="AX94" i="1"/>
  <c r="AY94" i="1"/>
  <c r="AZ94" i="1"/>
  <c r="BA94" i="1"/>
  <c r="BB94" i="1"/>
  <c r="BC94" i="1"/>
  <c r="AX95" i="1"/>
  <c r="AY95" i="1"/>
  <c r="AZ95" i="1"/>
  <c r="BA95" i="1"/>
  <c r="BB95" i="1"/>
  <c r="BC95" i="1"/>
  <c r="AX77" i="1"/>
  <c r="AY77" i="1"/>
  <c r="AZ77" i="1"/>
  <c r="BA77" i="1"/>
  <c r="BB77" i="1"/>
  <c r="BC77" i="1"/>
  <c r="AX78" i="1"/>
  <c r="AY78" i="1"/>
  <c r="AZ78" i="1"/>
  <c r="BA78" i="1"/>
  <c r="BB78" i="1"/>
  <c r="BC78" i="1"/>
  <c r="AX79" i="1"/>
  <c r="AY79" i="1"/>
  <c r="AZ79" i="1"/>
  <c r="BA79" i="1"/>
  <c r="BB79" i="1"/>
  <c r="BC79" i="1"/>
  <c r="AX81" i="1"/>
  <c r="AY81" i="1"/>
  <c r="AZ81" i="1"/>
  <c r="BA81" i="1"/>
  <c r="BB81" i="1"/>
  <c r="BC81" i="1"/>
  <c r="AX82" i="1"/>
  <c r="AY82" i="1"/>
  <c r="AZ82" i="1"/>
  <c r="BA82" i="1"/>
  <c r="BB82" i="1"/>
  <c r="BC82" i="1"/>
  <c r="AX86" i="1"/>
  <c r="AY86" i="1"/>
  <c r="AZ86" i="1"/>
  <c r="BA86" i="1"/>
  <c r="BB86" i="1"/>
  <c r="BC86" i="1"/>
  <c r="AX88" i="1"/>
  <c r="AY88" i="1"/>
  <c r="AZ88" i="1"/>
  <c r="BA88" i="1"/>
  <c r="BB88" i="1"/>
  <c r="BC88" i="1"/>
  <c r="AX89" i="1"/>
  <c r="AY89" i="1"/>
  <c r="AZ89" i="1"/>
  <c r="BA89" i="1"/>
  <c r="BB89" i="1"/>
  <c r="BC89" i="1"/>
  <c r="AX90" i="1"/>
  <c r="AY90" i="1"/>
  <c r="AZ90" i="1"/>
  <c r="BA90" i="1"/>
  <c r="BB90" i="1"/>
  <c r="BC90" i="1"/>
  <c r="AX85" i="1"/>
  <c r="AY85" i="1"/>
  <c r="AZ85" i="1"/>
  <c r="BA85" i="1"/>
  <c r="BB85" i="1"/>
  <c r="BC85" i="1"/>
  <c r="AX91" i="1"/>
  <c r="AY91" i="1"/>
  <c r="AZ91" i="1"/>
  <c r="BA91" i="1"/>
  <c r="BB91" i="1"/>
  <c r="BC91" i="1"/>
  <c r="AX96" i="1"/>
  <c r="AY96" i="1"/>
  <c r="AZ96" i="1"/>
  <c r="BA96" i="1"/>
  <c r="BB96" i="1"/>
  <c r="BC96" i="1"/>
  <c r="AX97" i="1"/>
  <c r="AY97" i="1"/>
  <c r="AZ97" i="1"/>
  <c r="BA97" i="1"/>
  <c r="BB97" i="1"/>
  <c r="BC97" i="1"/>
  <c r="AX101" i="1"/>
  <c r="AY101" i="1"/>
  <c r="AZ101" i="1"/>
  <c r="BA101" i="1"/>
  <c r="BB101" i="1"/>
  <c r="BC101" i="1"/>
  <c r="AX102" i="1"/>
  <c r="AY102" i="1"/>
  <c r="AZ102" i="1"/>
  <c r="BA102" i="1"/>
  <c r="BB102" i="1"/>
  <c r="BC102" i="1"/>
  <c r="AX104" i="1"/>
  <c r="AY104" i="1"/>
  <c r="AZ104" i="1"/>
  <c r="BA104" i="1"/>
  <c r="BB104" i="1"/>
  <c r="BC104" i="1"/>
  <c r="AX106" i="1"/>
  <c r="AY106" i="1"/>
  <c r="AZ106" i="1"/>
  <c r="BA106" i="1"/>
  <c r="BB106" i="1"/>
  <c r="BC106" i="1"/>
  <c r="AX108" i="1"/>
  <c r="AY108" i="1"/>
  <c r="AZ108" i="1"/>
  <c r="BA108" i="1"/>
  <c r="BB108" i="1"/>
  <c r="BC108" i="1"/>
  <c r="AX110" i="1"/>
  <c r="AY110" i="1"/>
  <c r="AZ110" i="1"/>
  <c r="BA110" i="1"/>
  <c r="BB110" i="1"/>
  <c r="BC110" i="1"/>
  <c r="AX112" i="1"/>
  <c r="AY112" i="1"/>
  <c r="AZ112" i="1"/>
  <c r="BA112" i="1"/>
  <c r="BB112" i="1"/>
  <c r="BC112" i="1"/>
  <c r="AX114" i="1"/>
  <c r="AY114" i="1"/>
  <c r="AZ114" i="1"/>
  <c r="BA114" i="1"/>
  <c r="BB114" i="1"/>
  <c r="BC114" i="1"/>
  <c r="AX116" i="1"/>
  <c r="AY116" i="1"/>
  <c r="AZ116" i="1"/>
  <c r="BA116" i="1"/>
  <c r="BB116" i="1"/>
  <c r="BC116" i="1"/>
  <c r="AX118" i="1"/>
  <c r="AY118" i="1"/>
  <c r="AZ118" i="1"/>
  <c r="BA118" i="1"/>
  <c r="BB118" i="1"/>
  <c r="BC118" i="1"/>
  <c r="AX119" i="1"/>
  <c r="AY119" i="1"/>
  <c r="AZ119" i="1"/>
  <c r="BA119" i="1"/>
  <c r="BB119" i="1"/>
  <c r="BC119" i="1"/>
  <c r="AX120" i="1"/>
  <c r="AY120" i="1"/>
  <c r="AZ120" i="1"/>
  <c r="BA120" i="1"/>
  <c r="BB120" i="1"/>
  <c r="BC120" i="1"/>
  <c r="AX121" i="1"/>
  <c r="AY121" i="1"/>
  <c r="AZ121" i="1"/>
  <c r="BA121" i="1"/>
  <c r="BB121" i="1"/>
  <c r="BC121" i="1"/>
  <c r="AX122" i="1"/>
  <c r="AY122" i="1"/>
  <c r="AZ122" i="1"/>
  <c r="BA122" i="1"/>
  <c r="BB122" i="1"/>
  <c r="BC122" i="1"/>
  <c r="AX123" i="1"/>
  <c r="AY123" i="1"/>
  <c r="AZ123" i="1"/>
  <c r="BA123" i="1"/>
  <c r="BB123" i="1"/>
  <c r="BC123" i="1"/>
  <c r="AX135" i="1"/>
  <c r="AY135" i="1"/>
  <c r="AZ135" i="1"/>
  <c r="BA135" i="1"/>
  <c r="BB135" i="1"/>
  <c r="BC135" i="1"/>
  <c r="AX147" i="1"/>
  <c r="AY147" i="1"/>
  <c r="AZ147" i="1"/>
  <c r="BA147" i="1"/>
  <c r="BB147" i="1"/>
  <c r="BC147" i="1"/>
  <c r="AX125" i="1"/>
  <c r="AY125" i="1"/>
  <c r="AZ125" i="1"/>
  <c r="BA125" i="1"/>
  <c r="BB125" i="1"/>
  <c r="BC125" i="1"/>
  <c r="AX137" i="1"/>
  <c r="AY137" i="1"/>
  <c r="AZ137" i="1"/>
  <c r="BA137" i="1"/>
  <c r="BB137" i="1"/>
  <c r="BC137" i="1"/>
  <c r="AX148" i="1"/>
  <c r="AY148" i="1"/>
  <c r="AZ148" i="1"/>
  <c r="BA148" i="1"/>
  <c r="BB148" i="1"/>
  <c r="BC148" i="1"/>
  <c r="AX127" i="1"/>
  <c r="AY127" i="1"/>
  <c r="AZ127" i="1"/>
  <c r="BA127" i="1"/>
  <c r="BB127" i="1"/>
  <c r="BC127" i="1"/>
  <c r="AX139" i="1"/>
  <c r="AY139" i="1"/>
  <c r="AZ139" i="1"/>
  <c r="BA139" i="1"/>
  <c r="BB139" i="1"/>
  <c r="BC139" i="1"/>
  <c r="AZ149" i="1"/>
  <c r="BA149" i="1"/>
  <c r="BB149" i="1"/>
  <c r="BC149" i="1"/>
  <c r="AX129" i="1"/>
  <c r="AY129" i="1"/>
  <c r="AZ129" i="1"/>
  <c r="BA129" i="1"/>
  <c r="BB129" i="1"/>
  <c r="BC129" i="1"/>
  <c r="AX141" i="1"/>
  <c r="AY141" i="1"/>
  <c r="AZ141" i="1"/>
  <c r="BA141" i="1"/>
  <c r="BB141" i="1"/>
  <c r="BC141" i="1"/>
  <c r="AX150" i="1"/>
  <c r="AY150" i="1"/>
  <c r="AZ150" i="1"/>
  <c r="BA150" i="1"/>
  <c r="BB150" i="1"/>
  <c r="BC150" i="1"/>
  <c r="AX131" i="1"/>
  <c r="AY131" i="1"/>
  <c r="AZ131" i="1"/>
  <c r="BA131" i="1"/>
  <c r="BB131" i="1"/>
  <c r="BC131" i="1"/>
  <c r="AX143" i="1"/>
  <c r="AY143" i="1"/>
  <c r="AZ143" i="1"/>
  <c r="BA143" i="1"/>
  <c r="BB143" i="1"/>
  <c r="BC143" i="1"/>
  <c r="AX151" i="1"/>
  <c r="AY151" i="1"/>
  <c r="AZ151" i="1"/>
  <c r="BA151" i="1"/>
  <c r="BB151" i="1"/>
  <c r="BC151" i="1"/>
  <c r="AX133" i="1"/>
  <c r="AY133" i="1"/>
  <c r="AZ133" i="1"/>
  <c r="BA133" i="1"/>
  <c r="BB133" i="1"/>
  <c r="BC133" i="1"/>
  <c r="AX145" i="1"/>
  <c r="AY145" i="1"/>
  <c r="AZ145" i="1"/>
  <c r="BA145" i="1"/>
  <c r="BB145" i="1"/>
  <c r="BC145" i="1"/>
  <c r="AX152" i="1"/>
  <c r="AY152" i="1"/>
  <c r="AZ152" i="1"/>
  <c r="BA152" i="1"/>
  <c r="BB152" i="1"/>
  <c r="BC152" i="1"/>
  <c r="AX159" i="1"/>
  <c r="AY159" i="1"/>
  <c r="AZ159" i="1"/>
  <c r="BA159" i="1"/>
  <c r="BB159" i="1"/>
  <c r="BC159" i="1"/>
  <c r="AX184" i="1"/>
  <c r="AY184" i="1"/>
  <c r="AZ184" i="1"/>
  <c r="BA184" i="1"/>
  <c r="BB184" i="1"/>
  <c r="BC184" i="1"/>
  <c r="AX185" i="1"/>
  <c r="AY185" i="1"/>
  <c r="AZ185" i="1"/>
  <c r="BA185" i="1"/>
  <c r="BB185" i="1"/>
  <c r="BC185" i="1"/>
  <c r="AX186" i="1"/>
  <c r="AY186" i="1"/>
  <c r="AZ186" i="1"/>
  <c r="BA186" i="1"/>
  <c r="BB186" i="1"/>
  <c r="BC186" i="1"/>
  <c r="AX187" i="1"/>
  <c r="AY187" i="1"/>
  <c r="AZ187" i="1"/>
  <c r="BA187" i="1"/>
  <c r="BB187" i="1"/>
  <c r="BC187" i="1"/>
  <c r="AX188" i="1"/>
  <c r="AY188" i="1"/>
  <c r="AZ188" i="1"/>
  <c r="BA188" i="1"/>
  <c r="BB188" i="1"/>
  <c r="BC188" i="1"/>
  <c r="AX189" i="1"/>
  <c r="AY189" i="1"/>
  <c r="AZ189" i="1"/>
  <c r="BA189" i="1"/>
  <c r="BB189" i="1"/>
  <c r="BC189" i="1"/>
  <c r="AX190" i="1"/>
  <c r="AY190" i="1"/>
  <c r="AZ190" i="1"/>
  <c r="BA190" i="1"/>
  <c r="BB190" i="1"/>
  <c r="BC190" i="1"/>
  <c r="AX191" i="1"/>
  <c r="AY191" i="1"/>
  <c r="AZ191" i="1"/>
  <c r="BA191" i="1"/>
  <c r="BB191" i="1"/>
  <c r="BC191" i="1"/>
  <c r="AX192" i="1"/>
  <c r="AY192" i="1"/>
  <c r="AZ192" i="1"/>
  <c r="BA192" i="1"/>
  <c r="BB192" i="1"/>
  <c r="BC192" i="1"/>
  <c r="AX193" i="1"/>
  <c r="AY193" i="1"/>
  <c r="AZ193" i="1"/>
  <c r="BA193" i="1"/>
  <c r="BB193" i="1"/>
  <c r="BC193" i="1"/>
  <c r="AY32" i="1"/>
  <c r="AZ32" i="1"/>
  <c r="BA32" i="1"/>
  <c r="BB32" i="1"/>
  <c r="BC32" i="1"/>
  <c r="AX32" i="1"/>
  <c r="AW91" i="1"/>
  <c r="AT91" i="1"/>
  <c r="AU91" i="1" s="1"/>
  <c r="AW85" i="1"/>
  <c r="AT85" i="1"/>
  <c r="AU85" i="1" s="1"/>
  <c r="AP122" i="1"/>
  <c r="AP16" i="1"/>
  <c r="AS16" i="1"/>
  <c r="AP26" i="1"/>
  <c r="AR96" i="1"/>
  <c r="AR101" i="1"/>
  <c r="AR122" i="1"/>
  <c r="AR184" i="1"/>
  <c r="AR16" i="1"/>
  <c r="AX16" i="1"/>
  <c r="AY16" i="1"/>
  <c r="AZ16" i="1"/>
  <c r="BA16" i="1"/>
  <c r="BB16" i="1"/>
  <c r="BC16" i="1"/>
  <c r="AT188" i="1"/>
  <c r="AU188" i="1" s="1"/>
  <c r="AW188" i="1"/>
  <c r="AW187" i="1"/>
  <c r="AT187" i="1"/>
  <c r="AU187" i="1" s="1"/>
  <c r="AT186" i="1"/>
  <c r="AU186" i="1" s="1"/>
  <c r="AW186" i="1"/>
  <c r="AT185" i="1"/>
  <c r="AU185" i="1" s="1"/>
  <c r="AW185" i="1"/>
  <c r="AT184" i="1"/>
  <c r="AU184" i="1" s="1"/>
  <c r="AQ184" i="1"/>
  <c r="AP184" i="1" s="1"/>
  <c r="AT189" i="1"/>
  <c r="AU189" i="1" s="1"/>
  <c r="AW189" i="1"/>
  <c r="AR189" i="1"/>
  <c r="AW190" i="1"/>
  <c r="AT190" i="1"/>
  <c r="AU190" i="1" s="1"/>
  <c r="AW191" i="1"/>
  <c r="AT191" i="1"/>
  <c r="AU191" i="1" s="1"/>
  <c r="AW192" i="1"/>
  <c r="AT192" i="1"/>
  <c r="AU192" i="1" s="1"/>
  <c r="AW193" i="1"/>
  <c r="AT193" i="1"/>
  <c r="AU193" i="1" s="1"/>
  <c r="AT148" i="1"/>
  <c r="AU148" i="1" s="1"/>
  <c r="AW148" i="1"/>
  <c r="AT137" i="1"/>
  <c r="AU137" i="1" s="1"/>
  <c r="AW137" i="1"/>
  <c r="AT125" i="1"/>
  <c r="AU125" i="1" s="1"/>
  <c r="AW125" i="1"/>
  <c r="AT123" i="1"/>
  <c r="AU123" i="1" s="1"/>
  <c r="AT135" i="1"/>
  <c r="AU135" i="1" s="1"/>
  <c r="AT147" i="1"/>
  <c r="AU147" i="1" s="1"/>
  <c r="AT127" i="1"/>
  <c r="AU127" i="1" s="1"/>
  <c r="AT139" i="1"/>
  <c r="AU139" i="1" s="1"/>
  <c r="AT149" i="1"/>
  <c r="AU149" i="1" s="1"/>
  <c r="AT129" i="1"/>
  <c r="AU129" i="1" s="1"/>
  <c r="AT141" i="1"/>
  <c r="AU141" i="1" s="1"/>
  <c r="AT150" i="1"/>
  <c r="AU150" i="1" s="1"/>
  <c r="AT131" i="1"/>
  <c r="AU131" i="1" s="1"/>
  <c r="AT143" i="1"/>
  <c r="AU143" i="1" s="1"/>
  <c r="AT151" i="1"/>
  <c r="AU151" i="1" s="1"/>
  <c r="AT133" i="1"/>
  <c r="AU133" i="1" s="1"/>
  <c r="AT145" i="1"/>
  <c r="AU145" i="1" s="1"/>
  <c r="AT152" i="1"/>
  <c r="AU152" i="1" s="1"/>
  <c r="AT159" i="1"/>
  <c r="AU159" i="1" s="1"/>
  <c r="AW159" i="1"/>
  <c r="AR159" i="1"/>
  <c r="AT27" i="1"/>
  <c r="AU27" i="1" s="1"/>
  <c r="AW27" i="1"/>
  <c r="AQ96" i="1"/>
  <c r="AP96" i="1" s="1"/>
  <c r="AT17" i="1"/>
  <c r="AU17" i="1" s="1"/>
  <c r="AT18" i="1"/>
  <c r="AU18" i="1" s="1"/>
  <c r="AT19" i="1"/>
  <c r="AU19" i="1" s="1"/>
  <c r="AT20" i="1"/>
  <c r="AU20" i="1" s="1"/>
  <c r="AT21" i="1"/>
  <c r="AU21" i="1" s="1"/>
  <c r="AT22" i="1"/>
  <c r="AU22" i="1" s="1"/>
  <c r="AT25" i="1"/>
  <c r="AU25" i="1" s="1"/>
  <c r="AT31" i="1"/>
  <c r="AU31" i="1" s="1"/>
  <c r="AT32" i="1"/>
  <c r="AU32" i="1" s="1"/>
  <c r="AT34" i="1"/>
  <c r="AU34" i="1" s="1"/>
  <c r="AT36" i="1"/>
  <c r="AU36" i="1" s="1"/>
  <c r="AT37" i="1"/>
  <c r="AU37" i="1" s="1"/>
  <c r="AT38" i="1"/>
  <c r="AU38" i="1" s="1"/>
  <c r="AT39" i="1"/>
  <c r="AU39" i="1" s="1"/>
  <c r="AT40" i="1"/>
  <c r="AU40" i="1" s="1"/>
  <c r="AT44" i="1"/>
  <c r="AU44" i="1" s="1"/>
  <c r="AT45" i="1"/>
  <c r="AU45" i="1" s="1"/>
  <c r="AT46" i="1"/>
  <c r="AU46" i="1" s="1"/>
  <c r="AT47" i="1"/>
  <c r="AU47" i="1" s="1"/>
  <c r="AT48" i="1"/>
  <c r="AU48" i="1" s="1"/>
  <c r="AT49" i="1"/>
  <c r="AU49" i="1" s="1"/>
  <c r="AT50" i="1"/>
  <c r="AU50" i="1" s="1"/>
  <c r="AT51" i="1"/>
  <c r="AU51" i="1" s="1"/>
  <c r="AT64" i="1"/>
  <c r="AU64" i="1" s="1"/>
  <c r="AT65" i="1"/>
  <c r="AU65" i="1" s="1"/>
  <c r="AT66" i="1"/>
  <c r="AU66" i="1" s="1"/>
  <c r="AT53" i="1"/>
  <c r="AU53" i="1" s="1"/>
  <c r="AT55" i="1"/>
  <c r="AU55" i="1" s="1"/>
  <c r="AT62" i="1"/>
  <c r="AU62" i="1" s="1"/>
  <c r="AT67" i="1"/>
  <c r="AU67" i="1" s="1"/>
  <c r="AT69" i="1"/>
  <c r="AU69" i="1" s="1"/>
  <c r="AT70" i="1"/>
  <c r="AU70" i="1" s="1"/>
  <c r="AT71" i="1"/>
  <c r="AU71" i="1" s="1"/>
  <c r="AT72" i="1"/>
  <c r="AU72" i="1" s="1"/>
  <c r="AT73" i="1"/>
  <c r="AU73" i="1" s="1"/>
  <c r="AT74" i="1"/>
  <c r="AU74" i="1" s="1"/>
  <c r="AT75" i="1"/>
  <c r="AU75" i="1" s="1"/>
  <c r="AT76" i="1"/>
  <c r="AU76" i="1" s="1"/>
  <c r="AT93" i="1"/>
  <c r="AU93" i="1" s="1"/>
  <c r="AT94" i="1"/>
  <c r="AU94" i="1" s="1"/>
  <c r="AT95" i="1"/>
  <c r="AU95" i="1" s="1"/>
  <c r="AT77" i="1"/>
  <c r="AU77" i="1" s="1"/>
  <c r="AT78" i="1"/>
  <c r="AU78" i="1" s="1"/>
  <c r="AT79" i="1"/>
  <c r="AU79" i="1" s="1"/>
  <c r="AT81" i="1"/>
  <c r="AU81" i="1" s="1"/>
  <c r="AT82" i="1"/>
  <c r="AU82" i="1" s="1"/>
  <c r="AT86" i="1"/>
  <c r="AU86" i="1" s="1"/>
  <c r="AT88" i="1"/>
  <c r="AU88" i="1" s="1"/>
  <c r="AT89" i="1"/>
  <c r="AU89" i="1" s="1"/>
  <c r="AT96" i="1"/>
  <c r="AU96" i="1" s="1"/>
  <c r="AT97" i="1"/>
  <c r="AU97" i="1" s="1"/>
  <c r="AT101" i="1"/>
  <c r="AT102" i="1"/>
  <c r="AU102" i="1" s="1"/>
  <c r="AT104" i="1"/>
  <c r="AU104" i="1" s="1"/>
  <c r="AT106" i="1"/>
  <c r="AU106" i="1" s="1"/>
  <c r="AT108" i="1"/>
  <c r="AU108" i="1" s="1"/>
  <c r="AT110" i="1"/>
  <c r="AU110" i="1" s="1"/>
  <c r="AT112" i="1"/>
  <c r="AU112" i="1" s="1"/>
  <c r="AT114" i="1"/>
  <c r="AU114" i="1" s="1"/>
  <c r="AT116" i="1"/>
  <c r="AU116" i="1" s="1"/>
  <c r="AT118" i="1"/>
  <c r="AU118" i="1" s="1"/>
  <c r="AT119" i="1"/>
  <c r="AU119" i="1" s="1"/>
  <c r="AT120" i="1"/>
  <c r="AU120" i="1" s="1"/>
  <c r="AT121" i="1"/>
  <c r="AU121" i="1" s="1"/>
  <c r="AT16" i="1"/>
  <c r="CN152" i="1" l="1"/>
  <c r="CQ152" i="1"/>
  <c r="CM152" i="1"/>
  <c r="CT152" i="1"/>
  <c r="CL152" i="1"/>
  <c r="CS152" i="1"/>
  <c r="CK152" i="1"/>
  <c r="CR152" i="1"/>
  <c r="CJ152" i="1"/>
  <c r="CP152" i="1"/>
  <c r="CO152" i="1"/>
  <c r="CQ151" i="1"/>
  <c r="CM151" i="1"/>
  <c r="CS151" i="1"/>
  <c r="CR151" i="1"/>
  <c r="CP151" i="1"/>
  <c r="CO151" i="1"/>
  <c r="CN151" i="1"/>
  <c r="CT151" i="1"/>
  <c r="CL151" i="1"/>
  <c r="CK151" i="1"/>
  <c r="CJ151" i="1"/>
  <c r="CT150" i="1"/>
  <c r="CL150" i="1"/>
  <c r="CO150" i="1"/>
  <c r="CN150" i="1"/>
  <c r="CM150" i="1"/>
  <c r="CS150" i="1"/>
  <c r="CK150" i="1"/>
  <c r="CR150" i="1"/>
  <c r="CJ150" i="1"/>
  <c r="CQ150" i="1"/>
  <c r="CP150" i="1"/>
  <c r="CO149" i="1"/>
  <c r="CR149" i="1"/>
  <c r="CL149" i="1"/>
  <c r="CQ149" i="1"/>
  <c r="CS149" i="1"/>
  <c r="CP149" i="1"/>
  <c r="CJ149" i="1"/>
  <c r="CT149" i="1"/>
  <c r="CN149" i="1"/>
  <c r="CM149" i="1"/>
  <c r="CK149" i="1"/>
  <c r="CM147" i="1"/>
  <c r="CJ147" i="1"/>
  <c r="CP147" i="1"/>
  <c r="CO147" i="1"/>
  <c r="CN147" i="1"/>
  <c r="CT147" i="1"/>
  <c r="CL147" i="1"/>
  <c r="CS147" i="1"/>
  <c r="CK147" i="1"/>
  <c r="CR147" i="1"/>
  <c r="CQ147" i="1"/>
  <c r="CR148" i="1"/>
  <c r="CJ148" i="1"/>
  <c r="CN148" i="1"/>
  <c r="CT148" i="1"/>
  <c r="CS148" i="1"/>
  <c r="CQ148" i="1"/>
  <c r="CP148" i="1"/>
  <c r="CO148" i="1"/>
  <c r="CM148" i="1"/>
  <c r="CL148" i="1"/>
  <c r="CK148" i="1"/>
  <c r="AQ101" i="1"/>
  <c r="AP101" i="1" s="1"/>
  <c r="AU101" i="1"/>
  <c r="AQ187" i="1"/>
  <c r="AR187" i="1"/>
  <c r="AQ159" i="1"/>
  <c r="AP159" i="1" s="1"/>
  <c r="AQ189" i="1"/>
  <c r="AP189" i="1" s="1"/>
  <c r="AQ90" i="1"/>
  <c r="AP90" i="1" s="1"/>
  <c r="AR85" i="1"/>
  <c r="AR91" i="1"/>
  <c r="AQ85" i="1"/>
  <c r="AR141" i="1"/>
  <c r="AR191" i="1"/>
  <c r="AQ91" i="1"/>
  <c r="AR185" i="1"/>
  <c r="AR186" i="1"/>
  <c r="AR148" i="1"/>
  <c r="AR150" i="1"/>
  <c r="AR123" i="1"/>
  <c r="AR125" i="1"/>
  <c r="AR188" i="1"/>
  <c r="AR145" i="1"/>
  <c r="AR137" i="1"/>
  <c r="AR152" i="1"/>
  <c r="AR193" i="1"/>
  <c r="AR143" i="1"/>
  <c r="AR147" i="1"/>
  <c r="AR135" i="1"/>
  <c r="AR192" i="1"/>
  <c r="AR133" i="1"/>
  <c r="AR149" i="1"/>
  <c r="AR131" i="1"/>
  <c r="AR129" i="1"/>
  <c r="AR139" i="1"/>
  <c r="AR190" i="1"/>
  <c r="AR151" i="1"/>
  <c r="AR127" i="1"/>
  <c r="AQ190" i="1"/>
  <c r="AQ193" i="1"/>
  <c r="AQ192" i="1"/>
  <c r="AP192" i="1" s="1"/>
  <c r="AQ191" i="1"/>
  <c r="AQ186" i="1"/>
  <c r="AQ188" i="1"/>
  <c r="AQ185" i="1"/>
  <c r="AQ148" i="1"/>
  <c r="AQ137" i="1"/>
  <c r="AQ125" i="1"/>
  <c r="AQ27" i="1"/>
  <c r="AW31" i="1"/>
  <c r="AW38" i="1"/>
  <c r="AW51" i="1"/>
  <c r="AW66" i="1"/>
  <c r="AW67" i="1"/>
  <c r="AW74" i="1"/>
  <c r="AW75" i="1"/>
  <c r="AW76" i="1"/>
  <c r="AW93" i="1"/>
  <c r="AW77" i="1"/>
  <c r="AW82" i="1"/>
  <c r="AW89" i="1"/>
  <c r="AV16" i="1"/>
  <c r="AW16" i="1" s="1"/>
  <c r="BF16" i="1"/>
  <c r="BG16" i="1"/>
  <c r="BH16" i="1"/>
  <c r="BI16" i="1"/>
  <c r="BJ16" i="1"/>
  <c r="BE16" i="1"/>
  <c r="BD16" i="1" s="1"/>
  <c r="AQ31" i="1"/>
  <c r="AQ93" i="1"/>
  <c r="AQ89" i="1"/>
  <c r="AQ16" i="1"/>
  <c r="AP188" i="1" l="1"/>
  <c r="AP91" i="1"/>
  <c r="AP187" i="1"/>
  <c r="AP93" i="1"/>
  <c r="AR93" i="1"/>
  <c r="AR77" i="1"/>
  <c r="AP31" i="1"/>
  <c r="AQ77" i="1"/>
  <c r="AP77" i="1" s="1"/>
  <c r="AQ74" i="1"/>
  <c r="AP85" i="1"/>
  <c r="AQ82" i="1"/>
  <c r="AQ75" i="1"/>
  <c r="AR89" i="1"/>
  <c r="AP89" i="1" s="1"/>
  <c r="AR82" i="1"/>
  <c r="AR76" i="1"/>
  <c r="AQ76" i="1"/>
  <c r="AR75" i="1"/>
  <c r="AR74" i="1"/>
  <c r="AR66" i="1"/>
  <c r="AQ66" i="1"/>
  <c r="AQ67" i="1"/>
  <c r="AR67" i="1"/>
  <c r="AQ51" i="1"/>
  <c r="AQ38" i="1"/>
  <c r="AP38" i="1" s="1"/>
  <c r="AP190" i="1"/>
  <c r="AP148" i="1"/>
  <c r="AP27" i="1"/>
  <c r="AP191" i="1"/>
  <c r="AP186" i="1"/>
  <c r="AP185" i="1"/>
  <c r="AP125" i="1"/>
  <c r="AP193" i="1"/>
  <c r="AP137" i="1"/>
  <c r="AR120" i="1"/>
  <c r="AR114" i="1"/>
  <c r="AR106" i="1"/>
  <c r="AR81" i="1"/>
  <c r="AR95" i="1"/>
  <c r="AR73" i="1"/>
  <c r="AR69" i="1"/>
  <c r="AR55" i="1"/>
  <c r="AR119" i="1"/>
  <c r="AR118" i="1"/>
  <c r="AR110" i="1"/>
  <c r="AR102" i="1"/>
  <c r="AR104" i="1"/>
  <c r="AR112" i="1"/>
  <c r="AR121" i="1"/>
  <c r="AR116" i="1"/>
  <c r="AR108" i="1"/>
  <c r="AR97" i="1"/>
  <c r="AR64" i="1"/>
  <c r="AR86" i="1"/>
  <c r="AR78" i="1"/>
  <c r="AR71" i="1"/>
  <c r="AR88" i="1"/>
  <c r="AR17" i="1"/>
  <c r="AR79" i="1"/>
  <c r="AR94" i="1"/>
  <c r="AR72" i="1"/>
  <c r="AR70" i="1"/>
  <c r="AR62" i="1"/>
  <c r="AR65" i="1"/>
  <c r="AP74" i="1" l="1"/>
  <c r="AP75" i="1"/>
  <c r="AP66" i="1"/>
  <c r="AP82" i="1"/>
  <c r="AP76" i="1"/>
  <c r="AP67" i="1"/>
  <c r="AP51" i="1"/>
  <c r="L89" i="1"/>
  <c r="L66" i="1"/>
  <c r="L82" i="1"/>
  <c r="AW18" i="1" l="1"/>
  <c r="AW19" i="1"/>
  <c r="AW20" i="1"/>
  <c r="AW21" i="1"/>
  <c r="AW22" i="1"/>
  <c r="AW25" i="1"/>
  <c r="AW32" i="1"/>
  <c r="AW34" i="1"/>
  <c r="AW36" i="1"/>
  <c r="AW37" i="1"/>
  <c r="AW39" i="1"/>
  <c r="AW40" i="1"/>
  <c r="AW44" i="1"/>
  <c r="AW45" i="1"/>
  <c r="AW46" i="1"/>
  <c r="AW47" i="1"/>
  <c r="AW48" i="1"/>
  <c r="AW49" i="1"/>
  <c r="AW50" i="1"/>
  <c r="AW64" i="1"/>
  <c r="AW65" i="1"/>
  <c r="AW53" i="1"/>
  <c r="AW55" i="1"/>
  <c r="AW62" i="1"/>
  <c r="AW69" i="1"/>
  <c r="AW70" i="1"/>
  <c r="AW71" i="1"/>
  <c r="AW72" i="1"/>
  <c r="AW73" i="1"/>
  <c r="AW94" i="1"/>
  <c r="AW95" i="1"/>
  <c r="AW78" i="1"/>
  <c r="AW79" i="1"/>
  <c r="AW81" i="1"/>
  <c r="AW86" i="1"/>
  <c r="AW88" i="1"/>
  <c r="AW97" i="1"/>
  <c r="AW102" i="1"/>
  <c r="AW104" i="1"/>
  <c r="AW106" i="1"/>
  <c r="AW108" i="1"/>
  <c r="AW110" i="1"/>
  <c r="AW112" i="1"/>
  <c r="AW114" i="1"/>
  <c r="AW116" i="1"/>
  <c r="AW118" i="1"/>
  <c r="AW119" i="1"/>
  <c r="AW120" i="1"/>
  <c r="AW121" i="1"/>
  <c r="AW123" i="1"/>
  <c r="AW135" i="1"/>
  <c r="AW147" i="1"/>
  <c r="AW127" i="1"/>
  <c r="AW139" i="1"/>
  <c r="AW149" i="1"/>
  <c r="AW129" i="1"/>
  <c r="AW141" i="1"/>
  <c r="AW150" i="1"/>
  <c r="AW131" i="1"/>
  <c r="AW143" i="1"/>
  <c r="AW151" i="1"/>
  <c r="AW133" i="1"/>
  <c r="AW145" i="1"/>
  <c r="AW152" i="1"/>
  <c r="AQ131" i="1" l="1"/>
  <c r="AP131" i="1" s="1"/>
  <c r="AQ127" i="1"/>
  <c r="AP127" i="1" s="1"/>
  <c r="AQ152" i="1"/>
  <c r="AP152" i="1" s="1"/>
  <c r="AQ139" i="1"/>
  <c r="AP139" i="1" s="1"/>
  <c r="AQ150" i="1"/>
  <c r="AP150" i="1" s="1"/>
  <c r="AQ151" i="1"/>
  <c r="AP151" i="1" s="1"/>
  <c r="AQ133" i="1"/>
  <c r="AP133" i="1" s="1"/>
  <c r="AQ123" i="1"/>
  <c r="AP123" i="1" s="1"/>
  <c r="AQ147" i="1"/>
  <c r="AP147" i="1" s="1"/>
  <c r="AQ143" i="1"/>
  <c r="AP143" i="1" s="1"/>
  <c r="AQ149" i="1"/>
  <c r="AP149" i="1" s="1"/>
  <c r="AQ129" i="1"/>
  <c r="AP129" i="1" s="1"/>
  <c r="AQ145" i="1"/>
  <c r="AP145" i="1" s="1"/>
  <c r="AQ141" i="1"/>
  <c r="AP141" i="1" s="1"/>
  <c r="AQ135" i="1"/>
  <c r="AP135" i="1" s="1"/>
  <c r="AQ53" i="1"/>
  <c r="AP53" i="1" s="1"/>
  <c r="AQ70" i="1"/>
  <c r="AP70" i="1" s="1"/>
  <c r="AQ37" i="1"/>
  <c r="AP37" i="1" s="1"/>
  <c r="AQ97" i="1"/>
  <c r="AP97" i="1" s="1"/>
  <c r="AQ86" i="1"/>
  <c r="AP86" i="1" s="1"/>
  <c r="AQ71" i="1"/>
  <c r="AP71" i="1" s="1"/>
  <c r="AQ62" i="1"/>
  <c r="AP62" i="1" s="1"/>
  <c r="AQ48" i="1"/>
  <c r="AP48" i="1" s="1"/>
  <c r="AQ39" i="1"/>
  <c r="AP39" i="1" s="1"/>
  <c r="AQ21" i="1"/>
  <c r="AP21" i="1" s="1"/>
  <c r="AQ118" i="1"/>
  <c r="AP118" i="1" s="1"/>
  <c r="AQ110" i="1"/>
  <c r="AP110" i="1" s="1"/>
  <c r="AQ102" i="1"/>
  <c r="AP102" i="1" s="1"/>
  <c r="AQ88" i="1"/>
  <c r="AP88" i="1" s="1"/>
  <c r="AQ94" i="1"/>
  <c r="AP94" i="1" s="1"/>
  <c r="AQ72" i="1"/>
  <c r="AP72" i="1" s="1"/>
  <c r="AQ49" i="1"/>
  <c r="AP49" i="1" s="1"/>
  <c r="AQ40" i="1"/>
  <c r="AP40" i="1" s="1"/>
  <c r="AQ22" i="1"/>
  <c r="AP22" i="1" s="1"/>
  <c r="AQ79" i="1"/>
  <c r="AP79" i="1" s="1"/>
  <c r="AQ65" i="1"/>
  <c r="AP65" i="1" s="1"/>
  <c r="AQ69" i="1"/>
  <c r="AP69" i="1" s="1"/>
  <c r="AQ19" i="1"/>
  <c r="AP19" i="1" s="1"/>
  <c r="AQ55" i="1"/>
  <c r="AP55" i="1" s="1"/>
  <c r="AQ119" i="1"/>
  <c r="AP119" i="1" s="1"/>
  <c r="AQ112" i="1"/>
  <c r="AP112" i="1" s="1"/>
  <c r="AQ104" i="1"/>
  <c r="AP104" i="1" s="1"/>
  <c r="AQ95" i="1"/>
  <c r="AP95" i="1" s="1"/>
  <c r="AQ73" i="1"/>
  <c r="AP73" i="1" s="1"/>
  <c r="AQ50" i="1"/>
  <c r="AP50" i="1" s="1"/>
  <c r="AQ44" i="1"/>
  <c r="AP44" i="1" s="1"/>
  <c r="AQ25" i="1"/>
  <c r="AP25" i="1" s="1"/>
  <c r="AQ18" i="1"/>
  <c r="AP18" i="1" s="1"/>
  <c r="AQ81" i="1"/>
  <c r="AP81" i="1" s="1"/>
  <c r="AQ47" i="1"/>
  <c r="AP47" i="1" s="1"/>
  <c r="AQ120" i="1"/>
  <c r="AP120" i="1" s="1"/>
  <c r="AQ114" i="1"/>
  <c r="AP114" i="1" s="1"/>
  <c r="AQ106" i="1"/>
  <c r="AP106" i="1" s="1"/>
  <c r="AQ45" i="1"/>
  <c r="AP45" i="1" s="1"/>
  <c r="AQ34" i="1"/>
  <c r="AP34" i="1" s="1"/>
  <c r="AQ36" i="1"/>
  <c r="AP36" i="1" s="1"/>
  <c r="AQ20" i="1"/>
  <c r="AP20" i="1" s="1"/>
  <c r="AQ121" i="1"/>
  <c r="AP121" i="1" s="1"/>
  <c r="AQ116" i="1"/>
  <c r="AP116" i="1" s="1"/>
  <c r="AQ108" i="1"/>
  <c r="AP108" i="1" s="1"/>
  <c r="AQ78" i="1"/>
  <c r="AP78" i="1" s="1"/>
  <c r="AQ64" i="1"/>
  <c r="AP64" i="1" s="1"/>
  <c r="AQ46" i="1"/>
  <c r="AP46" i="1" s="1"/>
  <c r="AQ32" i="1"/>
  <c r="AP32" i="1" s="1"/>
  <c r="AW17" i="1"/>
  <c r="AQ17" i="1" l="1"/>
  <c r="AP17" i="1" s="1"/>
  <c r="BW24" i="1"/>
  <c r="BU24" i="1"/>
  <c r="AG6" i="11"/>
  <c r="AG9" i="11"/>
  <c r="BA24" i="1"/>
  <c r="AG7" i="11"/>
  <c r="AY24" i="1"/>
  <c r="AX24" i="1"/>
  <c r="AZ24" i="1"/>
  <c r="AG8" i="11"/>
  <c r="AF24" i="1"/>
  <c r="AH24" i="1" s="1"/>
  <c r="AH4" i="11" s="1"/>
  <c r="J7" i="11" l="1"/>
  <c r="I7" i="11"/>
  <c r="J6" i="11"/>
  <c r="I6" i="11"/>
  <c r="I9" i="11"/>
  <c r="J8" i="11"/>
  <c r="I8" i="11"/>
  <c r="J9" i="11"/>
  <c r="AQ24" i="1"/>
  <c r="AG4" i="11"/>
  <c r="BD24" i="1"/>
  <c r="BF24" i="1"/>
  <c r="AR24" i="1" l="1"/>
  <c r="AP24" i="1" s="1"/>
  <c r="J4" i="11"/>
  <c r="J16" i="11" s="1"/>
  <c r="I4" i="11"/>
  <c r="I19" i="11" s="1"/>
  <c r="J20" i="11" l="1"/>
  <c r="I32" i="11"/>
  <c r="I28" i="11"/>
  <c r="I24" i="11"/>
  <c r="I15" i="11"/>
  <c r="I18" i="11"/>
  <c r="I12" i="11"/>
  <c r="I16" i="11"/>
  <c r="J30" i="11"/>
  <c r="I25" i="11"/>
  <c r="I14" i="11"/>
  <c r="I17" i="11"/>
  <c r="J25" i="11"/>
  <c r="I27" i="11"/>
  <c r="I21" i="11"/>
  <c r="I22" i="11"/>
  <c r="J18" i="11"/>
  <c r="J12" i="11"/>
  <c r="J21" i="11"/>
  <c r="J24" i="11"/>
  <c r="J31" i="11"/>
  <c r="J29" i="11"/>
  <c r="J19" i="11"/>
  <c r="I29" i="11"/>
  <c r="I20" i="11"/>
  <c r="J15" i="11"/>
  <c r="J32" i="11"/>
  <c r="J23" i="11"/>
  <c r="J26" i="11"/>
  <c r="J13" i="11"/>
  <c r="I31" i="11"/>
  <c r="I30" i="11"/>
  <c r="I26" i="11"/>
  <c r="J14" i="11"/>
  <c r="J17" i="11"/>
  <c r="J28" i="11"/>
  <c r="J22" i="11"/>
  <c r="J27" i="11"/>
  <c r="I23" i="11"/>
  <c r="I13"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David Reddy</author>
    <author>Arent, John               AEC</author>
    <author>Jireh Peng</author>
  </authors>
  <commentList>
    <comment ref="AW14" authorId="0" shapeId="0" xr:uid="{00000000-0006-0000-0000-000001000000}">
      <text>
        <r>
          <rPr>
            <b/>
            <sz val="9"/>
            <color indexed="81"/>
            <rFont val="Tahoma"/>
            <family val="2"/>
          </rPr>
          <t>David Reddy:</t>
        </r>
        <r>
          <rPr>
            <sz val="9"/>
            <color indexed="81"/>
            <rFont val="Tahoma"/>
            <family val="2"/>
          </rPr>
          <t xml:space="preserve">
Iterate to adequately separate Coef from curve name field</t>
        </r>
      </text>
    </comment>
    <comment ref="K15" authorId="0" shapeId="0" xr:uid="{00000000-0006-0000-0000-000002000000}">
      <text>
        <r>
          <rPr>
            <b/>
            <sz val="9"/>
            <color indexed="81"/>
            <rFont val="Tahoma"/>
            <family val="2"/>
          </rPr>
          <t>David Reddy:</t>
        </r>
        <r>
          <rPr>
            <sz val="9"/>
            <color indexed="81"/>
            <rFont val="Tahoma"/>
            <family val="2"/>
          </rPr>
          <t xml:space="preserve">
This needs to be reviewed closer and also compared to DOE-2.1</t>
        </r>
      </text>
    </comment>
    <comment ref="BU129" authorId="1" shapeId="0" xr:uid="{00000000-0006-0000-0000-000003000000}">
      <text>
        <r>
          <rPr>
            <b/>
            <sz val="9"/>
            <color indexed="81"/>
            <rFont val="Tahoma"/>
            <family val="2"/>
          </rPr>
          <t>Arent, John               AEC:</t>
        </r>
        <r>
          <rPr>
            <sz val="9"/>
            <color indexed="81"/>
            <rFont val="Tahoma"/>
            <family val="2"/>
          </rPr>
          <t xml:space="preserve">
We should check with Taylor Engineering about this one, since they supplied the curves.</t>
        </r>
      </text>
    </comment>
    <comment ref="BU135" authorId="1" shapeId="0" xr:uid="{00000000-0006-0000-0000-000004000000}">
      <text>
        <r>
          <rPr>
            <b/>
            <sz val="9"/>
            <color indexed="81"/>
            <rFont val="Tahoma"/>
            <family val="2"/>
          </rPr>
          <t>Arent, John               AEC:</t>
        </r>
        <r>
          <rPr>
            <sz val="9"/>
            <color indexed="81"/>
            <rFont val="Tahoma"/>
            <family val="2"/>
          </rPr>
          <t xml:space="preserve">
Check with Taylor Engineering -- not a very common curve.</t>
        </r>
      </text>
    </comment>
    <comment ref="AM269" authorId="2" shapeId="0" xr:uid="{68E39342-91FB-419F-95AD-DA2471B95358}">
      <text>
        <r>
          <rPr>
            <b/>
            <sz val="9"/>
            <color indexed="81"/>
            <rFont val="Tahoma"/>
            <family val="2"/>
          </rPr>
          <t>Jireh Peng:</t>
        </r>
        <r>
          <rPr>
            <sz val="9"/>
            <color indexed="81"/>
            <rFont val="Tahoma"/>
            <family val="2"/>
          </rPr>
          <t xml:space="preserve">
This curve from FSEC report is not normalized at rated condition. A ratio of 0.885 is applied to renormalize this curve to the rated condition.</t>
        </r>
      </text>
    </comment>
    <comment ref="AM271" authorId="2" shapeId="0" xr:uid="{834DC347-5C20-478A-BE07-2568A71EC3DB}">
      <text>
        <r>
          <rPr>
            <b/>
            <sz val="9"/>
            <color indexed="81"/>
            <rFont val="Tahoma"/>
            <family val="2"/>
          </rPr>
          <t>Jireh Peng:</t>
        </r>
        <r>
          <rPr>
            <sz val="9"/>
            <color indexed="81"/>
            <rFont val="Tahoma"/>
            <family val="2"/>
          </rPr>
          <t xml:space="preserve">
This curve from FSEC report is not normalized at rated condition. A ratio of 0.885 is applied to renormalize this curve to the rated condition.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David</author>
  </authors>
  <commentList>
    <comment ref="F7" authorId="0" shapeId="0" xr:uid="{00000000-0006-0000-0400-000001000000}">
      <text>
        <r>
          <rPr>
            <b/>
            <sz val="9"/>
            <color indexed="81"/>
            <rFont val="Tahoma"/>
            <family val="2"/>
          </rPr>
          <t>David:</t>
        </r>
        <r>
          <rPr>
            <sz val="9"/>
            <color indexed="81"/>
            <rFont val="Tahoma"/>
            <family val="2"/>
          </rPr>
          <t xml:space="preserve">
Switched EER13SEER16 with EER11SEER15 to reduce performance discontinuity around EER13</t>
        </r>
      </text>
    </comment>
    <comment ref="F8" authorId="0" shapeId="0" xr:uid="{00000000-0006-0000-0400-000002000000}">
      <text>
        <r>
          <rPr>
            <b/>
            <sz val="9"/>
            <color indexed="81"/>
            <rFont val="Tahoma"/>
            <family val="2"/>
          </rPr>
          <t>David:</t>
        </r>
        <r>
          <rPr>
            <sz val="9"/>
            <color indexed="81"/>
            <rFont val="Tahoma"/>
            <family val="2"/>
          </rPr>
          <t xml:space="preserve">
Switched EER13SEER18 with EER11SEER17 to reduce performance discontinuity around EER13</t>
        </r>
      </text>
    </comment>
    <comment ref="F11" authorId="0" shapeId="0" xr:uid="{00000000-0006-0000-0400-000003000000}">
      <text>
        <r>
          <rPr>
            <b/>
            <sz val="9"/>
            <color indexed="81"/>
            <rFont val="Tahoma"/>
            <family val="2"/>
          </rPr>
          <t>David:</t>
        </r>
        <r>
          <rPr>
            <sz val="9"/>
            <color indexed="81"/>
            <rFont val="Tahoma"/>
            <family val="2"/>
          </rPr>
          <t xml:space="preserve">
See above</t>
        </r>
      </text>
    </comment>
    <comment ref="F12" authorId="0" shapeId="0" xr:uid="{00000000-0006-0000-0400-000004000000}">
      <text>
        <r>
          <rPr>
            <b/>
            <sz val="9"/>
            <color indexed="81"/>
            <rFont val="Tahoma"/>
            <family val="2"/>
          </rPr>
          <t>David:</t>
        </r>
        <r>
          <rPr>
            <sz val="9"/>
            <color indexed="81"/>
            <rFont val="Tahoma"/>
            <family val="2"/>
          </rPr>
          <t xml:space="preserve">
See above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David Reddy</author>
  </authors>
  <commentList>
    <comment ref="AG3" authorId="0" shapeId="0" xr:uid="{00000000-0006-0000-0600-000001000000}">
      <text>
        <r>
          <rPr>
            <b/>
            <sz val="9"/>
            <color indexed="81"/>
            <rFont val="Tahoma"/>
            <family val="2"/>
          </rPr>
          <t>David Reddy:</t>
        </r>
        <r>
          <rPr>
            <sz val="9"/>
            <color indexed="81"/>
            <rFont val="Tahoma"/>
            <family val="2"/>
          </rPr>
          <t xml:space="preserve">
From EDR Advance VAVB System Design Guide,
'Perfect SP Reset VSD Fan' Curve</t>
        </r>
      </text>
    </comment>
    <comment ref="AH3" authorId="0" shapeId="0" xr:uid="{00000000-0006-0000-0600-000002000000}">
      <text>
        <r>
          <rPr>
            <b/>
            <sz val="9"/>
            <color indexed="81"/>
            <rFont val="Tahoma"/>
            <family val="2"/>
          </rPr>
          <t>David Reddy:</t>
        </r>
        <r>
          <rPr>
            <sz val="9"/>
            <color indexed="81"/>
            <rFont val="Tahoma"/>
            <family val="2"/>
          </rPr>
          <t xml:space="preserve">
From EDR Advance VAVB System Design Guide,
'Good SP Reset VSD Fan' Curve</t>
        </r>
      </text>
    </comment>
  </commentList>
</comments>
</file>

<file path=xl/sharedStrings.xml><?xml version="1.0" encoding="utf-8"?>
<sst xmlns="http://schemas.openxmlformats.org/spreadsheetml/2006/main" count="4390" uniqueCount="1128">
  <si>
    <t>COIL-BF-FFLOW</t>
  </si>
  <si>
    <t>COIL-BF-FT</t>
  </si>
  <si>
    <t>COIL-BF-FPLR</t>
  </si>
  <si>
    <t>DX-EIR-FT</t>
  </si>
  <si>
    <t>DX-EIR-FPLR</t>
  </si>
  <si>
    <t xml:space="preserve">Furnace </t>
  </si>
  <si>
    <t>HP-CAP-FT</t>
  </si>
  <si>
    <t>HP-EIR-FT</t>
  </si>
  <si>
    <t>HP-EIR-FPLR</t>
  </si>
  <si>
    <t>Desc-T-FTW</t>
  </si>
  <si>
    <t>Desc-W-FTW</t>
  </si>
  <si>
    <t>Desc-Gas-FTW</t>
  </si>
  <si>
    <t>Desc-kW-FTW</t>
  </si>
  <si>
    <t>CH-CAP-FT</t>
  </si>
  <si>
    <t>CH-EIR-FT</t>
  </si>
  <si>
    <t>CH-EIR-FPLR</t>
  </si>
  <si>
    <t>CIRC-PUMP-FPLR</t>
  </si>
  <si>
    <t>a</t>
  </si>
  <si>
    <t>b</t>
  </si>
  <si>
    <t>c</t>
  </si>
  <si>
    <t>d</t>
  </si>
  <si>
    <t>e</t>
  </si>
  <si>
    <t>f</t>
  </si>
  <si>
    <t>g</t>
  </si>
  <si>
    <t>h</t>
  </si>
  <si>
    <t>i</t>
  </si>
  <si>
    <t>j</t>
  </si>
  <si>
    <t>Variables</t>
  </si>
  <si>
    <t>PLR</t>
  </si>
  <si>
    <t>COOL-CAP-FT</t>
  </si>
  <si>
    <t>Building Descriptor</t>
  </si>
  <si>
    <t>Fan Part-Flow Power Curve</t>
  </si>
  <si>
    <t xml:space="preserve"> </t>
  </si>
  <si>
    <t>Fan Coils</t>
  </si>
  <si>
    <t>Other Chilled Water</t>
  </si>
  <si>
    <t>PTAC</t>
  </si>
  <si>
    <t>HP</t>
  </si>
  <si>
    <t>Water-Source (HP)</t>
  </si>
  <si>
    <t>Water-Source (Other)</t>
  </si>
  <si>
    <t>EIR WSHP</t>
  </si>
  <si>
    <t>EIR WS</t>
  </si>
  <si>
    <t>EIR PTAC</t>
  </si>
  <si>
    <t>EIR E+</t>
  </si>
  <si>
    <t>PLF WSHP</t>
  </si>
  <si>
    <t>PLF WS</t>
  </si>
  <si>
    <t>PLF PTAC</t>
  </si>
  <si>
    <t>PLF AS</t>
  </si>
  <si>
    <t>PLF E+</t>
  </si>
  <si>
    <t>PLF(PLR)</t>
  </si>
  <si>
    <t>EIR(PLR)</t>
  </si>
  <si>
    <t>For Air-Cooled DX with SEER Ratings, use EIR=PLR instead</t>
  </si>
  <si>
    <t>of the data map.</t>
  </si>
  <si>
    <t>For Air-Cooled DX with SEER Ratings, use PLF=1 instead</t>
  </si>
  <si>
    <t>Abbreviations:</t>
  </si>
  <si>
    <t>WSHP - Water-Source Heat Pump</t>
  </si>
  <si>
    <t>WS - Water-Source (Other)</t>
  </si>
  <si>
    <t>PTAC - Packaged Terminal Air Conditioner</t>
  </si>
  <si>
    <t>EIR AS</t>
  </si>
  <si>
    <t>Direct Evap Cooler</t>
  </si>
  <si>
    <t>Indirect Evap Cooler</t>
  </si>
  <si>
    <t>Furnace Fuel Heating Part Load Efficiency Curve</t>
  </si>
  <si>
    <t>Evaporative Cooling Performance Curves</t>
  </si>
  <si>
    <t>Direct-Expansion Part-Load Efficiency Adjustment Curve</t>
  </si>
  <si>
    <t>Electric Heat Pump Heating Capacity Adjustment Curve</t>
  </si>
  <si>
    <t>N/A</t>
  </si>
  <si>
    <t>EIR-FT</t>
  </si>
  <si>
    <t>Liquid Desiccant Performance Curves</t>
  </si>
  <si>
    <t>Chiller Cooling Capacity Adjustment Curves</t>
  </si>
  <si>
    <t>Boiler Part-Load Performance Curve</t>
  </si>
  <si>
    <t>All</t>
  </si>
  <si>
    <t>Air-Cooled Scroll</t>
  </si>
  <si>
    <t>Air-Cooled Recip</t>
  </si>
  <si>
    <t>Air-Cooled Screw</t>
  </si>
  <si>
    <t>Air-Cooled Centrifugal</t>
  </si>
  <si>
    <t>Fuel and Steam Chiller Cooling Efficiency Adjustment Curves</t>
  </si>
  <si>
    <t>Single Stage Absorption</t>
  </si>
  <si>
    <t>Double Stage Absorption</t>
  </si>
  <si>
    <t>Direct-Fired Absorption</t>
  </si>
  <si>
    <t>Engine-Driven, % Spd &lt;= Min</t>
  </si>
  <si>
    <t>Engine-Driven, % Spd&gt;Min % &lt; 60%</t>
  </si>
  <si>
    <t>Engine-Driven, % Spd &gt; 60%</t>
  </si>
  <si>
    <t>Cooling Tower Capacity Adjustment Curves</t>
  </si>
  <si>
    <t>Cooling Tower Power Adjustment Curve</t>
  </si>
  <si>
    <t>Pump Part Load Curve</t>
  </si>
  <si>
    <t>Performance Maps Section</t>
  </si>
  <si>
    <t>Some performance data is expressed not as a curve fit but as a performance map. The software can generate curve fits from this performance</t>
  </si>
  <si>
    <t>data. The exact type of curve (polynomial, exponential) is left to the software developer, but  the curve fit should have a high degree of accuracy</t>
  </si>
  <si>
    <t>(R^2&gt; 0.95 (exact metric to be determined), and curves that are normalized should produce an output of 1 +/- 0.005 with an input of 1.</t>
  </si>
  <si>
    <t>Direct-Expansion Cooling Efficiency Curve for equipment with SEER Ratings</t>
  </si>
  <si>
    <t>EWB</t>
  </si>
  <si>
    <t>ODB</t>
  </si>
  <si>
    <t>COOL-EIR-FT</t>
  </si>
  <si>
    <t>User Inputs:  SEER, EER</t>
  </si>
  <si>
    <t>EER/SEER</t>
  </si>
  <si>
    <t>Direct-Expansion Part-Load Efficiency Curves for Equipment without SEER Ratings</t>
  </si>
  <si>
    <t>Temp</t>
  </si>
  <si>
    <t>COP47/COP17</t>
  </si>
  <si>
    <t>1.266x COP47/COP17</t>
  </si>
  <si>
    <t>User Inputs: COP17, COP47</t>
  </si>
  <si>
    <t>Heat Pump Efficiency Adjustment Curve</t>
  </si>
  <si>
    <t>formula TBD</t>
  </si>
  <si>
    <t>User Inputs: CAP17, CAP47</t>
  </si>
  <si>
    <t>=</t>
  </si>
  <si>
    <t>(67,1.337)</t>
  </si>
  <si>
    <t>CAP-FT</t>
  </si>
  <si>
    <t>CAP17/CAP47</t>
  </si>
  <si>
    <t>0.702xCAP17/CAP47</t>
  </si>
  <si>
    <t>The two user inputs for these curves are Coefficient of Performance (COP) or Heating Capacity at 17F and 47F.</t>
  </si>
  <si>
    <t>MaxOut</t>
  </si>
  <si>
    <t>MinOut</t>
  </si>
  <si>
    <t>MaxVar1</t>
  </si>
  <si>
    <t>MaxVar2</t>
  </si>
  <si>
    <t>MinVar1</t>
  </si>
  <si>
    <t>MinVar2</t>
  </si>
  <si>
    <t>Var1</t>
  </si>
  <si>
    <t>Var2</t>
  </si>
  <si>
    <t>Twb</t>
  </si>
  <si>
    <t>Tdb</t>
  </si>
  <si>
    <t>Coil Bypass Factor Adjustment Curve</t>
  </si>
  <si>
    <t>Direct Expansion Cooling Efficiency Temperature Adjustment Curve</t>
  </si>
  <si>
    <t>CFMRatio</t>
  </si>
  <si>
    <t>EVAP-EFF-FFLOW</t>
  </si>
  <si>
    <t>FURN-EFF-FHPLC</t>
  </si>
  <si>
    <t>Section</t>
  </si>
  <si>
    <t>Page no.</t>
  </si>
  <si>
    <t>5.7.3.2</t>
  </si>
  <si>
    <t>5.7.5.1</t>
  </si>
  <si>
    <t>5.7.5.2</t>
  </si>
  <si>
    <t>5.7.5.3</t>
  </si>
  <si>
    <t>5.7.6.5</t>
  </si>
  <si>
    <t>5-131</t>
  </si>
  <si>
    <t>5.7.6.4</t>
  </si>
  <si>
    <t>5-133</t>
  </si>
  <si>
    <t>5-135</t>
  </si>
  <si>
    <t>5.7.7.2</t>
  </si>
  <si>
    <t>5-141</t>
  </si>
  <si>
    <t>5.8.1</t>
  </si>
  <si>
    <t>5.8.2</t>
  </si>
  <si>
    <t>5-150</t>
  </si>
  <si>
    <t>Tchws</t>
  </si>
  <si>
    <t>Tcws</t>
  </si>
  <si>
    <t>Engine-Driven Chiller</t>
  </si>
  <si>
    <t>FSCH-CAP-FT</t>
  </si>
  <si>
    <t>FSCH-FIR-FPLR</t>
  </si>
  <si>
    <t>E+</t>
  </si>
  <si>
    <t>CTWR-CAP</t>
  </si>
  <si>
    <t>CTWR-FAN-FPLR</t>
  </si>
  <si>
    <t>FSCH-FIR-FT</t>
  </si>
  <si>
    <t>GPMRatio</t>
  </si>
  <si>
    <t>Curve Type</t>
  </si>
  <si>
    <t>5-154</t>
  </si>
  <si>
    <t>5.8.3</t>
  </si>
  <si>
    <t>5-159</t>
  </si>
  <si>
    <t>5-161</t>
  </si>
  <si>
    <t>5.8.5</t>
  </si>
  <si>
    <t>5-168</t>
  </si>
  <si>
    <t>Cap-fCHWT&amp;ECT</t>
  </si>
  <si>
    <t>EIR-fCHWT&amp;ECT</t>
  </si>
  <si>
    <t>PATH A</t>
  </si>
  <si>
    <t>PATH B</t>
  </si>
  <si>
    <t>QRatio</t>
  </si>
  <si>
    <t>Object Type:</t>
  </si>
  <si>
    <t>Quadratic</t>
  </si>
  <si>
    <t>Eplus-Curve Type</t>
  </si>
  <si>
    <t>Field</t>
  </si>
  <si>
    <t>BiQuadratic</t>
  </si>
  <si>
    <t>Coil:Heating:Gas</t>
  </si>
  <si>
    <t>Part Load Fraction Correlation Curve</t>
  </si>
  <si>
    <t>Energy Input Ratio Function of Flow Fraction Curve</t>
  </si>
  <si>
    <t>Energy Input Ratio Function of Temperature Curve</t>
  </si>
  <si>
    <t xml:space="preserve">Total Cooling Capacity Function of Flow Fraction Curve </t>
  </si>
  <si>
    <t>Coil:Cooling:DX:SingleSpeed</t>
  </si>
  <si>
    <t>Total Heating Capacity Function of Temperature Curve</t>
  </si>
  <si>
    <t>Total Heating Capacity Function of Flow Fraction Curve</t>
  </si>
  <si>
    <t>Defrost Energy Input Ratio Function of Temperature Curve</t>
  </si>
  <si>
    <t>EvaporativeCooler:Direct:CelDekPad</t>
  </si>
  <si>
    <t>NOTE: pg. 1475</t>
  </si>
  <si>
    <t>Field: Direct Pad Area
The face area of the evaporative pad in m2. With the area and mass flow rate, the air velocity is calculated and is used to determine the saturation efficiency.
Field: Direct Pad Depth
The depth of the evaporative pad in meters. The pad depth is used to determine the saturation efficiency.</t>
  </si>
  <si>
    <t>Boiler:HotWater</t>
  </si>
  <si>
    <t>pg. 597</t>
  </si>
  <si>
    <t>Boiler:Steam</t>
  </si>
  <si>
    <t>Chiller:Absorption</t>
  </si>
  <si>
    <t>pg. 535</t>
  </si>
  <si>
    <t>Generator Heat Input Part Load Ratio Curve
The Generator Heat Input Part Load Ratio Curve is a quadratic equation that determines the Ratio of the generator load on the absorber to the demand on the chiller. The defining equation is:
SteamInputRatio= C1/PLR+ C2+C3*PLR</t>
  </si>
  <si>
    <t>The Pump Electric Use Part Load Ratio Curve is a quadratic equation that determines the Ratio of the actual absorber pumping power to the nominal pumping power. The defining equation is:
ElectricInputRatio=C1+C2*PLR+C3*PLR^2</t>
  </si>
  <si>
    <t>Chiller:Absorption:Indirect</t>
  </si>
  <si>
    <t>Field: Generator Heat Input Function of Part Load Ratio Curve Name
This required alpha field specifies the name of the curve used to determine the heat input to the chiller. The curve is a quadratic or cubic curve which characterizes the heat input as a function of chiller part-load ratio. The curve output is multiplied by the chiller’s nominal capacity and operating part-load ratio or minimum part-load ratio, whichever is greater, to determine the amount of heat input required for the given operating conditons.</t>
  </si>
  <si>
    <t>Field: Pump Electric Input Function of Part Load Ratio Curve Name
This alpha field specifies the name of the curve used to determine the pump electrical input to the chiller. The curve is a quadratic or cubic curve which characterizes the pump electrical power as a function of chiller part-load ratio. The curve output is multiplied by the chiller’s nominal pumping power and operating part-load ratio or minimum part-load ratio, whichever is greater, to determine the amount of pumping power required for the given operating conditons.</t>
  </si>
  <si>
    <t>Field: Capacity Correction Function of Condenser Temperature Curve Name
This alpha field specifies the name of a quadratic or cubic curve which correlates the chiller’s evaporator capacity as a function of condenser entering water temperature. This curve is used to correct nominal capacity at off-design condensing temperatures.</t>
  </si>
  <si>
    <t>Capacity Correction Function of Chilled Water Temperature</t>
  </si>
  <si>
    <t>Field: Capacity Correction Function of Chilled Water Temperature Curve Name
This alpha field specifies the name of a quadratic or cubic curve which correlates the chiller’s evaporator capacity as a function of evaporator leaving water temperature. This curve is used to correct nominal capacity at off-design evaporator temperatures.</t>
  </si>
  <si>
    <t>Field: Capacity Correction Function of Generator Temperature Curve Name
This alpha field specifies the name of a quadratic or cubic curve which correlates the chiller’s evaporator capacity as a function of generator entering water temperature. This curve is used to correct nominal capacity at off-design evaporator temperatures and is only used when the Generator Fluid Type is specified as Hot Water.</t>
  </si>
  <si>
    <t>Field: Generator Heat Input Correction Function of Condenser Temperature Curve Name
This alpha field specifies the name of a quadratic or cubic curve which correlates the chiller’s heat input as a function of condenser entering water temperature. This curve is used to correct generator heat input at off-design condensing temperatures.</t>
  </si>
  <si>
    <t>Field: Generator Heat Input Correction Function of Chilled Water Temperature Curve Name
This alpha field specifies the name of a quadratic or cubic curve which correlates the chiller’s heat input as a function of evaporator leaving water temperature. This curve is used to correct generator heat input at off-design evaporator temperatures.</t>
  </si>
  <si>
    <t>Capacity Ratio Curve</t>
  </si>
  <si>
    <t>Chiller:Electric</t>
  </si>
  <si>
    <t>Capacity Ratio Curve
The Capacity Ratio Curve is a quadratic equation that determines the Ratio of Available Capacity to Nominal Capacity.</t>
  </si>
  <si>
    <t>pg. 547</t>
  </si>
  <si>
    <t>Power Ratio Curve</t>
  </si>
  <si>
    <t>Power Ratio Curve
The Power Ratio Curve is a quadratic equation that determines the Ratio of Full Load Power at Available Capacity to Full Load Power at Nominal Capacity.</t>
  </si>
  <si>
    <t xml:space="preserve">Quadratic </t>
  </si>
  <si>
    <t>Full Load Ratio Curve
The Full Load Ratio Curve is a quadratic equation that determines the fraction of full load power.</t>
  </si>
  <si>
    <t>Chiller:Electric:EIR</t>
  </si>
  <si>
    <t>pg. 553</t>
  </si>
  <si>
    <t>Chiller:Electric:ReformulatedEIR</t>
  </si>
  <si>
    <t>Field: Cooling Capacity Function of Temperature Curve Name
The name of a biquadratic performance curve (ref: Performance Curves) that parameterizes the variation of the cooling capacity as a function of the leaving chilled water temperature and the leaving condenser water temperature. The output of this curve is multiplied by the reference capacity to give the cooling capacity at specific temperature operating conditions (i.e., at temperatures different from the reference temperatures). The curve should have a value of 1.0 at the reference temperatures and flow rates specified above. The biquadratic curve should be valid for the range of water temperatures anticipated for the simulation (otherwise the program issues warning messages).</t>
  </si>
  <si>
    <t>Field: Electric Input to Cooling Output Ratio Function of Temperature Curve Name
The name of a biquadratic performance curve (ref: Performance Curves) that parameterizes the variation of the energy input to cooling output ratio (EIR) as a function of the leaving chilled water temperature and the leaving condenser water temperature. The EIR is the inverse of the COP. The output of this curve is multiplied by the reference EIR (inverse of the reference COP) to give the EIR at specific temperature operating conditions (i.e., at temperatures different from the reference temperatures). The curve should have a value of 1.0 at the reference temperatures and flow rates specified above. The biquadratic curve should be valid for the range of water temperatures anticipated for the simulation (otherwise the program issues warning messages).</t>
  </si>
  <si>
    <t>BiCubic</t>
  </si>
  <si>
    <t>Field: Electric Input to Cooling Output Ratio Function of Part Load Ratio Curve Name
The name of a bicubic performance curve (ref: Performance Curves) that parameterizes the variation of the energy input ratio (EIR) as a function of the leaving condenser water temperature and the part-load ratio (EIRfTPLR). The EIR is the inverse of the COP, and the part-load ratio is the actual cooling load divided by the chiller’s available cooling capacity. This curve is generated by dividing the operating electric input power by the available full-load capacity (do not divide by load) at the specific operating temperatures. The curve output should decrease from 1 towards 0 as part-load ratio decreases from 1 to 0. The output of this curve is multiplied by the reference full-load EIR (inverse of the reference COP) and the Energy Input to Cooling Output Ratio Function of Temperature Curve to give the EIR at the specific temperatures and part-load ratio at which the chiller is operating. This curve should have a value of 1.0 at the reference leaving condenser water temperature with the part-load ratio equal to 1.0. An ideal chiller with the same efficiency at all part-load ratio’s would use a performance curve that has a value of 0 when the part-load ratio equals 0 (i.;e., a line connecting 0,0 and 1,1 when plotted as EIRfTPLR versus PLR), however, actual systems can have part-load EIR’s slightly above or below this line (i.e., part-load efficiency often differs from rated efficiency). The bicubic curve should be valid for the range of condenser water temperatures and part-load ratios anticipated for the simulation (otherwise the program issues warning messages).
Note: Although a bicubic curve requires 10 coefficients (ref. Curve:Bicubic), coefficients 7, 9 and 10 are typically not used in the performance curve described here and should be entered as 0 unless sufficient performance data and regression accuracy exist to justify the use of these coefficients. Additionally, coefficients 2, 3, and 6 should not be used unless sufficient temperature data is available to accurately define the performance curve (i.e., negative values may result from insufficient data).</t>
  </si>
  <si>
    <t>Chiller:EngineDriven</t>
  </si>
  <si>
    <t>pg. 566</t>
  </si>
  <si>
    <t>pg. 560</t>
  </si>
  <si>
    <t>Power Ratio Curve
The Power Ratio Curve is a quadratic equation that determines the Ratio of Full Load to Power.</t>
  </si>
  <si>
    <t>Fuel Use Curve</t>
  </si>
  <si>
    <t>Field: Fuel Use Curve Name
This alpha field contains the name of the Cooling Load to Fuel Use curve. The curve itself is specified separately using the EnergyPlus Curve Manager. The Fuel Use Curve is a quadratic equation that determines the ratio of Cooling Load to Fuel Energy. The defining equation is:
CoolingLoadtoFuelCurve= C1+ C2*PLR+ C3*PLR^2
where PLR is the Part Load Ratio from the Chiller. The Part Load Based Fuel Input Curve determines the ratio of fuel energy per unit time (J/s) / cooling load (W).</t>
  </si>
  <si>
    <t>Field: Jacket Heat Recovery Curve Name
This alpha field contains the name of the Recovery Jacket Heat curve. The curve itself is specified separately using the EnergyPlus Curve Manager. The Recovery Jacket Heat Curve is a quadratic equation that determines the ratio of recovery jacket heat to fuel energy. The defining equation is:
RecoveryJacketHeatToFuelRatio= C1+ C2RL+ C3RL^2
where RL is the Ratio of Load to Diesel Engine Capacity.</t>
  </si>
  <si>
    <t>Lube Heat Recovery Curve</t>
  </si>
  <si>
    <t>Total Exhaust Energy Curve</t>
  </si>
  <si>
    <t>Field: Lube Heat Recovery Curve Name
This alpha field contains the name of the Recovery Lube Heat curve. The curve itself is specified separately using the EnergyPlus Curve Manager. The Recovery Lubricant Heat Curve is a quadratic equation that determines the ratio of recovery lube heat to fuel energy. The defining equation is:
RecoveryLubeHeatToFuelRatio= C1+ C2RL+ C3RL^2
where RL is the Ratio of Load to Diesel Engine Capacity</t>
  </si>
  <si>
    <t>Field: Total Exhaust Energy Curve Name
This alpha field contains the name of the Total Exhaust Energy curve. The curve itself is specified separately using the EnergyPlus Curve Manager. The Total Exhaust Energy Curve is a quadratic equation that determines the ratio of total exhaust energy to fuel energy. The defining equation is:
TotalExhaustToFuelRatio= C1+ C2RL+ C3RL^2
where RL is the Ratio of Load to Diesel Engine Capacity</t>
  </si>
  <si>
    <t>Exhaust Temperature Curve</t>
  </si>
  <si>
    <t>Field: Exhaust Temperature Curve Name
This alpha field contains the name of the Exhaust Temperature curve. The curve itself is specified separately using the EnergyPlus Curve Manager. The Exhaust Temperature Curve is a quadratic equation that determines the absolute exhaust temperature. The defining equation is:
AbsoluteExhaustTemperature=C1+ C2RL+ C3RL^2
where RL is the Ratio of Load to Diesel Engine Capacity</t>
  </si>
  <si>
    <t>U-Factor Times Area Curve
The U-Factor Times Area (UA) is an equation that determines the overall heat transfer coefficient for the exhaust gasses with the stack. The heat transfer coefficient ultimately helps determine the exhaust stack temperature. The defining equation is:
UAToCapacityRatio= C1*EngineCapacity^C2</t>
  </si>
  <si>
    <t>Chiller:CombustionTurbine</t>
  </si>
  <si>
    <t>ChillerHeater:Absorption:DirectFired</t>
  </si>
  <si>
    <t>pg. 581</t>
  </si>
  <si>
    <t>pg. 573</t>
  </si>
  <si>
    <t>ChillerHeater:Absorption:DoubleEffect</t>
  </si>
  <si>
    <t>pg. 589</t>
  </si>
  <si>
    <t>pg. 686</t>
  </si>
  <si>
    <t>Cubic</t>
  </si>
  <si>
    <t>CoolingTowerPerformance:CoolTools</t>
  </si>
  <si>
    <t>pg. 691</t>
  </si>
  <si>
    <t>CoolingTowerPerformance:CoolTools
Variable speed cooling towers can be modeled by EnergyPlus with user-selectable performance based on the CoolTools correlation, YorkCalc correlation, or user-defined coefficients for either the CoolTools or YorkCalc correlations. The empirical CoolTools tower correlation uses a set of 35 coefficients to model the thermal performance (approach temperature) of a cooling tower based on four independent variables. If the user specifies Model Type = CoolToolsCrossFlow in the CoolingTower:VariableSpeed object, then the 35 coefficients derived for the CoolTools simulation model are used and these coefficients are already defined within EnergyPlus.</t>
  </si>
  <si>
    <t>CoolingTowerPerformance:YorkCalc</t>
  </si>
  <si>
    <t>pg. 694</t>
  </si>
  <si>
    <t>pg. 600</t>
  </si>
  <si>
    <t xml:space="preserve">Normalized Boiler Efficiency Curve </t>
  </si>
  <si>
    <t>Generator Heat Input Part Load Ratio Curve</t>
  </si>
  <si>
    <t>Pump Electric Use Part Load Ratio Curve</t>
  </si>
  <si>
    <t>Generator Heat Input Function of Part Load Ratio Curve</t>
  </si>
  <si>
    <t>Pump Electric Input Function of Part Load Ratio Curve</t>
  </si>
  <si>
    <t>Capacity Correction Function of Condenser Temperature Curve</t>
  </si>
  <si>
    <t>Capacity Correction Function of Generator Temperature Curve</t>
  </si>
  <si>
    <t>Generator Heat Input Correction Function of Condenser Temperature Curve</t>
  </si>
  <si>
    <t>Generator Heat Input Correction Function of Chilled Water Temperature Curve</t>
  </si>
  <si>
    <t xml:space="preserve">Capacity Ratio Curve </t>
  </si>
  <si>
    <t xml:space="preserve">Full Load Ratio Curve </t>
  </si>
  <si>
    <t>Cooling Capacity Function of Temperature Curve</t>
  </si>
  <si>
    <t>Electric Input to Cooling Output Ratio Function of Temperature Curve</t>
  </si>
  <si>
    <t>Electric Input to Cooling Output Ratio Function of Part Load Ratio Curve</t>
  </si>
  <si>
    <t>Full Load Ratio Curve</t>
  </si>
  <si>
    <t>Fan Power Ratio Function of Air Flow Rate Ratio Curve</t>
  </si>
  <si>
    <t xml:space="preserve">CoolToolsCrossFlow Curve </t>
  </si>
  <si>
    <t>Jacket Heat Recovery Curve</t>
  </si>
  <si>
    <t>U-Factor Times Area Curve</t>
  </si>
  <si>
    <t>v1.1</t>
  </si>
  <si>
    <t>Coefficients</t>
  </si>
  <si>
    <t>5-099</t>
  </si>
  <si>
    <t>Fan:VariableVolume</t>
  </si>
  <si>
    <t>Boundaries</t>
  </si>
  <si>
    <t>Dependent</t>
  </si>
  <si>
    <t>NOTES</t>
  </si>
  <si>
    <r>
      <t>The constant coefficient (C1) in a fourth order polynomial curve giving the fraction of full load power (PLF) as a function of flow fraction (FF). Flow fraction is the air mass flow rate divided by the maximum air mass flow rate. The curve is:
PLF = C1 + C2*FF + C3*FF</t>
    </r>
    <r>
      <rPr>
        <vertAlign val="superscript"/>
        <sz val="11"/>
        <color theme="1"/>
        <rFont val="Calibri"/>
        <family val="2"/>
        <scheme val="minor"/>
      </rPr>
      <t>2</t>
    </r>
    <r>
      <rPr>
        <sz val="11"/>
        <color theme="1"/>
        <rFont val="Calibri"/>
        <family val="2"/>
        <scheme val="minor"/>
      </rPr>
      <t xml:space="preserve"> + C4*FF</t>
    </r>
    <r>
      <rPr>
        <vertAlign val="superscript"/>
        <sz val="11"/>
        <color theme="1"/>
        <rFont val="Calibri"/>
        <family val="2"/>
        <scheme val="minor"/>
      </rPr>
      <t>3</t>
    </r>
    <r>
      <rPr>
        <sz val="11"/>
        <color theme="1"/>
        <rFont val="Calibri"/>
        <family val="2"/>
        <scheme val="minor"/>
      </rPr>
      <t xml:space="preserve"> + C5*FF</t>
    </r>
    <r>
      <rPr>
        <vertAlign val="superscript"/>
        <sz val="11"/>
        <color theme="1"/>
        <rFont val="Calibri"/>
        <family val="2"/>
        <scheme val="minor"/>
      </rPr>
      <t>4</t>
    </r>
  </si>
  <si>
    <t>Dep.</t>
  </si>
  <si>
    <t>Indep.</t>
  </si>
  <si>
    <t>Notes</t>
  </si>
  <si>
    <t>Total Cooling Capacity Function of Temperature Curve Name</t>
  </si>
  <si>
    <t>FANS</t>
  </si>
  <si>
    <t>The name of a biquadratic performance curve (ref: Performance Curves) that parameterizes the variation of the total cooling capacity as a function of the wet-bulb temperature of the air entering the cooling coil, and the dry-bulb temperature of the air entering the air-cooled condenser (wet-bulb temperature if modeling an evaporative-cooled condenser). The output of this curve is multiplied by the rated total cooling capacity to give the total cooling capacity at specific temperature operating conditions (i.e., at temperatures different from the rating point temperatures). The curve is normalized to have the value of 1.0 at the rating point. This curve is used for performance at the high speed compressor, high speed fan operating point.</t>
  </si>
  <si>
    <t>The name of a quadratic performance curve (ref: Performance Curves) that parameterizes the variation of total cooling capacity as a function of the ratio of actual air flow rate across the cooling coil to the rated air flow rate (i.e., fraction of full load flow). The output of this curve is multiplied by the rated total cooling capacity and the total cooling capacity modifier curve (function of temperature) to give the total cooling capacity at the specific temperature and air flow conditions at which the coil is operating. The curve is normalized to have the value of 1.0 when the actual air flow rate equals the rated air flow rate. This curve is applied only at the high speed compressor, high speed fan operating point. There is no corresponding curve for the low speed operating point.</t>
  </si>
  <si>
    <t>The name of a quadratic performance curve (Ref: Performance Curves) that parameterizes the variation of the energy input ratio (EIR) as a function of the ratio of actual air flow rate across the cooling coil to the rated air flow rate (i.e., fraction of full load flow). The EIR is the inverse of the COP. The output of this curve is multiplied by the rated EIR and the EIR modifier curve (function of temperature) to give the EIR at the specific temperature and air flow conditions at which the cooling coil is operating. This curve is normalized to a value of 1.0 when the actual air flow rate equals the rated air flow rate. This curve is applied only at the high speed compressor, high speed fan operating point. There is no corresponding curve for the low speed operating point.</t>
  </si>
  <si>
    <t>DOE2, E+</t>
  </si>
  <si>
    <t>DOE2</t>
  </si>
  <si>
    <t>CoilBPF</t>
  </si>
  <si>
    <t>PwrRatio</t>
  </si>
  <si>
    <t>Object</t>
  </si>
  <si>
    <t>Fan</t>
  </si>
  <si>
    <t>AF or BI Riding the Curve</t>
  </si>
  <si>
    <t>AF or BI inlet vanes</t>
  </si>
  <si>
    <t>FC riding the curve</t>
  </si>
  <si>
    <t>FC with inlet vanes</t>
  </si>
  <si>
    <t>Vane-axial with variable pitch blades</t>
  </si>
  <si>
    <t>Any fan with VSD</t>
  </si>
  <si>
    <t>ACM Ref</t>
  </si>
  <si>
    <t>IO p. 1241</t>
  </si>
  <si>
    <t>Linear</t>
  </si>
  <si>
    <t>Coil:Cooling:DX:TwoSpeed</t>
  </si>
  <si>
    <t>EIRRatio</t>
  </si>
  <si>
    <t>E+ IO Ref</t>
  </si>
  <si>
    <t>5-119</t>
  </si>
  <si>
    <t>5-116</t>
  </si>
  <si>
    <t>5-113</t>
  </si>
  <si>
    <t>5-112</t>
  </si>
  <si>
    <t>5-129</t>
  </si>
  <si>
    <t>FuelRatio</t>
  </si>
  <si>
    <t>Furn</t>
  </si>
  <si>
    <t>EVAP COOLERS</t>
  </si>
  <si>
    <t>HEATING COILS</t>
  </si>
  <si>
    <t>COOLING COIL</t>
  </si>
  <si>
    <t>VSD</t>
  </si>
  <si>
    <t>DX</t>
  </si>
  <si>
    <t>WSHP</t>
  </si>
  <si>
    <t>WSDX</t>
  </si>
  <si>
    <t>FC</t>
  </si>
  <si>
    <t>EvapClr</t>
  </si>
  <si>
    <t>CoilClg</t>
  </si>
  <si>
    <t>CoilHtg</t>
  </si>
  <si>
    <t>COOLING COILS</t>
  </si>
  <si>
    <r>
      <t>The name of a biquadratic performance curve (ref: Performance Curves) that parameterizes the variation of the energy input ratio (EIR) as a function of the wet-bulb temperature of the air entering the cooling coil and the dry-bulb temperature of the air entering the air-cooled condenser (</t>
    </r>
    <r>
      <rPr>
        <sz val="11"/>
        <color rgb="FFFF0000"/>
        <rFont val="Calibri"/>
        <family val="2"/>
        <scheme val="minor"/>
      </rPr>
      <t>wet-bulb temperature if modeling an evaporative-cooled condenser</t>
    </r>
    <r>
      <rPr>
        <sz val="11"/>
        <color theme="1"/>
        <rFont val="Calibri"/>
        <family val="2"/>
        <scheme val="minor"/>
      </rPr>
      <t>). The EIR is the inverse of the COP. The output of this curve is multiplied by the rated EIR (inverse of rated COP) to give the EIR at specific temperature operating conditions (i.e., at temperatures different from the rating point temperatures). The curve is normalized to a value of 1.0 at the rating point. This curve is used for performance at the high speed compressor, high speed fan operating point.</t>
    </r>
  </si>
  <si>
    <t>Coil:Heating:DX:SingleSpeed</t>
  </si>
  <si>
    <t>This alpha field defines the name of a quadratic or cubic performance curve (Ref: Performance Curves) that parameterizes the variation of gas consumption rate by the heating coil as a function of the part load ratio (PLR, sensible heating load/nominal capacity of the heating coil). For any simulation timestep, the nominal gas consumption rate (heating load/burner efficiency) is divided by the part-load fraction (PLF) if a part-load curve has been defined. The part-load curve accounts for efficiency losses due to transient coil operation.</t>
  </si>
  <si>
    <t>This alpha field defines the name of a bi-quadratic, quadratic or cubic performance curve (ref: Performance Curves) that parameterizes the variation of the total heating capacity as a function of the both the indoor and outdoor air dry-bulb temperature or just the outdoor air dry-bulb temperature depending on the type of curve selected. The bi-quadratic curve is recommended if sufficient manufacturer data is available as it provides sensitivity to the indoor air dry-bulb temperature and a more realistic output. The output of this curve is multiplied by the rated total heating capacity to give the total heating capacity at specific temperature operating conditions (i.e., at an indoor air dry-bulb temperature or outdoor air dry-bulb temperature different from the rating point temperature). The curve is normalized to have the value of 1.0 at the rating point.</t>
  </si>
  <si>
    <t>This alpha field defines the name of a quadratic or cubic performance curve (ref: Performance Curves) that parameterizes the variation of total heating capacity as a function of the ratio of actual air flow rate across the heating coil to the rated air flow rate (i.e., fraction of full load flow). The output of this curve is multiplied by the rated total heating capacity and the total heating capacity modifier curve (function of temperature) to give the total heating capacity at the specific temperature and air flow conditions at which the coil is operating. The curve is normalized to have the value of 1.0 when the actual air flow rate equals the rated air flow rate.</t>
  </si>
  <si>
    <t>This alpha field defines the name of a bi-quadratic, quadratic or cubic performance curve (ref: Performance Curves) that parameterizes the variation of the energy input ratio (EIR) as a function of the both the indoor and outdoor air dry-bulb temperature or just the outdoor air dry-bulb temperature depending on the type of curve selected. The bi-quadratic curve is recommended if sufficient manufacturer data is available as it provides sensitivity to the indoor air dry-bulb temperature and a more realistic output. The EIR is the inverse of the COP. The output of this curve is multiplied by the rated EIR (inverse of rated COP) to give the EIR at specific temperature operating conditions (i.e., at an indoor air dry-bulb temperature or outdoor air dry-bulb temperature different from the rating point temperature). The curve is normalized to have the value of 1.0 at the rating point.</t>
  </si>
  <si>
    <t>This alpha field defines the name of a quadratic or cubic performance curve (ref: Performance Curves) that parameterizes the variation of the energy input ratio (EIR) as a function of the ratio of actual air flow rate across the heating coil to the rated air flow rate (i.e., fraction of full load flow). The EIR is the inverse of the COP. The output of this curve is multiplied by the rated EIR and the EIR modifier curve (function of temperature) to give the EIR at the specific temperature and air flow conditions at which the coil is operating. This curve is normalized to a value of 1.0 when the actual air flow rate equals the rated air flow rate.</t>
  </si>
  <si>
    <t>This alpha field defines the name of a quadratic or cubic performance curve (Ref: Performance Curves) that parameterizes the variation of electrical power input to the DX unit as a function of the part load ratio (PLR, sensible cooling load/steady-state sensible cooling capacity). The product of the rated EIR and EIR modifier curves is divided by the output of this curve to give the “effective” EIR for a given simulation timestep. The part load fraction (PLF) correlation accounts for efficiency losses due to compressor cycling.
The part load fraction correlation should be normalized to a value of 1.0 when the part load ratio equals 1.0 (i.e., no efficiency losses when the compressor(s) run continuously for the simulation timestep).</t>
  </si>
  <si>
    <t>This alpha field defines the name of a bi-quadratic performance curve (ref: Performance Curves) that parameterizes the variation of the energy input ratio (EIR) during reverse-cycle defrost periods as a function of the outdoor air dry-bulb temperature and the wet-bulb temperature of the air entering the indoor coil. The EIR is the inverse of the COP. The output of this curve is multiplied by the coil capacity, the fractional defrost time period and the runtime fraction of the heating coil to give the defrost power at the specific temperatures at which the indoor and outdoor coils are operating. This curve is only required when a reverse-cycle defrost strategy is selected. The curve is normalized to a value of 1.0 at the rating point conditions.</t>
  </si>
  <si>
    <t>Water-Source DX</t>
  </si>
  <si>
    <t>Total Cooling Capacity Coefficient 1 to 5</t>
  </si>
  <si>
    <t>Sensible Cooling Capacity Coefficient 1 to 5</t>
  </si>
  <si>
    <t>Cooling Power Consumption Coefficient 1 to 5</t>
  </si>
  <si>
    <t>QuadLinear</t>
  </si>
  <si>
    <t>TwbRatio</t>
  </si>
  <si>
    <t>TwtRatio</t>
  </si>
  <si>
    <t>These numeric fields contain the first to fifth coefficient for the heat pump power consumption.</t>
  </si>
  <si>
    <t>These numeric fields contain the first to fifth coefficient for the heat pump power consumption.
See: Tang,C. C. 2005. Modeling Packaged Heat Pumps in Quasi-Steady State Energy Simulation Program. M.S. Thesis. Department of Mechanical and Aerospace Engineering, Oklahoma State University. (downloadable from http://www.hvac.okstate.edu/)</t>
  </si>
  <si>
    <t>These numeric fields contain the first to sixth coefficient for the heat pump sensible cooling capacity.
See: Tang,C. C. 2005. Modeling Packaged Heat Pumps in Quasi-Steady State Energy Simulation Program. M.S. Thesis. Department of Mechanical and Aerospace Engineering, Oklahoma State University. (downloadable from http://www.hvac.okstate.edu/)</t>
  </si>
  <si>
    <t xml:space="preserve">The name of a biquadratic performance curve (ref: Performance Curves) that parameterizes the variation of the total cooling capacity as a function of the wet-bulb temperature of the air entering the cooling coil, and the dry-bulb temperature of the air entering the air-cooled condenser (wet-bulb temperature if modeling an evaporative-cooled condenser). The output of this curve is multiplied by the rated total cooling capacity to give the total cooling capacity at specific temperature operating conditions (i.e., at temperatures different from the rating point temperatures). </t>
  </si>
  <si>
    <t>The name of a quadratic performance curve (ref: Performance Curves) that parameterizes the variation of total cooling capacity as a function of the ratio of actual air flow rate across the cooling coil to the rated air flow rate (i.e., fraction of full load flow). The output of this curve is multiplied by the rated total cooling capacity and the total cooling capacity modifier curve (function of temperature) to give the total cooling capacity at the specific temperature and air flow conditions at which the coil is operating. The curve is normalized to have the value of 1.0 when the actual air flow rate equals the rated air flow rate.</t>
  </si>
  <si>
    <r>
      <t>The name of a biquadratic performance curve (ref: Performance Curves) that parameterizes the variation of the energy input ratio (EIR) as a function of the wet-bulb temperature of the air entering the cooling coil and the dry-bulb temperature of the air entering the air-cooled condenser (</t>
    </r>
    <r>
      <rPr>
        <sz val="11"/>
        <color rgb="FFFF0000"/>
        <rFont val="Calibri"/>
        <family val="2"/>
        <scheme val="minor"/>
      </rPr>
      <t>wet-bulb temperature if modeling an evaporative-cooled condenser</t>
    </r>
    <r>
      <rPr>
        <sz val="11"/>
        <color theme="1"/>
        <rFont val="Calibri"/>
        <family val="2"/>
        <scheme val="minor"/>
      </rPr>
      <t>). The EIR is the inverse of the COP. The output of this curve is multiplied by the rated EIR (inverse of rated COP) to give the EIR at specific temperature operating conditions (i.e., at temperatures different from the rating point temperatures). The curve is normalized to a value of 1.0 at the rating point.</t>
    </r>
  </si>
  <si>
    <t>The name of a quadratic performance curve (Ref: Performance Curves) that parameterizes the variation of the energy input ratio (EIR) as a function of the ratio of actual air flow rate across the cooling coil to the rated air flow rate (i.e., fraction of full load flow). The EIR is the inverse of the COP. The output of this curve is multiplied by the rated EIR and the EIR modifier curve (function of temperature) to give the EIR at the specific temperature and air flow conditions at which the cooling coil is operating. This curve is normalized to a value of 1.0 when the actual air flow rate equals the rated air flow rate. This curve is applied only at the high speed compressor, high speed fan operating point.</t>
  </si>
  <si>
    <t>Low Speed Total Cooling Capacity Function of Temperature Curve Name</t>
  </si>
  <si>
    <t>Low Speed Energy Input Ratio Function of Temperature Curve Name</t>
  </si>
  <si>
    <r>
      <t>The name of a biquadratic performance curve (ref: Performance Curves) that parameterizes the variation of the total cooling capacity as a function of the wet-bulb temperature of the air entering the cooling coil, and the dry-bulb temperature of the air entering the air-cooled condenser (</t>
    </r>
    <r>
      <rPr>
        <sz val="11"/>
        <color rgb="FFFF0000"/>
        <rFont val="Calibri"/>
        <family val="2"/>
        <scheme val="minor"/>
      </rPr>
      <t>wet-bulb temperature if modeling an evaporative-cooled condenser</t>
    </r>
    <r>
      <rPr>
        <sz val="11"/>
        <color theme="1"/>
        <rFont val="Calibri"/>
        <family val="2"/>
        <scheme val="minor"/>
      </rPr>
      <t>). The output of this curve is multiplied by the rated total cooling capacity to give the total cooling capacity at specific temperature operating conditions (i.e., at temperatures different from the rating point temperatures). The curve is normalized to have the value of 1.0 at the rating point. This curve is used for performance at the low speed compressor, low speed fan operating point.</t>
    </r>
  </si>
  <si>
    <r>
      <t>The name of a biquadratic performance curve (ref: Performance Curves) that parameterizes the variation of the energy input ratio (EIR) as a function of the wetbulb temperature of the air entering the cooling coil and the drybulb temperature of the air entering the air-cooled condenser (</t>
    </r>
    <r>
      <rPr>
        <sz val="11"/>
        <color rgb="FFFF0000"/>
        <rFont val="Calibri"/>
        <family val="2"/>
        <scheme val="minor"/>
      </rPr>
      <t>wetbulb temperature if modeling an evaporative-cooled condenser</t>
    </r>
    <r>
      <rPr>
        <sz val="11"/>
        <color theme="1"/>
        <rFont val="Calibri"/>
        <family val="2"/>
        <scheme val="minor"/>
      </rPr>
      <t>). The EIR is the inverse of the COP. The output of this curve is multiplied by the rated EIR (inverse of rated COP) to give the EIR at specific temperature operating conditions (i.e., at temperatures different from the rating point temperatures). The curve is normalized to a value of 1.0 at the rating point. This curve is used for performance at the low speed compressor, low speed fan operating point.</t>
    </r>
  </si>
  <si>
    <t>Coil:Heating:WaterToAirHeatPump:EquationFit</t>
  </si>
  <si>
    <t>Heating Capacity Coefficient 1-5</t>
  </si>
  <si>
    <t>Heating Power Consumption Coefficient 1-5</t>
  </si>
  <si>
    <t>These numeric fields contain the first to fifth coefficient for the heat pump capacity.</t>
  </si>
  <si>
    <t>BiLinear</t>
  </si>
  <si>
    <t>CrvLin</t>
  </si>
  <si>
    <t>CrvQuad</t>
  </si>
  <si>
    <t>CrvDblQuad</t>
  </si>
  <si>
    <t>CrvCubic</t>
  </si>
  <si>
    <t xml:space="preserve">Coef6 = </t>
  </si>
  <si>
    <t xml:space="preserve">Coef5 = </t>
  </si>
  <si>
    <t xml:space="preserve">Coef4 = </t>
  </si>
  <si>
    <t xml:space="preserve">Coef3 = </t>
  </si>
  <si>
    <t xml:space="preserve">Coef2 = </t>
  </si>
  <si>
    <t xml:space="preserve">Coef1 = </t>
  </si>
  <si>
    <t xml:space="preserve">MaxOut = </t>
  </si>
  <si>
    <t xml:space="preserve">MinOut = </t>
  </si>
  <si>
    <t xml:space="preserve">MaxVar1 = </t>
  </si>
  <si>
    <t xml:space="preserve">MinVar1 = </t>
  </si>
  <si>
    <t xml:space="preserve">MaxVar2 = </t>
  </si>
  <si>
    <t xml:space="preserve">MinVar2 = </t>
  </si>
  <si>
    <t xml:space="preserve">Spacing </t>
  </si>
  <si>
    <t>Spacing</t>
  </si>
  <si>
    <t>Include</t>
  </si>
  <si>
    <t>Txt Line 2</t>
  </si>
  <si>
    <t>Txt Line 1</t>
  </si>
  <si>
    <t>DEHUMIDIFICATION</t>
  </si>
  <si>
    <t>BOILERS</t>
  </si>
  <si>
    <t>Blr</t>
  </si>
  <si>
    <t>EffRatio</t>
  </si>
  <si>
    <t>Coefficient 1, 
Coefficient 2,
Coefficient 3 of Fuel Use Function of Part Load Ratio Curve</t>
  </si>
  <si>
    <t>This alpha field contains the curve name which describes the normalized heating efficiency (as a fraction of nominal thermal efficiency) of the boiler’s burner. If this field is left blank, the nominal thermal efficiency is assumed to be constant (i.e., Fuel Used is equal to the Theoretical Fuel Use in the equation above). When a boiler efficiency curve is used, the curve may be any valid curve object with 1 (PLR) or 2 (PLR and boiler outlet water temperature) independent variables. A tri-quadratic curve object is not allowed since it uses 3 independent variables. The linear, quadratic, and cubic curve types may be used when the boiler efficiency is soley a function of boiler part-load ratio (PLR). When this type of curve is used, the boiler should operate at (or very near) the design boiler water outlet temperature. Other curve types may be used when the boiler efficiency is a function of both PLR and boiler water temperature. Examples of valid single and dual independent variable equations are shown below. For all curve types PLR is always the x independent variable. When using 2 independent variables, the boiler outlet water temperature (Toutlet) is always the y independent variable.</t>
  </si>
  <si>
    <t>The steam boiler model provides a first order approximation of performance for fuel oil, gas and electric boilers. Boiler performance is based on a “theoretical” boiler efficiency (overall efficiency at design operating conditions) and a single quadratic fuel use/ part load ratio curve. This single curve accounts for all combustion inefficiencies and stack losses.</t>
  </si>
  <si>
    <t>Chlr</t>
  </si>
  <si>
    <t>CHILLERS</t>
  </si>
  <si>
    <t>Electric Chiller Cooling Efficiency Adjustment Curves</t>
  </si>
  <si>
    <t>AirScroll</t>
  </si>
  <si>
    <t>AirRecip</t>
  </si>
  <si>
    <t>AirScrew</t>
  </si>
  <si>
    <t>AirCent</t>
  </si>
  <si>
    <t>CrvDblCubic</t>
  </si>
  <si>
    <t>The name of a biquadratic performance curve (ref: Performance Curves) that parameterizes the variation of the cooling capacity as a function of the leaving chilled water temperature and the entering condenser fluid temperature. The output of this curve is multiplied by the reference capacity to give the cooling capacity at specific temperature operating conditions (i.e., at temperatures different from the reference temperatures). The curve should have a value of 1.0 at the reference temperatures and flow rates specified above. The biquadratic curve should be valid for the range of water temperatures anticipated for the simulation.</t>
  </si>
  <si>
    <t>The name of a biquadratic performance curve (ref: Performance Curves) that parameterizes the variation of the energy input to cooling output ratio (EIR) as a function of the leaving chilled water temperature and the entering condenser fluid temperature. The EIR is the inverse of the COP. The output of this curve is multiplied by the reference EIR (inverse of the reference COP) to give the EIR at specific temperature operating conditions (i.e., at temperatures different from the reference temperatures). The curve should have a value of 1.0 at the reference temperatures and flow rates specified above. The biquadratic curve should be valid for the range of water temperatures anticipated for the simulation.</t>
  </si>
  <si>
    <t>The name of a quadratic performance curve (ref: Performance Curves) that parameterizes the variation of the energy input ratio (EIR) as a function of the part-load ratio (EIRfTPLR). The EIR is the inverse of the COP, and the part-load ratio is the actual cooling load divided by the chiller’s available cooling capacity. This curve is generated by dividing the operating electric input power by the available full-load capacity (do not divide by load) at the specific operating temperatures. The curve output should decrease from 1 towards 0 as part-load ratio decreases from 1 to 0. The output of this curve is multiplied by the reference full-load EIR (inverse of the reference COP) and the Energy Input to Cooling Output Ratio Function of Temperature Curve to give the EIR at the specific temperatures and part-load ratio at which the chiller is operating. This curve should have a value of 1.0 when the part-load ratio equals 1.0. An ideal chiller with the same efficiency at all part-load ratio’s would use a performance curve that has a value of 0 when the part-load ratio equals 0 (i.;e., a line connecting 0,0 and 1,1 when plotted as EIRfTPLR versus PLR), however, actual systems can have part-load EIR’s slightly above or below this line (i.e., part-load efficiency often differs from rated efficiency). The quadratic curve should be valid for the range of part-load ratios anticipated for the simulation.</t>
  </si>
  <si>
    <t>ELECTRIC CHILLERS</t>
  </si>
  <si>
    <t>FUEL AND ABSORBTION CHILLERS</t>
  </si>
  <si>
    <t>COOLING TOWERS</t>
  </si>
  <si>
    <t>VSDFan</t>
  </si>
  <si>
    <t>This alpha field contains the curve object name for fan power ratio (fan power/design fan power) as a function of air flow rate ratio (air flow rate/design air flow rate) [ref. Performance Curves]. The curve object must be a cubic curve and should be normalized to 1.0 at an air flow rate ratio of 1.0. If this field is left blank, a theoretical fan curve is assumed where fan power ratio is directly proportional to the air flow rate ratio cubed.</t>
  </si>
  <si>
    <t>Pump</t>
  </si>
  <si>
    <t>PUMPS</t>
  </si>
  <si>
    <t>Pump:Variable Speed</t>
  </si>
  <si>
    <t>This numeric field contains the first coefficient in the part load ratio curve. The fraction of full load power is determined by the cubic equation:
FractionFullLoadPower = C1+C2*PLR+C3*PLR^2+C4*PLR^5
where C1,C2,C3,and C4 are Coefficients 1 – 4 (below) and PLR is the Part Load Ratio.</t>
  </si>
  <si>
    <t>ADDITIONAL CHILLERS</t>
  </si>
  <si>
    <t>Fuel and Steam Chiller Cooling Capacity Adjustment Curves</t>
  </si>
  <si>
    <t>FIRRatio</t>
  </si>
  <si>
    <t>5-156</t>
  </si>
  <si>
    <t>5-158</t>
  </si>
  <si>
    <t>DescGas</t>
  </si>
  <si>
    <t>DesckW</t>
  </si>
  <si>
    <t>Needs Review for compatibility with E+</t>
  </si>
  <si>
    <t>Entry Terminator</t>
  </si>
  <si>
    <t>Humidity ratio at object output</t>
  </si>
  <si>
    <t>Chilled water supply temperature</t>
  </si>
  <si>
    <t>Outdoor wet bulb temperature</t>
  </si>
  <si>
    <t>DXEIR_fTempCrvRef</t>
  </si>
  <si>
    <t>DXEIR_fPLRCrvRef</t>
  </si>
  <si>
    <t>Cap_fTempCrvRef</t>
  </si>
  <si>
    <t>BF_fAirFlowCrvRef</t>
  </si>
  <si>
    <t>BF_fPLRCrvRef</t>
  </si>
  <si>
    <t>BF_fTempCrvRef</t>
  </si>
  <si>
    <t>Eff_fPLRCrvRef</t>
  </si>
  <si>
    <t>HtPumpCap_fTempCrvRef</t>
  </si>
  <si>
    <t>HIR_fPLRCrvRef</t>
  </si>
  <si>
    <t>EIR_fPLRCrvRef</t>
  </si>
  <si>
    <t>EIR_fTempCrvRef</t>
  </si>
  <si>
    <t>FIR_fPLRCrvRef</t>
  </si>
  <si>
    <t>FIR_fTempCrvRef</t>
  </si>
  <si>
    <t>HtPumpEIR_fTempCrvRef</t>
  </si>
  <si>
    <t>IO p. 1288</t>
  </si>
  <si>
    <t>Description</t>
  </si>
  <si>
    <t>Variable Abbreviations</t>
  </si>
  <si>
    <t>Tdb (optional)</t>
  </si>
  <si>
    <t>I/O pg #</t>
  </si>
  <si>
    <t>I/O = EnergyPlus Input/Output Reference, verison 10/6/12</t>
  </si>
  <si>
    <t>p.1368</t>
  </si>
  <si>
    <t>p. 1200</t>
  </si>
  <si>
    <t>p.1241</t>
  </si>
  <si>
    <t>p.1334</t>
  </si>
  <si>
    <t>p. 1231</t>
  </si>
  <si>
    <t>p. 1285</t>
  </si>
  <si>
    <t>p. 1348</t>
  </si>
  <si>
    <t>Quartic</t>
  </si>
  <si>
    <t>Red</t>
  </si>
  <si>
    <t>EnergyPlus only curve</t>
  </si>
  <si>
    <t>Blue</t>
  </si>
  <si>
    <t xml:space="preserve">DOE-2 only curve </t>
  </si>
  <si>
    <t>Black</t>
  </si>
  <si>
    <t>Compatible with E+ and DOE-2 curve</t>
  </si>
  <si>
    <t>To do:</t>
  </si>
  <si>
    <t>Pwr_fPLRCrvRef</t>
  </si>
  <si>
    <t>ERef pg #</t>
  </si>
  <si>
    <t>p. 767</t>
  </si>
  <si>
    <t>DelT</t>
  </si>
  <si>
    <t>Condenser water supply temperature</t>
  </si>
  <si>
    <t>What SDD Object:Property(s) are relevant to this issue?</t>
  </si>
  <si>
    <t>Explanation of addition, revision, or clarification:</t>
  </si>
  <si>
    <t xml:space="preserve">While auditing the ACM text and performance curve information, we noted that the term part-load-ratio "PLR" is used in a lot of different contexts, such as: </t>
  </si>
  <si>
    <t>Fan Power: PLR is ratio of operating fan power (kW) to fan power at design conditions.</t>
  </si>
  <si>
    <t>DX Coils: PLR is the ratio of operating cooling coil capacity (Btu/hr) to the maximum available coil capacity.</t>
  </si>
  <si>
    <t>Pump Power: PLR is the ratio of operating pump flow rate (gpm) to the design flow rate.</t>
  </si>
  <si>
    <t>Qav</t>
  </si>
  <si>
    <t>Qop</t>
  </si>
  <si>
    <t>Qrtd</t>
  </si>
  <si>
    <t>TotQRatio</t>
  </si>
  <si>
    <t>SensQRatio</t>
  </si>
  <si>
    <r>
      <t xml:space="preserve">This alpha field defines the name of a quadratic or cubic performance curve (Ref: Performance Curves) that parameterizes the variation of electrical power input to the DX unit as a function of the part load ratio (PLR, sensible cooling load/steady-state sensible cooling capacity). </t>
    </r>
    <r>
      <rPr>
        <sz val="11"/>
        <color rgb="FFFF0000"/>
        <rFont val="Calibri"/>
        <family val="2"/>
        <scheme val="minor"/>
      </rPr>
      <t xml:space="preserve">The product of the rated EIR and EIR modifier curves is divided by the output of this curve to give the “effective” EIR for a given simulation timestep. </t>
    </r>
    <r>
      <rPr>
        <sz val="11"/>
        <color theme="1"/>
        <rFont val="Calibri"/>
        <family val="2"/>
        <scheme val="minor"/>
      </rPr>
      <t>The part load fraction (PLF) correlation accounts for efficiency losses due to compressor cycling.</t>
    </r>
  </si>
  <si>
    <r>
      <t xml:space="preserve">This alpha field defines the name of a quadratic or cubic performance curve (Ref: Performance Curves) that parameterizes the variation of electrical power input to the DX unit as a function of the part load ratio (PLR, sensible cooling load/steady-state sensible cooling capacity). </t>
    </r>
    <r>
      <rPr>
        <sz val="11"/>
        <color rgb="FFFF0000"/>
        <rFont val="Calibri"/>
        <family val="2"/>
        <scheme val="minor"/>
      </rPr>
      <t>The product of the rated EIR and EIR modifier curves is divided by the output of this curve to give the “effective” EIR for a given simulation timestep.</t>
    </r>
    <r>
      <rPr>
        <sz val="11"/>
        <color theme="1"/>
        <rFont val="Calibri"/>
        <family val="2"/>
        <scheme val="minor"/>
      </rPr>
      <t xml:space="preserve"> The part load fraction (PLF) correlation accounts for efficiency losses due to compressor cycling.</t>
    </r>
  </si>
  <si>
    <t>Trange</t>
  </si>
  <si>
    <t>Tapproach</t>
  </si>
  <si>
    <t>W</t>
  </si>
  <si>
    <t>Win</t>
  </si>
  <si>
    <t>Wout</t>
  </si>
  <si>
    <t>Outdoor air dry bulb temperature</t>
  </si>
  <si>
    <t>Toadb</t>
  </si>
  <si>
    <t>Toadb/Toawb</t>
  </si>
  <si>
    <t>Toawb</t>
  </si>
  <si>
    <t>Possible additional abbreviations</t>
  </si>
  <si>
    <t>Operating load</t>
  </si>
  <si>
    <t>Available load</t>
  </si>
  <si>
    <t>Rated load</t>
  </si>
  <si>
    <t>For chillers only, difference between chilled water and condenser water supply temperatures</t>
  </si>
  <si>
    <t>Ratio of energy input ratio (EIR) at part load to EIR at full load</t>
  </si>
  <si>
    <t>Ratio offuel input ratio (FIR) at part load to FIR at full load</t>
  </si>
  <si>
    <t>Ratio of fluid flow (GPM) at part load to GPM at full load</t>
  </si>
  <si>
    <t>Ratio of air flow (CFM) at part load to CFM at full load</t>
  </si>
  <si>
    <t>Coil Bypass Factor (BPF)</t>
  </si>
  <si>
    <t>Ratio of load (Q) output at part load to Q output at full load</t>
  </si>
  <si>
    <t>Ratio of electrical power consumption at part load to power consumption at full load</t>
  </si>
  <si>
    <t>Cooling tower approach temperature (difference between tower leaving water and outdoor air wet-bulb temperatures)</t>
  </si>
  <si>
    <t>Cooling tower range temperature (difference between tower entering and leaving water temperatures)</t>
  </si>
  <si>
    <t>Ratio of effectiveness (Eff) at part load to effectiveness at full load</t>
  </si>
  <si>
    <t>For dessicant systems, natural gas consumption</t>
  </si>
  <si>
    <t>For dessicant systems, electricity consumption</t>
  </si>
  <si>
    <t>Humidity ratio at object input</t>
  </si>
  <si>
    <t>Dry bulb temperature at object input</t>
  </si>
  <si>
    <t>Wet bulb temperature at object input</t>
  </si>
  <si>
    <t>E+ Object</t>
  </si>
  <si>
    <t>FAN-EIR-FPLR</t>
  </si>
  <si>
    <t>SDD Object</t>
  </si>
  <si>
    <t>SDD Short Form</t>
  </si>
  <si>
    <t>Curve Identifier</t>
  </si>
  <si>
    <t>Curve ID Abv</t>
  </si>
  <si>
    <t>Curve reference (CurveRef) properties</t>
  </si>
  <si>
    <t>To try and make the name of the SDD performance curves in library descriptive and consistent,we identified a list of descriptive abbreviations for independent and dependent variables, as well as the following naming scheme:</t>
  </si>
  <si>
    <t>The library curve naming scheme proposed is the concatenation of the following:</t>
  </si>
  <si>
    <t>&lt;Short unique string to identify the curve application&gt; +</t>
  </si>
  <si>
    <t>&lt;SDD object name (shortform)&gt; +</t>
  </si>
  <si>
    <t>&lt;Independent variable abbreviation (from above)&gt; +</t>
  </si>
  <si>
    <t>_f + &lt;Dependent 1 variable abbreviation (from above)&gt; +</t>
  </si>
  <si>
    <t>_f + &lt;Dependent 2 variable abbreviation (from above)&gt; +</t>
  </si>
  <si>
    <t>Examples:</t>
  </si>
  <si>
    <t>Workbook that has the curve information and names is checked into Rules\Library folder</t>
  </si>
  <si>
    <t>Review Absorption and Engine Driven Chiller Requirements and Curves for compatibility with E+</t>
  </si>
  <si>
    <t>Var3</t>
  </si>
  <si>
    <t>Var4</t>
  </si>
  <si>
    <t>Cap_fFlowCrvRef</t>
  </si>
  <si>
    <t>Coil:Cooling:WaterToAirHeatPump:EquationFit</t>
  </si>
  <si>
    <t>IO p. 1334</t>
  </si>
  <si>
    <t>Total Cooling Capacity Adjustment Curve</t>
  </si>
  <si>
    <t>Var5</t>
  </si>
  <si>
    <t>TdbRatio</t>
  </si>
  <si>
    <t>QuintLinear</t>
  </si>
  <si>
    <t>CoolToolsCoolingTowerCurve</t>
  </si>
  <si>
    <t>CoolToolsCT</t>
  </si>
  <si>
    <t>CrvDblLin</t>
  </si>
  <si>
    <t>CrvQuadplLin</t>
  </si>
  <si>
    <t>CrvQuintplLin</t>
  </si>
  <si>
    <t>CrvCoolToolsCap</t>
  </si>
  <si>
    <t>TwbRatio, TwtRatio,
CFMRatio, GPMRatio</t>
  </si>
  <si>
    <t>TdbRatio, 
TwbRatio, TwtRatio,
CFMRatio, GPMRatio</t>
  </si>
  <si>
    <t>QuintLinear (does not exist in E+)</t>
  </si>
  <si>
    <t>Independents</t>
  </si>
  <si>
    <t>For E+ WSHP</t>
  </si>
  <si>
    <t>VaneAxVp</t>
  </si>
  <si>
    <t>AForBIVanes</t>
  </si>
  <si>
    <t>AForBI</t>
  </si>
  <si>
    <t>FCVanes</t>
  </si>
  <si>
    <t>ChW</t>
  </si>
  <si>
    <t>DXSEER</t>
  </si>
  <si>
    <t>Fan Power Coefficient 1-5</t>
  </si>
  <si>
    <t>E+ Field(s)</t>
  </si>
  <si>
    <t>Coefficient 1-4 of the Part Load Performance Curve</t>
  </si>
  <si>
    <t>Appendix 5.7 Equipment Performance Curves</t>
  </si>
  <si>
    <t>!! ACM &amp; I/O REF SECTION/PAGE REFERENCES NEED UPDATING !!</t>
  </si>
  <si>
    <t>FurnHIR_fPLRCrvRef</t>
  </si>
  <si>
    <t>DXEIR_fFlowCrvRef</t>
  </si>
  <si>
    <t>Coil:Cooling:DX:SingleSpeed
Coil:Cooling:DX:TwoSpeed</t>
  </si>
  <si>
    <t xml:space="preserve">Coil:Cooling:DX:SingleSpeed
Coil:Cooling:DX:TwoSpeed
</t>
  </si>
  <si>
    <t>Quadratic
Cubic</t>
  </si>
  <si>
    <t>BiQuadratic Quadratic
Cubic</t>
  </si>
  <si>
    <r>
      <t xml:space="preserve">Linear
</t>
    </r>
    <r>
      <rPr>
        <sz val="11"/>
        <color rgb="FFFF0000"/>
        <rFont val="Calibri"/>
        <family val="2"/>
        <scheme val="minor"/>
      </rPr>
      <t>Quadratic</t>
    </r>
    <r>
      <rPr>
        <sz val="11"/>
        <color theme="1"/>
        <rFont val="Calibri"/>
        <family val="2"/>
        <scheme val="minor"/>
      </rPr>
      <t xml:space="preserve">
Cubic
BiQuadratic
QuaraticLinear
BiCubic</t>
    </r>
  </si>
  <si>
    <t>DXSngl</t>
  </si>
  <si>
    <t>DXDbl</t>
  </si>
  <si>
    <t>DXEIR_fPLFCrvRef</t>
  </si>
  <si>
    <t>NONE</t>
  </si>
  <si>
    <t>Water-source HP</t>
  </si>
  <si>
    <t>Air-Source DX (PTAC)</t>
  </si>
  <si>
    <t>Air-Source DX (PSZ &lt;65,000)</t>
  </si>
  <si>
    <t>Air-Source DX (Other)</t>
  </si>
  <si>
    <t>Air-Source DX (SEER)</t>
  </si>
  <si>
    <t>AS - Air-Source DX (Other)</t>
  </si>
  <si>
    <t>Air-Source HP</t>
  </si>
  <si>
    <t>Water-Source HP</t>
  </si>
  <si>
    <t>Water-Source DX (HP)</t>
  </si>
  <si>
    <t>Air-Source DX (Single speed)</t>
  </si>
  <si>
    <t>Air-Source DX  (Two speed)</t>
  </si>
  <si>
    <t>Air-Source DX (HP)</t>
  </si>
  <si>
    <t>Air-Source DX (PSZ and other)</t>
  </si>
  <si>
    <t>Water-Source  DX (HP)</t>
  </si>
  <si>
    <t>Water-Source DX  (DX Only)</t>
  </si>
  <si>
    <t>Water-Source DX (DX Only)</t>
  </si>
  <si>
    <t>HtPumpCap_fFlowCrvRef</t>
  </si>
  <si>
    <t>HtPumpEIR_fPLRCrvRef</t>
  </si>
  <si>
    <t>HtPumpEIR_fPLFCrvRef</t>
  </si>
  <si>
    <t>HtPumpEIR_fFlowCrvRef</t>
  </si>
  <si>
    <t>Performance curve map based on ACM equations</t>
  </si>
  <si>
    <t>HWBlr</t>
  </si>
  <si>
    <t>CoilClgPTACQRatio_fTwb_fToadb</t>
  </si>
  <si>
    <t>CoilClgPTACEIRRatio_fTwb_fToadb</t>
  </si>
  <si>
    <t>ChlrWtrCentEIRRatio_fTchws_fTcws</t>
  </si>
  <si>
    <t>ChlrAirScrollEIRRatio_fQRatio</t>
  </si>
  <si>
    <t>EIR-fPLR</t>
  </si>
  <si>
    <t>Water-Cooled Centrifugal &gt;600t.</t>
  </si>
  <si>
    <t>ELECTRIC WATER-COOLED CHILLERS  (PATH A &amp; B)</t>
  </si>
  <si>
    <t>WtrPosDispPathAAll</t>
  </si>
  <si>
    <t>WtrCentPathAAll</t>
  </si>
  <si>
    <t>Water-Cooled Pos Displacement, Path A, All Capacities</t>
  </si>
  <si>
    <t>Water-Cooled Centrifugal, Path A, All Capacities</t>
  </si>
  <si>
    <t>Water-Cooled Centrifugal, Path B, &lt;300ton</t>
  </si>
  <si>
    <t>Water-Cooled Centrifugal, Path B, 300-600ton</t>
  </si>
  <si>
    <t>WtrPosDispPathBAll</t>
  </si>
  <si>
    <t>Water-Cooled Positive Displacement, Path B, All Capacities</t>
  </si>
  <si>
    <t>WtrCentPathBLt300ton</t>
  </si>
  <si>
    <t>WtrCentPathBGtEql600ton</t>
  </si>
  <si>
    <t>WtrCentPathBGtEql300Lt600ton</t>
  </si>
  <si>
    <t>New Part-Load Curves</t>
  </si>
  <si>
    <t>Water Cooled Positive Displacement &lt; 75 tons</t>
  </si>
  <si>
    <t>Full load =</t>
  </si>
  <si>
    <t>IPLV =</t>
  </si>
  <si>
    <t>EIR-fPLR&amp;dT</t>
  </si>
  <si>
    <t>Water Cooled Positive Displacement &gt; 75 tons &amp; &lt;150 tons</t>
  </si>
  <si>
    <t>Water Cooled Positive Displacement &gt;=150 &amp; &lt; 300 tons</t>
  </si>
  <si>
    <t>Water Cooled Positive Displacement  &gt;=300 tons</t>
  </si>
  <si>
    <t>Water Cooled Centrifugal &lt;150 tons</t>
  </si>
  <si>
    <t>Water Cooled Centrifugal &gt;=150 tons  &amp; &lt; 300 tons</t>
  </si>
  <si>
    <t>Water Cooled Centrifugal &gt;=300 tons &amp; &lt; 600 tons</t>
  </si>
  <si>
    <t>Water Cooled Centrifugal &gt;=600 tons</t>
  </si>
  <si>
    <t>Type</t>
  </si>
  <si>
    <t>Category</t>
  </si>
  <si>
    <t>Max kW/ton</t>
  </si>
  <si>
    <t>Max IPLV</t>
  </si>
  <si>
    <t>CurveName</t>
  </si>
  <si>
    <t>CurveType</t>
  </si>
  <si>
    <t>Checksum</t>
  </si>
  <si>
    <t>Path A</t>
  </si>
  <si>
    <t>Path B</t>
  </si>
  <si>
    <t>Second Variable (dT) fixed at:</t>
  </si>
  <si>
    <t>F</t>
  </si>
  <si>
    <t>Taylor Curves:</t>
  </si>
  <si>
    <t>Water-Cooled Centrifuga, Path B,  &gt;600ton</t>
  </si>
  <si>
    <t>EIR_fPLRTempCrvRef</t>
  </si>
  <si>
    <t>Same as &lt;75ton</t>
  </si>
  <si>
    <t>Same as &lt;150ton</t>
  </si>
  <si>
    <t>EngDrvSpdLtEqlMin</t>
  </si>
  <si>
    <t>EngDrvSpdGtMinLtEql60</t>
  </si>
  <si>
    <t>EngDrvSpdGt60</t>
  </si>
  <si>
    <t>AbsorbSglStg</t>
  </si>
  <si>
    <t>AbsorbDblStg</t>
  </si>
  <si>
    <t>AbsorbDirect</t>
  </si>
  <si>
    <t>EngDrvSpdAll</t>
  </si>
  <si>
    <t>HtRej</t>
  </si>
  <si>
    <t>Cooling Tower:VariableSpeed</t>
  </si>
  <si>
    <t>CoolingTower:VariableSpeed</t>
  </si>
  <si>
    <t xml:space="preserve">All towers, CoolTools performance </t>
  </si>
  <si>
    <t>All towers</t>
  </si>
  <si>
    <t>Cap_fCoolToolsCrvRef</t>
  </si>
  <si>
    <t>See ACM for independents/dependents</t>
  </si>
  <si>
    <t>CoolToolsClgTowerCap</t>
  </si>
  <si>
    <t>All towers, variable speed fan</t>
  </si>
  <si>
    <t>NEEDS REVIEW</t>
  </si>
  <si>
    <t>If an air-cooled unit employs an evaporative condenser, Toadb is the effective drybulb temperature of the air leaving the evaporative cooling unit.</t>
  </si>
  <si>
    <t>HIR-FPLR</t>
  </si>
  <si>
    <t>Direct</t>
  </si>
  <si>
    <t>Indirect</t>
  </si>
  <si>
    <t>Relevant To</t>
  </si>
  <si>
    <r>
      <t>Curve Name</t>
    </r>
    <r>
      <rPr>
        <b/>
        <sz val="11"/>
        <color theme="0" tint="-0.499984740745262"/>
        <rFont val="Calibri"/>
        <family val="2"/>
        <scheme val="minor"/>
      </rPr>
      <t xml:space="preserve"> </t>
    </r>
    <r>
      <rPr>
        <sz val="11"/>
        <color theme="0" tint="-0.499984740745262"/>
        <rFont val="Calibri"/>
        <family val="2"/>
        <scheme val="minor"/>
      </rPr>
      <t>(generated from fields)</t>
    </r>
  </si>
  <si>
    <t>$A$16:$CE$200</t>
  </si>
  <si>
    <t>To Do:</t>
  </si>
  <si>
    <t>LH</t>
  </si>
  <si>
    <t>DR</t>
  </si>
  <si>
    <t>Update ACM section/page numbers</t>
  </si>
  <si>
    <t>DR: Added, from HeatPump.idf example file</t>
  </si>
  <si>
    <t>DR: Added; from HeatPump.idf example file</t>
  </si>
  <si>
    <t>DR: Added, from CEC Reference E+ models</t>
  </si>
  <si>
    <t>DR: Added, from PNNL document</t>
  </si>
  <si>
    <t>Needs review</t>
  </si>
  <si>
    <t>DOE-2.2 Keyword</t>
  </si>
  <si>
    <t>Review and assign max/min inputs and outputs and for most curves</t>
  </si>
  <si>
    <t>Review Dehumidification curve compatibility with E+</t>
  </si>
  <si>
    <t>WATER HEATERS</t>
  </si>
  <si>
    <t>5.9.1.2</t>
  </si>
  <si>
    <t>Fuel Water Heater Part Load Efficiency Curve</t>
  </si>
  <si>
    <t>WtHtr</t>
  </si>
  <si>
    <t>Part Load Factor Curve Name</t>
  </si>
  <si>
    <t>Evaporative Coolers</t>
  </si>
  <si>
    <t>WaterHeater:Mixed</t>
  </si>
  <si>
    <t>pg. 636</t>
  </si>
  <si>
    <t>The reference to the curve object that relates the overall efficiency of the water heater to the Runtime Fraction (if Control Type Cycle) or Part Load Ratio (if Control Type Modulate). This is an additional multiplier applied to the Heater Thermal Efficiency to compute fuel energy use. The Part Load Factor Curve should not have a value less than 0.1 in the domain from 0 to 1. If the Part Load Factor Curve accounts for ambient losses and/or parasitic fuel consumption, these effects should not also be input into the related fields in this object as that would result in double-counting.</t>
  </si>
  <si>
    <t>???</t>
  </si>
  <si>
    <t>Stor</t>
  </si>
  <si>
    <t>Gas-fired storage water heater</t>
  </si>
  <si>
    <t>Unit System 
(if Applicable)</t>
  </si>
  <si>
    <t>IP</t>
  </si>
  <si>
    <t>SI</t>
  </si>
  <si>
    <t>FSCH-FIR1-FT</t>
  </si>
  <si>
    <t>FSCH-FIR2-FT</t>
  </si>
  <si>
    <t>FIR2Ratio</t>
  </si>
  <si>
    <t>FIR1Ratio</t>
  </si>
  <si>
    <t>E+ uses the NTU-effectiveness approach to model water coils, so this curve is not used.</t>
  </si>
  <si>
    <t>Electric Heat Pump Part-Load Efficiency Adjustment Curve(s)</t>
  </si>
  <si>
    <t>Electric Heat Pump Heating Efficiency Temperature Adjustment Curve(s)</t>
  </si>
  <si>
    <t>Curve #1</t>
  </si>
  <si>
    <t>Curve #2</t>
  </si>
  <si>
    <t>Curve #3</t>
  </si>
  <si>
    <t>Curve #4</t>
  </si>
  <si>
    <t>Curve #5</t>
  </si>
  <si>
    <t>Curve #6</t>
  </si>
  <si>
    <t>Curve #7</t>
  </si>
  <si>
    <t>Curve #8</t>
  </si>
  <si>
    <t>Min</t>
  </si>
  <si>
    <t>Max</t>
  </si>
  <si>
    <t>SDD Curve Name</t>
  </si>
  <si>
    <t>ACM Curve Name</t>
  </si>
  <si>
    <t>Used to solve for MinVar1</t>
  </si>
  <si>
    <t>Hot Water Boiler, Non-Nondensing</t>
  </si>
  <si>
    <t>Hot Water Boiler, Condensing</t>
  </si>
  <si>
    <t>Tewt</t>
  </si>
  <si>
    <t>HIR-FT</t>
  </si>
  <si>
    <t>HWCondBlr</t>
  </si>
  <si>
    <t xml:space="preserve">Coil:Cooling:DX:SingleSpeed
</t>
  </si>
  <si>
    <t xml:space="preserve">User input EER is defined, use that.  Otherwise EER is calculated using ACM equation </t>
  </si>
  <si>
    <t>Tewb</t>
  </si>
  <si>
    <t>EER</t>
  </si>
  <si>
    <t>SEER</t>
  </si>
  <si>
    <t>max x</t>
  </si>
  <si>
    <t>min x</t>
  </si>
  <si>
    <t>max y</t>
  </si>
  <si>
    <t>min y</t>
  </si>
  <si>
    <t>max f(x,y)</t>
  </si>
  <si>
    <t>min f(x,y)</t>
  </si>
  <si>
    <t>If EER is &gt;=13</t>
  </si>
  <si>
    <t>If EER is &lt;13</t>
  </si>
  <si>
    <t>Tdb (F)</t>
  </si>
  <si>
    <t xml:space="preserve">Tdb (C) </t>
  </si>
  <si>
    <t>SEER DX Performance Curve Results - SI Units</t>
  </si>
  <si>
    <t>Very high SEER, EER&lt;13</t>
  </si>
  <si>
    <t>High SEER, EER&lt;13</t>
  </si>
  <si>
    <t>Std SEER, EER&lt;13</t>
  </si>
  <si>
    <t>Very high SEER, EER&gt;=13</t>
  </si>
  <si>
    <t>High SEER, EER&gt;=13</t>
  </si>
  <si>
    <t>Average-Good SEER, EER&gt;=13</t>
  </si>
  <si>
    <t>Plot Comparisons</t>
  </si>
  <si>
    <t>Tewb (F)</t>
  </si>
  <si>
    <t xml:space="preserve">Tewb (C) </t>
  </si>
  <si>
    <t>Entering air condition (Tewb)</t>
  </si>
  <si>
    <t>VSDNoRst</t>
  </si>
  <si>
    <t>VSDRst</t>
  </si>
  <si>
    <t>Power NoRst</t>
  </si>
  <si>
    <t>Power Rst</t>
  </si>
  <si>
    <t>PumpVSDNoRstPwrRatio_fGPMRatio</t>
  </si>
  <si>
    <t>PumpVSDRstPwrRatio_fGPMRatio</t>
  </si>
  <si>
    <t>PumpVSDNoRstEPPwrRatio_fGPMRatio</t>
  </si>
  <si>
    <t>PumpVSDRstEPPwrRatio_fGPMRatio</t>
  </si>
  <si>
    <t>VSDNoRstEP</t>
  </si>
  <si>
    <t>VSDRstEP</t>
  </si>
  <si>
    <r>
      <t xml:space="preserve">Curve Library Text 
</t>
    </r>
    <r>
      <rPr>
        <sz val="11"/>
        <color theme="1"/>
        <rFont val="Calibri"/>
        <family val="2"/>
        <scheme val="minor"/>
      </rPr>
      <t xml:space="preserve">(Copy this column from AP17 to bottom and paste into an editor.  Perform the search and replace operations described in Library_PerformanceCurves.rule.  Then past edited text into the rule file.)  </t>
    </r>
  </si>
  <si>
    <t xml:space="preserve">MaxVar1 </t>
  </si>
  <si>
    <t xml:space="preserve">Max </t>
  </si>
  <si>
    <t>Var1 Nom</t>
  </si>
  <si>
    <t>Var2 Nom</t>
  </si>
  <si>
    <t>OutNom</t>
  </si>
  <si>
    <t>Air-Source DX (All)</t>
  </si>
  <si>
    <t>Max/MinVar switch to get Max/MinOut</t>
  </si>
  <si>
    <t>Field: Efficiency Curve Temperature Evaluation Variable must be defined as 'EnteringBoiler'</t>
  </si>
  <si>
    <t>BlrEff</t>
  </si>
  <si>
    <t>Example Input</t>
  </si>
  <si>
    <t>MaxOutVal</t>
  </si>
  <si>
    <t>MinOutVal</t>
  </si>
  <si>
    <t>Example Input Value</t>
  </si>
  <si>
    <t>EIR</t>
  </si>
  <si>
    <t>Smaller value = more eff</t>
  </si>
  <si>
    <t>Larger value = more eff</t>
  </si>
  <si>
    <t>QFrac</t>
  </si>
  <si>
    <t>Cause E+ warning since Output at 0.99 is &gt; 1.0</t>
  </si>
  <si>
    <t>HI_fPLRCrvRef</t>
  </si>
  <si>
    <t>HIR_fPLRfTempCrvRef</t>
  </si>
  <si>
    <t>HIR-FPLR-FT</t>
  </si>
  <si>
    <t>Fan Law</t>
  </si>
  <si>
    <t>Curve #9</t>
  </si>
  <si>
    <t>VSDGoodSpReset</t>
  </si>
  <si>
    <t>VSDPerfSpReset</t>
  </si>
  <si>
    <t>VSD with static pressure reset (Good)</t>
  </si>
  <si>
    <t>VSD with static pressure reset (Perfect)</t>
  </si>
  <si>
    <t>Any fan with VSD (90.1)</t>
  </si>
  <si>
    <t>VSD901</t>
  </si>
  <si>
    <t>VRF SYSTEMS</t>
  </si>
  <si>
    <t>VRFSys</t>
  </si>
  <si>
    <t>ClgCap_fTempLowCrvRef</t>
  </si>
  <si>
    <t>ClgCapBndry_fTempCurveRef</t>
  </si>
  <si>
    <t>ClgCap_fTempHiCrvRef</t>
  </si>
  <si>
    <t>ClgCap_fCombRatCrvRef</t>
  </si>
  <si>
    <t>Capacity Adjustment Curves</t>
  </si>
  <si>
    <t>HtgCap_fTempLowCrvRef</t>
  </si>
  <si>
    <t>HtgCap_fTempHiCrvRef</t>
  </si>
  <si>
    <t>HtgCap_fCombRatCrvRef</t>
  </si>
  <si>
    <t>HtRcvryClgCap_fTempCrvRef</t>
  </si>
  <si>
    <t>HtRcvryHtgCap_fTempCrvRef</t>
  </si>
  <si>
    <t>Efficiency Adjustment Curves</t>
  </si>
  <si>
    <t>ClgEIR_fTempLowCrvRef</t>
  </si>
  <si>
    <t>ClgEIRBndry_fTempCurveRef</t>
  </si>
  <si>
    <t>ClgEIR_fTempHiCrvRef</t>
  </si>
  <si>
    <t>ClgEIR_fPLRLowCrvRef</t>
  </si>
  <si>
    <t>ClgEIR_fPLRHiCrvRef</t>
  </si>
  <si>
    <t>HtRcvryClgEIR_fTempCrvRef</t>
  </si>
  <si>
    <t>HtgEIR_fTempLowCrvRef</t>
  </si>
  <si>
    <t>HtgEIRBndry_fTempCurveRef</t>
  </si>
  <si>
    <t>HtgEIR_fTempHiCrvRef</t>
  </si>
  <si>
    <t>HtgEIR_fPLRLowCrvRef</t>
  </si>
  <si>
    <t>HtgEIR_fPLRHiCrvRef</t>
  </si>
  <si>
    <t>HtRcvryHtgEIR_fTempCrvRef</t>
  </si>
  <si>
    <t>AirConditioner:VariableRefrigerantFlow</t>
  </si>
  <si>
    <t>Cooling Capacity Ratio Modifier Function of Low Temperature Curve Name</t>
  </si>
  <si>
    <t>Cooling Capacity Ratio Boundary Curve Name</t>
  </si>
  <si>
    <t>Cooling Capacity Ratio Modifier Function of High Temperature Curve Name</t>
  </si>
  <si>
    <t>Cooling Combination Ratio Correction Factor Curve Name</t>
  </si>
  <si>
    <t>Heating Capacity Ratio Modifier Function of Low Temperature Curve Name</t>
  </si>
  <si>
    <t>Heating Capacity Ratio Boundary Curve Name</t>
  </si>
  <si>
    <t>Heating Capacity Ratio Modifier Function of High Temperature Curve Name</t>
  </si>
  <si>
    <t>Heating Combination Ratio Correction Factor Curve Name</t>
  </si>
  <si>
    <t>Heat Recovery Cooling Capacity Modifier Curve Name</t>
  </si>
  <si>
    <t>Heat Recovery Heating Capacity Modifier Curve Name</t>
  </si>
  <si>
    <t>Cooling Energy Input Ratio Modifier Function of Low Temperature Curve Name</t>
  </si>
  <si>
    <t>Cooling Energy Input Ratio Boundary Name</t>
  </si>
  <si>
    <t>Cooling Energy Input Ratio Modifier Function of High Temperature Curve Name</t>
  </si>
  <si>
    <t>Cooling Energy Input Ratio Modifier Function of Low Part-Load Ratio Curve Name</t>
  </si>
  <si>
    <t>Cooling Energy Input Ratio Modifier Function of HIgh Part-Load Ratio Curve Name</t>
  </si>
  <si>
    <t>Heating Energy Input Ratio Modifier Function of Low Temperature Curve Name</t>
  </si>
  <si>
    <t>Heating Energy Input Ratio Boundary Curve Name</t>
  </si>
  <si>
    <t>Heating Energy Input Ratio Modifier Function of High Temperature Curve Name</t>
  </si>
  <si>
    <t>Heating Energy Input Ratio Modifier Function of Low Part-Load Ratio Curve Name</t>
  </si>
  <si>
    <t>Heating Energy Input Ratio Modifier Function of High Part-Load Ratio Curve Name</t>
  </si>
  <si>
    <t>Low</t>
  </si>
  <si>
    <t>Hi</t>
  </si>
  <si>
    <t>EIRBdry</t>
  </si>
  <si>
    <t>CapBdry</t>
  </si>
  <si>
    <t>CombRat</t>
  </si>
  <si>
    <t>ClgEIR_fCyclingRatCrvRef</t>
  </si>
  <si>
    <t>CycRat</t>
  </si>
  <si>
    <t>Clg</t>
  </si>
  <si>
    <t>Htg</t>
  </si>
  <si>
    <t>HtRcvryClg</t>
  </si>
  <si>
    <t>HtRcvryHtg</t>
  </si>
  <si>
    <t>HtgEIR_fCyclingRatCrvRef</t>
  </si>
  <si>
    <t>OS Default</t>
  </si>
  <si>
    <t>Heat Recovery Heating Energy Modifier Function of Temperature Curve Name</t>
  </si>
  <si>
    <t>Heating Part-Load Fraction Correlation Curve Name</t>
  </si>
  <si>
    <t>Cooling Part-Load Fraction Correlation Curve Name</t>
  </si>
  <si>
    <t>Heat Recovery Cooling Energy Modifier Function of Temperature Curve Name</t>
  </si>
  <si>
    <t>HtgCapBndry_fTempCurveRef</t>
  </si>
  <si>
    <t>Pipe Length Correction Curves</t>
  </si>
  <si>
    <t>ClgPipeLoss_fPipeLenCrvRef</t>
  </si>
  <si>
    <t>HtgPipeLoss_fPipeLenCrvRef</t>
  </si>
  <si>
    <t xml:space="preserve">Piping Correction Factor for Length in Cooling Mode Curve Name </t>
  </si>
  <si>
    <t xml:space="preserve">Piping Correction Factor for Length in Heating Mode Curve Name </t>
  </si>
  <si>
    <t>PipeLoss</t>
  </si>
  <si>
    <t>Len</t>
  </si>
  <si>
    <t>Cooling Capacity Ratio Modifier Function of Temperature Curve Name</t>
  </si>
  <si>
    <t>Qratio</t>
  </si>
  <si>
    <t>Variable Refrigerant Flow</t>
  </si>
  <si>
    <t xml:space="preserve">Cooling Capacity Modifier Curve Function of Flow Fraction Name </t>
  </si>
  <si>
    <t>Heating Capacity Ratio Modifier Function of Temperature Curve Name</t>
  </si>
  <si>
    <t xml:space="preserve">Heating Capacity Modifier Curve Function of Flow Fraction Name </t>
  </si>
  <si>
    <t>VRFClg</t>
  </si>
  <si>
    <t>VRFHtg</t>
  </si>
  <si>
    <t>AbsorbSglStgIndir</t>
  </si>
  <si>
    <t>Indirect Fired Single Stage Absorption</t>
  </si>
  <si>
    <t>HIR_fCondTempCrvRef</t>
  </si>
  <si>
    <t>HIR_fEvapTempCrvRef</t>
  </si>
  <si>
    <t>Cap_fCondTempCrvRef</t>
  </si>
  <si>
    <t>Cap_fEvapTempCrvRef</t>
  </si>
  <si>
    <t>Tgen</t>
  </si>
  <si>
    <t>HIRRatio</t>
  </si>
  <si>
    <t>Cap_fGenTempCrvRef</t>
  </si>
  <si>
    <t>Elec_fPLRCrvRef</t>
  </si>
  <si>
    <t>VRF System</t>
  </si>
  <si>
    <t>ClgPipeCorrection_fPipeLenCrvRef</t>
  </si>
  <si>
    <t>HtgPipeCorrection_fPipeLenCrvRef</t>
  </si>
  <si>
    <t>ClgPipeCorrection_fHeightCrvRef</t>
  </si>
  <si>
    <t>HtgPipeCorrection_fHeightCrvRef</t>
  </si>
  <si>
    <t xml:space="preserve">Piping Correction Factor for Height in Cooling Mode Curve Name </t>
  </si>
  <si>
    <t xml:space="preserve">Piping Correction Factor for Height in Heating Mode Curve Name </t>
  </si>
  <si>
    <t>Height</t>
  </si>
  <si>
    <t>LenRatio</t>
  </si>
  <si>
    <t>"CoilClgDXSEER13EER11EIRRatio_fTwbToadbSI"</t>
  </si>
  <si>
    <t xml:space="preserve">-0.199992  </t>
  </si>
  <si>
    <t xml:space="preserve">-0.035686  </t>
  </si>
  <si>
    <t xml:space="preserve"> 0.000787  </t>
  </si>
  <si>
    <t xml:space="preserve"> 0.074834  </t>
  </si>
  <si>
    <t xml:space="preserve">-0.000516  </t>
  </si>
  <si>
    <t xml:space="preserve">-0.000573  </t>
  </si>
  <si>
    <t>"CoilClgDXSEER15EER11EIRRatio_fTwbToadbSI"</t>
  </si>
  <si>
    <t xml:space="preserve">-1.790474  </t>
  </si>
  <si>
    <t xml:space="preserve">-0.028777  </t>
  </si>
  <si>
    <t xml:space="preserve"> 0.000763  </t>
  </si>
  <si>
    <t xml:space="preserve"> 0.153391  </t>
  </si>
  <si>
    <t xml:space="preserve">-0.001482  </t>
  </si>
  <si>
    <t xml:space="preserve">-0.000721  </t>
  </si>
  <si>
    <t>"CoilClgDXSEER17EER11EIRRatio_fTwbToadbSI"</t>
  </si>
  <si>
    <t xml:space="preserve">-3.060538  </t>
  </si>
  <si>
    <t xml:space="preserve">-0.023207  </t>
  </si>
  <si>
    <t xml:space="preserve"> 0.000744  </t>
  </si>
  <si>
    <t xml:space="preserve"> 0.216093  </t>
  </si>
  <si>
    <t xml:space="preserve">-0.002253  </t>
  </si>
  <si>
    <t xml:space="preserve">-0.000839  </t>
  </si>
  <si>
    <t>"CoilClgDXSEER16EER13EIRRatio_fTwbToadbSI"</t>
  </si>
  <si>
    <t xml:space="preserve"> 0.686684  </t>
  </si>
  <si>
    <t xml:space="preserve">-0.035826  </t>
  </si>
  <si>
    <t xml:space="preserve"> 0.000781  </t>
  </si>
  <si>
    <t xml:space="preserve"> 0.025564  </t>
  </si>
  <si>
    <t xml:space="preserve"> 0.000163  </t>
  </si>
  <si>
    <t xml:space="preserve">-0.000559  </t>
  </si>
  <si>
    <t>"CoilClgDXSEER18EER13EIRRatio_fTwbToadbSI"</t>
  </si>
  <si>
    <t xml:space="preserve">-1.247121  </t>
  </si>
  <si>
    <t xml:space="preserve">-0.027513  </t>
  </si>
  <si>
    <t xml:space="preserve"> 0.000752  </t>
  </si>
  <si>
    <t xml:space="preserve"> 0.121123  </t>
  </si>
  <si>
    <t xml:space="preserve">-0.001013  </t>
  </si>
  <si>
    <t xml:space="preserve">-0.000736  </t>
  </si>
  <si>
    <t>"CoilClgDXSEER20EER13EIRRatio_fTwbToadbSI"</t>
  </si>
  <si>
    <t xml:space="preserve">-2.724920  </t>
  </si>
  <si>
    <t xml:space="preserve">-0.021120  </t>
  </si>
  <si>
    <t xml:space="preserve"> 0.000730  </t>
  </si>
  <si>
    <t xml:space="preserve"> 0.194128  </t>
  </si>
  <si>
    <t xml:space="preserve">-0.001911  </t>
  </si>
  <si>
    <t xml:space="preserve">-0.000872  </t>
  </si>
  <si>
    <t>Outdoor air condtions (Tdb)</t>
  </si>
  <si>
    <t>EER &lt; 13, SEER &lt; 15</t>
  </si>
  <si>
    <t>EER &lt; 13, SEER &gt;= 15</t>
  </si>
  <si>
    <t>EER &lt; 13, SEER &gt;= 17</t>
  </si>
  <si>
    <t>EER &gt;= 13, SEER &lt; 18</t>
  </si>
  <si>
    <t>EER &gt;= 13, SEER &gt;= 18</t>
  </si>
  <si>
    <t>EER &gt;= 13, SEER &gt;= 20</t>
  </si>
  <si>
    <t>"CoilClgDXEER11SEER13EIRRatio_fTwbToadbSI"</t>
  </si>
  <si>
    <t>"CoilClgDXEER11SEER15EIRRatio_fTwbToadbSI"</t>
  </si>
  <si>
    <t>"CoilClgDXEER11SEER17EIRRatio_fTwbToadbSI"</t>
  </si>
  <si>
    <t>"CoilClgDXEER13SEER16EIRRatio_fTwbToadbSI"</t>
  </si>
  <si>
    <t>"CoilClgDXEER13SEER18EIRRatio_fTwbToadbSI"</t>
  </si>
  <si>
    <t>"CoilClgDXEER13SEER20EIRRatio_fTwbToadbSI"</t>
  </si>
  <si>
    <t>DXEER11SEER13</t>
  </si>
  <si>
    <t>DXEER11SEER15</t>
  </si>
  <si>
    <t>DXEER13SEER16</t>
  </si>
  <si>
    <t>DXEER13SEER18</t>
  </si>
  <si>
    <t>DXEER13SEER20</t>
  </si>
  <si>
    <t>DXEER11SEER17</t>
  </si>
  <si>
    <t>Summary of curves used for v3c and earlier. Curve coefficients were switched between high and low EER groups.  This has been corrected in v3d</t>
  </si>
  <si>
    <t>OS, E+</t>
  </si>
  <si>
    <t>OSDef-VRFSys</t>
  </si>
  <si>
    <t>Based on OS Default - no manufacturer data</t>
  </si>
  <si>
    <t>Reference Only, Open Studio Default Curve</t>
  </si>
  <si>
    <t>LH: Open Studio Default VRF Coil Curves - no mfg data</t>
  </si>
  <si>
    <t>Pos Disp A</t>
  </si>
  <si>
    <t>Pos Disp B</t>
  </si>
  <si>
    <t>Cent A</t>
  </si>
  <si>
    <t>Cent &lt;300 B</t>
  </si>
  <si>
    <t>Cent 300-600 B</t>
  </si>
  <si>
    <t>Cent &gt;600 B</t>
  </si>
  <si>
    <t>EPDef-VRFSys</t>
  </si>
  <si>
    <t>Copied OS defaults curve b/c it is not provided by FSEC</t>
  </si>
  <si>
    <t>EnergyPlus Default Curve, from FSEC report</t>
  </si>
  <si>
    <t>EP Default (FSEC)</t>
  </si>
  <si>
    <t>NORESCO</t>
  </si>
  <si>
    <t>This spreadsheet is used to calculate the performance curve map values,per the NACM, for SEER-rated equipment</t>
  </si>
  <si>
    <t>Default EER from SEER</t>
  </si>
  <si>
    <t>E+ values</t>
  </si>
  <si>
    <t>x</t>
  </si>
  <si>
    <t>y</t>
  </si>
  <si>
    <t>f(x,y)</t>
  </si>
  <si>
    <t>Toadb (F)</t>
  </si>
  <si>
    <t>EERnf</t>
  </si>
  <si>
    <t>COPnf</t>
  </si>
  <si>
    <t>EIRnf</t>
  </si>
  <si>
    <t>Tewb (C)</t>
  </si>
  <si>
    <t>Toadb (C)</t>
  </si>
  <si>
    <t>NEIR</t>
  </si>
  <si>
    <t>Btu/h</t>
  </si>
  <si>
    <t>CFM/ton</t>
  </si>
  <si>
    <t>W/CFM</t>
  </si>
  <si>
    <t>ft</t>
  </si>
  <si>
    <t>1/ft</t>
  </si>
  <si>
    <t>Cooling</t>
  </si>
  <si>
    <t>Heating</t>
  </si>
  <si>
    <t>EnergyPlus Default</t>
  </si>
  <si>
    <t>Cooling Capacity Ratio Boundary</t>
  </si>
  <si>
    <t>Cooling Capacity Ratio Modifier of High Temperature</t>
  </si>
  <si>
    <t>Cooling Capacity Ratio Modifier of Low Temperature</t>
  </si>
  <si>
    <t>Heating Capacity Ratio Modifier of Low Temperature</t>
  </si>
  <si>
    <t>Heating Capacity Ratio Boundary</t>
  </si>
  <si>
    <t>Heating Capacity Ratio Modifier of High Temperature</t>
  </si>
  <si>
    <t>Heating Energy Input Ratio Boundary</t>
  </si>
  <si>
    <t>Cooling Energy Input Ratio Modifier of Low Temperature</t>
  </si>
  <si>
    <t>Cooling Energy Input Ratio Modifier of High Temperature</t>
  </si>
  <si>
    <t>Heating Energy Input Ratio Modifier of Low Temperature</t>
  </si>
  <si>
    <t>Heating Energy Input Ratio Modifier of High Temperature</t>
  </si>
  <si>
    <t>Modifier</t>
  </si>
  <si>
    <t>Fixed Condition</t>
  </si>
  <si>
    <t>Fixed Modifiers</t>
  </si>
  <si>
    <t>SDD Modifiers</t>
  </si>
  <si>
    <t>Value</t>
  </si>
  <si>
    <t>CBECC Inputs</t>
  </si>
  <si>
    <t>VRFSys:PLRMin</t>
  </si>
  <si>
    <t>VRFSys:ClgEIR</t>
  </si>
  <si>
    <t>VRFSys:HtgEIR</t>
  </si>
  <si>
    <t>VRFSys:ClgCapGrossRtdSim</t>
  </si>
  <si>
    <t>VRFSys:HtgCapGrossRtdSim</t>
  </si>
  <si>
    <t>VRFSys:ClgCombRat</t>
  </si>
  <si>
    <t>VRFSys:HtgCombRat</t>
  </si>
  <si>
    <t>VRFSys:MaxDeltaHgt</t>
  </si>
  <si>
    <t>Default Values</t>
  </si>
  <si>
    <t>ResHVACSys:VRFClgCapGrossRtd</t>
  </si>
  <si>
    <t>ResHVACSys:VRFHtgCapGrossRtd</t>
  </si>
  <si>
    <t>ResHVACSys:Fan:WperCFMCool</t>
  </si>
  <si>
    <t>FanFlowFracMax</t>
  </si>
  <si>
    <t>FanFlowFracMin</t>
  </si>
  <si>
    <t>Cooling Capacity Ratio Modifier Function of Temperature</t>
  </si>
  <si>
    <t>Heating Capacity Ratio Modifier Function of Temperature</t>
  </si>
  <si>
    <t>Outdoor Unit Cooling Capacity Ratio Modifier of Temperature</t>
  </si>
  <si>
    <t>Outdoor Unit Heating Capacity Ratio Modifier of Temperature</t>
  </si>
  <si>
    <t>Outdoor Unit Cooling Energy Input Ratio Modifier of Temperature</t>
  </si>
  <si>
    <t>Outdoor Unit Heating Energy Input Ratio Modifier of Temperature</t>
  </si>
  <si>
    <t>Indoor Unit Cooling Capacity Ratio Modifier Function of Temperature</t>
  </si>
  <si>
    <t>Indoor Unit Heating Capacity Ratio Modifier Function of Temperature</t>
  </si>
  <si>
    <t>VRFOutdoorClgCap_fTemp115</t>
  </si>
  <si>
    <t>VRFOutdoorClgCap_fTemp95</t>
  </si>
  <si>
    <t>VRFOutdoorClgCap_fTemp82</t>
  </si>
  <si>
    <t>VRFOutdoorHtgCap_fTemp47</t>
  </si>
  <si>
    <t>VRFOutdoorHtgCap_fTemp17</t>
  </si>
  <si>
    <t>VRFOutdoorHtgCap_fTemp05</t>
  </si>
  <si>
    <t>VRFOutdoorClgEIR_fTemp115</t>
  </si>
  <si>
    <t>VRFOutdoorClgEIR_fTemp95</t>
  </si>
  <si>
    <t>VRFOutdoorClgEIR_fTemp82</t>
  </si>
  <si>
    <t>VRFOutdoorHtgEIR_fTemp47</t>
  </si>
  <si>
    <t>VRFOutdoorHtgEIR_fTemp17</t>
  </si>
  <si>
    <t>VRFOutdoorHtgEIR_fTemp05</t>
  </si>
  <si>
    <t>VRFIndoorClgCap_fTemp115</t>
  </si>
  <si>
    <t>VRFIndoorClgCap_fTemp95</t>
  </si>
  <si>
    <t>VRFIndoorClgCap_fTemp82</t>
  </si>
  <si>
    <t>VRFIndoorHtgCap_fTemp47</t>
  </si>
  <si>
    <t>VRFIndoorHtgCap_fTemp17</t>
  </si>
  <si>
    <t>VRFIndoorHtgCap_fTemp05</t>
  </si>
  <si>
    <t>Outdoor Dry-bulb Temperature (Toadb) [F]</t>
  </si>
  <si>
    <t>Indoor Wet-bulb Temperature (Twb) [F]</t>
  </si>
  <si>
    <t>1. From ACM Performance Curves Tab</t>
  </si>
  <si>
    <t>2. Unit Conversion (SI -&gt; IP)</t>
  </si>
  <si>
    <t>Minimum Indoor Unit Fan Flow Fraction</t>
  </si>
  <si>
    <t>Outdoor Unit</t>
  </si>
  <si>
    <t>Indoor Unit</t>
  </si>
  <si>
    <t>IU</t>
  </si>
  <si>
    <t>OU</t>
  </si>
  <si>
    <t>4. Calculation in Ruleset ( here shown as an example )</t>
  </si>
  <si>
    <t>ClgPipeLoss_fPipeHgtCoeff</t>
  </si>
  <si>
    <t>HtgPipeLoss_fPipeHgtCoeff</t>
  </si>
  <si>
    <t>Outdoor Unit Capacity Ratio Modifier of Temperature</t>
  </si>
  <si>
    <t>Outdoor Unit Capacity Ratio Modifier of Combination Ratio</t>
  </si>
  <si>
    <t>Piping Correction Factor</t>
  </si>
  <si>
    <t>Indoor Unit Capacity Ratio Modifier of Temperature</t>
  </si>
  <si>
    <t>Indoor Unit Capacity Ratio Modifier of Fan Flow Fraction (Max)</t>
  </si>
  <si>
    <t>Indoor Unit Maximum Capacity [Btu/h]</t>
  </si>
  <si>
    <t>Indoor Unit Actual Maximum Capacity [Btu/h]</t>
  </si>
  <si>
    <t>Indoor Unit Maximum Output [Btu/h]</t>
  </si>
  <si>
    <t>Outdoor Unit Maximum Load [Btu/h]</t>
  </si>
  <si>
    <t>Outdoor Unit Maximum Input [Btu/h]</t>
  </si>
  <si>
    <t>Outdoor Unit Maximum Output [Btu/h]</t>
  </si>
  <si>
    <t>Outdoor Unit Maximum Part Load Ratio</t>
  </si>
  <si>
    <t>Outdoor Unit Energy Input Ratio Modifier of Temperature</t>
  </si>
  <si>
    <t>COP at Maximum Output</t>
  </si>
  <si>
    <t>Outdoor Unit Minimum Available Capacity [Btu/h]</t>
  </si>
  <si>
    <t>Outdoor Unit Maximum Available Capacity [Btu/h]</t>
  </si>
  <si>
    <t>Indoor Unit Maximum Available Capacity [Btu/h]</t>
  </si>
  <si>
    <t>Indoor Unit Minimum Available Capacity [Btu/h]</t>
  </si>
  <si>
    <t>Indoor Unit Capacity Ratio Modifier of Fan Flow Fraction (Min)</t>
  </si>
  <si>
    <t>Outdoor Unit Energy Input Ratio Modifier of Part Load Ratio (Max)</t>
  </si>
  <si>
    <t>Indoor Unit Minimum Capacity [Btu/h]</t>
  </si>
  <si>
    <t>Indoor Unit Actual Minimum Capacity [Btu/h]</t>
  </si>
  <si>
    <t>Indoor Unit Fan Power (Min) [W]</t>
  </si>
  <si>
    <t>Indoor Unit Fan Power (Max) [W]</t>
  </si>
  <si>
    <t>Indoor Unit Minimum Output [Btu/h]</t>
  </si>
  <si>
    <t>Outdoor Unit Minimum Load [Btu/h]</t>
  </si>
  <si>
    <t>Outdoor Unit Minimum Output [Btu/h]</t>
  </si>
  <si>
    <t>Outdoor Unit Minimum Part Load Ratio</t>
  </si>
  <si>
    <t>Outdoor Unit Energy Input Ratio Modifier of Part Load Ratio (Min)</t>
  </si>
  <si>
    <t>Outdoor Unit Minimum Input [Btu/h]</t>
  </si>
  <si>
    <t>COP at Minimum Output</t>
  </si>
  <si>
    <t>5. CSE Inputs</t>
  </si>
  <si>
    <t>rsType</t>
  </si>
  <si>
    <t>VCHP2</t>
  </si>
  <si>
    <t>rsFChg</t>
  </si>
  <si>
    <t>rsVfPerTon</t>
  </si>
  <si>
    <t>rsFanPwrH</t>
  </si>
  <si>
    <t>rsFanPwrC</t>
  </si>
  <si>
    <t>rsParElec</t>
  </si>
  <si>
    <t>rsDefrostModel</t>
  </si>
  <si>
    <t>RevCycle</t>
  </si>
  <si>
    <t>rsCap47</t>
  </si>
  <si>
    <t>rsCOP115</t>
  </si>
  <si>
    <t>rsCOP82</t>
  </si>
  <si>
    <t>rsCOP47</t>
  </si>
  <si>
    <t>rsCOP17</t>
  </si>
  <si>
    <t>rsCOP05</t>
  </si>
  <si>
    <t>rsCOPMin115</t>
  </si>
  <si>
    <t>rsCOPMin95</t>
  </si>
  <si>
    <t>rsCapC</t>
  </si>
  <si>
    <t>rsCOP95</t>
  </si>
  <si>
    <t>rsCOPMin82</t>
  </si>
  <si>
    <t>rsCOPMin47</t>
  </si>
  <si>
    <t>rsCOPMin17</t>
  </si>
  <si>
    <t>rsCOPMin05</t>
  </si>
  <si>
    <t>rsLoadFMin115</t>
  </si>
  <si>
    <t>rsLoadFMin82</t>
  </si>
  <si>
    <t>rsLoadFMin95</t>
  </si>
  <si>
    <t>rsLoadFMin47</t>
  </si>
  <si>
    <t>rsLoadFMin17</t>
  </si>
  <si>
    <t>rsLoadFMin05</t>
  </si>
  <si>
    <t>rsFxCapAuxH</t>
  </si>
  <si>
    <t>rsOAVType</t>
  </si>
  <si>
    <t>None</t>
  </si>
  <si>
    <t>VRFSys:EquivalentPipeLen</t>
  </si>
  <si>
    <t>Min PLR</t>
  </si>
  <si>
    <t>HPRTF</t>
  </si>
  <si>
    <t>COP/COP_ref</t>
  </si>
  <si>
    <t>Cycling Degradation Factor</t>
  </si>
  <si>
    <t>EIR Modifier of PLR</t>
  </si>
  <si>
    <t>rsCdH</t>
  </si>
  <si>
    <t>rsCdC</t>
  </si>
  <si>
    <t>Modified EIR Modifier Curve</t>
  </si>
  <si>
    <t>COP Slope</t>
  </si>
  <si>
    <t>3. Create EIR Modifier Function of PLR for CSE</t>
  </si>
  <si>
    <t>E+ Min PLR</t>
  </si>
  <si>
    <t>E+ Cycling Degradation Factor</t>
  </si>
  <si>
    <t>CSE</t>
  </si>
  <si>
    <t>**CSE assumes COP linearly increases as PLR decreases. So we need to use cycling degradation in CSE to approach the behavior seem in E+</t>
  </si>
  <si>
    <t>4. Static Modifier</t>
  </si>
  <si>
    <t>ClgPLRMin</t>
  </si>
  <si>
    <t>HtgPLRMin</t>
  </si>
  <si>
    <t>Indoor Dry-bulb Temperature (Tdb) [F]</t>
  </si>
  <si>
    <t xml:space="preserve">Cooling Part-Load Fraction Correlation </t>
  </si>
  <si>
    <t>Heating Part-Load Fraction Correlation</t>
  </si>
  <si>
    <t>&lt;- ignored</t>
  </si>
  <si>
    <t>&lt;- ignored, assume OU can always meet the load</t>
  </si>
  <si>
    <t>&lt;-</t>
  </si>
  <si>
    <t>Calculation - Old (assume all IU have the same load)</t>
  </si>
  <si>
    <t>Indoor Wet/dry-bulb Temperature (Twb/Tdb) [F]</t>
  </si>
  <si>
    <t>($tdboHrAv &lt; 50) * 40 / # of RSYS</t>
  </si>
  <si>
    <t>Indoor Unit Fan Power to Coil Cap Ratio</t>
  </si>
  <si>
    <t>Fraction Minimum Net Capacity</t>
  </si>
  <si>
    <t>rsCapRat11595</t>
  </si>
  <si>
    <t>rsCapRat8295</t>
  </si>
  <si>
    <t>rsCapRat1747</t>
  </si>
  <si>
    <t>rsCapRat0547</t>
  </si>
  <si>
    <t>Calculation (Assume OU always meets IU loads + IU fan speed  follows coil capacity)</t>
  </si>
  <si>
    <t>Hard Size (Calc rated capacities + COP for QC)</t>
  </si>
  <si>
    <t>Auto Size</t>
  </si>
  <si>
    <r>
      <t>&lt;- Replace with "</t>
    </r>
    <r>
      <rPr>
        <b/>
        <sz val="12"/>
        <color rgb="FFFF0000"/>
        <rFont val="Calibri"/>
        <family val="2"/>
      </rPr>
      <t>AUTOSIZE rsCap47</t>
    </r>
    <r>
      <rPr>
        <sz val="12"/>
        <color rgb="FFFF0000"/>
        <rFont val="Calibri"/>
        <family val="2"/>
      </rPr>
      <t>" when using auto-sizing</t>
    </r>
  </si>
  <si>
    <r>
      <t>&lt;- Replace with "</t>
    </r>
    <r>
      <rPr>
        <b/>
        <sz val="12"/>
        <color rgb="FFFF0000"/>
        <rFont val="Calibri"/>
        <family val="2"/>
      </rPr>
      <t>AUTOSIZE rsCapC</t>
    </r>
    <r>
      <rPr>
        <sz val="12"/>
        <color rgb="FFFF0000"/>
        <rFont val="Calibri"/>
        <family val="2"/>
      </rPr>
      <t>" when using auto-sizing</t>
    </r>
  </si>
  <si>
    <t>FanFlowPerTonForHeatCalc</t>
  </si>
  <si>
    <t>FanEffForHeatCalc</t>
  </si>
  <si>
    <t>FanFlowPerTonForCSEInput</t>
  </si>
  <si>
    <t>Indoor Unit Max Net Cap to Rated Gross Cap Ratio</t>
  </si>
  <si>
    <t>Indoor Unit Max Net Cap to Rated Net Cap Ratio</t>
  </si>
  <si>
    <t>Indoor Unit Maximum Net Cap [Btu/h]</t>
  </si>
  <si>
    <t>COP at Minimum Capacity</t>
  </si>
  <si>
    <t>COP at Maximum Capacity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</si>
</sst>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_(* \(#,##0.00\);_(* &quot;-&quot;??_);_(@_)"/>
    <numFmt numFmtId="164" formatCode="0.000000"/>
    <numFmt numFmtId="165" formatCode="0.000"/>
    <numFmt numFmtId="166" formatCode="0.0000000"/>
    <numFmt numFmtId="167" formatCode="_(* #,##0.0_);_(* \(#,##0.0\);_(* &quot;-&quot;??_);_(@_)"/>
    <numFmt numFmtId="168" formatCode="0.0"/>
    <numFmt numFmtId="169" formatCode="0.0000"/>
    <numFmt numFmtId="170" formatCode="_(* #,##0.000_);_(* \(#,##0.000\);_(* &quot;-&quot;??_);_(@_)"/>
    <numFmt numFmtId="171" formatCode="0.00000"/>
    <numFmt numFmtId="172" formatCode="_(* #,##0_);_(* \(#,##0\);_(* &quot;-&quot;??_);_(@_)"/>
    <numFmt numFmtId="173" formatCode="0.00000000"/>
    <numFmt numFmtId="174" formatCode="_(* #,##0.000000_);_(* \(#,##0.000000\);_(* &quot;-&quot;??_);_(@_)"/>
    <numFmt numFmtId="175" formatCode="_(* #,##0.00000_);_(* \(#,##0.00000\);_(* &quot;-&quot;??_);_(@_)"/>
    <numFmt numFmtId="176" formatCode="_(* #,##0.0000_);_(* \(#,##0.0000\);_(* &quot;-&quot;??_);_(@_)"/>
  </numFmts>
  <fonts count="51" x14ac:knownFonts="1">
    <font>
      <sz val="11"/>
      <color theme="1"/>
      <name val="Calibri"/>
      <family val="2"/>
      <scheme val="minor"/>
    </font>
    <font>
      <b/>
      <sz val="11"/>
      <color theme="1"/>
      <name val="Calibri"/>
      <family val="2"/>
      <scheme val="minor"/>
    </font>
    <font>
      <i/>
      <sz val="11"/>
      <color theme="1"/>
      <name val="Calibri"/>
      <family val="2"/>
      <scheme val="minor"/>
    </font>
    <font>
      <sz val="10"/>
      <color rgb="FF339966"/>
      <name val="Arial"/>
      <family val="2"/>
    </font>
    <font>
      <sz val="11"/>
      <color theme="1"/>
      <name val="Calibri"/>
      <family val="2"/>
      <scheme val="minor"/>
    </font>
    <font>
      <sz val="11"/>
      <color rgb="FFFF0000"/>
      <name val="Calibri"/>
      <family val="2"/>
      <scheme val="minor"/>
    </font>
    <font>
      <sz val="11"/>
      <name val="Calibri"/>
      <family val="2"/>
      <scheme val="minor"/>
    </font>
    <font>
      <sz val="11"/>
      <name val="Calibri"/>
      <family val="2"/>
    </font>
    <font>
      <sz val="10"/>
      <name val="Arial"/>
      <family val="2"/>
    </font>
    <font>
      <sz val="9"/>
      <color indexed="81"/>
      <name val="Tahoma"/>
      <family val="2"/>
    </font>
    <font>
      <b/>
      <sz val="9"/>
      <color indexed="81"/>
      <name val="Tahoma"/>
      <family val="2"/>
    </font>
    <font>
      <sz val="11"/>
      <color theme="0" tint="-0.499984740745262"/>
      <name val="Calibri"/>
      <family val="2"/>
      <scheme val="minor"/>
    </font>
    <font>
      <vertAlign val="superscript"/>
      <sz val="11"/>
      <color theme="1"/>
      <name val="Calibri"/>
      <family val="2"/>
      <scheme val="minor"/>
    </font>
    <font>
      <u/>
      <sz val="9.35"/>
      <color theme="10"/>
      <name val="Calibri"/>
      <family val="2"/>
    </font>
    <font>
      <b/>
      <sz val="11"/>
      <color rgb="FFFF0000"/>
      <name val="Calibri"/>
      <family val="2"/>
      <scheme val="minor"/>
    </font>
    <font>
      <sz val="11"/>
      <color rgb="FF0000FF"/>
      <name val="Calibri"/>
      <family val="2"/>
      <scheme val="minor"/>
    </font>
    <font>
      <b/>
      <sz val="11"/>
      <color theme="0" tint="-0.499984740745262"/>
      <name val="Calibri"/>
      <family val="2"/>
      <scheme val="minor"/>
    </font>
    <font>
      <sz val="11"/>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u/>
      <sz val="11"/>
      <color theme="10"/>
      <name val="Calibri"/>
      <family val="2"/>
    </font>
    <font>
      <b/>
      <sz val="14"/>
      <color theme="1"/>
      <name val="Calibri"/>
      <family val="2"/>
      <scheme val="minor"/>
    </font>
    <font>
      <sz val="11"/>
      <color rgb="FFFF0000"/>
      <name val="Calibri"/>
      <family val="2"/>
    </font>
    <font>
      <b/>
      <sz val="10"/>
      <name val="Arial"/>
      <family val="2"/>
    </font>
    <font>
      <sz val="11"/>
      <color theme="0" tint="-0.14999847407452621"/>
      <name val="Calibri"/>
      <family val="2"/>
      <scheme val="minor"/>
    </font>
    <font>
      <sz val="11"/>
      <color theme="0" tint="-0.249977111117893"/>
      <name val="Calibri"/>
      <family val="2"/>
      <scheme val="minor"/>
    </font>
    <font>
      <b/>
      <sz val="11"/>
      <color theme="0" tint="-0.249977111117893"/>
      <name val="Calibri"/>
      <family val="2"/>
      <scheme val="minor"/>
    </font>
    <font>
      <sz val="8"/>
      <color theme="0" tint="-0.249977111117893"/>
      <name val="Calibri"/>
      <family val="2"/>
      <scheme val="minor"/>
    </font>
    <font>
      <b/>
      <sz val="11"/>
      <name val="Calibri"/>
      <family val="2"/>
      <scheme val="minor"/>
    </font>
    <font>
      <sz val="11"/>
      <color theme="1"/>
      <name val="Courier New"/>
      <family val="3"/>
    </font>
    <font>
      <sz val="11"/>
      <color rgb="FFFF0000"/>
      <name val="Courier New"/>
      <family val="3"/>
    </font>
    <font>
      <sz val="11"/>
      <color rgb="FF9C5700"/>
      <name val="Calibri"/>
      <family val="2"/>
      <scheme val="minor"/>
    </font>
    <font>
      <sz val="12"/>
      <color theme="1"/>
      <name val="Calibri"/>
      <family val="2"/>
    </font>
    <font>
      <b/>
      <sz val="12"/>
      <color theme="1"/>
      <name val="Calibri"/>
      <family val="2"/>
    </font>
    <font>
      <sz val="12"/>
      <color rgb="FFFF0000"/>
      <name val="Calibri"/>
      <family val="2"/>
    </font>
    <font>
      <b/>
      <sz val="12"/>
      <color theme="0" tint="-0.499984740745262"/>
      <name val="Calibri"/>
      <family val="2"/>
    </font>
    <font>
      <sz val="12"/>
      <color theme="0" tint="-0.499984740745262"/>
      <name val="Calibri"/>
      <family val="2"/>
    </font>
    <font>
      <sz val="12"/>
      <name val="Calibri"/>
      <family val="2"/>
    </font>
    <font>
      <b/>
      <sz val="12"/>
      <color rgb="FFFF0000"/>
      <name val="Calibri"/>
      <family val="2"/>
    </font>
  </fonts>
  <fills count="47">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indexed="42"/>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2" tint="-9.9978637043366805E-2"/>
        <bgColor indexed="64"/>
      </patternFill>
    </fill>
    <fill>
      <patternFill patternType="solid">
        <fgColor rgb="FFB2DE82"/>
        <bgColor indexed="64"/>
      </patternFill>
    </fill>
    <fill>
      <patternFill patternType="solid">
        <fgColor theme="6" tint="0.79998168889431442"/>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4" tint="0.39997558519241921"/>
        <bgColor indexed="64"/>
      </patternFill>
    </fill>
  </fills>
  <borders count="47">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rgb="FFB2B2B2"/>
      </left>
      <right style="medium">
        <color indexed="64"/>
      </right>
      <top style="thin">
        <color rgb="FFB2B2B2"/>
      </top>
      <bottom style="thin">
        <color rgb="FFB2B2B2"/>
      </bottom>
      <diagonal/>
    </border>
    <border>
      <left style="medium">
        <color indexed="64"/>
      </left>
      <right/>
      <top/>
      <bottom style="medium">
        <color indexed="64"/>
      </bottom>
      <diagonal/>
    </border>
    <border>
      <left/>
      <right/>
      <top/>
      <bottom style="medium">
        <color indexed="64"/>
      </bottom>
      <diagonal/>
    </border>
    <border>
      <left style="thin">
        <color rgb="FFB2B2B2"/>
      </left>
      <right style="thin">
        <color rgb="FFB2B2B2"/>
      </right>
      <top style="thin">
        <color rgb="FFB2B2B2"/>
      </top>
      <bottom style="medium">
        <color indexed="64"/>
      </bottom>
      <diagonal/>
    </border>
    <border>
      <left style="thin">
        <color rgb="FFB2B2B2"/>
      </left>
      <right style="medium">
        <color indexed="64"/>
      </right>
      <top style="thin">
        <color rgb="FFB2B2B2"/>
      </top>
      <bottom style="medium">
        <color indexed="64"/>
      </bottom>
      <diagonal/>
    </border>
    <border>
      <left/>
      <right style="medium">
        <color indexed="64"/>
      </right>
      <top/>
      <bottom style="medium">
        <color indexed="64"/>
      </bottom>
      <diagonal/>
    </border>
    <border>
      <left style="medium">
        <color indexed="64"/>
      </left>
      <right style="thin">
        <color rgb="FFB2B2B2"/>
      </right>
      <top style="thin">
        <color rgb="FFB2B2B2"/>
      </top>
      <bottom style="thin">
        <color rgb="FFB2B2B2"/>
      </bottom>
      <diagonal/>
    </border>
    <border>
      <left/>
      <right style="thin">
        <color rgb="FFB2B2B2"/>
      </right>
      <top style="thin">
        <color rgb="FFB2B2B2"/>
      </top>
      <bottom style="thin">
        <color rgb="FFB2B2B2"/>
      </bottom>
      <diagonal/>
    </border>
    <border>
      <left style="medium">
        <color indexed="64"/>
      </left>
      <right style="thin">
        <color rgb="FFB2B2B2"/>
      </right>
      <top style="thin">
        <color rgb="FFB2B2B2"/>
      </top>
      <bottom style="medium">
        <color indexed="64"/>
      </bottom>
      <diagonal/>
    </border>
    <border>
      <left/>
      <right style="thin">
        <color rgb="FFB2B2B2"/>
      </right>
      <top style="thin">
        <color rgb="FFB2B2B2"/>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rgb="FFB2B2B2"/>
      </left>
      <right style="thin">
        <color rgb="FFB2B2B2"/>
      </right>
      <top style="medium">
        <color indexed="64"/>
      </top>
      <bottom style="thin">
        <color rgb="FFB2B2B2"/>
      </bottom>
      <diagonal/>
    </border>
    <border>
      <left style="medium">
        <color indexed="64"/>
      </left>
      <right style="thin">
        <color rgb="FFB2B2B2"/>
      </right>
      <top style="medium">
        <color indexed="64"/>
      </top>
      <bottom style="thin">
        <color rgb="FFB2B2B2"/>
      </bottom>
      <diagonal/>
    </border>
    <border>
      <left style="thin">
        <color rgb="FFB2B2B2"/>
      </left>
      <right style="medium">
        <color indexed="64"/>
      </right>
      <top style="medium">
        <color indexed="64"/>
      </top>
      <bottom style="thin">
        <color rgb="FFB2B2B2"/>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s>
  <cellStyleXfs count="51">
    <xf numFmtId="0" fontId="0" fillId="0" borderId="0"/>
    <xf numFmtId="43" fontId="4" fillId="0" borderId="0" applyFont="0" applyFill="0" applyBorder="0" applyAlignment="0" applyProtection="0"/>
    <xf numFmtId="0" fontId="8" fillId="0" borderId="0"/>
    <xf numFmtId="0" fontId="13" fillId="0" borderId="0" applyNumberFormat="0" applyFill="0" applyBorder="0" applyAlignment="0" applyProtection="0">
      <alignment vertical="top"/>
      <protection locked="0"/>
    </xf>
    <xf numFmtId="0" fontId="18" fillId="0" borderId="0" applyNumberFormat="0" applyFill="0" applyBorder="0" applyAlignment="0" applyProtection="0"/>
    <xf numFmtId="0" fontId="19" fillId="0" borderId="9" applyNumberFormat="0" applyFill="0" applyAlignment="0" applyProtection="0"/>
    <xf numFmtId="0" fontId="20" fillId="0" borderId="10" applyNumberFormat="0" applyFill="0" applyAlignment="0" applyProtection="0"/>
    <xf numFmtId="0" fontId="21" fillId="0" borderId="11" applyNumberFormat="0" applyFill="0" applyAlignment="0" applyProtection="0"/>
    <xf numFmtId="0" fontId="21" fillId="0" borderId="0" applyNumberFormat="0" applyFill="0" applyBorder="0" applyAlignment="0" applyProtection="0"/>
    <xf numFmtId="0" fontId="22" fillId="4" borderId="0" applyNumberFormat="0" applyBorder="0" applyAlignment="0" applyProtection="0"/>
    <xf numFmtId="0" fontId="23" fillId="5" borderId="0" applyNumberFormat="0" applyBorder="0" applyAlignment="0" applyProtection="0"/>
    <xf numFmtId="0" fontId="24" fillId="6" borderId="0" applyNumberFormat="0" applyBorder="0" applyAlignment="0" applyProtection="0"/>
    <xf numFmtId="0" fontId="25" fillId="7" borderId="12" applyNumberFormat="0" applyAlignment="0" applyProtection="0"/>
    <xf numFmtId="0" fontId="26" fillId="8" borderId="13" applyNumberFormat="0" applyAlignment="0" applyProtection="0"/>
    <xf numFmtId="0" fontId="27" fillId="8" borderId="12" applyNumberFormat="0" applyAlignment="0" applyProtection="0"/>
    <xf numFmtId="0" fontId="28" fillId="0" borderId="14" applyNumberFormat="0" applyFill="0" applyAlignment="0" applyProtection="0"/>
    <xf numFmtId="0" fontId="29" fillId="9" borderId="15" applyNumberFormat="0" applyAlignment="0" applyProtection="0"/>
    <xf numFmtId="0" fontId="5" fillId="0" borderId="0" applyNumberFormat="0" applyFill="0" applyBorder="0" applyAlignment="0" applyProtection="0"/>
    <xf numFmtId="0" fontId="4" fillId="10" borderId="16" applyNumberFormat="0" applyFont="0" applyAlignment="0" applyProtection="0"/>
    <xf numFmtId="0" fontId="30" fillId="0" borderId="0" applyNumberFormat="0" applyFill="0" applyBorder="0" applyAlignment="0" applyProtection="0"/>
    <xf numFmtId="0" fontId="1" fillId="0" borderId="17" applyNumberFormat="0" applyFill="0" applyAlignment="0" applyProtection="0"/>
    <xf numFmtId="0" fontId="31"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31" fillId="14" borderId="0" applyNumberFormat="0" applyBorder="0" applyAlignment="0" applyProtection="0"/>
    <xf numFmtId="0" fontId="31"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31" fillId="18" borderId="0" applyNumberFormat="0" applyBorder="0" applyAlignment="0" applyProtection="0"/>
    <xf numFmtId="0" fontId="31"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31" fillId="22" borderId="0" applyNumberFormat="0" applyBorder="0" applyAlignment="0" applyProtection="0"/>
    <xf numFmtId="0" fontId="31"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31" fillId="26" borderId="0" applyNumberFormat="0" applyBorder="0" applyAlignment="0" applyProtection="0"/>
    <xf numFmtId="0" fontId="31" fillId="27"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31" fillId="30" borderId="0" applyNumberFormat="0" applyBorder="0" applyAlignment="0" applyProtection="0"/>
    <xf numFmtId="0" fontId="31" fillId="31"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31" fillId="34" borderId="0" applyNumberFormat="0" applyBorder="0" applyAlignment="0" applyProtection="0"/>
    <xf numFmtId="0" fontId="32" fillId="0" borderId="0" applyNumberFormat="0" applyFill="0" applyBorder="0" applyAlignment="0" applyProtection="0">
      <alignment vertical="top"/>
      <protection locked="0"/>
    </xf>
    <xf numFmtId="9" fontId="4" fillId="0" borderId="0" applyFont="0" applyFill="0" applyBorder="0" applyAlignment="0" applyProtection="0"/>
    <xf numFmtId="0" fontId="43" fillId="6" borderId="0" applyNumberFormat="0" applyBorder="0" applyAlignment="0" applyProtection="0"/>
    <xf numFmtId="0" fontId="44" fillId="0" borderId="0"/>
    <xf numFmtId="0" fontId="44" fillId="10" borderId="16" applyNumberFormat="0" applyFont="0" applyAlignment="0" applyProtection="0"/>
    <xf numFmtId="43" fontId="44" fillId="0" borderId="0" applyFont="0" applyFill="0" applyBorder="0" applyAlignment="0" applyProtection="0"/>
  </cellStyleXfs>
  <cellXfs count="337">
    <xf numFmtId="0" fontId="0" fillId="0" borderId="0" xfId="0"/>
    <xf numFmtId="0" fontId="1" fillId="0" borderId="0" xfId="0" applyFont="1"/>
    <xf numFmtId="0" fontId="0" fillId="0" borderId="0"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1" xfId="0" applyBorder="1"/>
    <xf numFmtId="0" fontId="0" fillId="0" borderId="2" xfId="0" applyBorder="1"/>
    <xf numFmtId="0" fontId="0" fillId="0" borderId="3" xfId="0" applyBorder="1"/>
    <xf numFmtId="0" fontId="0" fillId="2" borderId="0" xfId="0" applyFill="1"/>
    <xf numFmtId="0" fontId="2" fillId="0" borderId="0" xfId="0" applyFont="1"/>
    <xf numFmtId="0" fontId="3" fillId="0" borderId="0" xfId="0" applyFont="1" applyAlignment="1">
      <alignment horizontal="left" vertical="center" indent="12"/>
    </xf>
    <xf numFmtId="0" fontId="0" fillId="0" borderId="0" xfId="0" applyAlignment="1">
      <alignment vertical="top"/>
    </xf>
    <xf numFmtId="0" fontId="0" fillId="0" borderId="0" xfId="0" applyAlignment="1">
      <alignment vertical="center" wrapText="1"/>
    </xf>
    <xf numFmtId="0" fontId="0" fillId="0" borderId="0" xfId="0" applyAlignment="1">
      <alignment horizontal="left" vertical="top" wrapText="1"/>
    </xf>
    <xf numFmtId="0" fontId="1" fillId="0" borderId="0" xfId="0" applyFont="1" applyAlignment="1">
      <alignment vertical="top"/>
    </xf>
    <xf numFmtId="0" fontId="6" fillId="0" borderId="0" xfId="0" applyFont="1"/>
    <xf numFmtId="0" fontId="0" fillId="0" borderId="0" xfId="0" applyAlignment="1">
      <alignment horizontal="center" vertical="top" wrapText="1"/>
    </xf>
    <xf numFmtId="0" fontId="0" fillId="0" borderId="0" xfId="0" applyFill="1" applyBorder="1" applyAlignment="1">
      <alignment vertical="top"/>
    </xf>
    <xf numFmtId="0" fontId="1" fillId="0" borderId="0" xfId="0" applyFont="1" applyAlignment="1">
      <alignment horizontal="center" vertical="top" wrapText="1"/>
    </xf>
    <xf numFmtId="0" fontId="1" fillId="0" borderId="0" xfId="0" applyFont="1" applyAlignment="1">
      <alignment horizontal="center" vertical="top"/>
    </xf>
    <xf numFmtId="0" fontId="0" fillId="0" borderId="0" xfId="0" applyAlignment="1">
      <alignment horizontal="left" vertical="top"/>
    </xf>
    <xf numFmtId="0" fontId="0" fillId="0" borderId="0" xfId="0" applyAlignment="1">
      <alignment vertical="top" wrapText="1"/>
    </xf>
    <xf numFmtId="0" fontId="0" fillId="0" borderId="0" xfId="0" applyNumberFormat="1" applyAlignment="1">
      <alignment vertical="top" wrapText="1"/>
    </xf>
    <xf numFmtId="0" fontId="1" fillId="0" borderId="0" xfId="0" applyFont="1" applyAlignment="1">
      <alignment vertical="top" wrapText="1"/>
    </xf>
    <xf numFmtId="0" fontId="5" fillId="0" borderId="0" xfId="0" applyFont="1" applyAlignment="1">
      <alignment vertical="top" wrapText="1"/>
    </xf>
    <xf numFmtId="0" fontId="0" fillId="0" borderId="0" xfId="0" applyFill="1" applyAlignment="1">
      <alignment vertical="top" wrapText="1"/>
    </xf>
    <xf numFmtId="0" fontId="0" fillId="3" borderId="0" xfId="0" applyFill="1" applyAlignment="1">
      <alignment vertical="top"/>
    </xf>
    <xf numFmtId="0" fontId="0" fillId="3" borderId="0" xfId="0" applyFill="1" applyAlignment="1">
      <alignment vertical="top" wrapText="1"/>
    </xf>
    <xf numFmtId="0" fontId="0" fillId="0" borderId="0" xfId="0" applyFill="1" applyAlignment="1">
      <alignment vertical="top"/>
    </xf>
    <xf numFmtId="0" fontId="5" fillId="0" borderId="0" xfId="0" applyFont="1" applyFill="1" applyAlignment="1">
      <alignment vertical="top" wrapText="1"/>
    </xf>
    <xf numFmtId="0" fontId="1" fillId="0" borderId="0" xfId="0" applyFont="1" applyFill="1" applyAlignment="1">
      <alignment vertical="top"/>
    </xf>
    <xf numFmtId="0" fontId="0" fillId="0" borderId="0" xfId="0" applyNumberFormat="1" applyFill="1" applyAlignment="1">
      <alignment vertical="top" wrapText="1"/>
    </xf>
    <xf numFmtId="0" fontId="0" fillId="3" borderId="0" xfId="0" applyNumberFormat="1" applyFill="1" applyAlignment="1">
      <alignment vertical="top" wrapText="1"/>
    </xf>
    <xf numFmtId="0" fontId="16" fillId="0" borderId="0" xfId="0" applyFont="1" applyAlignment="1">
      <alignment vertical="top"/>
    </xf>
    <xf numFmtId="0" fontId="11" fillId="3" borderId="0" xfId="0" applyFont="1" applyFill="1" applyAlignment="1">
      <alignment vertical="top" wrapText="1"/>
    </xf>
    <xf numFmtId="0" fontId="11" fillId="3" borderId="0" xfId="0" applyFont="1" applyFill="1" applyAlignment="1">
      <alignment vertical="top"/>
    </xf>
    <xf numFmtId="0" fontId="11" fillId="0" borderId="0" xfId="0" applyFont="1" applyAlignment="1">
      <alignment vertical="top"/>
    </xf>
    <xf numFmtId="0" fontId="5" fillId="0" borderId="0" xfId="0" applyFont="1"/>
    <xf numFmtId="0" fontId="1" fillId="0" borderId="0" xfId="0" applyFont="1" applyBorder="1" applyAlignment="1">
      <alignment vertical="top"/>
    </xf>
    <xf numFmtId="0" fontId="33" fillId="0" borderId="0" xfId="0" applyFont="1" applyBorder="1" applyAlignment="1">
      <alignment vertical="top"/>
    </xf>
    <xf numFmtId="0" fontId="0" fillId="0" borderId="0" xfId="0" applyBorder="1" applyAlignment="1">
      <alignment vertical="top"/>
    </xf>
    <xf numFmtId="0" fontId="0" fillId="0" borderId="0" xfId="0" applyFont="1" applyBorder="1" applyAlignment="1">
      <alignment vertical="top" wrapText="1"/>
    </xf>
    <xf numFmtId="0" fontId="0" fillId="0" borderId="0" xfId="0" applyBorder="1" applyAlignment="1">
      <alignment vertical="top" wrapText="1"/>
    </xf>
    <xf numFmtId="164" fontId="0" fillId="0" borderId="0" xfId="0" applyNumberFormat="1" applyBorder="1" applyAlignment="1">
      <alignment vertical="top"/>
    </xf>
    <xf numFmtId="0" fontId="1" fillId="0" borderId="0" xfId="0" applyFont="1" applyBorder="1" applyAlignment="1">
      <alignment vertical="top" wrapText="1"/>
    </xf>
    <xf numFmtId="0" fontId="5" fillId="0" borderId="0" xfId="0" applyFont="1" applyBorder="1" applyAlignment="1">
      <alignment vertical="top"/>
    </xf>
    <xf numFmtId="0" fontId="2" fillId="0" borderId="0" xfId="0" applyFont="1" applyBorder="1" applyAlignment="1">
      <alignment vertical="top"/>
    </xf>
    <xf numFmtId="0" fontId="0" fillId="0" borderId="0" xfId="0" applyFont="1" applyBorder="1" applyAlignment="1">
      <alignment vertical="top"/>
    </xf>
    <xf numFmtId="0" fontId="0" fillId="0" borderId="0" xfId="0" applyFont="1" applyFill="1" applyBorder="1" applyAlignment="1">
      <alignment vertical="top"/>
    </xf>
    <xf numFmtId="0" fontId="15" fillId="0" borderId="0" xfId="0" applyFont="1" applyBorder="1" applyAlignment="1">
      <alignment vertical="top"/>
    </xf>
    <xf numFmtId="0" fontId="1" fillId="0" borderId="0" xfId="0" applyFont="1" applyBorder="1" applyAlignment="1">
      <alignment horizontal="center" vertical="top"/>
    </xf>
    <xf numFmtId="164" fontId="1" fillId="0" borderId="0" xfId="0" applyNumberFormat="1" applyFont="1" applyBorder="1" applyAlignment="1">
      <alignment vertical="top"/>
    </xf>
    <xf numFmtId="0" fontId="0" fillId="0" borderId="0" xfId="0" applyNumberFormat="1" applyBorder="1" applyAlignment="1">
      <alignment vertical="top"/>
    </xf>
    <xf numFmtId="0" fontId="6" fillId="0" borderId="0" xfId="0" applyFont="1" applyFill="1" applyBorder="1" applyAlignment="1">
      <alignment vertical="top"/>
    </xf>
    <xf numFmtId="0" fontId="13" fillId="0" borderId="0" xfId="3" applyFill="1" applyBorder="1" applyAlignment="1" applyProtection="1">
      <alignment vertical="top"/>
    </xf>
    <xf numFmtId="0" fontId="1" fillId="0" borderId="0" xfId="0" applyFont="1" applyFill="1" applyBorder="1" applyAlignment="1">
      <alignment vertical="top"/>
    </xf>
    <xf numFmtId="0" fontId="0" fillId="0" borderId="0" xfId="0" applyFont="1" applyFill="1" applyBorder="1" applyAlignment="1">
      <alignment vertical="top" wrapText="1"/>
    </xf>
    <xf numFmtId="0" fontId="0" fillId="0" borderId="0" xfId="0" applyFill="1" applyBorder="1" applyAlignment="1">
      <alignment vertical="top" wrapText="1"/>
    </xf>
    <xf numFmtId="164" fontId="0" fillId="0" borderId="0" xfId="0" applyNumberFormat="1" applyFill="1" applyBorder="1" applyAlignment="1">
      <alignment vertical="top"/>
    </xf>
    <xf numFmtId="0" fontId="0" fillId="0" borderId="0" xfId="0" applyNumberFormat="1" applyFill="1" applyBorder="1" applyAlignment="1">
      <alignment vertical="top"/>
    </xf>
    <xf numFmtId="0" fontId="14" fillId="0" borderId="0" xfId="0" applyFont="1" applyBorder="1" applyAlignment="1">
      <alignment vertical="top"/>
    </xf>
    <xf numFmtId="0" fontId="5" fillId="0" borderId="0" xfId="0" applyFont="1" applyBorder="1" applyAlignment="1">
      <alignment vertical="top" wrapText="1"/>
    </xf>
    <xf numFmtId="0" fontId="5" fillId="0" borderId="0" xfId="0" applyFont="1" applyFill="1" applyBorder="1" applyAlignment="1">
      <alignment vertical="top"/>
    </xf>
    <xf numFmtId="0" fontId="34" fillId="0" borderId="0" xfId="3" applyFont="1" applyFill="1" applyBorder="1" applyAlignment="1" applyProtection="1">
      <alignment vertical="top"/>
    </xf>
    <xf numFmtId="0" fontId="5" fillId="0" borderId="0" xfId="0" applyFont="1" applyAlignment="1">
      <alignment vertical="top"/>
    </xf>
    <xf numFmtId="164" fontId="5" fillId="0" borderId="0" xfId="0" applyNumberFormat="1" applyFont="1" applyBorder="1" applyAlignment="1">
      <alignment vertical="top"/>
    </xf>
    <xf numFmtId="0" fontId="6" fillId="0" borderId="0" xfId="0" applyFont="1" applyBorder="1" applyAlignment="1">
      <alignment vertical="top" wrapText="1"/>
    </xf>
    <xf numFmtId="0" fontId="6" fillId="0" borderId="0" xfId="0" applyFont="1" applyBorder="1" applyAlignment="1">
      <alignment vertical="top"/>
    </xf>
    <xf numFmtId="164" fontId="6" fillId="0" borderId="0" xfId="0" applyNumberFormat="1" applyFont="1" applyBorder="1" applyAlignment="1">
      <alignment vertical="top"/>
    </xf>
    <xf numFmtId="0" fontId="0" fillId="0" borderId="0" xfId="0" applyFont="1" applyBorder="1" applyAlignment="1">
      <alignment horizontal="left" vertical="top" wrapText="1"/>
    </xf>
    <xf numFmtId="0" fontId="0" fillId="0" borderId="0" xfId="0" applyBorder="1" applyAlignment="1">
      <alignment horizontal="left" vertical="top"/>
    </xf>
    <xf numFmtId="0" fontId="13" fillId="0" borderId="0" xfId="3" applyBorder="1" applyAlignment="1" applyProtection="1">
      <alignment horizontal="left" vertical="top"/>
    </xf>
    <xf numFmtId="0" fontId="0" fillId="35" borderId="0" xfId="0" applyFill="1" applyBorder="1" applyAlignment="1">
      <alignment vertical="top"/>
    </xf>
    <xf numFmtId="0" fontId="17" fillId="0" borderId="0" xfId="3" applyFont="1" applyFill="1" applyBorder="1" applyAlignment="1" applyProtection="1">
      <alignment vertical="top"/>
    </xf>
    <xf numFmtId="0" fontId="1" fillId="2" borderId="0" xfId="0" applyFont="1" applyFill="1" applyBorder="1" applyAlignment="1">
      <alignment vertical="top"/>
    </xf>
    <xf numFmtId="0" fontId="0" fillId="2" borderId="0" xfId="0" applyFill="1" applyBorder="1" applyAlignment="1">
      <alignment vertical="top"/>
    </xf>
    <xf numFmtId="0" fontId="0" fillId="2" borderId="0" xfId="0" applyFont="1" applyFill="1" applyBorder="1" applyAlignment="1">
      <alignment vertical="top" wrapText="1"/>
    </xf>
    <xf numFmtId="0" fontId="0" fillId="2" borderId="0" xfId="0" applyFill="1" applyBorder="1" applyAlignment="1">
      <alignment vertical="top" wrapText="1"/>
    </xf>
    <xf numFmtId="164" fontId="0" fillId="2" borderId="0" xfId="0" applyNumberFormat="1" applyFill="1" applyBorder="1" applyAlignment="1">
      <alignment vertical="top"/>
    </xf>
    <xf numFmtId="164" fontId="0" fillId="0" borderId="0" xfId="0" applyNumberFormat="1" applyFill="1" applyAlignment="1">
      <alignment vertical="top"/>
    </xf>
    <xf numFmtId="164" fontId="7" fillId="2" borderId="0" xfId="0" applyNumberFormat="1" applyFont="1" applyFill="1" applyBorder="1" applyAlignment="1" applyProtection="1">
      <alignment vertical="top"/>
    </xf>
    <xf numFmtId="0" fontId="7" fillId="2" borderId="0" xfId="0" applyNumberFormat="1" applyFont="1" applyFill="1" applyBorder="1" applyAlignment="1" applyProtection="1">
      <alignment vertical="top"/>
    </xf>
    <xf numFmtId="0" fontId="0" fillId="0" borderId="19" xfId="0" applyBorder="1" applyAlignment="1">
      <alignment vertical="top"/>
    </xf>
    <xf numFmtId="0" fontId="1" fillId="0" borderId="20" xfId="0" applyFont="1" applyBorder="1" applyAlignment="1">
      <alignment vertical="top"/>
    </xf>
    <xf numFmtId="0" fontId="1" fillId="0" borderId="21" xfId="0" applyFont="1" applyBorder="1" applyAlignment="1">
      <alignment vertical="top"/>
    </xf>
    <xf numFmtId="0" fontId="0" fillId="0" borderId="20" xfId="0" applyBorder="1" applyAlignment="1">
      <alignment vertical="top"/>
    </xf>
    <xf numFmtId="0" fontId="1" fillId="0" borderId="20" xfId="0" applyFont="1" applyFill="1" applyBorder="1" applyAlignment="1">
      <alignment vertical="top"/>
    </xf>
    <xf numFmtId="0" fontId="1" fillId="0" borderId="21" xfId="0" applyFont="1" applyFill="1" applyBorder="1" applyAlignment="1">
      <alignment vertical="top"/>
    </xf>
    <xf numFmtId="0" fontId="1" fillId="0" borderId="20" xfId="0" applyFont="1" applyFill="1" applyBorder="1" applyAlignment="1">
      <alignment horizontal="center" vertical="top"/>
    </xf>
    <xf numFmtId="0" fontId="0" fillId="35" borderId="0" xfId="0" applyFill="1" applyAlignment="1">
      <alignment vertical="top" wrapText="1"/>
    </xf>
    <xf numFmtId="0" fontId="0" fillId="0" borderId="0" xfId="0" applyBorder="1" applyAlignment="1">
      <alignment horizontal="left" vertical="top" wrapText="1"/>
    </xf>
    <xf numFmtId="0" fontId="1" fillId="35" borderId="0" xfId="0" applyFont="1" applyFill="1" applyBorder="1" applyAlignment="1">
      <alignment vertical="top"/>
    </xf>
    <xf numFmtId="0" fontId="0" fillId="35" borderId="0" xfId="0" applyFont="1" applyFill="1" applyBorder="1" applyAlignment="1">
      <alignment vertical="top" wrapText="1"/>
    </xf>
    <xf numFmtId="2" fontId="0" fillId="0" borderId="0" xfId="0" applyNumberFormat="1" applyBorder="1" applyAlignment="1">
      <alignment vertical="top"/>
    </xf>
    <xf numFmtId="0" fontId="35" fillId="36" borderId="19" xfId="2" applyFont="1" applyFill="1" applyBorder="1" applyAlignment="1">
      <alignment horizontal="left"/>
    </xf>
    <xf numFmtId="165" fontId="35" fillId="36" borderId="20" xfId="2" applyNumberFormat="1" applyFont="1" applyFill="1" applyBorder="1" applyAlignment="1">
      <alignment horizontal="left"/>
    </xf>
    <xf numFmtId="0" fontId="35" fillId="36" borderId="21" xfId="2" applyFont="1" applyFill="1" applyBorder="1" applyAlignment="1">
      <alignment horizontal="left"/>
    </xf>
    <xf numFmtId="0" fontId="35" fillId="36" borderId="20" xfId="2" applyFont="1" applyFill="1" applyBorder="1" applyAlignment="1">
      <alignment horizontal="left"/>
    </xf>
    <xf numFmtId="0" fontId="8" fillId="36" borderId="18" xfId="2" applyFill="1" applyBorder="1"/>
    <xf numFmtId="0" fontId="8" fillId="36" borderId="18" xfId="2" applyFill="1" applyBorder="1" applyAlignment="1">
      <alignment horizontal="right"/>
    </xf>
    <xf numFmtId="0" fontId="8" fillId="0" borderId="0" xfId="2"/>
    <xf numFmtId="0" fontId="8" fillId="0" borderId="18" xfId="2" applyBorder="1" applyAlignment="1">
      <alignment horizontal="center"/>
    </xf>
    <xf numFmtId="166" fontId="8" fillId="0" borderId="18" xfId="2" applyNumberFormat="1" applyBorder="1"/>
    <xf numFmtId="0" fontId="8" fillId="0" borderId="18" xfId="2" applyBorder="1"/>
    <xf numFmtId="0" fontId="8" fillId="0" borderId="19" xfId="2" applyBorder="1"/>
    <xf numFmtId="0" fontId="8" fillId="0" borderId="20" xfId="2" applyBorder="1"/>
    <xf numFmtId="0" fontId="8" fillId="0" borderId="18" xfId="2" applyFill="1" applyBorder="1" applyAlignment="1">
      <alignment horizontal="center"/>
    </xf>
    <xf numFmtId="166" fontId="8" fillId="0" borderId="18" xfId="2" applyNumberFormat="1" applyFill="1" applyBorder="1"/>
    <xf numFmtId="0" fontId="8" fillId="0" borderId="18" xfId="2" applyFill="1" applyBorder="1"/>
    <xf numFmtId="0" fontId="8" fillId="0" borderId="0" xfId="2" applyFill="1"/>
    <xf numFmtId="0" fontId="0" fillId="0" borderId="0" xfId="0" applyAlignment="1"/>
    <xf numFmtId="0" fontId="8" fillId="0" borderId="18" xfId="2" applyFont="1" applyFill="1" applyBorder="1" applyAlignment="1">
      <alignment horizontal="left"/>
    </xf>
    <xf numFmtId="165" fontId="8" fillId="36" borderId="18" xfId="2" applyNumberFormat="1" applyFont="1" applyFill="1" applyBorder="1" applyAlignment="1">
      <alignment horizontal="center"/>
    </xf>
    <xf numFmtId="165" fontId="8" fillId="0" borderId="21" xfId="2" applyNumberFormat="1" applyFont="1" applyFill="1" applyBorder="1" applyAlignment="1">
      <alignment horizontal="center"/>
    </xf>
    <xf numFmtId="0" fontId="8" fillId="0" borderId="19" xfId="2" applyFont="1" applyFill="1" applyBorder="1" applyAlignment="1">
      <alignment horizontal="left"/>
    </xf>
    <xf numFmtId="165" fontId="8" fillId="0" borderId="18" xfId="2" applyNumberFormat="1" applyFont="1" applyFill="1" applyBorder="1" applyAlignment="1">
      <alignment horizontal="center"/>
    </xf>
    <xf numFmtId="0" fontId="8" fillId="0" borderId="0" xfId="2" applyFont="1" applyFill="1" applyBorder="1" applyAlignment="1">
      <alignment horizontal="left"/>
    </xf>
    <xf numFmtId="165" fontId="8" fillId="0" borderId="0" xfId="2" applyNumberFormat="1" applyFont="1" applyFill="1" applyBorder="1" applyAlignment="1">
      <alignment horizontal="center"/>
    </xf>
    <xf numFmtId="0" fontId="0" fillId="0" borderId="0" xfId="0" applyFill="1" applyBorder="1" applyAlignment="1">
      <alignment horizontal="left" vertical="top"/>
    </xf>
    <xf numFmtId="0" fontId="7" fillId="0" borderId="0" xfId="0" applyNumberFormat="1" applyFont="1" applyFill="1" applyBorder="1" applyAlignment="1" applyProtection="1">
      <alignment vertical="top"/>
    </xf>
    <xf numFmtId="0" fontId="0" fillId="37" borderId="0" xfId="0" applyFill="1" applyBorder="1" applyAlignment="1">
      <alignment vertical="top" wrapText="1"/>
    </xf>
    <xf numFmtId="0" fontId="0" fillId="0" borderId="21" xfId="0" applyBorder="1" applyAlignment="1">
      <alignment vertical="top"/>
    </xf>
    <xf numFmtId="14" fontId="0" fillId="0" borderId="0" xfId="0" applyNumberFormat="1"/>
    <xf numFmtId="0" fontId="0" fillId="38" borderId="0" xfId="0" applyFill="1" applyBorder="1" applyAlignment="1">
      <alignment vertical="top"/>
    </xf>
    <xf numFmtId="0" fontId="36" fillId="0" borderId="0" xfId="0" applyFont="1" applyBorder="1" applyAlignment="1">
      <alignment vertical="top"/>
    </xf>
    <xf numFmtId="0" fontId="0" fillId="38" borderId="0" xfId="0" applyFill="1" applyBorder="1" applyAlignment="1">
      <alignment vertical="top" wrapText="1"/>
    </xf>
    <xf numFmtId="0" fontId="1" fillId="0" borderId="0" xfId="0" applyFont="1" applyBorder="1" applyAlignment="1">
      <alignment horizontal="center" vertical="top" wrapText="1"/>
    </xf>
    <xf numFmtId="0" fontId="1" fillId="0" borderId="18" xfId="0" applyFont="1" applyBorder="1" applyAlignment="1">
      <alignment horizontal="center" vertical="top" wrapText="1"/>
    </xf>
    <xf numFmtId="0" fontId="1" fillId="0" borderId="22" xfId="0" applyFont="1" applyFill="1" applyBorder="1" applyAlignment="1">
      <alignment horizontal="center" vertical="top" wrapText="1"/>
    </xf>
    <xf numFmtId="164" fontId="1" fillId="0" borderId="18" xfId="0" applyNumberFormat="1" applyFont="1" applyBorder="1" applyAlignment="1">
      <alignment horizontal="center" vertical="top" wrapText="1"/>
    </xf>
    <xf numFmtId="0" fontId="1" fillId="0" borderId="19" xfId="0" applyFont="1" applyBorder="1" applyAlignment="1">
      <alignment horizontal="center" vertical="top" wrapText="1"/>
    </xf>
    <xf numFmtId="0" fontId="1" fillId="0" borderId="20" xfId="0" applyFont="1" applyBorder="1" applyAlignment="1">
      <alignment horizontal="center" vertical="top" wrapText="1"/>
    </xf>
    <xf numFmtId="0" fontId="1" fillId="0" borderId="21" xfId="0" applyFont="1" applyBorder="1" applyAlignment="1">
      <alignment horizontal="center" vertical="top" wrapText="1"/>
    </xf>
    <xf numFmtId="164" fontId="5" fillId="0" borderId="0" xfId="0" applyNumberFormat="1" applyFont="1" applyFill="1" applyBorder="1" applyAlignment="1">
      <alignment vertical="top"/>
    </xf>
    <xf numFmtId="0" fontId="25" fillId="7" borderId="12" xfId="12" applyAlignment="1">
      <alignment vertical="top"/>
    </xf>
    <xf numFmtId="43" fontId="0" fillId="0" borderId="0" xfId="0" applyNumberFormat="1" applyBorder="1" applyAlignment="1">
      <alignment vertical="top"/>
    </xf>
    <xf numFmtId="0" fontId="0" fillId="0" borderId="0" xfId="0" applyAlignment="1">
      <alignment wrapText="1"/>
    </xf>
    <xf numFmtId="0" fontId="0" fillId="0" borderId="0" xfId="0" quotePrefix="1" applyAlignment="1">
      <alignment wrapText="1"/>
    </xf>
    <xf numFmtId="2" fontId="0" fillId="0" borderId="0" xfId="0" applyNumberFormat="1"/>
    <xf numFmtId="9" fontId="0" fillId="0" borderId="0" xfId="46" applyFont="1"/>
    <xf numFmtId="0" fontId="37" fillId="0" borderId="0" xfId="0" applyFont="1"/>
    <xf numFmtId="0" fontId="38" fillId="0" borderId="0" xfId="0" applyFont="1" applyBorder="1" applyAlignment="1">
      <alignment vertical="top"/>
    </xf>
    <xf numFmtId="43" fontId="37" fillId="0" borderId="0" xfId="1" applyFont="1" applyBorder="1" applyAlignment="1">
      <alignment vertical="top"/>
    </xf>
    <xf numFmtId="0" fontId="39" fillId="0" borderId="18" xfId="0" applyFont="1" applyBorder="1" applyAlignment="1">
      <alignment horizontal="center" vertical="top" wrapText="1"/>
    </xf>
    <xf numFmtId="43" fontId="0" fillId="0" borderId="0" xfId="1" applyNumberFormat="1" applyFont="1" applyBorder="1" applyAlignment="1">
      <alignment vertical="top"/>
    </xf>
    <xf numFmtId="165" fontId="0" fillId="0" borderId="0" xfId="0" applyNumberFormat="1"/>
    <xf numFmtId="0" fontId="0" fillId="0" borderId="0" xfId="0" applyFill="1"/>
    <xf numFmtId="167" fontId="0" fillId="0" borderId="0" xfId="1" applyNumberFormat="1" applyFont="1"/>
    <xf numFmtId="167" fontId="0" fillId="0" borderId="0" xfId="1" applyNumberFormat="1" applyFont="1" applyFill="1"/>
    <xf numFmtId="0" fontId="6" fillId="35" borderId="0" xfId="0" applyFont="1" applyFill="1"/>
    <xf numFmtId="165" fontId="40" fillId="0" borderId="0" xfId="0" applyNumberFormat="1" applyFont="1"/>
    <xf numFmtId="0" fontId="0" fillId="0" borderId="0" xfId="0" applyFont="1"/>
    <xf numFmtId="169" fontId="0" fillId="0" borderId="0" xfId="0" applyNumberFormat="1"/>
    <xf numFmtId="0" fontId="0" fillId="40" borderId="0" xfId="0" applyFill="1"/>
    <xf numFmtId="170" fontId="0" fillId="0" borderId="0" xfId="1" applyNumberFormat="1" applyFont="1" applyBorder="1" applyAlignment="1">
      <alignment vertical="top"/>
    </xf>
    <xf numFmtId="170" fontId="0" fillId="0" borderId="0" xfId="0" applyNumberFormat="1" applyBorder="1" applyAlignment="1">
      <alignment vertical="top"/>
    </xf>
    <xf numFmtId="170" fontId="0" fillId="0" borderId="0" xfId="0" applyNumberFormat="1" applyFill="1" applyBorder="1" applyAlignment="1">
      <alignment vertical="top"/>
    </xf>
    <xf numFmtId="170" fontId="7" fillId="2" borderId="0" xfId="0" applyNumberFormat="1" applyFont="1" applyFill="1" applyBorder="1" applyAlignment="1" applyProtection="1">
      <alignment vertical="top"/>
    </xf>
    <xf numFmtId="43" fontId="0" fillId="0" borderId="0" xfId="1" applyNumberFormat="1" applyFont="1" applyFill="1" applyBorder="1" applyAlignment="1">
      <alignment vertical="top"/>
    </xf>
    <xf numFmtId="43" fontId="0" fillId="35" borderId="0" xfId="1" applyNumberFormat="1" applyFont="1" applyFill="1" applyBorder="1" applyAlignment="1">
      <alignment vertical="top"/>
    </xf>
    <xf numFmtId="43" fontId="5" fillId="0" borderId="0" xfId="1" applyNumberFormat="1" applyFont="1" applyBorder="1" applyAlignment="1">
      <alignment vertical="top"/>
    </xf>
    <xf numFmtId="168" fontId="0" fillId="0" borderId="0" xfId="0" applyNumberFormat="1" applyBorder="1" applyAlignment="1">
      <alignment vertical="top"/>
    </xf>
    <xf numFmtId="168" fontId="0" fillId="35" borderId="0" xfId="0" applyNumberFormat="1" applyFill="1" applyBorder="1" applyAlignment="1">
      <alignment vertical="top"/>
    </xf>
    <xf numFmtId="0" fontId="41" fillId="0" borderId="0" xfId="0" applyFont="1" applyBorder="1" applyAlignment="1">
      <alignment vertical="top"/>
    </xf>
    <xf numFmtId="0" fontId="41" fillId="0" borderId="0" xfId="0" applyFont="1" applyFill="1" applyBorder="1" applyAlignment="1">
      <alignment vertical="top"/>
    </xf>
    <xf numFmtId="0" fontId="42" fillId="0" borderId="0" xfId="0" applyFont="1" applyBorder="1" applyAlignment="1">
      <alignment vertical="top"/>
    </xf>
    <xf numFmtId="164" fontId="0" fillId="42" borderId="0" xfId="0" applyNumberFormat="1" applyFill="1" applyBorder="1" applyAlignment="1">
      <alignment vertical="top"/>
    </xf>
    <xf numFmtId="164" fontId="0" fillId="37" borderId="0" xfId="0" applyNumberFormat="1" applyFill="1" applyBorder="1" applyAlignment="1">
      <alignment vertical="top"/>
    </xf>
    <xf numFmtId="171" fontId="0" fillId="0" borderId="0" xfId="0" applyNumberFormat="1"/>
    <xf numFmtId="170" fontId="37" fillId="0" borderId="0" xfId="1" applyNumberFormat="1" applyFont="1" applyBorder="1" applyAlignment="1">
      <alignment vertical="top"/>
    </xf>
    <xf numFmtId="11" fontId="0" fillId="0" borderId="0" xfId="0" applyNumberFormat="1" applyBorder="1" applyAlignment="1">
      <alignment vertical="top"/>
    </xf>
    <xf numFmtId="0" fontId="0" fillId="39" borderId="0" xfId="0" applyNumberFormat="1" applyFill="1" applyBorder="1" applyAlignment="1">
      <alignment horizontal="right" vertical="top"/>
    </xf>
    <xf numFmtId="0" fontId="0" fillId="0" borderId="0" xfId="0" applyAlignment="1">
      <alignment horizontal="left"/>
    </xf>
    <xf numFmtId="168" fontId="0" fillId="0" borderId="0" xfId="0" applyNumberFormat="1" applyAlignment="1">
      <alignment horizontal="left"/>
    </xf>
    <xf numFmtId="168" fontId="40" fillId="0" borderId="0" xfId="0" applyNumberFormat="1" applyFont="1" applyAlignment="1">
      <alignment horizontal="left"/>
    </xf>
    <xf numFmtId="0" fontId="0" fillId="43" borderId="0" xfId="0" applyFill="1"/>
    <xf numFmtId="0" fontId="0" fillId="44" borderId="0" xfId="0" applyFill="1"/>
    <xf numFmtId="0" fontId="0" fillId="0" borderId="0" xfId="0" applyFill="1" applyBorder="1" applyAlignment="1">
      <alignment horizontal="right" vertical="top"/>
    </xf>
    <xf numFmtId="0" fontId="0" fillId="45" borderId="0" xfId="0" applyFill="1"/>
    <xf numFmtId="0" fontId="0" fillId="46" borderId="0" xfId="0" applyFill="1"/>
    <xf numFmtId="164" fontId="0" fillId="39" borderId="0" xfId="0" applyNumberFormat="1" applyFill="1" applyBorder="1" applyAlignment="1">
      <alignment horizontal="right" vertical="top"/>
    </xf>
    <xf numFmtId="0" fontId="5" fillId="0" borderId="0" xfId="0" applyFont="1" applyBorder="1" applyAlignment="1">
      <alignment horizontal="left" vertical="top" indent="1"/>
    </xf>
    <xf numFmtId="0" fontId="25" fillId="7" borderId="12" xfId="12"/>
    <xf numFmtId="2" fontId="25" fillId="7" borderId="12" xfId="12" applyNumberFormat="1"/>
    <xf numFmtId="165" fontId="43" fillId="6" borderId="0" xfId="47" applyNumberFormat="1"/>
    <xf numFmtId="0" fontId="44" fillId="0" borderId="0" xfId="48"/>
    <xf numFmtId="0" fontId="45" fillId="0" borderId="0" xfId="48" applyFont="1"/>
    <xf numFmtId="0" fontId="45" fillId="0" borderId="23" xfId="48" applyFont="1" applyBorder="1"/>
    <xf numFmtId="0" fontId="44" fillId="0" borderId="24" xfId="48" applyBorder="1"/>
    <xf numFmtId="0" fontId="44" fillId="0" borderId="25" xfId="48" applyBorder="1"/>
    <xf numFmtId="0" fontId="44" fillId="0" borderId="23" xfId="48" applyBorder="1"/>
    <xf numFmtId="0" fontId="44" fillId="0" borderId="26" xfId="48" applyBorder="1"/>
    <xf numFmtId="0" fontId="44" fillId="0" borderId="27" xfId="48" applyBorder="1"/>
    <xf numFmtId="0" fontId="44" fillId="0" borderId="29" xfId="48" applyBorder="1"/>
    <xf numFmtId="0" fontId="44" fillId="0" borderId="30" xfId="48" applyBorder="1"/>
    <xf numFmtId="0" fontId="45" fillId="0" borderId="26" xfId="48" applyFont="1" applyBorder="1"/>
    <xf numFmtId="169" fontId="44" fillId="0" borderId="26" xfId="48" applyNumberFormat="1" applyBorder="1"/>
    <xf numFmtId="169" fontId="44" fillId="0" borderId="27" xfId="48" applyNumberFormat="1" applyBorder="1"/>
    <xf numFmtId="172" fontId="44" fillId="0" borderId="26" xfId="48" applyNumberFormat="1" applyBorder="1"/>
    <xf numFmtId="172" fontId="44" fillId="0" borderId="27" xfId="48" applyNumberFormat="1" applyBorder="1"/>
    <xf numFmtId="2" fontId="0" fillId="10" borderId="34" xfId="49" applyNumberFormat="1" applyFont="1" applyBorder="1" applyAlignment="1"/>
    <xf numFmtId="2" fontId="0" fillId="10" borderId="28" xfId="49" applyNumberFormat="1" applyFont="1" applyBorder="1" applyAlignment="1"/>
    <xf numFmtId="2" fontId="0" fillId="10" borderId="36" xfId="49" applyNumberFormat="1" applyFont="1" applyBorder="1" applyAlignment="1"/>
    <xf numFmtId="2" fontId="0" fillId="10" borderId="31" xfId="49" applyNumberFormat="1" applyFont="1" applyBorder="1" applyAlignment="1"/>
    <xf numFmtId="2" fontId="0" fillId="10" borderId="32" xfId="49" applyNumberFormat="1" applyFont="1" applyBorder="1" applyAlignment="1"/>
    <xf numFmtId="0" fontId="44" fillId="0" borderId="33" xfId="48" applyBorder="1"/>
    <xf numFmtId="0" fontId="44" fillId="0" borderId="23" xfId="48" applyBorder="1" applyAlignment="1">
      <alignment horizontal="center"/>
    </xf>
    <xf numFmtId="0" fontId="44" fillId="0" borderId="24" xfId="48" applyBorder="1" applyAlignment="1">
      <alignment horizontal="center"/>
    </xf>
    <xf numFmtId="0" fontId="44" fillId="0" borderId="25" xfId="48" applyBorder="1" applyAlignment="1">
      <alignment horizontal="center"/>
    </xf>
    <xf numFmtId="0" fontId="44" fillId="0" borderId="0" xfId="48" applyBorder="1"/>
    <xf numFmtId="0" fontId="44" fillId="0" borderId="38" xfId="48" applyBorder="1"/>
    <xf numFmtId="0" fontId="44" fillId="0" borderId="39" xfId="48" applyBorder="1"/>
    <xf numFmtId="0" fontId="44" fillId="0" borderId="40" xfId="48" applyBorder="1"/>
    <xf numFmtId="0" fontId="45" fillId="0" borderId="38" xfId="48" applyFont="1" applyBorder="1"/>
    <xf numFmtId="1" fontId="44" fillId="0" borderId="0" xfId="48" applyNumberFormat="1" applyBorder="1"/>
    <xf numFmtId="1" fontId="44" fillId="0" borderId="27" xfId="48" applyNumberFormat="1" applyBorder="1"/>
    <xf numFmtId="0" fontId="44" fillId="10" borderId="16" xfId="49"/>
    <xf numFmtId="0" fontId="44" fillId="10" borderId="16" xfId="49" applyBorder="1"/>
    <xf numFmtId="0" fontId="44" fillId="10" borderId="28" xfId="49" applyBorder="1"/>
    <xf numFmtId="0" fontId="44" fillId="10" borderId="31" xfId="49" applyBorder="1"/>
    <xf numFmtId="0" fontId="44" fillId="10" borderId="32" xfId="49" applyBorder="1"/>
    <xf numFmtId="0" fontId="45" fillId="0" borderId="25" xfId="48" applyFont="1" applyBorder="1"/>
    <xf numFmtId="0" fontId="44" fillId="0" borderId="26" xfId="48" applyFill="1" applyBorder="1"/>
    <xf numFmtId="172" fontId="44" fillId="0" borderId="26" xfId="48" applyNumberFormat="1" applyFill="1" applyBorder="1"/>
    <xf numFmtId="172" fontId="44" fillId="0" borderId="27" xfId="48" applyNumberFormat="1" applyFill="1" applyBorder="1"/>
    <xf numFmtId="0" fontId="45" fillId="0" borderId="24" xfId="48" applyFont="1" applyBorder="1"/>
    <xf numFmtId="0" fontId="44" fillId="10" borderId="42" xfId="49" applyBorder="1"/>
    <xf numFmtId="0" fontId="44" fillId="10" borderId="43" xfId="49" applyBorder="1"/>
    <xf numFmtId="0" fontId="44" fillId="10" borderId="34" xfId="49" applyBorder="1"/>
    <xf numFmtId="0" fontId="44" fillId="0" borderId="0" xfId="48" applyBorder="1" applyAlignment="1">
      <alignment horizontal="center"/>
    </xf>
    <xf numFmtId="0" fontId="44" fillId="0" borderId="45" xfId="48" applyBorder="1"/>
    <xf numFmtId="0" fontId="44" fillId="0" borderId="7" xfId="48" applyBorder="1"/>
    <xf numFmtId="0" fontId="44" fillId="0" borderId="46" xfId="48" applyBorder="1"/>
    <xf numFmtId="0" fontId="44" fillId="0" borderId="44" xfId="48" applyBorder="1"/>
    <xf numFmtId="0" fontId="45" fillId="0" borderId="23" xfId="48" applyFont="1" applyFill="1" applyBorder="1"/>
    <xf numFmtId="169" fontId="25" fillId="7" borderId="12" xfId="12" applyNumberFormat="1"/>
    <xf numFmtId="0" fontId="44" fillId="0" borderId="26" xfId="48" applyFont="1" applyBorder="1"/>
    <xf numFmtId="0" fontId="46" fillId="0" borderId="0" xfId="48" applyFont="1"/>
    <xf numFmtId="0" fontId="44" fillId="0" borderId="0" xfId="0" applyFont="1"/>
    <xf numFmtId="172" fontId="44" fillId="10" borderId="28" xfId="49" applyNumberFormat="1" applyBorder="1"/>
    <xf numFmtId="2" fontId="44" fillId="10" borderId="28" xfId="49" applyNumberFormat="1" applyBorder="1"/>
    <xf numFmtId="166" fontId="0" fillId="0" borderId="0" xfId="0" applyNumberFormat="1"/>
    <xf numFmtId="173" fontId="0" fillId="0" borderId="0" xfId="0" applyNumberFormat="1"/>
    <xf numFmtId="0" fontId="5" fillId="0" borderId="0" xfId="17"/>
    <xf numFmtId="0" fontId="46" fillId="0" borderId="27" xfId="48" applyFont="1" applyBorder="1"/>
    <xf numFmtId="0" fontId="0" fillId="10" borderId="16" xfId="49" applyFont="1"/>
    <xf numFmtId="174" fontId="0" fillId="10" borderId="16" xfId="1" applyNumberFormat="1" applyFont="1" applyFill="1" applyBorder="1"/>
    <xf numFmtId="0" fontId="44" fillId="0" borderId="39" xfId="48" applyBorder="1" applyAlignment="1">
      <alignment horizontal="center" vertical="center" textRotation="90"/>
    </xf>
    <xf numFmtId="0" fontId="44" fillId="0" borderId="40" xfId="48" applyBorder="1" applyAlignment="1">
      <alignment horizontal="center" vertical="center" textRotation="90"/>
    </xf>
    <xf numFmtId="0" fontId="44" fillId="10" borderId="36" xfId="49" applyBorder="1"/>
    <xf numFmtId="175" fontId="44" fillId="0" borderId="45" xfId="48" applyNumberFormat="1" applyBorder="1"/>
    <xf numFmtId="175" fontId="44" fillId="0" borderId="7" xfId="48" applyNumberFormat="1" applyBorder="1"/>
    <xf numFmtId="175" fontId="44" fillId="0" borderId="46" xfId="48" applyNumberFormat="1" applyBorder="1"/>
    <xf numFmtId="2" fontId="44" fillId="0" borderId="26" xfId="48" applyNumberFormat="1" applyBorder="1"/>
    <xf numFmtId="2" fontId="44" fillId="0" borderId="0" xfId="48" applyNumberFormat="1"/>
    <xf numFmtId="2" fontId="44" fillId="0" borderId="27" xfId="48" applyNumberFormat="1" applyBorder="1"/>
    <xf numFmtId="169" fontId="44" fillId="0" borderId="0" xfId="48" applyNumberFormat="1" applyBorder="1"/>
    <xf numFmtId="172" fontId="44" fillId="0" borderId="0" xfId="48" applyNumberFormat="1" applyBorder="1"/>
    <xf numFmtId="172" fontId="0" fillId="10" borderId="16" xfId="49" applyNumberFormat="1" applyFont="1" applyBorder="1" applyAlignment="1"/>
    <xf numFmtId="2" fontId="0" fillId="10" borderId="16" xfId="49" applyNumberFormat="1" applyFont="1" applyBorder="1" applyAlignment="1"/>
    <xf numFmtId="172" fontId="44" fillId="0" borderId="0" xfId="48" applyNumberFormat="1" applyFill="1" applyBorder="1"/>
    <xf numFmtId="0" fontId="47" fillId="0" borderId="0" xfId="48" applyFont="1"/>
    <xf numFmtId="0" fontId="48" fillId="0" borderId="0" xfId="48" applyFont="1"/>
    <xf numFmtId="0" fontId="48" fillId="0" borderId="23" xfId="48" applyFont="1" applyBorder="1"/>
    <xf numFmtId="0" fontId="48" fillId="0" borderId="23" xfId="48" applyFont="1" applyBorder="1" applyAlignment="1">
      <alignment horizontal="center"/>
    </xf>
    <xf numFmtId="0" fontId="48" fillId="0" borderId="24" xfId="48" applyFont="1" applyBorder="1" applyAlignment="1">
      <alignment horizontal="center"/>
    </xf>
    <xf numFmtId="0" fontId="48" fillId="0" borderId="25" xfId="48" applyFont="1" applyBorder="1" applyAlignment="1">
      <alignment horizontal="center"/>
    </xf>
    <xf numFmtId="0" fontId="48" fillId="0" borderId="26" xfId="48" applyFont="1" applyBorder="1"/>
    <xf numFmtId="0" fontId="48" fillId="0" borderId="27" xfId="48" applyFont="1" applyBorder="1"/>
    <xf numFmtId="171" fontId="48" fillId="0" borderId="26" xfId="48" applyNumberFormat="1" applyFont="1" applyBorder="1"/>
    <xf numFmtId="171" fontId="48" fillId="0" borderId="0" xfId="48" applyNumberFormat="1" applyFont="1"/>
    <xf numFmtId="171" fontId="48" fillId="0" borderId="27" xfId="48" applyNumberFormat="1" applyFont="1" applyBorder="1"/>
    <xf numFmtId="172" fontId="11" fillId="0" borderId="26" xfId="50" applyNumberFormat="1" applyFont="1" applyBorder="1" applyAlignment="1"/>
    <xf numFmtId="172" fontId="11" fillId="0" borderId="0" xfId="50" applyNumberFormat="1" applyFont="1" applyBorder="1" applyAlignment="1"/>
    <xf numFmtId="172" fontId="11" fillId="0" borderId="27" xfId="50" applyNumberFormat="1" applyFont="1" applyBorder="1" applyAlignment="1"/>
    <xf numFmtId="169" fontId="48" fillId="0" borderId="26" xfId="48" applyNumberFormat="1" applyFont="1" applyBorder="1"/>
    <xf numFmtId="169" fontId="48" fillId="0" borderId="0" xfId="48" applyNumberFormat="1" applyFont="1"/>
    <xf numFmtId="169" fontId="48" fillId="0" borderId="27" xfId="48" applyNumberFormat="1" applyFont="1" applyBorder="1"/>
    <xf numFmtId="172" fontId="48" fillId="0" borderId="26" xfId="48" applyNumberFormat="1" applyFont="1" applyBorder="1"/>
    <xf numFmtId="172" fontId="48" fillId="0" borderId="0" xfId="48" applyNumberFormat="1" applyFont="1"/>
    <xf numFmtId="172" fontId="48" fillId="0" borderId="27" xfId="48" applyNumberFormat="1" applyFont="1" applyBorder="1"/>
    <xf numFmtId="172" fontId="11" fillId="10" borderId="34" xfId="49" applyNumberFormat="1" applyFont="1" applyBorder="1" applyAlignment="1"/>
    <xf numFmtId="172" fontId="11" fillId="10" borderId="16" xfId="49" applyNumberFormat="1" applyFont="1" applyAlignment="1"/>
    <xf numFmtId="172" fontId="11" fillId="10" borderId="28" xfId="49" applyNumberFormat="1" applyFont="1" applyBorder="1" applyAlignment="1"/>
    <xf numFmtId="172" fontId="11" fillId="10" borderId="35" xfId="49" applyNumberFormat="1" applyFont="1" applyBorder="1" applyAlignment="1"/>
    <xf numFmtId="2" fontId="11" fillId="10" borderId="34" xfId="49" applyNumberFormat="1" applyFont="1" applyBorder="1" applyAlignment="1"/>
    <xf numFmtId="2" fontId="11" fillId="10" borderId="16" xfId="49" applyNumberFormat="1" applyFont="1" applyAlignment="1"/>
    <xf numFmtId="2" fontId="11" fillId="10" borderId="28" xfId="49" applyNumberFormat="1" applyFont="1" applyBorder="1" applyAlignment="1"/>
    <xf numFmtId="2" fontId="11" fillId="10" borderId="35" xfId="49" applyNumberFormat="1" applyFont="1" applyBorder="1" applyAlignment="1"/>
    <xf numFmtId="0" fontId="48" fillId="0" borderId="26" xfId="48" applyFont="1" applyFill="1" applyBorder="1"/>
    <xf numFmtId="172" fontId="48" fillId="0" borderId="26" xfId="48" applyNumberFormat="1" applyFont="1" applyFill="1" applyBorder="1"/>
    <xf numFmtId="172" fontId="48" fillId="0" borderId="0" xfId="48" applyNumberFormat="1" applyFont="1" applyFill="1"/>
    <xf numFmtId="172" fontId="48" fillId="0" borderId="27" xfId="48" applyNumberFormat="1" applyFont="1" applyFill="1" applyBorder="1"/>
    <xf numFmtId="0" fontId="48" fillId="0" borderId="29" xfId="48" applyFont="1" applyBorder="1"/>
    <xf numFmtId="2" fontId="11" fillId="10" borderId="36" xfId="49" applyNumberFormat="1" applyFont="1" applyBorder="1" applyAlignment="1"/>
    <xf numFmtId="2" fontId="11" fillId="10" borderId="31" xfId="49" applyNumberFormat="1" applyFont="1" applyBorder="1" applyAlignment="1"/>
    <xf numFmtId="2" fontId="11" fillId="10" borderId="32" xfId="49" applyNumberFormat="1" applyFont="1" applyBorder="1" applyAlignment="1"/>
    <xf numFmtId="2" fontId="11" fillId="10" borderId="37" xfId="49" applyNumberFormat="1" applyFont="1" applyBorder="1" applyAlignment="1"/>
    <xf numFmtId="172" fontId="6" fillId="0" borderId="26" xfId="50" applyNumberFormat="1" applyFont="1" applyBorder="1" applyAlignment="1"/>
    <xf numFmtId="172" fontId="6" fillId="0" borderId="0" xfId="50" applyNumberFormat="1" applyFont="1" applyBorder="1" applyAlignment="1"/>
    <xf numFmtId="172" fontId="6" fillId="0" borderId="27" xfId="50" applyNumberFormat="1" applyFont="1" applyBorder="1" applyAlignment="1"/>
    <xf numFmtId="2" fontId="44" fillId="0" borderId="0" xfId="48" applyNumberFormat="1" applyBorder="1"/>
    <xf numFmtId="1" fontId="44" fillId="0" borderId="0" xfId="48" applyNumberFormat="1" applyFill="1" applyBorder="1"/>
    <xf numFmtId="0" fontId="44" fillId="0" borderId="0" xfId="48" applyFill="1"/>
    <xf numFmtId="1" fontId="44" fillId="0" borderId="27" xfId="48" applyNumberFormat="1" applyFill="1" applyBorder="1"/>
    <xf numFmtId="43" fontId="44" fillId="0" borderId="0" xfId="48" applyNumberFormat="1"/>
    <xf numFmtId="2" fontId="44" fillId="10" borderId="34" xfId="49" applyNumberFormat="1" applyBorder="1"/>
    <xf numFmtId="2" fontId="44" fillId="10" borderId="16" xfId="49" applyNumberFormat="1" applyBorder="1"/>
    <xf numFmtId="2" fontId="44" fillId="10" borderId="36" xfId="49" applyNumberFormat="1" applyBorder="1"/>
    <xf numFmtId="2" fontId="44" fillId="10" borderId="31" xfId="49" applyNumberFormat="1" applyBorder="1"/>
    <xf numFmtId="2" fontId="44" fillId="10" borderId="32" xfId="49" applyNumberFormat="1" applyBorder="1"/>
    <xf numFmtId="0" fontId="44" fillId="0" borderId="0" xfId="48" applyFill="1" applyBorder="1"/>
    <xf numFmtId="0" fontId="44" fillId="0" borderId="27" xfId="48" applyFill="1" applyBorder="1"/>
    <xf numFmtId="176" fontId="44" fillId="10" borderId="28" xfId="49" applyNumberFormat="1" applyBorder="1"/>
    <xf numFmtId="0" fontId="49" fillId="10" borderId="34" xfId="49" applyFont="1" applyBorder="1"/>
    <xf numFmtId="0" fontId="49" fillId="10" borderId="41" xfId="49" applyFont="1" applyBorder="1"/>
    <xf numFmtId="164" fontId="44" fillId="0" borderId="26" xfId="48" applyNumberFormat="1" applyBorder="1"/>
    <xf numFmtId="164" fontId="44" fillId="0" borderId="0" xfId="48" applyNumberFormat="1" applyBorder="1"/>
    <xf numFmtId="164" fontId="44" fillId="0" borderId="27" xfId="48" applyNumberFormat="1" applyBorder="1"/>
    <xf numFmtId="164" fontId="49" fillId="0" borderId="26" xfId="48" applyNumberFormat="1" applyFont="1" applyFill="1" applyBorder="1"/>
    <xf numFmtId="11" fontId="5" fillId="0" borderId="0" xfId="0" applyNumberFormat="1" applyFont="1" applyBorder="1" applyAlignment="1">
      <alignment vertical="top"/>
    </xf>
    <xf numFmtId="0" fontId="1" fillId="0" borderId="0" xfId="0" applyFont="1" applyBorder="1" applyAlignment="1">
      <alignment horizontal="center" vertical="top"/>
    </xf>
    <xf numFmtId="0" fontId="1" fillId="41" borderId="0" xfId="0" applyFont="1" applyFill="1" applyBorder="1" applyAlignment="1">
      <alignment horizontal="center" vertical="top" wrapText="1"/>
    </xf>
    <xf numFmtId="0" fontId="35" fillId="36" borderId="19" xfId="2" applyFont="1" applyFill="1" applyBorder="1" applyAlignment="1">
      <alignment horizontal="left"/>
    </xf>
    <xf numFmtId="0" fontId="35" fillId="36" borderId="20" xfId="2" applyFont="1" applyFill="1" applyBorder="1" applyAlignment="1">
      <alignment horizontal="left"/>
    </xf>
    <xf numFmtId="0" fontId="35" fillId="36" borderId="21" xfId="2" applyFont="1" applyFill="1" applyBorder="1" applyAlignment="1">
      <alignment horizontal="left"/>
    </xf>
    <xf numFmtId="0" fontId="1" fillId="0" borderId="0" xfId="0" applyFont="1" applyAlignment="1">
      <alignment horizontal="center" vertical="top" wrapText="1"/>
    </xf>
    <xf numFmtId="0" fontId="44" fillId="0" borderId="39" xfId="48" applyBorder="1" applyAlignment="1">
      <alignment horizontal="center" vertical="center" textRotation="90"/>
    </xf>
    <xf numFmtId="0" fontId="44" fillId="0" borderId="40" xfId="48" applyBorder="1" applyAlignment="1">
      <alignment horizontal="center" vertical="center" textRotation="90"/>
    </xf>
    <xf numFmtId="0" fontId="44" fillId="0" borderId="44" xfId="48" applyBorder="1" applyAlignment="1">
      <alignment horizontal="center" vertical="center" textRotation="90"/>
    </xf>
    <xf numFmtId="0" fontId="44" fillId="0" borderId="38" xfId="48" applyBorder="1" applyAlignment="1">
      <alignment horizontal="center" vertical="center" textRotation="90"/>
    </xf>
    <xf numFmtId="171" fontId="44" fillId="0" borderId="26" xfId="48" applyNumberFormat="1" applyBorder="1"/>
    <xf numFmtId="171" fontId="44" fillId="0" borderId="0" xfId="48" applyNumberFormat="1" applyBorder="1"/>
    <xf numFmtId="171" fontId="44" fillId="0" borderId="27" xfId="48" applyNumberFormat="1" applyBorder="1"/>
  </cellXfs>
  <cellStyles count="51">
    <cellStyle name="20% - Accent1" xfId="22" builtinId="30" customBuiltin="1"/>
    <cellStyle name="20% - Accent2" xfId="26" builtinId="34" customBuiltin="1"/>
    <cellStyle name="20% - Accent3" xfId="30" builtinId="38" customBuiltin="1"/>
    <cellStyle name="20% - Accent4" xfId="34" builtinId="42" customBuiltin="1"/>
    <cellStyle name="20% - Accent5" xfId="38" builtinId="46" customBuiltin="1"/>
    <cellStyle name="20% - Accent6" xfId="42" builtinId="50" customBuiltin="1"/>
    <cellStyle name="40% - Accent1" xfId="23" builtinId="31" customBuiltin="1"/>
    <cellStyle name="40% - Accent2" xfId="27" builtinId="35" customBuiltin="1"/>
    <cellStyle name="40% - Accent3" xfId="31" builtinId="39" customBuiltin="1"/>
    <cellStyle name="40% - Accent4" xfId="35" builtinId="43" customBuiltin="1"/>
    <cellStyle name="40% - Accent5" xfId="39" builtinId="47" customBuiltin="1"/>
    <cellStyle name="40% - Accent6" xfId="43" builtinId="51" customBuiltin="1"/>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0" builtinId="27" customBuiltin="1"/>
    <cellStyle name="Calculation" xfId="14" builtinId="22" customBuiltin="1"/>
    <cellStyle name="Check Cell" xfId="16" builtinId="23" customBuiltin="1"/>
    <cellStyle name="Comma" xfId="1" builtinId="3"/>
    <cellStyle name="Comma 2" xfId="50" xr:uid="{C30DEEFE-D7A6-47CD-A4ED-8E1EB5BE710B}"/>
    <cellStyle name="Explanatory Text" xfId="19" builtinId="53" customBuiltin="1"/>
    <cellStyle name="Good" xfId="9" builtinId="26" customBuiltin="1"/>
    <cellStyle name="Heading 1" xfId="5" builtinId="16" customBuiltin="1"/>
    <cellStyle name="Heading 2" xfId="6" builtinId="17" customBuiltin="1"/>
    <cellStyle name="Heading 3" xfId="7" builtinId="18" customBuiltin="1"/>
    <cellStyle name="Heading 4" xfId="8" builtinId="19" customBuiltin="1"/>
    <cellStyle name="Hyperlink" xfId="3" builtinId="8"/>
    <cellStyle name="Hyperlink 2" xfId="45" xr:uid="{00000000-0005-0000-0000-000023000000}"/>
    <cellStyle name="Input" xfId="12" builtinId="20" customBuiltin="1"/>
    <cellStyle name="Linked Cell" xfId="15" builtinId="24" customBuiltin="1"/>
    <cellStyle name="Neutral" xfId="11" builtinId="28" customBuiltin="1"/>
    <cellStyle name="Neutral 2" xfId="47" xr:uid="{A4CCDFAA-6BB1-4CD1-A2BD-9D10FAEB1CCF}"/>
    <cellStyle name="Normal" xfId="0" builtinId="0"/>
    <cellStyle name="Normal 2" xfId="2" xr:uid="{00000000-0005-0000-0000-000028000000}"/>
    <cellStyle name="Normal 3" xfId="48" xr:uid="{D21349BC-DADE-4D52-8F72-C426DA292457}"/>
    <cellStyle name="Note" xfId="18" builtinId="10" customBuiltin="1"/>
    <cellStyle name="Note 2" xfId="49" xr:uid="{2284F1F1-4AE5-4252-98BC-9F19B4AB36A3}"/>
    <cellStyle name="Output" xfId="13" builtinId="21" customBuiltin="1"/>
    <cellStyle name="Percent" xfId="46" builtinId="5"/>
    <cellStyle name="Title" xfId="4" builtinId="15" customBuiltin="1"/>
    <cellStyle name="Total" xfId="20" builtinId="25" customBuiltin="1"/>
    <cellStyle name="Warning Text" xfId="17" builtinId="11" customBuiltin="1"/>
  </cellStyles>
  <dxfs count="256">
    <dxf>
      <fill>
        <patternFill>
          <bgColor theme="7" tint="0.39994506668294322"/>
        </patternFill>
      </fill>
    </dxf>
    <dxf>
      <border>
        <top style="thin">
          <color auto="1"/>
        </top>
        <vertical/>
        <horizontal/>
      </border>
    </dxf>
    <dxf>
      <font>
        <b/>
        <i val="0"/>
        <strike val="0"/>
      </font>
      <fill>
        <patternFill>
          <bgColor theme="8" tint="0.59996337778862885"/>
        </patternFill>
      </fill>
    </dxf>
    <dxf>
      <border>
        <top style="thin">
          <color auto="1"/>
        </top>
        <vertical/>
        <horizontal/>
      </border>
    </dxf>
    <dxf>
      <font>
        <color rgb="FF0000FF"/>
      </font>
    </dxf>
    <dxf>
      <font>
        <color rgb="FFFF0000"/>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rgb="FF0000FF"/>
      </font>
    </dxf>
    <dxf>
      <font>
        <color rgb="FFFF0000"/>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b/>
        <i val="0"/>
        <strike val="0"/>
      </font>
      <fill>
        <patternFill>
          <bgColor theme="8" tint="0.59996337778862885"/>
        </patternFill>
      </fill>
    </dxf>
    <dxf>
      <border>
        <top style="thin">
          <color auto="1"/>
        </top>
        <vertical/>
        <horizontal/>
      </border>
    </dxf>
    <dxf>
      <font>
        <b/>
        <i val="0"/>
        <strike val="0"/>
      </font>
      <fill>
        <patternFill>
          <bgColor theme="8" tint="0.59996337778862885"/>
        </patternFill>
      </fill>
    </dxf>
    <dxf>
      <border>
        <top style="thin">
          <color auto="1"/>
        </top>
        <vertical/>
        <horizontal/>
      </border>
    </dxf>
    <dxf>
      <font>
        <b/>
        <i val="0"/>
        <strike val="0"/>
      </font>
      <fill>
        <patternFill>
          <bgColor theme="8" tint="0.59996337778862885"/>
        </patternFill>
      </fill>
    </dxf>
    <dxf>
      <border>
        <top style="thin">
          <color auto="1"/>
        </top>
        <vertical/>
        <horizontal/>
      </border>
    </dxf>
    <dxf>
      <font>
        <color rgb="FF0000FF"/>
      </font>
    </dxf>
    <dxf>
      <font>
        <color rgb="FFFF0000"/>
      </font>
    </dxf>
    <dxf>
      <font>
        <color rgb="FF0000FF"/>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rgb="FF0000FF"/>
      </font>
    </dxf>
    <dxf>
      <font>
        <color rgb="FFFF0000"/>
      </font>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rgb="FF0000FF"/>
      </font>
    </dxf>
    <dxf>
      <font>
        <color rgb="FFFF0000"/>
      </font>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auto="1"/>
      </font>
      <fill>
        <patternFill>
          <bgColor theme="6" tint="0.79998168889431442"/>
        </patternFill>
      </fill>
    </dxf>
    <dxf>
      <font>
        <color auto="1"/>
      </font>
      <fill>
        <patternFill>
          <bgColor theme="5" tint="0.79998168889431442"/>
        </patternFill>
      </fill>
    </dxf>
    <dxf>
      <font>
        <color theme="0" tint="-0.34998626667073579"/>
      </font>
    </dxf>
    <dxf>
      <font>
        <b/>
        <i val="0"/>
        <strike val="0"/>
      </font>
      <fill>
        <patternFill>
          <bgColor theme="8" tint="0.59996337778862885"/>
        </patternFill>
      </fill>
    </dxf>
    <dxf>
      <border>
        <top style="thin">
          <color auto="1"/>
        </top>
        <vertical/>
        <horizontal/>
      </border>
    </dxf>
    <dxf>
      <font>
        <color auto="1"/>
      </font>
      <fill>
        <patternFill>
          <bgColor theme="6" tint="0.79998168889431442"/>
        </patternFill>
      </fill>
    </dxf>
    <dxf>
      <font>
        <color auto="1"/>
      </font>
      <fill>
        <patternFill>
          <bgColor theme="5" tint="0.79998168889431442"/>
        </patternFill>
      </fill>
    </dxf>
    <dxf>
      <font>
        <color theme="0" tint="-0.34998626667073579"/>
      </font>
    </dxf>
    <dxf>
      <font>
        <color rgb="FF0000FF"/>
      </font>
    </dxf>
    <dxf>
      <font>
        <color rgb="FFFF0000"/>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rgb="FF0000FF"/>
      </font>
    </dxf>
    <dxf>
      <font>
        <color rgb="FFFF0000"/>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s>
  <tableStyles count="0" defaultTableStyle="TableStyleMedium9" defaultPivotStyle="PivotStyleLight16"/>
  <colors>
    <mruColors>
      <color rgb="FF0000FF"/>
      <color rgb="FFB2DE8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5.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678018372703413"/>
          <c:y val="5.1400554097404488E-2"/>
          <c:w val="0.8552125984251967"/>
          <c:h val="0.8326195683872849"/>
        </c:manualLayout>
      </c:layout>
      <c:scatterChart>
        <c:scatterStyle val="lineMarker"/>
        <c:varyColors val="0"/>
        <c:ser>
          <c:idx val="0"/>
          <c:order val="0"/>
          <c:tx>
            <c:strRef>
              <c:f>'ACM Performance Curves'!$CH$147</c:f>
              <c:strCache>
                <c:ptCount val="1"/>
                <c:pt idx="0">
                  <c:v>Pos Disp A</c:v>
                </c:pt>
              </c:strCache>
            </c:strRef>
          </c:tx>
          <c:spPr>
            <a:ln>
              <a:solidFill>
                <a:schemeClr val="tx2">
                  <a:lumMod val="60000"/>
                  <a:lumOff val="40000"/>
                </a:schemeClr>
              </a:solidFill>
            </a:ln>
          </c:spPr>
          <c:marker>
            <c:symbol val="none"/>
          </c:marker>
          <c:xVal>
            <c:numRef>
              <c:f>'ACM Performance Curves'!$CI$146:$CT$146</c:f>
            </c:numRef>
          </c:xVal>
          <c:yVal>
            <c:numRef>
              <c:f>'ACM Performance Curves'!$CI$147:$CT$147</c:f>
            </c:numRef>
          </c:yVal>
          <c:smooth val="0"/>
          <c:extLst>
            <c:ext xmlns:c16="http://schemas.microsoft.com/office/drawing/2014/chart" uri="{C3380CC4-5D6E-409C-BE32-E72D297353CC}">
              <c16:uniqueId val="{00000000-2ED1-4F21-818E-99B437E58BA2}"/>
            </c:ext>
          </c:extLst>
        </c:ser>
        <c:ser>
          <c:idx val="2"/>
          <c:order val="1"/>
          <c:tx>
            <c:strRef>
              <c:f>'ACM Performance Curves'!$CH$149</c:f>
              <c:strCache>
                <c:ptCount val="1"/>
                <c:pt idx="0">
                  <c:v>Pos Disp B</c:v>
                </c:pt>
              </c:strCache>
            </c:strRef>
          </c:tx>
          <c:spPr>
            <a:ln>
              <a:solidFill>
                <a:schemeClr val="tx2">
                  <a:lumMod val="60000"/>
                  <a:lumOff val="40000"/>
                </a:schemeClr>
              </a:solidFill>
              <a:prstDash val="dash"/>
            </a:ln>
          </c:spPr>
          <c:marker>
            <c:symbol val="none"/>
          </c:marker>
          <c:xVal>
            <c:numRef>
              <c:f>'ACM Performance Curves'!$CI$146:$CT$146</c:f>
            </c:numRef>
          </c:xVal>
          <c:yVal>
            <c:numRef>
              <c:f>'ACM Performance Curves'!$CI$149:$CT$149</c:f>
            </c:numRef>
          </c:yVal>
          <c:smooth val="0"/>
          <c:extLst>
            <c:ext xmlns:c16="http://schemas.microsoft.com/office/drawing/2014/chart" uri="{C3380CC4-5D6E-409C-BE32-E72D297353CC}">
              <c16:uniqueId val="{00000001-2ED1-4F21-818E-99B437E58BA2}"/>
            </c:ext>
          </c:extLst>
        </c:ser>
        <c:ser>
          <c:idx val="1"/>
          <c:order val="2"/>
          <c:tx>
            <c:strRef>
              <c:f>'ACM Performance Curves'!$CH$148</c:f>
              <c:strCache>
                <c:ptCount val="1"/>
                <c:pt idx="0">
                  <c:v>Cent A</c:v>
                </c:pt>
              </c:strCache>
            </c:strRef>
          </c:tx>
          <c:spPr>
            <a:ln>
              <a:solidFill>
                <a:srgbClr val="FF0000"/>
              </a:solidFill>
            </a:ln>
          </c:spPr>
          <c:marker>
            <c:symbol val="none"/>
          </c:marker>
          <c:xVal>
            <c:numRef>
              <c:f>'ACM Performance Curves'!$CI$146:$CT$146</c:f>
            </c:numRef>
          </c:xVal>
          <c:yVal>
            <c:numRef>
              <c:f>'ACM Performance Curves'!$CI$148:$CT$148</c:f>
            </c:numRef>
          </c:yVal>
          <c:smooth val="0"/>
          <c:extLst>
            <c:ext xmlns:c16="http://schemas.microsoft.com/office/drawing/2014/chart" uri="{C3380CC4-5D6E-409C-BE32-E72D297353CC}">
              <c16:uniqueId val="{00000002-2ED1-4F21-818E-99B437E58BA2}"/>
            </c:ext>
          </c:extLst>
        </c:ser>
        <c:ser>
          <c:idx val="3"/>
          <c:order val="3"/>
          <c:tx>
            <c:strRef>
              <c:f>'ACM Performance Curves'!$CH$150</c:f>
              <c:strCache>
                <c:ptCount val="1"/>
                <c:pt idx="0">
                  <c:v>Cent &lt;300 B</c:v>
                </c:pt>
              </c:strCache>
            </c:strRef>
          </c:tx>
          <c:spPr>
            <a:ln>
              <a:solidFill>
                <a:srgbClr val="FF0000"/>
              </a:solidFill>
              <a:prstDash val="lgDash"/>
            </a:ln>
          </c:spPr>
          <c:marker>
            <c:symbol val="none"/>
          </c:marker>
          <c:xVal>
            <c:numRef>
              <c:f>'ACM Performance Curves'!$CI$146:$CT$146</c:f>
            </c:numRef>
          </c:xVal>
          <c:yVal>
            <c:numRef>
              <c:f>'ACM Performance Curves'!$CI$150:$CT$150</c:f>
            </c:numRef>
          </c:yVal>
          <c:smooth val="0"/>
          <c:extLst>
            <c:ext xmlns:c16="http://schemas.microsoft.com/office/drawing/2014/chart" uri="{C3380CC4-5D6E-409C-BE32-E72D297353CC}">
              <c16:uniqueId val="{00000003-2ED1-4F21-818E-99B437E58BA2}"/>
            </c:ext>
          </c:extLst>
        </c:ser>
        <c:ser>
          <c:idx val="4"/>
          <c:order val="4"/>
          <c:tx>
            <c:strRef>
              <c:f>'ACM Performance Curves'!$CH$151</c:f>
              <c:strCache>
                <c:ptCount val="1"/>
                <c:pt idx="0">
                  <c:v>Cent 300-600 B</c:v>
                </c:pt>
              </c:strCache>
            </c:strRef>
          </c:tx>
          <c:spPr>
            <a:ln>
              <a:solidFill>
                <a:srgbClr val="FF0000"/>
              </a:solidFill>
              <a:prstDash val="dash"/>
            </a:ln>
          </c:spPr>
          <c:marker>
            <c:symbol val="none"/>
          </c:marker>
          <c:xVal>
            <c:numRef>
              <c:f>'ACM Performance Curves'!$CI$146:$CT$146</c:f>
            </c:numRef>
          </c:xVal>
          <c:yVal>
            <c:numRef>
              <c:f>'ACM Performance Curves'!$CI$151:$CT$151</c:f>
            </c:numRef>
          </c:yVal>
          <c:smooth val="0"/>
          <c:extLst>
            <c:ext xmlns:c16="http://schemas.microsoft.com/office/drawing/2014/chart" uri="{C3380CC4-5D6E-409C-BE32-E72D297353CC}">
              <c16:uniqueId val="{00000004-2ED1-4F21-818E-99B437E58BA2}"/>
            </c:ext>
          </c:extLst>
        </c:ser>
        <c:ser>
          <c:idx val="5"/>
          <c:order val="5"/>
          <c:tx>
            <c:strRef>
              <c:f>'ACM Performance Curves'!$CH$152</c:f>
              <c:strCache>
                <c:ptCount val="1"/>
                <c:pt idx="0">
                  <c:v>Cent &gt;600 B</c:v>
                </c:pt>
              </c:strCache>
            </c:strRef>
          </c:tx>
          <c:spPr>
            <a:ln>
              <a:solidFill>
                <a:srgbClr val="FF0000"/>
              </a:solidFill>
              <a:prstDash val="sysDash"/>
            </a:ln>
          </c:spPr>
          <c:marker>
            <c:symbol val="none"/>
          </c:marker>
          <c:xVal>
            <c:numRef>
              <c:f>'ACM Performance Curves'!$CI$146:$CT$146</c:f>
            </c:numRef>
          </c:xVal>
          <c:yVal>
            <c:numRef>
              <c:f>'ACM Performance Curves'!$CI$152:$CT$152</c:f>
            </c:numRef>
          </c:yVal>
          <c:smooth val="0"/>
          <c:extLst>
            <c:ext xmlns:c16="http://schemas.microsoft.com/office/drawing/2014/chart" uri="{C3380CC4-5D6E-409C-BE32-E72D297353CC}">
              <c16:uniqueId val="{00000005-2ED1-4F21-818E-99B437E58BA2}"/>
            </c:ext>
          </c:extLst>
        </c:ser>
        <c:dLbls>
          <c:showLegendKey val="0"/>
          <c:showVal val="0"/>
          <c:showCatName val="0"/>
          <c:showSerName val="0"/>
          <c:showPercent val="0"/>
          <c:showBubbleSize val="0"/>
        </c:dLbls>
        <c:axId val="45716992"/>
        <c:axId val="45715456"/>
      </c:scatterChart>
      <c:valAx>
        <c:axId val="45716992"/>
        <c:scaling>
          <c:orientation val="minMax"/>
        </c:scaling>
        <c:delete val="0"/>
        <c:axPos val="b"/>
        <c:title>
          <c:tx>
            <c:rich>
              <a:bodyPr/>
              <a:lstStyle/>
              <a:p>
                <a:pPr>
                  <a:defRPr/>
                </a:pPr>
                <a:r>
                  <a:rPr lang="en-US"/>
                  <a:t>Chiller PLR</a:t>
                </a:r>
              </a:p>
            </c:rich>
          </c:tx>
          <c:overlay val="0"/>
        </c:title>
        <c:numFmt formatCode="General" sourceLinked="1"/>
        <c:majorTickMark val="out"/>
        <c:minorTickMark val="none"/>
        <c:tickLblPos val="nextTo"/>
        <c:crossAx val="45715456"/>
        <c:crosses val="autoZero"/>
        <c:crossBetween val="midCat"/>
      </c:valAx>
      <c:valAx>
        <c:axId val="45715456"/>
        <c:scaling>
          <c:orientation val="minMax"/>
        </c:scaling>
        <c:delete val="0"/>
        <c:axPos val="l"/>
        <c:majorGridlines/>
        <c:title>
          <c:tx>
            <c:rich>
              <a:bodyPr rot="-5400000" vert="horz"/>
              <a:lstStyle/>
              <a:p>
                <a:pPr>
                  <a:defRPr/>
                </a:pPr>
                <a:r>
                  <a:rPr lang="en-US"/>
                  <a:t>COP</a:t>
                </a:r>
              </a:p>
            </c:rich>
          </c:tx>
          <c:overlay val="0"/>
        </c:title>
        <c:numFmt formatCode="General" sourceLinked="1"/>
        <c:majorTickMark val="out"/>
        <c:minorTickMark val="none"/>
        <c:tickLblPos val="nextTo"/>
        <c:crossAx val="45716992"/>
        <c:crosses val="autoZero"/>
        <c:crossBetween val="midCat"/>
      </c:valAx>
    </c:plotArea>
    <c:legend>
      <c:legendPos val="r"/>
      <c:layout>
        <c:manualLayout>
          <c:xMode val="edge"/>
          <c:yMode val="edge"/>
          <c:x val="0.53791644794400695"/>
          <c:y val="0.54768689719364771"/>
          <c:w val="0.32875021872265969"/>
          <c:h val="0.30282773063969975"/>
        </c:manualLayout>
      </c:layout>
      <c:overlay val="0"/>
      <c:spPr>
        <a:solidFill>
          <a:schemeClr val="bg2">
            <a:lumMod val="90000"/>
          </a:schemeClr>
        </a:solidFill>
      </c:sp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3"/>
          <c:order val="0"/>
          <c:tx>
            <c:strRef>
              <c:f>'DX SEER Curves - Ref Only'!$F$21</c:f>
              <c:strCache>
                <c:ptCount val="1"/>
                <c:pt idx="0">
                  <c:v>EER &lt; 13, SEER &lt; 15</c:v>
                </c:pt>
              </c:strCache>
            </c:strRef>
          </c:tx>
          <c:spPr>
            <a:ln w="28575">
              <a:noFill/>
            </a:ln>
          </c:spPr>
          <c:trendline>
            <c:spPr>
              <a:ln>
                <a:solidFill>
                  <a:schemeClr val="accent4"/>
                </a:solidFill>
                <a:prstDash val="sysDash"/>
              </a:ln>
            </c:spPr>
            <c:trendlineType val="poly"/>
            <c:order val="2"/>
            <c:backward val="15"/>
            <c:dispRSqr val="0"/>
            <c:dispEq val="0"/>
          </c:trendline>
          <c:xVal>
            <c:numRef>
              <c:f>'DX SEER Curves - Ref Only'!$D$22:$D$26</c:f>
              <c:numCache>
                <c:formatCode>0.0</c:formatCode>
                <c:ptCount val="5"/>
                <c:pt idx="0">
                  <c:v>75</c:v>
                </c:pt>
                <c:pt idx="1">
                  <c:v>85</c:v>
                </c:pt>
                <c:pt idx="2">
                  <c:v>95</c:v>
                </c:pt>
                <c:pt idx="3">
                  <c:v>105</c:v>
                </c:pt>
                <c:pt idx="4">
                  <c:v>115</c:v>
                </c:pt>
              </c:numCache>
            </c:numRef>
          </c:xVal>
          <c:yVal>
            <c:numRef>
              <c:f>'DX SEER Curves - Ref Only'!$F$22:$F$26</c:f>
              <c:numCache>
                <c:formatCode>0.000</c:formatCode>
                <c:ptCount val="5"/>
                <c:pt idx="0">
                  <c:v>0.72955607174197512</c:v>
                </c:pt>
                <c:pt idx="1">
                  <c:v>0.85962377192716044</c:v>
                </c:pt>
                <c:pt idx="2">
                  <c:v>0.99978031779135801</c:v>
                </c:pt>
                <c:pt idx="3">
                  <c:v>1.1500257093345678</c:v>
                </c:pt>
                <c:pt idx="4">
                  <c:v>1.3103599465567901</c:v>
                </c:pt>
              </c:numCache>
            </c:numRef>
          </c:yVal>
          <c:smooth val="0"/>
          <c:extLst>
            <c:ext xmlns:c16="http://schemas.microsoft.com/office/drawing/2014/chart" uri="{C3380CC4-5D6E-409C-BE32-E72D297353CC}">
              <c16:uniqueId val="{00000003-4552-44BD-9C68-8399B8A173A6}"/>
            </c:ext>
          </c:extLst>
        </c:ser>
        <c:ser>
          <c:idx val="4"/>
          <c:order val="1"/>
          <c:tx>
            <c:strRef>
              <c:f>'DX SEER Curves - Ref Only'!$G$21</c:f>
              <c:strCache>
                <c:ptCount val="1"/>
                <c:pt idx="0">
                  <c:v>EER &lt; 13, SEER &gt;= 15</c:v>
                </c:pt>
              </c:strCache>
            </c:strRef>
          </c:tx>
          <c:spPr>
            <a:ln w="28575">
              <a:noFill/>
            </a:ln>
          </c:spPr>
          <c:trendline>
            <c:spPr>
              <a:ln>
                <a:solidFill>
                  <a:schemeClr val="accent5">
                    <a:lumMod val="75000"/>
                  </a:schemeClr>
                </a:solidFill>
                <a:prstDash val="sysDash"/>
              </a:ln>
            </c:spPr>
            <c:trendlineType val="poly"/>
            <c:order val="2"/>
            <c:backward val="15"/>
            <c:dispRSqr val="0"/>
            <c:dispEq val="0"/>
          </c:trendline>
          <c:xVal>
            <c:numRef>
              <c:f>'DX SEER Curves - Ref Only'!$D$22:$D$26</c:f>
              <c:numCache>
                <c:formatCode>0.0</c:formatCode>
                <c:ptCount val="5"/>
                <c:pt idx="0">
                  <c:v>75</c:v>
                </c:pt>
                <c:pt idx="1">
                  <c:v>85</c:v>
                </c:pt>
                <c:pt idx="2">
                  <c:v>95</c:v>
                </c:pt>
                <c:pt idx="3">
                  <c:v>105</c:v>
                </c:pt>
                <c:pt idx="4">
                  <c:v>115</c:v>
                </c:pt>
              </c:numCache>
            </c:numRef>
          </c:xVal>
          <c:yVal>
            <c:numRef>
              <c:f>'DX SEER Curves - Ref Only'!$G$22:$G$26</c:f>
              <c:numCache>
                <c:formatCode>0.000</c:formatCode>
                <c:ptCount val="5"/>
                <c:pt idx="0">
                  <c:v>0.6302714292049385</c:v>
                </c:pt>
                <c:pt idx="1">
                  <c:v>0.83113771439012363</c:v>
                </c:pt>
                <c:pt idx="2">
                  <c:v>1.0001442403160494</c:v>
                </c:pt>
                <c:pt idx="3">
                  <c:v>1.137291006982716</c:v>
                </c:pt>
                <c:pt idx="4">
                  <c:v>1.2425780143901242</c:v>
                </c:pt>
              </c:numCache>
            </c:numRef>
          </c:yVal>
          <c:smooth val="0"/>
          <c:extLst>
            <c:ext xmlns:c16="http://schemas.microsoft.com/office/drawing/2014/chart" uri="{C3380CC4-5D6E-409C-BE32-E72D297353CC}">
              <c16:uniqueId val="{00000004-4552-44BD-9C68-8399B8A173A6}"/>
            </c:ext>
          </c:extLst>
        </c:ser>
        <c:ser>
          <c:idx val="5"/>
          <c:order val="2"/>
          <c:tx>
            <c:strRef>
              <c:f>'DX SEER Curves - Ref Only'!$H$21</c:f>
              <c:strCache>
                <c:ptCount val="1"/>
                <c:pt idx="0">
                  <c:v>EER &lt; 13, SEER &gt;= 17</c:v>
                </c:pt>
              </c:strCache>
            </c:strRef>
          </c:tx>
          <c:spPr>
            <a:ln w="28575">
              <a:noFill/>
            </a:ln>
          </c:spPr>
          <c:trendline>
            <c:spPr>
              <a:ln>
                <a:solidFill>
                  <a:schemeClr val="accent6">
                    <a:lumMod val="75000"/>
                  </a:schemeClr>
                </a:solidFill>
                <a:prstDash val="sysDash"/>
              </a:ln>
            </c:spPr>
            <c:trendlineType val="poly"/>
            <c:order val="2"/>
            <c:backward val="10"/>
            <c:dispRSqr val="0"/>
            <c:dispEq val="0"/>
          </c:trendline>
          <c:xVal>
            <c:numRef>
              <c:f>'DX SEER Curves - Ref Only'!$D$22:$D$26</c:f>
              <c:numCache>
                <c:formatCode>0.0</c:formatCode>
                <c:ptCount val="5"/>
                <c:pt idx="0">
                  <c:v>75</c:v>
                </c:pt>
                <c:pt idx="1">
                  <c:v>85</c:v>
                </c:pt>
                <c:pt idx="2">
                  <c:v>95</c:v>
                </c:pt>
                <c:pt idx="3">
                  <c:v>105</c:v>
                </c:pt>
                <c:pt idx="4">
                  <c:v>115</c:v>
                </c:pt>
              </c:numCache>
            </c:numRef>
          </c:xVal>
          <c:yVal>
            <c:numRef>
              <c:f>'DX SEER Curves - Ref Only'!$H$22:$H$26</c:f>
              <c:numCache>
                <c:formatCode>0.000</c:formatCode>
                <c:ptCount val="5"/>
                <c:pt idx="0">
                  <c:v>0.42198536601728381</c:v>
                </c:pt>
                <c:pt idx="1">
                  <c:v>0.75706291793086411</c:v>
                </c:pt>
                <c:pt idx="2">
                  <c:v>1.0006312537950615</c:v>
                </c:pt>
                <c:pt idx="3">
                  <c:v>1.1526903736098768</c:v>
                </c:pt>
                <c:pt idx="4">
                  <c:v>1.2132402773753077</c:v>
                </c:pt>
              </c:numCache>
            </c:numRef>
          </c:yVal>
          <c:smooth val="0"/>
          <c:extLst>
            <c:ext xmlns:c16="http://schemas.microsoft.com/office/drawing/2014/chart" uri="{C3380CC4-5D6E-409C-BE32-E72D297353CC}">
              <c16:uniqueId val="{00000005-4552-44BD-9C68-8399B8A173A6}"/>
            </c:ext>
          </c:extLst>
        </c:ser>
        <c:ser>
          <c:idx val="0"/>
          <c:order val="3"/>
          <c:tx>
            <c:strRef>
              <c:f>'DX SEER Curves - Ref Only'!$I$21</c:f>
              <c:strCache>
                <c:ptCount val="1"/>
                <c:pt idx="0">
                  <c:v>EER &gt;= 13, SEER &lt; 18</c:v>
                </c:pt>
              </c:strCache>
            </c:strRef>
          </c:tx>
          <c:spPr>
            <a:ln w="28575">
              <a:noFill/>
            </a:ln>
          </c:spPr>
          <c:trendline>
            <c:spPr>
              <a:ln>
                <a:solidFill>
                  <a:schemeClr val="accent1">
                    <a:lumMod val="75000"/>
                  </a:schemeClr>
                </a:solidFill>
                <a:prstDash val="sysDash"/>
              </a:ln>
            </c:spPr>
            <c:trendlineType val="poly"/>
            <c:order val="2"/>
            <c:backward val="15"/>
            <c:dispRSqr val="0"/>
            <c:dispEq val="0"/>
          </c:trendline>
          <c:xVal>
            <c:numRef>
              <c:f>'DX SEER Curves - Ref Only'!$D$22:$D$26</c:f>
              <c:numCache>
                <c:formatCode>0.0</c:formatCode>
                <c:ptCount val="5"/>
                <c:pt idx="0">
                  <c:v>75</c:v>
                </c:pt>
                <c:pt idx="1">
                  <c:v>85</c:v>
                </c:pt>
                <c:pt idx="2">
                  <c:v>95</c:v>
                </c:pt>
                <c:pt idx="3">
                  <c:v>105</c:v>
                </c:pt>
                <c:pt idx="4">
                  <c:v>115</c:v>
                </c:pt>
              </c:numCache>
            </c:numRef>
          </c:xVal>
          <c:yVal>
            <c:numRef>
              <c:f>'DX SEER Curves - Ref Only'!$I$22:$I$26</c:f>
              <c:numCache>
                <c:formatCode>0.000</c:formatCode>
                <c:ptCount val="5"/>
                <c:pt idx="0">
                  <c:v>0.47607020361975344</c:v>
                </c:pt>
                <c:pt idx="1">
                  <c:v>0.76947301528641965</c:v>
                </c:pt>
                <c:pt idx="2">
                  <c:v>1.0003712960888891</c:v>
                </c:pt>
                <c:pt idx="3">
                  <c:v>1.1687650460271608</c:v>
                </c:pt>
                <c:pt idx="4">
                  <c:v>1.2746542651012347</c:v>
                </c:pt>
              </c:numCache>
            </c:numRef>
          </c:yVal>
          <c:smooth val="0"/>
          <c:extLst>
            <c:ext xmlns:c16="http://schemas.microsoft.com/office/drawing/2014/chart" uri="{C3380CC4-5D6E-409C-BE32-E72D297353CC}">
              <c16:uniqueId val="{00000000-4552-44BD-9C68-8399B8A173A6}"/>
            </c:ext>
          </c:extLst>
        </c:ser>
        <c:ser>
          <c:idx val="1"/>
          <c:order val="4"/>
          <c:tx>
            <c:strRef>
              <c:f>'DX SEER Curves - Ref Only'!$J$21</c:f>
              <c:strCache>
                <c:ptCount val="1"/>
                <c:pt idx="0">
                  <c:v>EER &gt;= 13, SEER &gt;= 18</c:v>
                </c:pt>
              </c:strCache>
            </c:strRef>
          </c:tx>
          <c:spPr>
            <a:ln w="28575">
              <a:noFill/>
            </a:ln>
          </c:spPr>
          <c:trendline>
            <c:spPr>
              <a:ln>
                <a:solidFill>
                  <a:schemeClr val="accent2">
                    <a:lumMod val="75000"/>
                  </a:schemeClr>
                </a:solidFill>
                <a:prstDash val="sysDash"/>
              </a:ln>
            </c:spPr>
            <c:trendlineType val="poly"/>
            <c:order val="2"/>
            <c:backward val="10"/>
            <c:dispRSqr val="0"/>
            <c:dispEq val="0"/>
          </c:trendline>
          <c:xVal>
            <c:numRef>
              <c:f>'DX SEER Curves - Ref Only'!$D$22:$D$26</c:f>
              <c:numCache>
                <c:formatCode>0.0</c:formatCode>
                <c:ptCount val="5"/>
                <c:pt idx="0">
                  <c:v>75</c:v>
                </c:pt>
                <c:pt idx="1">
                  <c:v>85</c:v>
                </c:pt>
                <c:pt idx="2">
                  <c:v>95</c:v>
                </c:pt>
                <c:pt idx="3">
                  <c:v>105</c:v>
                </c:pt>
                <c:pt idx="4">
                  <c:v>115</c:v>
                </c:pt>
              </c:numCache>
            </c:numRef>
          </c:xVal>
          <c:yVal>
            <c:numRef>
              <c:f>'DX SEER Curves - Ref Only'!$J$22:$J$26</c:f>
              <c:numCache>
                <c:formatCode>0.000</c:formatCode>
                <c:ptCount val="5"/>
                <c:pt idx="0">
                  <c:v>0.28247055553827238</c:v>
                </c:pt>
                <c:pt idx="1">
                  <c:v>0.70062086016790182</c:v>
                </c:pt>
                <c:pt idx="2">
                  <c:v>1.0008232944271609</c:v>
                </c:pt>
                <c:pt idx="3">
                  <c:v>1.1830778583160502</c:v>
                </c:pt>
                <c:pt idx="4">
                  <c:v>1.2473845518345685</c:v>
                </c:pt>
              </c:numCache>
            </c:numRef>
          </c:yVal>
          <c:smooth val="0"/>
          <c:extLst>
            <c:ext xmlns:c16="http://schemas.microsoft.com/office/drawing/2014/chart" uri="{C3380CC4-5D6E-409C-BE32-E72D297353CC}">
              <c16:uniqueId val="{00000001-4552-44BD-9C68-8399B8A173A6}"/>
            </c:ext>
          </c:extLst>
        </c:ser>
        <c:ser>
          <c:idx val="2"/>
          <c:order val="5"/>
          <c:tx>
            <c:strRef>
              <c:f>'DX SEER Curves - Ref Only'!$K$21</c:f>
              <c:strCache>
                <c:ptCount val="1"/>
                <c:pt idx="0">
                  <c:v>EER &gt;= 13, SEER &gt;= 20</c:v>
                </c:pt>
              </c:strCache>
            </c:strRef>
          </c:tx>
          <c:spPr>
            <a:ln w="28575">
              <a:noFill/>
            </a:ln>
          </c:spPr>
          <c:trendline>
            <c:spPr>
              <a:ln>
                <a:solidFill>
                  <a:schemeClr val="accent3">
                    <a:lumMod val="75000"/>
                  </a:schemeClr>
                </a:solidFill>
                <a:prstDash val="sysDash"/>
              </a:ln>
            </c:spPr>
            <c:trendlineType val="poly"/>
            <c:order val="2"/>
            <c:backward val="5"/>
            <c:dispRSqr val="0"/>
            <c:dispEq val="0"/>
          </c:trendline>
          <c:xVal>
            <c:numRef>
              <c:f>'DX SEER Curves - Ref Only'!$D$22:$D$26</c:f>
              <c:numCache>
                <c:formatCode>0.0</c:formatCode>
                <c:ptCount val="5"/>
                <c:pt idx="0">
                  <c:v>75</c:v>
                </c:pt>
                <c:pt idx="1">
                  <c:v>85</c:v>
                </c:pt>
                <c:pt idx="2">
                  <c:v>95</c:v>
                </c:pt>
                <c:pt idx="3">
                  <c:v>105</c:v>
                </c:pt>
                <c:pt idx="4">
                  <c:v>115</c:v>
                </c:pt>
              </c:numCache>
            </c:numRef>
          </c:xVal>
          <c:yVal>
            <c:numRef>
              <c:f>'DX SEER Curves - Ref Only'!$K$22:$K$26</c:f>
              <c:numCache>
                <c:formatCode>0.000</c:formatCode>
                <c:ptCount val="5"/>
                <c:pt idx="0">
                  <c:v>0.25580585531975314</c:v>
                </c:pt>
                <c:pt idx="1">
                  <c:v>0.69796395976419734</c:v>
                </c:pt>
                <c:pt idx="2">
                  <c:v>1.0010214901345671</c:v>
                </c:pt>
                <c:pt idx="3">
                  <c:v>1.1649784464308657</c:v>
                </c:pt>
                <c:pt idx="4">
                  <c:v>1.1898348286530882</c:v>
                </c:pt>
              </c:numCache>
            </c:numRef>
          </c:yVal>
          <c:smooth val="0"/>
          <c:extLst>
            <c:ext xmlns:c16="http://schemas.microsoft.com/office/drawing/2014/chart" uri="{C3380CC4-5D6E-409C-BE32-E72D297353CC}">
              <c16:uniqueId val="{00000002-4552-44BD-9C68-8399B8A173A6}"/>
            </c:ext>
          </c:extLst>
        </c:ser>
        <c:dLbls>
          <c:showLegendKey val="0"/>
          <c:showVal val="0"/>
          <c:showCatName val="0"/>
          <c:showSerName val="0"/>
          <c:showPercent val="0"/>
          <c:showBubbleSize val="0"/>
        </c:dLbls>
        <c:axId val="127814272"/>
        <c:axId val="127845120"/>
      </c:scatterChart>
      <c:valAx>
        <c:axId val="127814272"/>
        <c:scaling>
          <c:orientation val="minMax"/>
          <c:max val="120"/>
          <c:min val="60"/>
        </c:scaling>
        <c:delete val="0"/>
        <c:axPos val="b"/>
        <c:title>
          <c:tx>
            <c:rich>
              <a:bodyPr/>
              <a:lstStyle/>
              <a:p>
                <a:pPr>
                  <a:defRPr/>
                </a:pPr>
                <a:r>
                  <a:rPr lang="en-US"/>
                  <a:t>Toadb</a:t>
                </a:r>
              </a:p>
            </c:rich>
          </c:tx>
          <c:layout>
            <c:manualLayout>
              <c:xMode val="edge"/>
              <c:yMode val="edge"/>
              <c:x val="0.36213604549431316"/>
              <c:y val="0.92960629921259841"/>
            </c:manualLayout>
          </c:layout>
          <c:overlay val="0"/>
        </c:title>
        <c:numFmt formatCode="0.0" sourceLinked="1"/>
        <c:majorTickMark val="out"/>
        <c:minorTickMark val="none"/>
        <c:tickLblPos val="nextTo"/>
        <c:crossAx val="127845120"/>
        <c:crosses val="autoZero"/>
        <c:crossBetween val="midCat"/>
      </c:valAx>
      <c:valAx>
        <c:axId val="127845120"/>
        <c:scaling>
          <c:orientation val="minMax"/>
          <c:min val="0"/>
        </c:scaling>
        <c:delete val="0"/>
        <c:axPos val="l"/>
        <c:majorGridlines/>
        <c:title>
          <c:tx>
            <c:rich>
              <a:bodyPr/>
              <a:lstStyle/>
              <a:p>
                <a:pPr>
                  <a:defRPr/>
                </a:pPr>
                <a:r>
                  <a:rPr lang="en-US"/>
                  <a:t>EIRadj_fTewbToadb</a:t>
                </a:r>
              </a:p>
            </c:rich>
          </c:tx>
          <c:overlay val="0"/>
        </c:title>
        <c:numFmt formatCode="0.000" sourceLinked="1"/>
        <c:majorTickMark val="out"/>
        <c:minorTickMark val="none"/>
        <c:tickLblPos val="nextTo"/>
        <c:crossAx val="127814272"/>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340947125199164"/>
          <c:y val="8.3851189727520023E-2"/>
          <c:w val="0.60549512402195549"/>
          <c:h val="0.7538329151212545"/>
        </c:manualLayout>
      </c:layout>
      <c:scatterChart>
        <c:scatterStyle val="lineMarker"/>
        <c:varyColors val="0"/>
        <c:ser>
          <c:idx val="0"/>
          <c:order val="0"/>
          <c:tx>
            <c:strRef>
              <c:f>'Fan Curves - Ref Only'!$C$3</c:f>
              <c:strCache>
                <c:ptCount val="1"/>
                <c:pt idx="0">
                  <c:v>AF or BI Riding the Curve</c:v>
                </c:pt>
              </c:strCache>
            </c:strRef>
          </c:tx>
          <c:marker>
            <c:symbol val="diamond"/>
            <c:size val="4"/>
          </c:marker>
          <c:xVal>
            <c:numRef>
              <c:f>'Fan Curves - Ref Only'!$B$12:$B$62</c:f>
              <c:numCache>
                <c:formatCode>General</c:formatCode>
                <c:ptCount val="51"/>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numCache>
            </c:numRef>
          </c:xVal>
          <c:yVal>
            <c:numRef>
              <c:f>'Fan Curves - Ref Only'!$C$12:$C$62</c:f>
              <c:numCache>
                <c:formatCode>0.00</c:formatCode>
                <c:ptCount val="51"/>
                <c:pt idx="0">
                  <c:v>0.7</c:v>
                </c:pt>
                <c:pt idx="1">
                  <c:v>0.7</c:v>
                </c:pt>
                <c:pt idx="2">
                  <c:v>0.7</c:v>
                </c:pt>
                <c:pt idx="3">
                  <c:v>0.7</c:v>
                </c:pt>
                <c:pt idx="4">
                  <c:v>0.7</c:v>
                </c:pt>
                <c:pt idx="5">
                  <c:v>0.7</c:v>
                </c:pt>
                <c:pt idx="6">
                  <c:v>0.7</c:v>
                </c:pt>
                <c:pt idx="7">
                  <c:v>0.7</c:v>
                </c:pt>
                <c:pt idx="8">
                  <c:v>0.7</c:v>
                </c:pt>
                <c:pt idx="9">
                  <c:v>0.71177386250000008</c:v>
                </c:pt>
                <c:pt idx="10">
                  <c:v>0.75373749999999995</c:v>
                </c:pt>
                <c:pt idx="11">
                  <c:v>0.79225338750000007</c:v>
                </c:pt>
                <c:pt idx="12">
                  <c:v>0.82741759999999986</c:v>
                </c:pt>
                <c:pt idx="13">
                  <c:v>0.85932621250000008</c:v>
                </c:pt>
                <c:pt idx="14">
                  <c:v>0.88807530000000012</c:v>
                </c:pt>
                <c:pt idx="15">
                  <c:v>0.91376093749999998</c:v>
                </c:pt>
                <c:pt idx="16">
                  <c:v>0.93647920000000018</c:v>
                </c:pt>
                <c:pt idx="17">
                  <c:v>0.95632616250000024</c:v>
                </c:pt>
                <c:pt idx="18">
                  <c:v>0.97339790000000015</c:v>
                </c:pt>
                <c:pt idx="19">
                  <c:v>0.9877904875000002</c:v>
                </c:pt>
                <c:pt idx="20">
                  <c:v>0.99960000000000016</c:v>
                </c:pt>
              </c:numCache>
            </c:numRef>
          </c:yVal>
          <c:smooth val="0"/>
          <c:extLst>
            <c:ext xmlns:c16="http://schemas.microsoft.com/office/drawing/2014/chart" uri="{C3380CC4-5D6E-409C-BE32-E72D297353CC}">
              <c16:uniqueId val="{00000000-4A4F-4EAB-862D-7EA6CA51A4CE}"/>
            </c:ext>
          </c:extLst>
        </c:ser>
        <c:ser>
          <c:idx val="1"/>
          <c:order val="1"/>
          <c:tx>
            <c:strRef>
              <c:f>'Fan Curves - Ref Only'!$D$3</c:f>
              <c:strCache>
                <c:ptCount val="1"/>
                <c:pt idx="0">
                  <c:v>AF or BI inlet vanes</c:v>
                </c:pt>
              </c:strCache>
            </c:strRef>
          </c:tx>
          <c:marker>
            <c:symbol val="square"/>
            <c:size val="3"/>
          </c:marker>
          <c:xVal>
            <c:numRef>
              <c:f>'Fan Curves - Ref Only'!$B$12:$B$62</c:f>
              <c:numCache>
                <c:formatCode>General</c:formatCode>
                <c:ptCount val="51"/>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numCache>
            </c:numRef>
          </c:xVal>
          <c:yVal>
            <c:numRef>
              <c:f>'Fan Curves - Ref Only'!$D$12:$D$62</c:f>
              <c:numCache>
                <c:formatCode>0.00</c:formatCode>
                <c:ptCount val="51"/>
                <c:pt idx="0">
                  <c:v>0.99770000000000003</c:v>
                </c:pt>
                <c:pt idx="1">
                  <c:v>0.96710004999999999</c:v>
                </c:pt>
                <c:pt idx="2">
                  <c:v>0.94105340000000004</c:v>
                </c:pt>
                <c:pt idx="3">
                  <c:v>0.91933985000000007</c:v>
                </c:pt>
                <c:pt idx="4">
                  <c:v>0.90173919999999996</c:v>
                </c:pt>
                <c:pt idx="5">
                  <c:v>0.88803125000000016</c:v>
                </c:pt>
                <c:pt idx="6">
                  <c:v>0.87799579999999999</c:v>
                </c:pt>
                <c:pt idx="7">
                  <c:v>0.87141265000000001</c:v>
                </c:pt>
                <c:pt idx="8">
                  <c:v>0.871</c:v>
                </c:pt>
                <c:pt idx="9">
                  <c:v>0.871</c:v>
                </c:pt>
                <c:pt idx="10">
                  <c:v>0.871</c:v>
                </c:pt>
                <c:pt idx="11">
                  <c:v>0.87519905000000009</c:v>
                </c:pt>
                <c:pt idx="12">
                  <c:v>0.88257440000000009</c:v>
                </c:pt>
                <c:pt idx="13">
                  <c:v>0.89208085000000004</c:v>
                </c:pt>
                <c:pt idx="14">
                  <c:v>0.90349819999999992</c:v>
                </c:pt>
                <c:pt idx="15">
                  <c:v>0.91660624999999996</c:v>
                </c:pt>
                <c:pt idx="16">
                  <c:v>0.93118480000000003</c:v>
                </c:pt>
                <c:pt idx="17">
                  <c:v>0.94701365000000004</c:v>
                </c:pt>
                <c:pt idx="18">
                  <c:v>0.96387260000000008</c:v>
                </c:pt>
                <c:pt idx="19">
                  <c:v>0.98154145000000004</c:v>
                </c:pt>
                <c:pt idx="20">
                  <c:v>0.99980000000000002</c:v>
                </c:pt>
              </c:numCache>
            </c:numRef>
          </c:yVal>
          <c:smooth val="0"/>
          <c:extLst>
            <c:ext xmlns:c16="http://schemas.microsoft.com/office/drawing/2014/chart" uri="{C3380CC4-5D6E-409C-BE32-E72D297353CC}">
              <c16:uniqueId val="{00000001-4A4F-4EAB-862D-7EA6CA51A4CE}"/>
            </c:ext>
          </c:extLst>
        </c:ser>
        <c:ser>
          <c:idx val="2"/>
          <c:order val="2"/>
          <c:tx>
            <c:strRef>
              <c:f>'Fan Curves - Ref Only'!$E$3</c:f>
              <c:strCache>
                <c:ptCount val="1"/>
                <c:pt idx="0">
                  <c:v>FC riding the curve</c:v>
                </c:pt>
              </c:strCache>
            </c:strRef>
          </c:tx>
          <c:marker>
            <c:symbol val="triangle"/>
            <c:size val="4"/>
          </c:marker>
          <c:xVal>
            <c:numRef>
              <c:f>'Fan Curves - Ref Only'!$B$12:$B$62</c:f>
              <c:numCache>
                <c:formatCode>General</c:formatCode>
                <c:ptCount val="51"/>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numCache>
            </c:numRef>
          </c:xVal>
          <c:yVal>
            <c:numRef>
              <c:f>'Fan Curves - Ref Only'!$E$12:$E$62</c:f>
              <c:numCache>
                <c:formatCode>0.00</c:formatCode>
                <c:ptCount val="51"/>
                <c:pt idx="0">
                  <c:v>0.5</c:v>
                </c:pt>
                <c:pt idx="1">
                  <c:v>0.5</c:v>
                </c:pt>
                <c:pt idx="2">
                  <c:v>0.5</c:v>
                </c:pt>
                <c:pt idx="3">
                  <c:v>0.5</c:v>
                </c:pt>
                <c:pt idx="4">
                  <c:v>0.5</c:v>
                </c:pt>
                <c:pt idx="5">
                  <c:v>0.5</c:v>
                </c:pt>
                <c:pt idx="6">
                  <c:v>0.5</c:v>
                </c:pt>
                <c:pt idx="7">
                  <c:v>0.5</c:v>
                </c:pt>
                <c:pt idx="8">
                  <c:v>0.5</c:v>
                </c:pt>
                <c:pt idx="9">
                  <c:v>0.5</c:v>
                </c:pt>
                <c:pt idx="10">
                  <c:v>0.53629999999999989</c:v>
                </c:pt>
                <c:pt idx="11">
                  <c:v>0.58451632499999995</c:v>
                </c:pt>
                <c:pt idx="12">
                  <c:v>0.63297359999999991</c:v>
                </c:pt>
                <c:pt idx="13">
                  <c:v>0.68142177500000001</c:v>
                </c:pt>
                <c:pt idx="14">
                  <c:v>0.72961080000000011</c:v>
                </c:pt>
                <c:pt idx="15">
                  <c:v>0.77729062500000012</c:v>
                </c:pt>
                <c:pt idx="16">
                  <c:v>0.82421120000000014</c:v>
                </c:pt>
                <c:pt idx="17">
                  <c:v>0.87012247500000006</c:v>
                </c:pt>
                <c:pt idx="18">
                  <c:v>0.91477440000000032</c:v>
                </c:pt>
                <c:pt idx="19">
                  <c:v>0.95791692500000036</c:v>
                </c:pt>
                <c:pt idx="20">
                  <c:v>0.9993000000000003</c:v>
                </c:pt>
              </c:numCache>
            </c:numRef>
          </c:yVal>
          <c:smooth val="0"/>
          <c:extLst>
            <c:ext xmlns:c16="http://schemas.microsoft.com/office/drawing/2014/chart" uri="{C3380CC4-5D6E-409C-BE32-E72D297353CC}">
              <c16:uniqueId val="{00000002-4A4F-4EAB-862D-7EA6CA51A4CE}"/>
            </c:ext>
          </c:extLst>
        </c:ser>
        <c:ser>
          <c:idx val="3"/>
          <c:order val="3"/>
          <c:tx>
            <c:strRef>
              <c:f>'Fan Curves - Ref Only'!$F$3</c:f>
              <c:strCache>
                <c:ptCount val="1"/>
                <c:pt idx="0">
                  <c:v>FC with inlet vanes</c:v>
                </c:pt>
              </c:strCache>
            </c:strRef>
          </c:tx>
          <c:marker>
            <c:symbol val="x"/>
            <c:size val="5"/>
          </c:marker>
          <c:xVal>
            <c:numRef>
              <c:f>'Fan Curves - Ref Only'!$B$12:$B$62</c:f>
              <c:numCache>
                <c:formatCode>General</c:formatCode>
                <c:ptCount val="51"/>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numCache>
            </c:numRef>
          </c:xVal>
          <c:yVal>
            <c:numRef>
              <c:f>'Fan Curves - Ref Only'!$F$12:$F$62</c:f>
              <c:numCache>
                <c:formatCode>0.00</c:formatCode>
                <c:ptCount val="51"/>
                <c:pt idx="0">
                  <c:v>0.5</c:v>
                </c:pt>
                <c:pt idx="1">
                  <c:v>0.5</c:v>
                </c:pt>
                <c:pt idx="2">
                  <c:v>0.5</c:v>
                </c:pt>
                <c:pt idx="3">
                  <c:v>0.5</c:v>
                </c:pt>
                <c:pt idx="4">
                  <c:v>0.5</c:v>
                </c:pt>
                <c:pt idx="5">
                  <c:v>0.5</c:v>
                </c:pt>
                <c:pt idx="6">
                  <c:v>0.5</c:v>
                </c:pt>
                <c:pt idx="7">
                  <c:v>0.5</c:v>
                </c:pt>
                <c:pt idx="8">
                  <c:v>0.5</c:v>
                </c:pt>
                <c:pt idx="9">
                  <c:v>0.5</c:v>
                </c:pt>
                <c:pt idx="10">
                  <c:v>0.5</c:v>
                </c:pt>
                <c:pt idx="11">
                  <c:v>0.5</c:v>
                </c:pt>
                <c:pt idx="12">
                  <c:v>0.5</c:v>
                </c:pt>
                <c:pt idx="13">
                  <c:v>0.54523908750000005</c:v>
                </c:pt>
                <c:pt idx="14">
                  <c:v>0.60476430000000003</c:v>
                </c:pt>
                <c:pt idx="15">
                  <c:v>0.66707656250000014</c:v>
                </c:pt>
                <c:pt idx="16">
                  <c:v>0.73156320000000008</c:v>
                </c:pt>
                <c:pt idx="17">
                  <c:v>0.79761153750000036</c:v>
                </c:pt>
                <c:pt idx="18">
                  <c:v>0.86460890000000024</c:v>
                </c:pt>
                <c:pt idx="19">
                  <c:v>0.93194261250000043</c:v>
                </c:pt>
                <c:pt idx="20">
                  <c:v>0.999</c:v>
                </c:pt>
              </c:numCache>
            </c:numRef>
          </c:yVal>
          <c:smooth val="0"/>
          <c:extLst>
            <c:ext xmlns:c16="http://schemas.microsoft.com/office/drawing/2014/chart" uri="{C3380CC4-5D6E-409C-BE32-E72D297353CC}">
              <c16:uniqueId val="{00000003-4A4F-4EAB-862D-7EA6CA51A4CE}"/>
            </c:ext>
          </c:extLst>
        </c:ser>
        <c:ser>
          <c:idx val="5"/>
          <c:order val="4"/>
          <c:tx>
            <c:strRef>
              <c:f>'Fan Curves - Ref Only'!$G$3</c:f>
              <c:strCache>
                <c:ptCount val="1"/>
                <c:pt idx="0">
                  <c:v>Vane-axial with variable pitch blades</c:v>
                </c:pt>
              </c:strCache>
            </c:strRef>
          </c:tx>
          <c:marker>
            <c:symbol val="circle"/>
            <c:size val="4"/>
          </c:marker>
          <c:xVal>
            <c:numRef>
              <c:f>'Fan Curves - Ref Only'!$B$12:$B$62</c:f>
              <c:numCache>
                <c:formatCode>General</c:formatCode>
                <c:ptCount val="51"/>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numCache>
            </c:numRef>
          </c:xVal>
          <c:yVal>
            <c:numRef>
              <c:f>'Fan Curves - Ref Only'!$G$12:$G$62</c:f>
              <c:numCache>
                <c:formatCode>0.00</c:formatCode>
                <c:ptCount val="51"/>
                <c:pt idx="0">
                  <c:v>0.4</c:v>
                </c:pt>
                <c:pt idx="1">
                  <c:v>0.4</c:v>
                </c:pt>
                <c:pt idx="2">
                  <c:v>0.4</c:v>
                </c:pt>
                <c:pt idx="3">
                  <c:v>0.4</c:v>
                </c:pt>
                <c:pt idx="4">
                  <c:v>0.4</c:v>
                </c:pt>
                <c:pt idx="5">
                  <c:v>0.4</c:v>
                </c:pt>
                <c:pt idx="6">
                  <c:v>0.4</c:v>
                </c:pt>
                <c:pt idx="7">
                  <c:v>0.4</c:v>
                </c:pt>
                <c:pt idx="8">
                  <c:v>0.4</c:v>
                </c:pt>
                <c:pt idx="9">
                  <c:v>0.4</c:v>
                </c:pt>
                <c:pt idx="10">
                  <c:v>0.4</c:v>
                </c:pt>
                <c:pt idx="11">
                  <c:v>0.41980386249999979</c:v>
                </c:pt>
                <c:pt idx="12">
                  <c:v>0.47677839999999994</c:v>
                </c:pt>
                <c:pt idx="13">
                  <c:v>0.53692053749999991</c:v>
                </c:pt>
                <c:pt idx="14">
                  <c:v>0.59966470000000005</c:v>
                </c:pt>
                <c:pt idx="15">
                  <c:v>0.66444531250000005</c:v>
                </c:pt>
                <c:pt idx="16">
                  <c:v>0.73069680000000015</c:v>
                </c:pt>
                <c:pt idx="17">
                  <c:v>0.79785358750000002</c:v>
                </c:pt>
                <c:pt idx="18">
                  <c:v>0.86535010000000034</c:v>
                </c:pt>
                <c:pt idx="19">
                  <c:v>0.93262076250000014</c:v>
                </c:pt>
                <c:pt idx="20">
                  <c:v>0.99909999999999999</c:v>
                </c:pt>
              </c:numCache>
            </c:numRef>
          </c:yVal>
          <c:smooth val="0"/>
          <c:extLst>
            <c:ext xmlns:c16="http://schemas.microsoft.com/office/drawing/2014/chart" uri="{C3380CC4-5D6E-409C-BE32-E72D297353CC}">
              <c16:uniqueId val="{00000004-4A4F-4EAB-862D-7EA6CA51A4CE}"/>
            </c:ext>
          </c:extLst>
        </c:ser>
        <c:ser>
          <c:idx val="7"/>
          <c:order val="5"/>
          <c:tx>
            <c:strRef>
              <c:f>'Fan Curves - Ref Only'!$H$3</c:f>
              <c:strCache>
                <c:ptCount val="1"/>
                <c:pt idx="0">
                  <c:v>Any fan with VSD</c:v>
                </c:pt>
              </c:strCache>
            </c:strRef>
          </c:tx>
          <c:xVal>
            <c:numRef>
              <c:f>'Fan Curves - Ref Only'!$B$12:$B$62</c:f>
              <c:numCache>
                <c:formatCode>General</c:formatCode>
                <c:ptCount val="51"/>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numCache>
            </c:numRef>
          </c:xVal>
          <c:yVal>
            <c:numRef>
              <c:f>'Fan Curves - Ref Only'!$H$12:$H$62</c:f>
              <c:numCache>
                <c:formatCode>0.00</c:formatCode>
                <c:ptCount val="51"/>
                <c:pt idx="0">
                  <c:v>0.1</c:v>
                </c:pt>
                <c:pt idx="1">
                  <c:v>0.1</c:v>
                </c:pt>
                <c:pt idx="2">
                  <c:v>0.10536243435999999</c:v>
                </c:pt>
                <c:pt idx="3">
                  <c:v>0.12126500110500001</c:v>
                </c:pt>
                <c:pt idx="4">
                  <c:v>0.13713395500000003</c:v>
                </c:pt>
                <c:pt idx="5">
                  <c:v>0.153726198625</c:v>
                </c:pt>
                <c:pt idx="6">
                  <c:v>0.17179863456</c:v>
                </c:pt>
                <c:pt idx="7">
                  <c:v>0.19210816538500003</c:v>
                </c:pt>
                <c:pt idx="8">
                  <c:v>0.21541169367999996</c:v>
                </c:pt>
                <c:pt idx="9">
                  <c:v>0.24246612202499995</c:v>
                </c:pt>
                <c:pt idx="10">
                  <c:v>0.27402835299999995</c:v>
                </c:pt>
                <c:pt idx="11">
                  <c:v>0.31085528918499994</c:v>
                </c:pt>
                <c:pt idx="12">
                  <c:v>0.35370383315999998</c:v>
                </c:pt>
                <c:pt idx="13">
                  <c:v>0.40333088750500007</c:v>
                </c:pt>
                <c:pt idx="14">
                  <c:v>0.46049335480000009</c:v>
                </c:pt>
                <c:pt idx="15">
                  <c:v>0.52594813762500014</c:v>
                </c:pt>
                <c:pt idx="16">
                  <c:v>0.60045213856000013</c:v>
                </c:pt>
                <c:pt idx="17">
                  <c:v>0.68476226018500042</c:v>
                </c:pt>
                <c:pt idx="18">
                  <c:v>0.7796354050800004</c:v>
                </c:pt>
                <c:pt idx="19">
                  <c:v>0.88582847582500057</c:v>
                </c:pt>
                <c:pt idx="20">
                  <c:v>1</c:v>
                </c:pt>
              </c:numCache>
            </c:numRef>
          </c:yVal>
          <c:smooth val="0"/>
          <c:extLst>
            <c:ext xmlns:c16="http://schemas.microsoft.com/office/drawing/2014/chart" uri="{C3380CC4-5D6E-409C-BE32-E72D297353CC}">
              <c16:uniqueId val="{00000005-4A4F-4EAB-862D-7EA6CA51A4CE}"/>
            </c:ext>
          </c:extLst>
        </c:ser>
        <c:ser>
          <c:idx val="4"/>
          <c:order val="6"/>
          <c:tx>
            <c:strRef>
              <c:f>'Fan Curves - Ref Only'!$I$3</c:f>
              <c:strCache>
                <c:ptCount val="1"/>
                <c:pt idx="0">
                  <c:v>VSD with static pressure reset (Good)</c:v>
                </c:pt>
              </c:strCache>
            </c:strRef>
          </c:tx>
          <c:xVal>
            <c:numRef>
              <c:f>'Fan Curves - Ref Only'!$B$12:$B$62</c:f>
              <c:numCache>
                <c:formatCode>General</c:formatCode>
                <c:ptCount val="51"/>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numCache>
            </c:numRef>
          </c:xVal>
          <c:yVal>
            <c:numRef>
              <c:f>'Fan Curves - Ref Only'!$I$12:$I$62</c:f>
              <c:numCache>
                <c:formatCode>0.00</c:formatCode>
                <c:ptCount val="51"/>
                <c:pt idx="0">
                  <c:v>0.10009999999999999</c:v>
                </c:pt>
                <c:pt idx="1">
                  <c:v>0.10009999999999999</c:v>
                </c:pt>
                <c:pt idx="2">
                  <c:v>0.10009999999999999</c:v>
                </c:pt>
                <c:pt idx="3">
                  <c:v>0.10009999999999999</c:v>
                </c:pt>
                <c:pt idx="4">
                  <c:v>0.10009999999999999</c:v>
                </c:pt>
                <c:pt idx="5">
                  <c:v>0.10009999999999999</c:v>
                </c:pt>
                <c:pt idx="6">
                  <c:v>0.10009999999999999</c:v>
                </c:pt>
                <c:pt idx="7">
                  <c:v>0.10310502871112499</c:v>
                </c:pt>
                <c:pt idx="8">
                  <c:v>0.12470905147199998</c:v>
                </c:pt>
                <c:pt idx="9">
                  <c:v>0.15161088257087496</c:v>
                </c:pt>
                <c:pt idx="10">
                  <c:v>0.18451832687499997</c:v>
                </c:pt>
                <c:pt idx="11">
                  <c:v>0.22413918925162496</c:v>
                </c:pt>
                <c:pt idx="12">
                  <c:v>0.27118127456800001</c:v>
                </c:pt>
                <c:pt idx="13">
                  <c:v>0.32635238769137509</c:v>
                </c:pt>
                <c:pt idx="14">
                  <c:v>0.39036033348900012</c:v>
                </c:pt>
                <c:pt idx="15">
                  <c:v>0.46391291682812524</c:v>
                </c:pt>
                <c:pt idx="16">
                  <c:v>0.54771794257600026</c:v>
                </c:pt>
                <c:pt idx="17">
                  <c:v>0.64248321559987542</c:v>
                </c:pt>
                <c:pt idx="18">
                  <c:v>0.74891654076700054</c:v>
                </c:pt>
                <c:pt idx="19">
                  <c:v>0.86772572294462569</c:v>
                </c:pt>
                <c:pt idx="20">
                  <c:v>0.99961856700000074</c:v>
                </c:pt>
              </c:numCache>
            </c:numRef>
          </c:yVal>
          <c:smooth val="0"/>
          <c:extLst>
            <c:ext xmlns:c16="http://schemas.microsoft.com/office/drawing/2014/chart" uri="{C3380CC4-5D6E-409C-BE32-E72D297353CC}">
              <c16:uniqueId val="{00000006-4A4F-4EAB-862D-7EA6CA51A4CE}"/>
            </c:ext>
          </c:extLst>
        </c:ser>
        <c:ser>
          <c:idx val="6"/>
          <c:order val="7"/>
          <c:tx>
            <c:strRef>
              <c:f>'Fan Curves - Ref Only'!$J$3</c:f>
              <c:strCache>
                <c:ptCount val="1"/>
                <c:pt idx="0">
                  <c:v>VSD with static pressure reset (Perfect)</c:v>
                </c:pt>
              </c:strCache>
            </c:strRef>
          </c:tx>
          <c:xVal>
            <c:numRef>
              <c:f>'Fan Curves - Ref Only'!$B$12:$B$62</c:f>
              <c:numCache>
                <c:formatCode>General</c:formatCode>
                <c:ptCount val="51"/>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numCache>
            </c:numRef>
          </c:xVal>
          <c:yVal>
            <c:numRef>
              <c:f>'Fan Curves - Ref Only'!$J$12:$J$62</c:f>
              <c:numCache>
                <c:formatCode>0.00</c:formatCode>
                <c:ptCount val="5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numCache>
            </c:numRef>
          </c:yVal>
          <c:smooth val="0"/>
          <c:extLst>
            <c:ext xmlns:c16="http://schemas.microsoft.com/office/drawing/2014/chart" uri="{C3380CC4-5D6E-409C-BE32-E72D297353CC}">
              <c16:uniqueId val="{00000007-4A4F-4EAB-862D-7EA6CA51A4CE}"/>
            </c:ext>
          </c:extLst>
        </c:ser>
        <c:ser>
          <c:idx val="8"/>
          <c:order val="8"/>
          <c:tx>
            <c:strRef>
              <c:f>'Fan Curves - Ref Only'!$K$3</c:f>
              <c:strCache>
                <c:ptCount val="1"/>
                <c:pt idx="0">
                  <c:v>Fan Law</c:v>
                </c:pt>
              </c:strCache>
            </c:strRef>
          </c:tx>
          <c:xVal>
            <c:numRef>
              <c:f>'Fan Curves - Ref Only'!$B$12:$B$62</c:f>
              <c:numCache>
                <c:formatCode>General</c:formatCode>
                <c:ptCount val="51"/>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numCache>
            </c:numRef>
          </c:xVal>
          <c:yVal>
            <c:numRef>
              <c:f>'Fan Curves - Ref Only'!$K$12:$K$62</c:f>
              <c:numCache>
                <c:formatCode>0.00</c:formatCode>
                <c:ptCount val="51"/>
                <c:pt idx="0">
                  <c:v>0.1</c:v>
                </c:pt>
                <c:pt idx="1">
                  <c:v>0.1</c:v>
                </c:pt>
                <c:pt idx="2">
                  <c:v>0.1</c:v>
                </c:pt>
                <c:pt idx="3">
                  <c:v>0.1</c:v>
                </c:pt>
                <c:pt idx="4">
                  <c:v>0.1</c:v>
                </c:pt>
                <c:pt idx="5">
                  <c:v>0.1</c:v>
                </c:pt>
                <c:pt idx="6">
                  <c:v>0.1</c:v>
                </c:pt>
                <c:pt idx="7">
                  <c:v>0.1</c:v>
                </c:pt>
                <c:pt idx="8">
                  <c:v>0.1</c:v>
                </c:pt>
                <c:pt idx="9">
                  <c:v>0.1</c:v>
                </c:pt>
                <c:pt idx="10">
                  <c:v>0.12499999999999996</c:v>
                </c:pt>
                <c:pt idx="11">
                  <c:v>0.16637499999999994</c:v>
                </c:pt>
                <c:pt idx="12">
                  <c:v>0.216</c:v>
                </c:pt>
                <c:pt idx="13">
                  <c:v>0.27462500000000006</c:v>
                </c:pt>
                <c:pt idx="14">
                  <c:v>0.34300000000000008</c:v>
                </c:pt>
                <c:pt idx="15">
                  <c:v>0.42187500000000022</c:v>
                </c:pt>
                <c:pt idx="16">
                  <c:v>0.51200000000000023</c:v>
                </c:pt>
                <c:pt idx="17">
                  <c:v>0.61412500000000048</c:v>
                </c:pt>
                <c:pt idx="18">
                  <c:v>0.72900000000000054</c:v>
                </c:pt>
                <c:pt idx="19">
                  <c:v>0.85737500000000078</c:v>
                </c:pt>
                <c:pt idx="20">
                  <c:v>1.0000000000000007</c:v>
                </c:pt>
              </c:numCache>
            </c:numRef>
          </c:yVal>
          <c:smooth val="0"/>
          <c:extLst>
            <c:ext xmlns:c16="http://schemas.microsoft.com/office/drawing/2014/chart" uri="{C3380CC4-5D6E-409C-BE32-E72D297353CC}">
              <c16:uniqueId val="{00000008-4A4F-4EAB-862D-7EA6CA51A4CE}"/>
            </c:ext>
          </c:extLst>
        </c:ser>
        <c:dLbls>
          <c:showLegendKey val="0"/>
          <c:showVal val="0"/>
          <c:showCatName val="0"/>
          <c:showSerName val="0"/>
          <c:showPercent val="0"/>
          <c:showBubbleSize val="0"/>
        </c:dLbls>
        <c:axId val="133090304"/>
        <c:axId val="133108864"/>
      </c:scatterChart>
      <c:valAx>
        <c:axId val="133090304"/>
        <c:scaling>
          <c:orientation val="minMax"/>
        </c:scaling>
        <c:delete val="0"/>
        <c:axPos val="b"/>
        <c:majorGridlines/>
        <c:title>
          <c:tx>
            <c:rich>
              <a:bodyPr/>
              <a:lstStyle/>
              <a:p>
                <a:pPr>
                  <a:defRPr/>
                </a:pPr>
                <a:r>
                  <a:rPr lang="en-US"/>
                  <a:t>Fan Flow PLR </a:t>
                </a:r>
              </a:p>
            </c:rich>
          </c:tx>
          <c:overlay val="0"/>
        </c:title>
        <c:numFmt formatCode="General" sourceLinked="1"/>
        <c:majorTickMark val="none"/>
        <c:minorTickMark val="none"/>
        <c:tickLblPos val="nextTo"/>
        <c:crossAx val="133108864"/>
        <c:crosses val="autoZero"/>
        <c:crossBetween val="midCat"/>
      </c:valAx>
      <c:valAx>
        <c:axId val="133108864"/>
        <c:scaling>
          <c:orientation val="minMax"/>
        </c:scaling>
        <c:delete val="0"/>
        <c:axPos val="l"/>
        <c:majorGridlines/>
        <c:title>
          <c:tx>
            <c:rich>
              <a:bodyPr/>
              <a:lstStyle/>
              <a:p>
                <a:pPr>
                  <a:defRPr/>
                </a:pPr>
                <a:r>
                  <a:rPr lang="en-US"/>
                  <a:t>Fan Power Fraction</a:t>
                </a:r>
              </a:p>
            </c:rich>
          </c:tx>
          <c:overlay val="0"/>
        </c:title>
        <c:numFmt formatCode="0.00" sourceLinked="1"/>
        <c:majorTickMark val="none"/>
        <c:minorTickMark val="none"/>
        <c:tickLblPos val="nextTo"/>
        <c:crossAx val="133090304"/>
        <c:crosses val="autoZero"/>
        <c:crossBetween val="midCat"/>
      </c:valAx>
    </c:plotArea>
    <c:legend>
      <c:legendPos val="r"/>
      <c:layout>
        <c:manualLayout>
          <c:xMode val="edge"/>
          <c:yMode val="edge"/>
          <c:x val="0.7572560562387749"/>
          <c:y val="0.12792560985369766"/>
          <c:w val="0.24274394376122513"/>
          <c:h val="0.67919867141355661"/>
        </c:manualLayout>
      </c:layout>
      <c:overlay val="0"/>
    </c:legend>
    <c:plotVisOnly val="1"/>
    <c:dispBlanksAs val="gap"/>
    <c:showDLblsOverMax val="0"/>
  </c:chart>
  <c:printSettings>
    <c:headerFooter/>
    <c:pageMargins b="0.75000000000000455" l="0.70000000000000095" r="0.70000000000000095" t="0.75000000000000455" header="0.30000000000000032" footer="0.30000000000000032"/>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9002405949256338E-2"/>
          <c:y val="5.1400554097404488E-2"/>
          <c:w val="0.67487224098269816"/>
          <c:h val="0.8326195683872849"/>
        </c:manualLayout>
      </c:layout>
      <c:scatterChart>
        <c:scatterStyle val="lineMarker"/>
        <c:varyColors val="0"/>
        <c:ser>
          <c:idx val="0"/>
          <c:order val="0"/>
          <c:tx>
            <c:strRef>
              <c:f>'Pump Curves - Ref Only'!$I$1</c:f>
              <c:strCache>
                <c:ptCount val="1"/>
                <c:pt idx="0">
                  <c:v>Power NoRst</c:v>
                </c:pt>
              </c:strCache>
            </c:strRef>
          </c:tx>
          <c:spPr>
            <a:ln w="12700">
              <a:solidFill>
                <a:schemeClr val="accent1"/>
              </a:solidFill>
            </a:ln>
          </c:spPr>
          <c:marker>
            <c:symbol val="diamond"/>
            <c:size val="3"/>
          </c:marker>
          <c:trendline>
            <c:spPr>
              <a:ln>
                <a:prstDash val="dash"/>
              </a:ln>
            </c:spPr>
            <c:trendlineType val="poly"/>
            <c:order val="3"/>
            <c:dispRSqr val="1"/>
            <c:dispEq val="1"/>
            <c:trendlineLbl>
              <c:layout>
                <c:manualLayout>
                  <c:x val="-0.18013388034088976"/>
                  <c:y val="0.22625666018075685"/>
                </c:manualLayout>
              </c:layout>
              <c:numFmt formatCode="General" sourceLinked="0"/>
              <c:txPr>
                <a:bodyPr/>
                <a:lstStyle/>
                <a:p>
                  <a:pPr>
                    <a:defRPr>
                      <a:solidFill>
                        <a:schemeClr val="tx2">
                          <a:lumMod val="75000"/>
                        </a:schemeClr>
                      </a:solidFill>
                    </a:defRPr>
                  </a:pPr>
                  <a:endParaRPr lang="en-US"/>
                </a:p>
              </c:txPr>
            </c:trendlineLbl>
          </c:trendline>
          <c:xVal>
            <c:numRef>
              <c:f>'Pump Curves - Ref Only'!$H$2:$H$22</c:f>
              <c:numCache>
                <c:formatCode>General</c:formatCode>
                <c:ptCount val="21"/>
                <c:pt idx="0">
                  <c:v>1</c:v>
                </c:pt>
                <c:pt idx="1">
                  <c:v>0.95</c:v>
                </c:pt>
                <c:pt idx="2">
                  <c:v>0.9</c:v>
                </c:pt>
                <c:pt idx="3">
                  <c:v>0.85</c:v>
                </c:pt>
                <c:pt idx="4">
                  <c:v>0.8</c:v>
                </c:pt>
                <c:pt idx="5">
                  <c:v>0.75</c:v>
                </c:pt>
                <c:pt idx="6">
                  <c:v>0.7</c:v>
                </c:pt>
                <c:pt idx="7">
                  <c:v>0.65</c:v>
                </c:pt>
                <c:pt idx="8">
                  <c:v>0.6</c:v>
                </c:pt>
                <c:pt idx="9">
                  <c:v>0.55000000000000004</c:v>
                </c:pt>
                <c:pt idx="10">
                  <c:v>0.5</c:v>
                </c:pt>
                <c:pt idx="11">
                  <c:v>0.45</c:v>
                </c:pt>
                <c:pt idx="12">
                  <c:v>0.39999999999999902</c:v>
                </c:pt>
                <c:pt idx="13">
                  <c:v>0.34999999999999898</c:v>
                </c:pt>
                <c:pt idx="14">
                  <c:v>0.29999999999999899</c:v>
                </c:pt>
                <c:pt idx="15">
                  <c:v>0.249999999999999</c:v>
                </c:pt>
                <c:pt idx="16">
                  <c:v>0.19999999999999901</c:v>
                </c:pt>
                <c:pt idx="17">
                  <c:v>0.149999999999999</c:v>
                </c:pt>
                <c:pt idx="18">
                  <c:v>9.9999999999999006E-2</c:v>
                </c:pt>
                <c:pt idx="19">
                  <c:v>4.9999999999998997E-2</c:v>
                </c:pt>
                <c:pt idx="20">
                  <c:v>0</c:v>
                </c:pt>
              </c:numCache>
            </c:numRef>
          </c:xVal>
          <c:yVal>
            <c:numRef>
              <c:f>'Pump Curves - Ref Only'!$I$2:$I$22</c:f>
              <c:numCache>
                <c:formatCode>General</c:formatCode>
                <c:ptCount val="21"/>
                <c:pt idx="0">
                  <c:v>1.0063</c:v>
                </c:pt>
                <c:pt idx="1">
                  <c:v>0.90223091249999987</c:v>
                </c:pt>
                <c:pt idx="2">
                  <c:v>0.80712630000000019</c:v>
                </c:pt>
                <c:pt idx="3">
                  <c:v>0.72043513749999999</c:v>
                </c:pt>
                <c:pt idx="4">
                  <c:v>0.64160640000000013</c:v>
                </c:pt>
                <c:pt idx="5">
                  <c:v>0.57008906250000002</c:v>
                </c:pt>
                <c:pt idx="6">
                  <c:v>0.50533209999999995</c:v>
                </c:pt>
                <c:pt idx="7">
                  <c:v>0.44678448750000005</c:v>
                </c:pt>
                <c:pt idx="8">
                  <c:v>0.3938952</c:v>
                </c:pt>
                <c:pt idx="9">
                  <c:v>0.34611321250000004</c:v>
                </c:pt>
                <c:pt idx="10">
                  <c:v>0.30288750000000003</c:v>
                </c:pt>
                <c:pt idx="11">
                  <c:v>0.26366703750000003</c:v>
                </c:pt>
                <c:pt idx="12">
                  <c:v>0.22790079999999935</c:v>
                </c:pt>
                <c:pt idx="13">
                  <c:v>0.19503776249999938</c:v>
                </c:pt>
                <c:pt idx="14">
                  <c:v>0.16452689999999942</c:v>
                </c:pt>
                <c:pt idx="15">
                  <c:v>0.13581718749999944</c:v>
                </c:pt>
                <c:pt idx="16">
                  <c:v>0.10835759999999946</c:v>
                </c:pt>
                <c:pt idx="17">
                  <c:v>0.10835759999999946</c:v>
                </c:pt>
                <c:pt idx="18">
                  <c:v>0.10835759999999946</c:v>
                </c:pt>
                <c:pt idx="19">
                  <c:v>0.10835759999999946</c:v>
                </c:pt>
                <c:pt idx="20">
                  <c:v>0.10835759999999946</c:v>
                </c:pt>
              </c:numCache>
            </c:numRef>
          </c:yVal>
          <c:smooth val="0"/>
          <c:extLst>
            <c:ext xmlns:c16="http://schemas.microsoft.com/office/drawing/2014/chart" uri="{C3380CC4-5D6E-409C-BE32-E72D297353CC}">
              <c16:uniqueId val="{00000000-85D1-453A-85B1-5AD934268991}"/>
            </c:ext>
          </c:extLst>
        </c:ser>
        <c:ser>
          <c:idx val="1"/>
          <c:order val="1"/>
          <c:tx>
            <c:strRef>
              <c:f>'Pump Curves - Ref Only'!$J$1</c:f>
              <c:strCache>
                <c:ptCount val="1"/>
                <c:pt idx="0">
                  <c:v>Power Rst</c:v>
                </c:pt>
              </c:strCache>
            </c:strRef>
          </c:tx>
          <c:spPr>
            <a:ln w="12700">
              <a:solidFill>
                <a:schemeClr val="accent2"/>
              </a:solidFill>
            </a:ln>
          </c:spPr>
          <c:marker>
            <c:symbol val="diamond"/>
            <c:size val="3"/>
          </c:marker>
          <c:trendline>
            <c:spPr>
              <a:ln>
                <a:prstDash val="dash"/>
              </a:ln>
            </c:spPr>
            <c:trendlineType val="poly"/>
            <c:order val="3"/>
            <c:dispRSqr val="1"/>
            <c:dispEq val="1"/>
            <c:trendlineLbl>
              <c:layout>
                <c:manualLayout>
                  <c:x val="0.11442760403517305"/>
                  <c:y val="0.63408072836161067"/>
                </c:manualLayout>
              </c:layout>
              <c:numFmt formatCode="General" sourceLinked="0"/>
              <c:txPr>
                <a:bodyPr/>
                <a:lstStyle/>
                <a:p>
                  <a:pPr>
                    <a:defRPr>
                      <a:solidFill>
                        <a:schemeClr val="accent2"/>
                      </a:solidFill>
                    </a:defRPr>
                  </a:pPr>
                  <a:endParaRPr lang="en-US"/>
                </a:p>
              </c:txPr>
            </c:trendlineLbl>
          </c:trendline>
          <c:xVal>
            <c:numRef>
              <c:f>'Pump Curves - Ref Only'!$H$2:$H$22</c:f>
              <c:numCache>
                <c:formatCode>General</c:formatCode>
                <c:ptCount val="21"/>
                <c:pt idx="0">
                  <c:v>1</c:v>
                </c:pt>
                <c:pt idx="1">
                  <c:v>0.95</c:v>
                </c:pt>
                <c:pt idx="2">
                  <c:v>0.9</c:v>
                </c:pt>
                <c:pt idx="3">
                  <c:v>0.85</c:v>
                </c:pt>
                <c:pt idx="4">
                  <c:v>0.8</c:v>
                </c:pt>
                <c:pt idx="5">
                  <c:v>0.75</c:v>
                </c:pt>
                <c:pt idx="6">
                  <c:v>0.7</c:v>
                </c:pt>
                <c:pt idx="7">
                  <c:v>0.65</c:v>
                </c:pt>
                <c:pt idx="8">
                  <c:v>0.6</c:v>
                </c:pt>
                <c:pt idx="9">
                  <c:v>0.55000000000000004</c:v>
                </c:pt>
                <c:pt idx="10">
                  <c:v>0.5</c:v>
                </c:pt>
                <c:pt idx="11">
                  <c:v>0.45</c:v>
                </c:pt>
                <c:pt idx="12">
                  <c:v>0.39999999999999902</c:v>
                </c:pt>
                <c:pt idx="13">
                  <c:v>0.34999999999999898</c:v>
                </c:pt>
                <c:pt idx="14">
                  <c:v>0.29999999999999899</c:v>
                </c:pt>
                <c:pt idx="15">
                  <c:v>0.249999999999999</c:v>
                </c:pt>
                <c:pt idx="16">
                  <c:v>0.19999999999999901</c:v>
                </c:pt>
                <c:pt idx="17">
                  <c:v>0.149999999999999</c:v>
                </c:pt>
                <c:pt idx="18">
                  <c:v>9.9999999999999006E-2</c:v>
                </c:pt>
                <c:pt idx="19">
                  <c:v>4.9999999999998997E-2</c:v>
                </c:pt>
                <c:pt idx="20">
                  <c:v>0</c:v>
                </c:pt>
              </c:numCache>
            </c:numRef>
          </c:xVal>
          <c:yVal>
            <c:numRef>
              <c:f>'Pump Curves - Ref Only'!$J$2:$J$22</c:f>
              <c:numCache>
                <c:formatCode>General</c:formatCode>
                <c:ptCount val="21"/>
                <c:pt idx="0">
                  <c:v>1.0059</c:v>
                </c:pt>
                <c:pt idx="1">
                  <c:v>0.88283808749999992</c:v>
                </c:pt>
                <c:pt idx="2">
                  <c:v>0.77002470000000023</c:v>
                </c:pt>
                <c:pt idx="3">
                  <c:v>0.66702836249999997</c:v>
                </c:pt>
                <c:pt idx="4">
                  <c:v>0.57341760000000019</c:v>
                </c:pt>
                <c:pt idx="5">
                  <c:v>0.48876093750000005</c:v>
                </c:pt>
                <c:pt idx="6">
                  <c:v>0.41262689999999996</c:v>
                </c:pt>
                <c:pt idx="7">
                  <c:v>0.34458401250000009</c:v>
                </c:pt>
                <c:pt idx="8">
                  <c:v>0.28420080000000003</c:v>
                </c:pt>
                <c:pt idx="9">
                  <c:v>0.23104578750000004</c:v>
                </c:pt>
                <c:pt idx="10">
                  <c:v>0.1846875</c:v>
                </c:pt>
                <c:pt idx="11">
                  <c:v>0.14469446250000001</c:v>
                </c:pt>
                <c:pt idx="12">
                  <c:v>0.11063519999999941</c:v>
                </c:pt>
                <c:pt idx="13">
                  <c:v>8.2078237499999485E-2</c:v>
                </c:pt>
                <c:pt idx="14">
                  <c:v>5.8592099999999578E-2</c:v>
                </c:pt>
                <c:pt idx="15">
                  <c:v>3.9745312499999672E-2</c:v>
                </c:pt>
                <c:pt idx="16">
                  <c:v>2.5106399999999751E-2</c:v>
                </c:pt>
                <c:pt idx="17">
                  <c:v>2.5106399999999751E-2</c:v>
                </c:pt>
                <c:pt idx="18">
                  <c:v>2.5106399999999751E-2</c:v>
                </c:pt>
                <c:pt idx="19">
                  <c:v>2.5106399999999751E-2</c:v>
                </c:pt>
                <c:pt idx="20">
                  <c:v>2.5106399999999751E-2</c:v>
                </c:pt>
              </c:numCache>
            </c:numRef>
          </c:yVal>
          <c:smooth val="0"/>
          <c:extLst>
            <c:ext xmlns:c16="http://schemas.microsoft.com/office/drawing/2014/chart" uri="{C3380CC4-5D6E-409C-BE32-E72D297353CC}">
              <c16:uniqueId val="{00000001-85D1-453A-85B1-5AD934268991}"/>
            </c:ext>
          </c:extLst>
        </c:ser>
        <c:dLbls>
          <c:showLegendKey val="0"/>
          <c:showVal val="0"/>
          <c:showCatName val="0"/>
          <c:showSerName val="0"/>
          <c:showPercent val="0"/>
          <c:showBubbleSize val="0"/>
        </c:dLbls>
        <c:axId val="133167360"/>
        <c:axId val="131731456"/>
      </c:scatterChart>
      <c:valAx>
        <c:axId val="133167360"/>
        <c:scaling>
          <c:orientation val="minMax"/>
        </c:scaling>
        <c:delete val="0"/>
        <c:axPos val="b"/>
        <c:majorGridlines>
          <c:spPr>
            <a:ln>
              <a:solidFill>
                <a:schemeClr val="bg1">
                  <a:lumMod val="75000"/>
                </a:schemeClr>
              </a:solidFill>
            </a:ln>
          </c:spPr>
        </c:majorGridlines>
        <c:numFmt formatCode="General" sourceLinked="1"/>
        <c:majorTickMark val="out"/>
        <c:minorTickMark val="none"/>
        <c:tickLblPos val="nextTo"/>
        <c:crossAx val="131731456"/>
        <c:crosses val="autoZero"/>
        <c:crossBetween val="midCat"/>
      </c:valAx>
      <c:valAx>
        <c:axId val="131731456"/>
        <c:scaling>
          <c:orientation val="minMax"/>
        </c:scaling>
        <c:delete val="0"/>
        <c:axPos val="l"/>
        <c:majorGridlines>
          <c:spPr>
            <a:ln>
              <a:solidFill>
                <a:schemeClr val="bg1">
                  <a:lumMod val="75000"/>
                </a:schemeClr>
              </a:solidFill>
            </a:ln>
          </c:spPr>
        </c:majorGridlines>
        <c:numFmt formatCode="General" sourceLinked="1"/>
        <c:majorTickMark val="out"/>
        <c:minorTickMark val="none"/>
        <c:tickLblPos val="nextTo"/>
        <c:crossAx val="133167360"/>
        <c:crosses val="autoZero"/>
        <c:crossBetween val="midCat"/>
      </c:valAx>
    </c:plotArea>
    <c:legend>
      <c:legendPos val="r"/>
      <c:layout>
        <c:manualLayout>
          <c:xMode val="edge"/>
          <c:yMode val="edge"/>
          <c:x val="0.7735081359951429"/>
          <c:y val="0.26777108981469688"/>
          <c:w val="0.20406411556585424"/>
          <c:h val="0.47472156049777842"/>
        </c:manualLayout>
      </c:layout>
      <c:overlay val="0"/>
      <c:spPr>
        <a:solidFill>
          <a:schemeClr val="bg1"/>
        </a:solidFill>
      </c:spPr>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Cooling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'VRF E+ to CSE'!$S$7</c:f>
              <c:strCache>
                <c:ptCount val="1"/>
                <c:pt idx="0">
                  <c:v>EnergyPlus Default</c:v>
                </c:pt>
              </c:strCache>
            </c:strRef>
          </c:tx>
          <c:spPr>
            <a:ln w="19050" cap="rnd">
              <a:solidFill>
                <a:schemeClr val="accent1"/>
              </a:solidFill>
              <a:round/>
            </a:ln>
            <a:effectLst/>
          </c:spPr>
          <c:marker>
            <c:symbol val="none"/>
          </c:marker>
          <c:xVal>
            <c:numRef>
              <c:f>'VRF E+ to CSE'!$S$14:$S$33</c:f>
              <c:numCache>
                <c:formatCode>General</c:formatCode>
                <c:ptCount val="20"/>
                <c:pt idx="0">
                  <c:v>1</c:v>
                </c:pt>
                <c:pt idx="1">
                  <c:v>0.95</c:v>
                </c:pt>
                <c:pt idx="2">
                  <c:v>0.89999999999999991</c:v>
                </c:pt>
                <c:pt idx="3">
                  <c:v>0.84999999999999987</c:v>
                </c:pt>
                <c:pt idx="4">
                  <c:v>0.79999999999999982</c:v>
                </c:pt>
                <c:pt idx="5">
                  <c:v>0.74999999999999978</c:v>
                </c:pt>
                <c:pt idx="6">
                  <c:v>0.69999999999999973</c:v>
                </c:pt>
                <c:pt idx="7">
                  <c:v>0.64999999999999969</c:v>
                </c:pt>
                <c:pt idx="8">
                  <c:v>0.59999999999999964</c:v>
                </c:pt>
                <c:pt idx="9">
                  <c:v>0.5499999999999996</c:v>
                </c:pt>
                <c:pt idx="10">
                  <c:v>0.49999999999999961</c:v>
                </c:pt>
                <c:pt idx="11">
                  <c:v>0.44999999999999962</c:v>
                </c:pt>
                <c:pt idx="12">
                  <c:v>0.39999999999999963</c:v>
                </c:pt>
                <c:pt idx="13">
                  <c:v>0.34999999999999964</c:v>
                </c:pt>
                <c:pt idx="14">
                  <c:v>0.29999999999999966</c:v>
                </c:pt>
                <c:pt idx="15">
                  <c:v>0.24999999999999967</c:v>
                </c:pt>
                <c:pt idx="16">
                  <c:v>0.19999999999999968</c:v>
                </c:pt>
                <c:pt idx="17">
                  <c:v>0.14999999999999969</c:v>
                </c:pt>
                <c:pt idx="18">
                  <c:v>9.9999999999999686E-2</c:v>
                </c:pt>
                <c:pt idx="19">
                  <c:v>4.9999999999999684E-2</c:v>
                </c:pt>
              </c:numCache>
            </c:numRef>
          </c:xVal>
          <c:yVal>
            <c:numRef>
              <c:f>'VRF E+ to CSE'!$V$14:$V$33</c:f>
              <c:numCache>
                <c:formatCode>General</c:formatCode>
                <c:ptCount val="20"/>
                <c:pt idx="0">
                  <c:v>0.99975948786000568</c:v>
                </c:pt>
                <c:pt idx="1">
                  <c:v>1.0265801312949525</c:v>
                </c:pt>
                <c:pt idx="2">
                  <c:v>1.0551921583450095</c:v>
                </c:pt>
                <c:pt idx="3">
                  <c:v>1.0852130973220624</c:v>
                </c:pt>
                <c:pt idx="4">
                  <c:v>1.1160028454635276</c:v>
                </c:pt>
                <c:pt idx="5">
                  <c:v>1.1465495724506856</c:v>
                </c:pt>
                <c:pt idx="6">
                  <c:v>1.175321021164399</c:v>
                </c:pt>
                <c:pt idx="7">
                  <c:v>1.2000848911342268</c:v>
                </c:pt>
                <c:pt idx="8">
                  <c:v>1.2177206557826767</c:v>
                </c:pt>
                <c:pt idx="9">
                  <c:v>1.2240813349542892</c:v>
                </c:pt>
                <c:pt idx="10">
                  <c:v>1.2140207351827919</c:v>
                </c:pt>
                <c:pt idx="11">
                  <c:v>1.1817659842501946</c:v>
                </c:pt>
                <c:pt idx="12">
                  <c:v>1.1218337652681263</c:v>
                </c:pt>
                <c:pt idx="13">
                  <c:v>1.0305582806844336</c:v>
                </c:pt>
                <c:pt idx="14">
                  <c:v>0.90792933346546334</c:v>
                </c:pt>
                <c:pt idx="15">
                  <c:v>0.75893604334873332</c:v>
                </c:pt>
                <c:pt idx="16">
                  <c:v>0.73616796204827217</c:v>
                </c:pt>
                <c:pt idx="17">
                  <c:v>0.71339988074781013</c:v>
                </c:pt>
                <c:pt idx="18">
                  <c:v>0.6906317994473482</c:v>
                </c:pt>
                <c:pt idx="19">
                  <c:v>0.66786371814688605</c:v>
                </c:pt>
              </c:numCache>
            </c:numRef>
          </c:yVal>
          <c:smooth val="0"/>
          <c:extLst>
            <c:ext xmlns:c16="http://schemas.microsoft.com/office/drawing/2014/chart" uri="{C3380CC4-5D6E-409C-BE32-E72D297353CC}">
              <c16:uniqueId val="{00000000-64F9-42B1-8451-8BC8B822C638}"/>
            </c:ext>
          </c:extLst>
        </c:ser>
        <c:ser>
          <c:idx val="1"/>
          <c:order val="1"/>
          <c:tx>
            <c:strRef>
              <c:f>'VRF E+ to CSE'!$W$7</c:f>
              <c:strCache>
                <c:ptCount val="1"/>
                <c:pt idx="0">
                  <c:v>CSE</c:v>
                </c:pt>
              </c:strCache>
            </c:strRef>
          </c:tx>
          <c:spPr>
            <a:ln w="19050" cap="rnd">
              <a:solidFill>
                <a:schemeClr val="accent2"/>
              </a:solidFill>
              <a:prstDash val="dash"/>
              <a:round/>
            </a:ln>
            <a:effectLst/>
          </c:spPr>
          <c:marker>
            <c:symbol val="none"/>
          </c:marker>
          <c:xVal>
            <c:numRef>
              <c:f>'VRF E+ to CSE'!$S$14:$S$33</c:f>
              <c:numCache>
                <c:formatCode>General</c:formatCode>
                <c:ptCount val="20"/>
                <c:pt idx="0">
                  <c:v>1</c:v>
                </c:pt>
                <c:pt idx="1">
                  <c:v>0.95</c:v>
                </c:pt>
                <c:pt idx="2">
                  <c:v>0.89999999999999991</c:v>
                </c:pt>
                <c:pt idx="3">
                  <c:v>0.84999999999999987</c:v>
                </c:pt>
                <c:pt idx="4">
                  <c:v>0.79999999999999982</c:v>
                </c:pt>
                <c:pt idx="5">
                  <c:v>0.74999999999999978</c:v>
                </c:pt>
                <c:pt idx="6">
                  <c:v>0.69999999999999973</c:v>
                </c:pt>
                <c:pt idx="7">
                  <c:v>0.64999999999999969</c:v>
                </c:pt>
                <c:pt idx="8">
                  <c:v>0.59999999999999964</c:v>
                </c:pt>
                <c:pt idx="9">
                  <c:v>0.5499999999999996</c:v>
                </c:pt>
                <c:pt idx="10">
                  <c:v>0.49999999999999961</c:v>
                </c:pt>
                <c:pt idx="11">
                  <c:v>0.44999999999999962</c:v>
                </c:pt>
                <c:pt idx="12">
                  <c:v>0.39999999999999963</c:v>
                </c:pt>
                <c:pt idx="13">
                  <c:v>0.34999999999999964</c:v>
                </c:pt>
                <c:pt idx="14">
                  <c:v>0.29999999999999966</c:v>
                </c:pt>
                <c:pt idx="15">
                  <c:v>0.24999999999999967</c:v>
                </c:pt>
                <c:pt idx="16">
                  <c:v>0.19999999999999968</c:v>
                </c:pt>
                <c:pt idx="17">
                  <c:v>0.14999999999999969</c:v>
                </c:pt>
                <c:pt idx="18">
                  <c:v>9.9999999999999686E-2</c:v>
                </c:pt>
                <c:pt idx="19">
                  <c:v>4.9999999999999684E-2</c:v>
                </c:pt>
              </c:numCache>
            </c:numRef>
          </c:xVal>
          <c:yVal>
            <c:numRef>
              <c:f>'VRF E+ to CSE'!$Z$14:$Z$33</c:f>
              <c:numCache>
                <c:formatCode>General</c:formatCode>
                <c:ptCount val="20"/>
                <c:pt idx="0">
                  <c:v>1.0074711760184474</c:v>
                </c:pt>
                <c:pt idx="1">
                  <c:v>1.035944438362657</c:v>
                </c:pt>
                <c:pt idx="2">
                  <c:v>1.0646620902463904</c:v>
                </c:pt>
                <c:pt idx="3">
                  <c:v>1.0935983949729802</c:v>
                </c:pt>
                <c:pt idx="4">
                  <c:v>1.1227282295979233</c:v>
                </c:pt>
                <c:pt idx="5">
                  <c:v>1.1520273346329553</c:v>
                </c:pt>
                <c:pt idx="6">
                  <c:v>1.1814725504225627</c:v>
                </c:pt>
                <c:pt idx="7">
                  <c:v>1.2110420350796742</c:v>
                </c:pt>
                <c:pt idx="8">
                  <c:v>1.2407154590541185</c:v>
                </c:pt>
                <c:pt idx="9">
                  <c:v>1.2704741716957635</c:v>
                </c:pt>
                <c:pt idx="10">
                  <c:v>1.2069504631109755</c:v>
                </c:pt>
                <c:pt idx="11">
                  <c:v>1.1434267545261876</c:v>
                </c:pt>
                <c:pt idx="12">
                  <c:v>1.0799030459413994</c:v>
                </c:pt>
                <c:pt idx="13">
                  <c:v>1.016379337356611</c:v>
                </c:pt>
                <c:pt idx="14">
                  <c:v>0.95285562877182284</c:v>
                </c:pt>
                <c:pt idx="15">
                  <c:v>0.88933192018703455</c:v>
                </c:pt>
                <c:pt idx="16">
                  <c:v>0.82580821160224649</c:v>
                </c:pt>
                <c:pt idx="17">
                  <c:v>0.76228450301745809</c:v>
                </c:pt>
                <c:pt idx="18">
                  <c:v>0.69876079443266992</c:v>
                </c:pt>
                <c:pt idx="19">
                  <c:v>0.63523708584788174</c:v>
                </c:pt>
              </c:numCache>
            </c:numRef>
          </c:yVal>
          <c:smooth val="0"/>
          <c:extLst>
            <c:ext xmlns:c16="http://schemas.microsoft.com/office/drawing/2014/chart" uri="{C3380CC4-5D6E-409C-BE32-E72D297353CC}">
              <c16:uniqueId val="{00000002-64F9-42B1-8451-8BC8B822C638}"/>
            </c:ext>
          </c:extLst>
        </c:ser>
        <c:dLbls>
          <c:showLegendKey val="0"/>
          <c:showVal val="0"/>
          <c:showCatName val="0"/>
          <c:showSerName val="0"/>
          <c:showPercent val="0"/>
          <c:showBubbleSize val="0"/>
        </c:dLbls>
        <c:axId val="630715519"/>
        <c:axId val="630707199"/>
      </c:scatterChart>
      <c:valAx>
        <c:axId val="630715519"/>
        <c:scaling>
          <c:orientation val="minMax"/>
          <c:max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PLR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707199"/>
        <c:crosses val="autoZero"/>
        <c:crossBetween val="midCat"/>
      </c:valAx>
      <c:valAx>
        <c:axId val="630707199"/>
        <c:scaling>
          <c:orientation val="minMax"/>
          <c:min val="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COP/COP_ref</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71551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Heating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'VRF E+ to CSE'!$S$7</c:f>
              <c:strCache>
                <c:ptCount val="1"/>
                <c:pt idx="0">
                  <c:v>EnergyPlus Default</c:v>
                </c:pt>
              </c:strCache>
            </c:strRef>
          </c:tx>
          <c:spPr>
            <a:ln w="19050" cap="rnd">
              <a:solidFill>
                <a:schemeClr val="accent1"/>
              </a:solidFill>
              <a:round/>
            </a:ln>
            <a:effectLst/>
          </c:spPr>
          <c:marker>
            <c:symbol val="none"/>
          </c:marker>
          <c:xVal>
            <c:numRef>
              <c:f>'VRF E+ to CSE'!$S$56:$S$75</c:f>
              <c:numCache>
                <c:formatCode>General</c:formatCode>
                <c:ptCount val="20"/>
                <c:pt idx="0">
                  <c:v>1</c:v>
                </c:pt>
                <c:pt idx="1">
                  <c:v>0.95</c:v>
                </c:pt>
                <c:pt idx="2">
                  <c:v>0.89999999999999991</c:v>
                </c:pt>
                <c:pt idx="3">
                  <c:v>0.84999999999999987</c:v>
                </c:pt>
                <c:pt idx="4">
                  <c:v>0.79999999999999982</c:v>
                </c:pt>
                <c:pt idx="5">
                  <c:v>0.74999999999999978</c:v>
                </c:pt>
                <c:pt idx="6">
                  <c:v>0.69999999999999973</c:v>
                </c:pt>
                <c:pt idx="7">
                  <c:v>0.64999999999999969</c:v>
                </c:pt>
                <c:pt idx="8">
                  <c:v>0.59999999999999964</c:v>
                </c:pt>
                <c:pt idx="9">
                  <c:v>0.5499999999999996</c:v>
                </c:pt>
                <c:pt idx="10">
                  <c:v>0.49999999999999961</c:v>
                </c:pt>
                <c:pt idx="11">
                  <c:v>0.44999999999999962</c:v>
                </c:pt>
                <c:pt idx="12">
                  <c:v>0.39999999999999963</c:v>
                </c:pt>
                <c:pt idx="13">
                  <c:v>0.34999999999999964</c:v>
                </c:pt>
                <c:pt idx="14">
                  <c:v>0.29999999999999966</c:v>
                </c:pt>
                <c:pt idx="15">
                  <c:v>0.24999999999999967</c:v>
                </c:pt>
                <c:pt idx="16">
                  <c:v>0.19999999999999968</c:v>
                </c:pt>
                <c:pt idx="17">
                  <c:v>0.14999999999999969</c:v>
                </c:pt>
                <c:pt idx="18">
                  <c:v>9.9999999999999686E-2</c:v>
                </c:pt>
                <c:pt idx="19">
                  <c:v>4.9999999999999684E-2</c:v>
                </c:pt>
              </c:numCache>
            </c:numRef>
          </c:xVal>
          <c:yVal>
            <c:numRef>
              <c:f>'VRF E+ to CSE'!$V$56:$V$75</c:f>
              <c:numCache>
                <c:formatCode>General</c:formatCode>
                <c:ptCount val="20"/>
                <c:pt idx="0">
                  <c:v>0.99999990000000993</c:v>
                </c:pt>
                <c:pt idx="1">
                  <c:v>1.0076311430387079</c:v>
                </c:pt>
                <c:pt idx="2">
                  <c:v>1.0141011804653692</c:v>
                </c:pt>
                <c:pt idx="3">
                  <c:v>1.0192128436718262</c:v>
                </c:pt>
                <c:pt idx="4">
                  <c:v>1.0227348213237932</c:v>
                </c:pt>
                <c:pt idx="5">
                  <c:v>1.0243935135291748</c:v>
                </c:pt>
                <c:pt idx="6">
                  <c:v>1.023862270543501</c:v>
                </c:pt>
                <c:pt idx="7">
                  <c:v>1.0207469670707854</c:v>
                </c:pt>
                <c:pt idx="8">
                  <c:v>1.014566355069846</c:v>
                </c:pt>
                <c:pt idx="9">
                  <c:v>1.0047248357045171</c:v>
                </c:pt>
                <c:pt idx="10">
                  <c:v>0.99047399256723545</c:v>
                </c:pt>
                <c:pt idx="11">
                  <c:v>0.97085706737456212</c:v>
                </c:pt>
                <c:pt idx="12">
                  <c:v>0.94462684884515868</c:v>
                </c:pt>
                <c:pt idx="13">
                  <c:v>0.91012084388661585</c:v>
                </c:pt>
                <c:pt idx="14">
                  <c:v>0.86506536725297789</c:v>
                </c:pt>
                <c:pt idx="15">
                  <c:v>0.80625642488737981</c:v>
                </c:pt>
                <c:pt idx="16">
                  <c:v>0.78206873214075934</c:v>
                </c:pt>
                <c:pt idx="17">
                  <c:v>0.75788103939413798</c:v>
                </c:pt>
                <c:pt idx="18">
                  <c:v>0.73369334664751651</c:v>
                </c:pt>
                <c:pt idx="19">
                  <c:v>0.70950565390089515</c:v>
                </c:pt>
              </c:numCache>
            </c:numRef>
          </c:yVal>
          <c:smooth val="0"/>
          <c:extLst>
            <c:ext xmlns:c16="http://schemas.microsoft.com/office/drawing/2014/chart" uri="{C3380CC4-5D6E-409C-BE32-E72D297353CC}">
              <c16:uniqueId val="{00000000-BD65-4AC9-89C8-5D060D03A756}"/>
            </c:ext>
          </c:extLst>
        </c:ser>
        <c:ser>
          <c:idx val="1"/>
          <c:order val="1"/>
          <c:tx>
            <c:strRef>
              <c:f>'VRF E+ to CSE'!$W$7</c:f>
              <c:strCache>
                <c:ptCount val="1"/>
                <c:pt idx="0">
                  <c:v>CSE</c:v>
                </c:pt>
              </c:strCache>
            </c:strRef>
          </c:tx>
          <c:spPr>
            <a:ln w="19050" cap="rnd">
              <a:solidFill>
                <a:schemeClr val="accent2"/>
              </a:solidFill>
              <a:prstDash val="dash"/>
              <a:round/>
            </a:ln>
            <a:effectLst/>
          </c:spPr>
          <c:marker>
            <c:symbol val="none"/>
          </c:marker>
          <c:xVal>
            <c:numRef>
              <c:f>'VRF E+ to CSE'!$S$56:$S$75</c:f>
              <c:numCache>
                <c:formatCode>General</c:formatCode>
                <c:ptCount val="20"/>
                <c:pt idx="0">
                  <c:v>1</c:v>
                </c:pt>
                <c:pt idx="1">
                  <c:v>0.95</c:v>
                </c:pt>
                <c:pt idx="2">
                  <c:v>0.89999999999999991</c:v>
                </c:pt>
                <c:pt idx="3">
                  <c:v>0.84999999999999987</c:v>
                </c:pt>
                <c:pt idx="4">
                  <c:v>0.79999999999999982</c:v>
                </c:pt>
                <c:pt idx="5">
                  <c:v>0.74999999999999978</c:v>
                </c:pt>
                <c:pt idx="6">
                  <c:v>0.69999999999999973</c:v>
                </c:pt>
                <c:pt idx="7">
                  <c:v>0.64999999999999969</c:v>
                </c:pt>
                <c:pt idx="8">
                  <c:v>0.59999999999999964</c:v>
                </c:pt>
                <c:pt idx="9">
                  <c:v>0.5499999999999996</c:v>
                </c:pt>
                <c:pt idx="10">
                  <c:v>0.49999999999999961</c:v>
                </c:pt>
                <c:pt idx="11">
                  <c:v>0.44999999999999962</c:v>
                </c:pt>
                <c:pt idx="12">
                  <c:v>0.39999999999999963</c:v>
                </c:pt>
                <c:pt idx="13">
                  <c:v>0.34999999999999964</c:v>
                </c:pt>
                <c:pt idx="14">
                  <c:v>0.29999999999999966</c:v>
                </c:pt>
                <c:pt idx="15">
                  <c:v>0.24999999999999967</c:v>
                </c:pt>
                <c:pt idx="16">
                  <c:v>0.19999999999999968</c:v>
                </c:pt>
                <c:pt idx="17">
                  <c:v>0.14999999999999969</c:v>
                </c:pt>
                <c:pt idx="18">
                  <c:v>9.9999999999999686E-2</c:v>
                </c:pt>
                <c:pt idx="19">
                  <c:v>4.9999999999999684E-2</c:v>
                </c:pt>
              </c:numCache>
            </c:numRef>
          </c:xVal>
          <c:yVal>
            <c:numRef>
              <c:f>'VRF E+ to CSE'!$Z$56:$Z$75</c:f>
              <c:numCache>
                <c:formatCode>General</c:formatCode>
                <c:ptCount val="20"/>
                <c:pt idx="0">
                  <c:v>1.0000062092517852</c:v>
                </c:pt>
                <c:pt idx="1">
                  <c:v>1.0050048286168884</c:v>
                </c:pt>
                <c:pt idx="2">
                  <c:v>1.0100037031566813</c:v>
                </c:pt>
                <c:pt idx="3">
                  <c:v>1.0150027963945145</c:v>
                </c:pt>
                <c:pt idx="4">
                  <c:v>1.0200020753319139</c:v>
                </c:pt>
                <c:pt idx="5">
                  <c:v>1.025001510314516</c:v>
                </c:pt>
                <c:pt idx="6">
                  <c:v>1.0300010748910633</c:v>
                </c:pt>
                <c:pt idx="7">
                  <c:v>1.0350007456654491</c:v>
                </c:pt>
                <c:pt idx="8">
                  <c:v>1.0400005021418002</c:v>
                </c:pt>
                <c:pt idx="9">
                  <c:v>1.0450003265626022</c:v>
                </c:pt>
                <c:pt idx="10">
                  <c:v>1.0117503161719745</c:v>
                </c:pt>
                <c:pt idx="11">
                  <c:v>0.97850030578134628</c:v>
                </c:pt>
                <c:pt idx="12">
                  <c:v>0.94525029539071814</c:v>
                </c:pt>
                <c:pt idx="13">
                  <c:v>0.91200028500008967</c:v>
                </c:pt>
                <c:pt idx="14">
                  <c:v>0.87875027460946165</c:v>
                </c:pt>
                <c:pt idx="15">
                  <c:v>0.84550026421883318</c:v>
                </c:pt>
                <c:pt idx="16">
                  <c:v>0.81225025382820504</c:v>
                </c:pt>
                <c:pt idx="17">
                  <c:v>0.77900024343757657</c:v>
                </c:pt>
                <c:pt idx="18">
                  <c:v>0.74575023304694821</c:v>
                </c:pt>
                <c:pt idx="19">
                  <c:v>0.71250022265631996</c:v>
                </c:pt>
              </c:numCache>
            </c:numRef>
          </c:yVal>
          <c:smooth val="0"/>
          <c:extLst>
            <c:ext xmlns:c16="http://schemas.microsoft.com/office/drawing/2014/chart" uri="{C3380CC4-5D6E-409C-BE32-E72D297353CC}">
              <c16:uniqueId val="{00000001-BD65-4AC9-89C8-5D060D03A756}"/>
            </c:ext>
          </c:extLst>
        </c:ser>
        <c:dLbls>
          <c:showLegendKey val="0"/>
          <c:showVal val="0"/>
          <c:showCatName val="0"/>
          <c:showSerName val="0"/>
          <c:showPercent val="0"/>
          <c:showBubbleSize val="0"/>
        </c:dLbls>
        <c:axId val="630715519"/>
        <c:axId val="630707199"/>
      </c:scatterChart>
      <c:valAx>
        <c:axId val="630715519"/>
        <c:scaling>
          <c:orientation val="minMax"/>
          <c:max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PLR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707199"/>
        <c:crosses val="autoZero"/>
        <c:crossBetween val="midCat"/>
      </c:valAx>
      <c:valAx>
        <c:axId val="630707199"/>
        <c:scaling>
          <c:orientation val="minMax"/>
          <c:min val="0.6000000000000000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COP/COP_ref</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71551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21</xdr:col>
      <xdr:colOff>212912</xdr:colOff>
      <xdr:row>135</xdr:row>
      <xdr:rowOff>44822</xdr:rowOff>
    </xdr:from>
    <xdr:to>
      <xdr:col>21</xdr:col>
      <xdr:colOff>212912</xdr:colOff>
      <xdr:row>136</xdr:row>
      <xdr:rowOff>302558</xdr:rowOff>
    </xdr:to>
    <xdr:cxnSp macro="">
      <xdr:nvCxnSpPr>
        <xdr:cNvPr id="5" name="Straight Arrow Connector 4">
          <a:extLst>
            <a:ext uri="{FF2B5EF4-FFF2-40B4-BE49-F238E27FC236}">
              <a16:creationId xmlns:a16="http://schemas.microsoft.com/office/drawing/2014/main" id="{00000000-0008-0000-0000-000005000000}"/>
            </a:ext>
          </a:extLst>
        </xdr:cNvPr>
        <xdr:cNvCxnSpPr/>
      </xdr:nvCxnSpPr>
      <xdr:spPr>
        <a:xfrm flipV="1">
          <a:off x="34413265" y="33046146"/>
          <a:ext cx="0" cy="638736"/>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201706</xdr:colOff>
      <xdr:row>129</xdr:row>
      <xdr:rowOff>78441</xdr:rowOff>
    </xdr:from>
    <xdr:to>
      <xdr:col>21</xdr:col>
      <xdr:colOff>201706</xdr:colOff>
      <xdr:row>130</xdr:row>
      <xdr:rowOff>336177</xdr:rowOff>
    </xdr:to>
    <xdr:cxnSp macro="">
      <xdr:nvCxnSpPr>
        <xdr:cNvPr id="6" name="Straight Arrow Connector 5">
          <a:extLst>
            <a:ext uri="{FF2B5EF4-FFF2-40B4-BE49-F238E27FC236}">
              <a16:creationId xmlns:a16="http://schemas.microsoft.com/office/drawing/2014/main" id="{00000000-0008-0000-0000-000006000000}"/>
            </a:ext>
          </a:extLst>
        </xdr:cNvPr>
        <xdr:cNvCxnSpPr/>
      </xdr:nvCxnSpPr>
      <xdr:spPr>
        <a:xfrm flipV="1">
          <a:off x="34402059" y="30793765"/>
          <a:ext cx="0" cy="638736"/>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98</xdr:col>
      <xdr:colOff>268942</xdr:colOff>
      <xdr:row>142</xdr:row>
      <xdr:rowOff>123265</xdr:rowOff>
    </xdr:from>
    <xdr:to>
      <xdr:col>106</xdr:col>
      <xdr:colOff>0</xdr:colOff>
      <xdr:row>151</xdr:row>
      <xdr:rowOff>183777</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506743</xdr:colOff>
      <xdr:row>15</xdr:row>
      <xdr:rowOff>20970</xdr:rowOff>
    </xdr:from>
    <xdr:to>
      <xdr:col>24</xdr:col>
      <xdr:colOff>176091</xdr:colOff>
      <xdr:row>40</xdr:row>
      <xdr:rowOff>40019</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12</xdr:col>
      <xdr:colOff>1061358</xdr:colOff>
      <xdr:row>2</xdr:row>
      <xdr:rowOff>24492</xdr:rowOff>
    </xdr:from>
    <xdr:to>
      <xdr:col>23</xdr:col>
      <xdr:colOff>557894</xdr:colOff>
      <xdr:row>23</xdr:row>
      <xdr:rowOff>163285</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444153</xdr:colOff>
      <xdr:row>8</xdr:row>
      <xdr:rowOff>39341</xdr:rowOff>
    </xdr:from>
    <xdr:to>
      <xdr:col>6</xdr:col>
      <xdr:colOff>397565</xdr:colOff>
      <xdr:row>29</xdr:row>
      <xdr:rowOff>163166</xdr:rowOff>
    </xdr:to>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17</xdr:col>
      <xdr:colOff>203671</xdr:colOff>
      <xdr:row>34</xdr:row>
      <xdr:rowOff>22661</xdr:rowOff>
    </xdr:from>
    <xdr:to>
      <xdr:col>21</xdr:col>
      <xdr:colOff>728383</xdr:colOff>
      <xdr:row>45</xdr:row>
      <xdr:rowOff>158485</xdr:rowOff>
    </xdr:to>
    <xdr:graphicFrame macro="">
      <xdr:nvGraphicFramePr>
        <xdr:cNvPr id="20" name="Chart 19">
          <a:extLst>
            <a:ext uri="{FF2B5EF4-FFF2-40B4-BE49-F238E27FC236}">
              <a16:creationId xmlns:a16="http://schemas.microsoft.com/office/drawing/2014/main" id="{4D293BF9-3533-4F82-B5EB-9E297748AB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11206</xdr:colOff>
      <xdr:row>34</xdr:row>
      <xdr:rowOff>0</xdr:rowOff>
    </xdr:from>
    <xdr:to>
      <xdr:col>27</xdr:col>
      <xdr:colOff>76477</xdr:colOff>
      <xdr:row>45</xdr:row>
      <xdr:rowOff>135824</xdr:rowOff>
    </xdr:to>
    <xdr:graphicFrame macro="">
      <xdr:nvGraphicFramePr>
        <xdr:cNvPr id="21" name="Chart 20">
          <a:extLst>
            <a:ext uri="{FF2B5EF4-FFF2-40B4-BE49-F238E27FC236}">
              <a16:creationId xmlns:a16="http://schemas.microsoft.com/office/drawing/2014/main" id="{71659808-B29D-463A-8494-805855C6EC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T277"/>
  <sheetViews>
    <sheetView zoomScale="85" zoomScaleNormal="85" workbookViewId="0">
      <pane xSplit="6" ySplit="15" topLeftCell="T243" activePane="bottomRight" state="frozen"/>
      <selection pane="topRight" activeCell="G1" sqref="G1"/>
      <selection pane="bottomLeft" activeCell="A16" sqref="A16"/>
      <selection pane="bottomRight" activeCell="F269" sqref="F269"/>
    </sheetView>
  </sheetViews>
  <sheetFormatPr defaultColWidth="9.140625" defaultRowHeight="15" outlineLevelRow="1" outlineLevelCol="2" x14ac:dyDescent="0.25"/>
  <cols>
    <col min="1" max="1" width="3.5703125" style="41" customWidth="1"/>
    <col min="2" max="3" width="10.7109375" style="43" customWidth="1"/>
    <col min="4" max="4" width="46" style="44" customWidth="1"/>
    <col min="5" max="5" width="14.140625" style="43" customWidth="1" outlineLevel="1"/>
    <col min="6" max="6" width="30.42578125" style="43" customWidth="1" outlineLevel="1"/>
    <col min="7" max="7" width="37.7109375" style="45" customWidth="1" outlineLevel="1"/>
    <col min="8" max="8" width="25.42578125" style="43" customWidth="1" outlineLevel="1"/>
    <col min="9" max="9" width="18.28515625" style="43" customWidth="1" outlineLevel="2"/>
    <col min="10" max="10" width="14.85546875" style="43" customWidth="1" outlineLevel="2"/>
    <col min="11" max="11" width="20.140625" style="43" customWidth="1" outlineLevel="2"/>
    <col min="12" max="12" width="42.28515625" style="43" customWidth="1" outlineLevel="2"/>
    <col min="13" max="13" width="77.85546875" style="43" bestFit="1" customWidth="1" outlineLevel="2"/>
    <col min="14" max="14" width="50.7109375" style="43" customWidth="1"/>
    <col min="15" max="15" width="17" style="43" customWidth="1"/>
    <col min="16" max="16" width="15.5703125" style="43" customWidth="1"/>
    <col min="17" max="17" width="10.28515625" style="43" customWidth="1"/>
    <col min="18" max="21" width="12" style="43" customWidth="1"/>
    <col min="22" max="22" width="12.7109375" style="46" customWidth="1"/>
    <col min="23" max="26" width="12.7109375" style="46" customWidth="1" outlineLevel="1"/>
    <col min="27" max="27" width="16.28515625" style="46" customWidth="1" outlineLevel="1"/>
    <col min="28" max="31" width="9.7109375" style="43" hidden="1" customWidth="1" outlineLevel="1"/>
    <col min="32" max="32" width="8.85546875" style="43" hidden="1" customWidth="1" outlineLevel="1"/>
    <col min="33" max="33" width="9.42578125" style="43" customWidth="1"/>
    <col min="34" max="34" width="9.140625" style="43" customWidth="1" outlineLevel="1"/>
    <col min="35" max="38" width="10.5703125" style="43" customWidth="1" outlineLevel="1"/>
    <col min="39" max="39" width="50.140625" style="45" customWidth="1"/>
    <col min="40" max="40" width="3.28515625" style="43" customWidth="1"/>
    <col min="41" max="41" width="9.140625" style="43" customWidth="1"/>
    <col min="42" max="42" width="69.140625" style="43" customWidth="1"/>
    <col min="43" max="44" width="19.42578125" style="43" customWidth="1" outlineLevel="1"/>
    <col min="45" max="45" width="14.28515625" style="43" customWidth="1" outlineLevel="1"/>
    <col min="46" max="46" width="11.85546875" style="43" customWidth="1" outlineLevel="1"/>
    <col min="47" max="47" width="7.42578125" style="43" customWidth="1" outlineLevel="1"/>
    <col min="48" max="48" width="65" style="43" customWidth="1" outlineLevel="1"/>
    <col min="49" max="49" width="12.28515625" style="43" customWidth="1" outlineLevel="1"/>
    <col min="50" max="55" width="14.140625" style="43" customWidth="1" outlineLevel="1"/>
    <col min="56" max="56" width="7.85546875" style="43" customWidth="1" outlineLevel="1"/>
    <col min="57" max="57" width="10" style="43" customWidth="1" outlineLevel="1"/>
    <col min="58" max="58" width="9.7109375" style="43" customWidth="1" outlineLevel="1"/>
    <col min="59" max="59" width="10.7109375" style="43" customWidth="1" outlineLevel="1"/>
    <col min="60" max="60" width="10.42578125" style="43" customWidth="1" outlineLevel="1"/>
    <col min="61" max="61" width="10.7109375" style="43" customWidth="1" outlineLevel="1"/>
    <col min="62" max="62" width="10.28515625" style="43" customWidth="1" outlineLevel="1"/>
    <col min="63" max="64" width="9.140625" style="43"/>
    <col min="65" max="66" width="11.42578125" style="43" customWidth="1"/>
    <col min="67" max="72" width="9.7109375" style="43" customWidth="1"/>
    <col min="73" max="73" width="10.7109375" style="43" customWidth="1"/>
    <col min="74" max="75" width="9.7109375" style="43" customWidth="1"/>
    <col min="76" max="78" width="11.140625" style="43" customWidth="1"/>
    <col min="79" max="16384" width="9.140625" style="43"/>
  </cols>
  <sheetData>
    <row r="1" spans="1:84" ht="18.75" x14ac:dyDescent="0.25">
      <c r="B1" s="42" t="s">
        <v>529</v>
      </c>
      <c r="U1"/>
      <c r="V1"/>
      <c r="W1"/>
      <c r="X1"/>
      <c r="Y1"/>
      <c r="Z1"/>
      <c r="AA1"/>
      <c r="AB1"/>
      <c r="AC1"/>
      <c r="AD1"/>
    </row>
    <row r="2" spans="1:84" x14ac:dyDescent="0.25">
      <c r="U2"/>
      <c r="V2"/>
      <c r="W2"/>
      <c r="X2"/>
      <c r="Y2"/>
      <c r="Z2"/>
      <c r="AA2"/>
      <c r="AB2"/>
      <c r="AC2"/>
      <c r="AD2"/>
      <c r="AT2" s="43" t="s">
        <v>286</v>
      </c>
      <c r="AU2" s="43" t="s">
        <v>341</v>
      </c>
    </row>
    <row r="3" spans="1:84" x14ac:dyDescent="0.25">
      <c r="B3" s="127" t="s">
        <v>633</v>
      </c>
      <c r="U3"/>
      <c r="V3"/>
      <c r="W3"/>
      <c r="X3"/>
      <c r="Y3"/>
      <c r="Z3"/>
      <c r="AA3"/>
      <c r="AB3"/>
      <c r="AC3"/>
      <c r="AD3"/>
      <c r="AT3" s="43" t="s">
        <v>340</v>
      </c>
      <c r="AU3" s="48" t="s">
        <v>511</v>
      </c>
      <c r="AV3" s="48"/>
      <c r="AW3" s="48"/>
    </row>
    <row r="4" spans="1:84" x14ac:dyDescent="0.25">
      <c r="B4" s="51" t="s">
        <v>433</v>
      </c>
      <c r="C4" s="43" t="s">
        <v>434</v>
      </c>
      <c r="U4"/>
      <c r="V4"/>
      <c r="W4"/>
      <c r="X4"/>
      <c r="Y4"/>
      <c r="Z4"/>
      <c r="AA4"/>
      <c r="AB4"/>
      <c r="AC4"/>
      <c r="AD4"/>
      <c r="AT4" s="43" t="s">
        <v>162</v>
      </c>
      <c r="AU4" s="43" t="s">
        <v>342</v>
      </c>
    </row>
    <row r="5" spans="1:84" x14ac:dyDescent="0.25">
      <c r="B5" s="48" t="s">
        <v>429</v>
      </c>
      <c r="C5" s="48" t="s">
        <v>430</v>
      </c>
      <c r="D5" s="49"/>
      <c r="G5" s="60"/>
      <c r="U5"/>
      <c r="V5"/>
      <c r="W5"/>
      <c r="X5"/>
      <c r="Y5"/>
      <c r="Z5"/>
      <c r="AA5"/>
      <c r="AB5"/>
      <c r="AC5"/>
      <c r="AD5"/>
      <c r="AT5" s="20" t="s">
        <v>165</v>
      </c>
      <c r="AU5" s="20" t="s">
        <v>343</v>
      </c>
      <c r="AV5" s="20"/>
      <c r="AW5" s="20"/>
    </row>
    <row r="6" spans="1:84" x14ac:dyDescent="0.25">
      <c r="B6" s="52" t="s">
        <v>431</v>
      </c>
      <c r="C6" s="52" t="s">
        <v>432</v>
      </c>
      <c r="G6" s="60"/>
      <c r="U6"/>
      <c r="V6"/>
      <c r="W6"/>
      <c r="X6"/>
      <c r="Y6"/>
      <c r="Z6"/>
      <c r="AA6"/>
      <c r="AB6"/>
      <c r="AC6"/>
      <c r="AD6"/>
      <c r="AT6" s="20" t="s">
        <v>230</v>
      </c>
      <c r="AU6" s="20" t="s">
        <v>344</v>
      </c>
      <c r="AV6" s="20"/>
      <c r="AW6" s="20"/>
    </row>
    <row r="7" spans="1:84" x14ac:dyDescent="0.25">
      <c r="B7" s="126" t="s">
        <v>642</v>
      </c>
      <c r="U7"/>
      <c r="V7"/>
      <c r="W7"/>
      <c r="X7"/>
      <c r="Y7"/>
      <c r="Z7"/>
      <c r="AA7"/>
      <c r="AB7"/>
      <c r="AC7"/>
      <c r="AD7"/>
      <c r="AT7" s="20" t="s">
        <v>207</v>
      </c>
      <c r="AU7" s="20" t="s">
        <v>376</v>
      </c>
      <c r="AV7" s="20"/>
      <c r="AW7" s="20"/>
    </row>
    <row r="8" spans="1:84" x14ac:dyDescent="0.25">
      <c r="U8"/>
      <c r="V8"/>
      <c r="W8"/>
      <c r="X8"/>
      <c r="Y8"/>
      <c r="Z8"/>
      <c r="AA8"/>
      <c r="AB8"/>
      <c r="AC8"/>
      <c r="AD8"/>
      <c r="AT8" s="20" t="s">
        <v>322</v>
      </c>
      <c r="AU8" s="20" t="s">
        <v>512</v>
      </c>
      <c r="AV8" s="20"/>
      <c r="AW8" s="20"/>
    </row>
    <row r="9" spans="1:84" x14ac:dyDescent="0.25">
      <c r="U9"/>
      <c r="V9"/>
      <c r="W9"/>
      <c r="X9"/>
      <c r="Y9"/>
      <c r="Z9"/>
      <c r="AA9"/>
      <c r="AB9"/>
      <c r="AC9"/>
      <c r="AD9"/>
      <c r="AT9" s="20" t="s">
        <v>508</v>
      </c>
      <c r="AU9" s="20" t="s">
        <v>513</v>
      </c>
      <c r="AV9" s="20"/>
      <c r="AW9" s="20"/>
    </row>
    <row r="10" spans="1:84" x14ac:dyDescent="0.25">
      <c r="U10"/>
      <c r="V10"/>
      <c r="W10"/>
      <c r="X10"/>
      <c r="Y10"/>
      <c r="Z10"/>
      <c r="AA10"/>
      <c r="AB10"/>
      <c r="AC10"/>
      <c r="AD10"/>
      <c r="AT10" s="20" t="s">
        <v>510</v>
      </c>
      <c r="AU10" s="20" t="s">
        <v>514</v>
      </c>
      <c r="AV10" s="20"/>
      <c r="AW10" s="20"/>
    </row>
    <row r="11" spans="1:84" x14ac:dyDescent="0.25">
      <c r="AI11" s="138"/>
      <c r="AV11" s="20"/>
      <c r="AW11" s="20"/>
      <c r="BT11" s="43" t="s">
        <v>724</v>
      </c>
      <c r="BU11" s="43">
        <v>1.05</v>
      </c>
    </row>
    <row r="12" spans="1:84" x14ac:dyDescent="0.25">
      <c r="B12" s="52"/>
      <c r="C12" s="52"/>
      <c r="AI12" s="138"/>
      <c r="AT12" s="20"/>
      <c r="AU12" s="20"/>
      <c r="AV12" s="20"/>
      <c r="AW12" s="20"/>
      <c r="BT12" s="43" t="s">
        <v>676</v>
      </c>
      <c r="BU12" s="43">
        <v>0.95</v>
      </c>
    </row>
    <row r="13" spans="1:84" x14ac:dyDescent="0.25">
      <c r="B13" s="94" t="s">
        <v>530</v>
      </c>
      <c r="C13" s="75"/>
      <c r="D13" s="95"/>
      <c r="E13" s="75"/>
      <c r="P13" s="324" t="s">
        <v>27</v>
      </c>
      <c r="Q13" s="324"/>
      <c r="R13" s="324"/>
      <c r="S13" s="324"/>
      <c r="T13" s="324"/>
      <c r="U13" s="324"/>
    </row>
    <row r="14" spans="1:84" ht="44.25" customHeight="1" x14ac:dyDescent="0.25">
      <c r="B14" s="75" t="s">
        <v>284</v>
      </c>
      <c r="C14" s="75" t="s">
        <v>256</v>
      </c>
      <c r="E14" s="20"/>
      <c r="F14" s="20"/>
      <c r="Q14" s="85"/>
      <c r="R14" s="89"/>
      <c r="S14" s="91" t="s">
        <v>518</v>
      </c>
      <c r="T14" s="89"/>
      <c r="U14" s="90"/>
      <c r="V14" s="88"/>
      <c r="W14" s="86"/>
      <c r="X14" s="86"/>
      <c r="Y14" s="86"/>
      <c r="Z14" s="86" t="s">
        <v>257</v>
      </c>
      <c r="AA14" s="86"/>
      <c r="AB14" s="86"/>
      <c r="AC14" s="86"/>
      <c r="AD14" s="86"/>
      <c r="AE14" s="87"/>
      <c r="AF14" s="41"/>
      <c r="AG14" s="85"/>
      <c r="AH14" s="88"/>
      <c r="AI14" s="86" t="s">
        <v>260</v>
      </c>
      <c r="AJ14" s="88"/>
      <c r="AK14" s="88"/>
      <c r="AL14" s="124"/>
      <c r="AP14" s="325" t="s">
        <v>722</v>
      </c>
      <c r="AU14" s="43">
        <v>15</v>
      </c>
      <c r="AW14" s="137">
        <v>65</v>
      </c>
      <c r="BD14" s="43">
        <f>AU14+AW14</f>
        <v>80</v>
      </c>
    </row>
    <row r="15" spans="1:84" s="129" customFormat="1" ht="31.5" customHeight="1" x14ac:dyDescent="0.25">
      <c r="B15" s="130" t="s">
        <v>123</v>
      </c>
      <c r="C15" s="130" t="s">
        <v>124</v>
      </c>
      <c r="D15" s="130" t="s">
        <v>30</v>
      </c>
      <c r="E15" s="130" t="s">
        <v>485</v>
      </c>
      <c r="F15" s="130" t="s">
        <v>486</v>
      </c>
      <c r="G15" s="130" t="s">
        <v>487</v>
      </c>
      <c r="H15" s="130" t="s">
        <v>488</v>
      </c>
      <c r="I15" s="130" t="s">
        <v>658</v>
      </c>
      <c r="J15" s="130" t="s">
        <v>631</v>
      </c>
      <c r="K15" s="130" t="s">
        <v>643</v>
      </c>
      <c r="L15" s="130" t="s">
        <v>483</v>
      </c>
      <c r="M15" s="130" t="s">
        <v>527</v>
      </c>
      <c r="N15" s="130" t="s">
        <v>632</v>
      </c>
      <c r="O15" s="130" t="s">
        <v>149</v>
      </c>
      <c r="P15" s="130" t="s">
        <v>261</v>
      </c>
      <c r="Q15" s="131" t="s">
        <v>114</v>
      </c>
      <c r="R15" s="131" t="s">
        <v>115</v>
      </c>
      <c r="S15" s="131" t="s">
        <v>500</v>
      </c>
      <c r="T15" s="131" t="s">
        <v>501</v>
      </c>
      <c r="U15" s="131" t="s">
        <v>506</v>
      </c>
      <c r="V15" s="132" t="s">
        <v>17</v>
      </c>
      <c r="W15" s="132" t="s">
        <v>18</v>
      </c>
      <c r="X15" s="132" t="s">
        <v>19</v>
      </c>
      <c r="Y15" s="132" t="s">
        <v>20</v>
      </c>
      <c r="Z15" s="132" t="s">
        <v>21</v>
      </c>
      <c r="AA15" s="132" t="s">
        <v>22</v>
      </c>
      <c r="AB15" s="130" t="s">
        <v>23</v>
      </c>
      <c r="AC15" s="130" t="s">
        <v>24</v>
      </c>
      <c r="AD15" s="130" t="s">
        <v>25</v>
      </c>
      <c r="AE15" s="130" t="s">
        <v>26</v>
      </c>
      <c r="AF15" s="146" t="s">
        <v>680</v>
      </c>
      <c r="AG15" s="130" t="s">
        <v>108</v>
      </c>
      <c r="AH15" s="130" t="s">
        <v>109</v>
      </c>
      <c r="AI15" s="130" t="s">
        <v>110</v>
      </c>
      <c r="AJ15" s="130" t="s">
        <v>112</v>
      </c>
      <c r="AK15" s="130" t="s">
        <v>111</v>
      </c>
      <c r="AL15" s="130" t="s">
        <v>113</v>
      </c>
      <c r="AM15" s="133" t="s">
        <v>266</v>
      </c>
      <c r="AN15" s="134"/>
      <c r="AO15" s="135" t="s">
        <v>359</v>
      </c>
      <c r="AP15" s="325"/>
      <c r="AQ15" s="129" t="s">
        <v>361</v>
      </c>
      <c r="AR15" s="129" t="s">
        <v>360</v>
      </c>
      <c r="AS15" s="129" t="s">
        <v>397</v>
      </c>
      <c r="AT15" s="129" t="s">
        <v>276</v>
      </c>
      <c r="AU15" s="129" t="s">
        <v>357</v>
      </c>
      <c r="AW15" s="129" t="s">
        <v>358</v>
      </c>
      <c r="AX15" s="129" t="s">
        <v>350</v>
      </c>
      <c r="AY15" s="129" t="s">
        <v>349</v>
      </c>
      <c r="AZ15" s="129" t="s">
        <v>348</v>
      </c>
      <c r="BA15" s="129" t="s">
        <v>347</v>
      </c>
      <c r="BB15" s="129" t="s">
        <v>346</v>
      </c>
      <c r="BC15" s="129" t="s">
        <v>345</v>
      </c>
      <c r="BD15" s="129" t="s">
        <v>358</v>
      </c>
      <c r="BE15" s="129" t="s">
        <v>351</v>
      </c>
      <c r="BF15" s="129" t="s">
        <v>352</v>
      </c>
      <c r="BG15" s="129" t="s">
        <v>353</v>
      </c>
      <c r="BH15" s="129" t="s">
        <v>354</v>
      </c>
      <c r="BI15" s="129" t="s">
        <v>355</v>
      </c>
      <c r="BJ15" s="129" t="s">
        <v>356</v>
      </c>
      <c r="BO15" s="129" t="s">
        <v>725</v>
      </c>
      <c r="BP15" s="129" t="s">
        <v>726</v>
      </c>
      <c r="BQ15" s="129" t="s">
        <v>723</v>
      </c>
      <c r="BR15" s="129" t="s">
        <v>112</v>
      </c>
      <c r="BS15" s="129" t="s">
        <v>111</v>
      </c>
      <c r="BT15" s="129" t="s">
        <v>113</v>
      </c>
      <c r="BU15" s="129" t="s">
        <v>727</v>
      </c>
      <c r="BV15" s="129" t="s">
        <v>108</v>
      </c>
      <c r="BW15" s="129" t="s">
        <v>109</v>
      </c>
      <c r="BX15" s="129" t="s">
        <v>266</v>
      </c>
      <c r="CB15" s="129" t="s">
        <v>732</v>
      </c>
      <c r="CC15" s="129" t="s">
        <v>735</v>
      </c>
      <c r="CD15" s="129" t="s">
        <v>733</v>
      </c>
      <c r="CE15" s="129" t="s">
        <v>734</v>
      </c>
      <c r="CF15" s="129" t="s">
        <v>266</v>
      </c>
    </row>
    <row r="16" spans="1:84" s="41" customFormat="1" collapsed="1" x14ac:dyDescent="0.25">
      <c r="A16" s="41" t="s">
        <v>268</v>
      </c>
      <c r="D16" s="47"/>
      <c r="G16" s="47"/>
      <c r="N16" s="43" t="str">
        <f t="shared" ref="N16:N47" si="0">IF(ISBLANK(E16),"-",E16&amp;H16&amp;P16&amp;"_f"&amp;Q16&amp;R16&amp;S16&amp;T16&amp;U16&amp;I16)</f>
        <v>-</v>
      </c>
      <c r="Q16" s="53"/>
      <c r="R16" s="53"/>
      <c r="S16" s="53"/>
      <c r="T16" s="53"/>
      <c r="U16" s="53"/>
      <c r="V16" s="54"/>
      <c r="W16" s="54"/>
      <c r="X16" s="54"/>
      <c r="Y16" s="54"/>
      <c r="Z16" s="54"/>
      <c r="AA16" s="54"/>
      <c r="AF16" s="144"/>
      <c r="AM16" s="47"/>
      <c r="AP16" s="166" t="str">
        <f>IF(AO16=1,CONCATENATE(AQ16,AR16,AS16),"")</f>
        <v/>
      </c>
      <c r="AQ16" s="166" t="str">
        <f t="shared" ref="AQ16:AQ25" si="1">IF(AO16=1,CONCATENATE(AT16,AU16,AV16,AW16,IF(AX16="-","",$AX$15&amp;AX16),IF(AY16="-","",$AY$15&amp;AY16),IF(AZ16="-","",$AZ$15&amp;AZ16),IF(BA16="-","",$BA$15&amp;BA16),IF(BB16="-","",$BB$15&amp;BB16),IF(BC16="-","",$BC$15&amp;BC16)),"")</f>
        <v/>
      </c>
      <c r="AR16" s="166" t="str">
        <f>IF(AO16=1,CONCATENATE(BD16,IF(BE16="-","",$BE$15&amp;BE16),IF(BF16="-","",$BF$15&amp;BF16),IF(BG16="-","",$BG$15&amp;BG16),IF(BH16="-","",$BH$15&amp;BH16),IF(BI16="-","",$BI$15&amp;BI16),IF(BJ16="-","",$BJ$15&amp;BJ16)),"")</f>
        <v/>
      </c>
      <c r="AS16" s="166" t="str">
        <f>IF(AO16=1,CHAR(13)&amp;"..","")</f>
        <v/>
      </c>
      <c r="AT16" s="43" t="str">
        <f t="shared" ref="AT16:AT25" si="2">IF(AO16=1,VLOOKUP(O16,$AT$2:$AV$13,2,0),"")</f>
        <v/>
      </c>
      <c r="AU16" s="43"/>
      <c r="AV16" s="55" t="str">
        <f t="shared" ref="AV16:AV40" si="3">IF(AO16=1,CONCATENATE("""",N16,""""),"")</f>
        <v/>
      </c>
      <c r="AW16" s="43" t="str">
        <f t="shared" ref="AW16:AW40" si="4">REPT(" ",$AW$14-LEN(AV16))</f>
        <v xml:space="preserve">                                                                 </v>
      </c>
      <c r="AX16" s="43" t="str">
        <f t="shared" ref="AX16:BC16" si="5">IF($AO16=1,IF(ISBLANK(V16),"-",CONCATENATE(TEXT(V16," 0.0000;-0.0000"),"  ")),"")</f>
        <v/>
      </c>
      <c r="AY16" s="43" t="str">
        <f t="shared" si="5"/>
        <v/>
      </c>
      <c r="AZ16" s="43" t="str">
        <f t="shared" si="5"/>
        <v/>
      </c>
      <c r="BA16" s="43" t="str">
        <f t="shared" si="5"/>
        <v/>
      </c>
      <c r="BB16" s="43" t="str">
        <f t="shared" si="5"/>
        <v/>
      </c>
      <c r="BC16" s="43" t="str">
        <f t="shared" si="5"/>
        <v/>
      </c>
      <c r="BD16" s="43" t="str">
        <f>IF(BE16="-","",CHAR(13)&amp;REPT(" ",70))</f>
        <v xml:space="preserve">_x000D_                                                                      </v>
      </c>
      <c r="BE16" s="43" t="str">
        <f t="shared" ref="BE16:BJ16" si="6">IF($AO16=1,IF(ISBLANK(AG16),"-",CONCATENATE(TEXT(AG16,"0.00"),"   ")),"")</f>
        <v/>
      </c>
      <c r="BF16" s="43" t="str">
        <f t="shared" si="6"/>
        <v/>
      </c>
      <c r="BG16" s="43" t="str">
        <f t="shared" si="6"/>
        <v/>
      </c>
      <c r="BH16" s="43" t="str">
        <f t="shared" si="6"/>
        <v/>
      </c>
      <c r="BI16" s="43" t="str">
        <f t="shared" si="6"/>
        <v/>
      </c>
      <c r="BJ16" s="43" t="str">
        <f t="shared" si="6"/>
        <v/>
      </c>
    </row>
    <row r="17" spans="1:76" hidden="1" outlineLevel="1" x14ac:dyDescent="0.25">
      <c r="B17" s="43" t="s">
        <v>125</v>
      </c>
      <c r="C17" s="43" t="s">
        <v>258</v>
      </c>
      <c r="D17" s="44" t="s">
        <v>31</v>
      </c>
      <c r="E17" s="43" t="s">
        <v>277</v>
      </c>
      <c r="F17" s="43" t="s">
        <v>436</v>
      </c>
      <c r="G17" s="45" t="s">
        <v>278</v>
      </c>
      <c r="H17" s="43" t="s">
        <v>522</v>
      </c>
      <c r="J17" s="43" t="s">
        <v>272</v>
      </c>
      <c r="K17" s="43" t="s">
        <v>484</v>
      </c>
      <c r="L17" s="43" t="s">
        <v>259</v>
      </c>
      <c r="M17" s="43" t="s">
        <v>526</v>
      </c>
      <c r="N17" s="43" t="str">
        <f t="shared" si="0"/>
        <v>FanAForBIPwrRatio_fCFMRatio</v>
      </c>
      <c r="O17" s="43" t="s">
        <v>230</v>
      </c>
      <c r="P17" s="56" t="s">
        <v>275</v>
      </c>
      <c r="Q17" s="43" t="s">
        <v>120</v>
      </c>
      <c r="V17" s="46">
        <v>0.16309999999999999</v>
      </c>
      <c r="W17" s="46">
        <v>1.5901000000000001</v>
      </c>
      <c r="X17" s="46">
        <v>-0.88170000000000004</v>
      </c>
      <c r="Y17" s="46">
        <v>0.12809999999999999</v>
      </c>
      <c r="AF17" s="172">
        <f>V17+(W17*AJ17)+(X17*AJ17^2)+(Y17*AJ17^3)</f>
        <v>0.70000014590185444</v>
      </c>
      <c r="AG17" s="157">
        <v>1</v>
      </c>
      <c r="AH17" s="157">
        <f>ROUND(AF17,4)</f>
        <v>0.7</v>
      </c>
      <c r="AI17" s="158">
        <v>1</v>
      </c>
      <c r="AJ17" s="158">
        <v>0.43667912879142468</v>
      </c>
      <c r="AK17" s="158"/>
      <c r="AL17" s="158"/>
      <c r="AO17" s="43">
        <f t="shared" ref="AO17:AO26" si="7">IF(ISTEXT(A17),"",IF(I17="IP",0,1))</f>
        <v>1</v>
      </c>
      <c r="AP17" s="166" t="str">
        <f t="shared" ref="AP17:AP108" si="8">IF(AO17=1,CONCATENATE(AQ17,AR17,AS17),"")</f>
        <v>CrvCubic       "FanAForBIPwrRatio_fCFMRatio"                                    Coef1 =  0.163100  Coef2 =  1.590100  Coef3 = -0.881700  Coef4 =  0.128100  _x000D_
                                                                                MaxOut = 1.000   MinOut = 0.700   MaxVar1 = 1.000   MinVar1 = 0.437   _x000D_
..</v>
      </c>
      <c r="AQ17" s="166" t="str">
        <f t="shared" si="1"/>
        <v xml:space="preserve">CrvCubic       "FanAForBIPwrRatio_fCFMRatio"                                    Coef1 =  0.163100  Coef2 =  1.590100  Coef3 = -0.881700  Coef4 =  0.128100  </v>
      </c>
      <c r="AR17" s="166" t="str">
        <f>IF(AO17=1,CONCATENATE(BD17,IF(BE17="-","",$BE$15&amp;BE17),IF(BF17="-","",$BF$15&amp;BF17),IF(BG17="-","",$BG$15&amp;BG17),IF(BH17="-","",$BH$15&amp;BH17),IF(BI17="-","",$BI$15&amp;BI17),IF(BJ17="-","",$BJ$15&amp;BJ17)),"")</f>
        <v xml:space="preserve">_x000D_
                                                                                MaxOut = 1.000   MinOut = 0.700   MaxVar1 = 1.000   MinVar1 = 0.437   </v>
      </c>
      <c r="AS17" s="166" t="str">
        <f>IF(AO17=1,CHAR(13)&amp;CHAR(10)&amp;"..","")</f>
        <v>_x000D_
..</v>
      </c>
      <c r="AT17" s="43" t="str">
        <f t="shared" si="2"/>
        <v>CrvCubic</v>
      </c>
      <c r="AU17" s="43" t="str">
        <f>REPT(" ",AU$14-LEN(AT17))</f>
        <v xml:space="preserve">       </v>
      </c>
      <c r="AV17" s="62" t="str">
        <f t="shared" si="3"/>
        <v>"FanAForBIPwrRatio_fCFMRatio"</v>
      </c>
      <c r="AW17" s="43" t="str">
        <f t="shared" si="4"/>
        <v xml:space="preserve">                                    </v>
      </c>
      <c r="AX17" s="43" t="str">
        <f t="shared" ref="AX17:AX31" si="9">IF($AO17=1,IF(ISBLANK(V17),"-",CONCATENATE(TEXT(V17," 0.000000;-0.000000"),"  ")),"")</f>
        <v xml:space="preserve"> 0.163100  </v>
      </c>
      <c r="AY17" s="43" t="str">
        <f t="shared" ref="AY17:AY31" si="10">IF($AO17=1,IF(ISBLANK(W17),"-",CONCATENATE(TEXT(W17," 0.000000;-0.000000"),"  ")),"")</f>
        <v xml:space="preserve"> 1.590100  </v>
      </c>
      <c r="AZ17" s="43" t="str">
        <f t="shared" ref="AZ17:AZ31" si="11">IF($AO17=1,IF(ISBLANK(X17),"-",CONCATENATE(TEXT(X17," 0.000000;-0.000000"),"  ")),"")</f>
        <v xml:space="preserve">-0.881700  </v>
      </c>
      <c r="BA17" s="43" t="str">
        <f t="shared" ref="BA17:BA31" si="12">IF($AO17=1,IF(ISBLANK(Y17),"-",CONCATENATE(TEXT(Y17," 0.000000;-0.000000"),"  ")),"")</f>
        <v xml:space="preserve"> 0.128100  </v>
      </c>
      <c r="BB17" s="43" t="str">
        <f t="shared" ref="BB17:BB31" si="13">IF($AO17=1,IF(ISBLANK(Z17),"-",CONCATENATE(TEXT(Z17," 0.000000;-0.000000"),"  ")),"")</f>
        <v>-</v>
      </c>
      <c r="BC17" s="43" t="str">
        <f t="shared" ref="BC17:BC31" si="14">IF($AO17=1,IF(ISBLANK(AA17),"-",CONCATENATE(TEXT(AA17," 0.000000;-0.000000"),"  ")),"")</f>
        <v>-</v>
      </c>
      <c r="BD17" s="43" t="str">
        <f t="shared" ref="BD17:BD92" si="15">IF(MAX(AG17:AL17)=0,REPT(" ",1),CHAR(13)&amp;CHAR(10)&amp;REPT(" ",BD$14))</f>
        <v xml:space="preserve">_x000D_
                                                                                </v>
      </c>
      <c r="BE17" s="43" t="str">
        <f>IF($AO17=1,IF(AG17="","-",CONCATENATE(TEXT(AG17,"0.000"),"   ")),"")</f>
        <v xml:space="preserve">1.000   </v>
      </c>
      <c r="BF17" s="43" t="str">
        <f t="shared" ref="BF17:BJ17" si="16">IF($AO17=1,IF(AH17="","-",CONCATENATE(TEXT(AH17,"0.000"),"   ")),"")</f>
        <v xml:space="preserve">0.700   </v>
      </c>
      <c r="BG17" s="43" t="str">
        <f t="shared" si="16"/>
        <v xml:space="preserve">1.000   </v>
      </c>
      <c r="BH17" s="43" t="str">
        <f t="shared" si="16"/>
        <v xml:space="preserve">0.437   </v>
      </c>
      <c r="BI17" s="43" t="str">
        <f t="shared" si="16"/>
        <v>-</v>
      </c>
      <c r="BJ17" s="43" t="str">
        <f t="shared" si="16"/>
        <v>-</v>
      </c>
      <c r="BM17" s="43" t="str">
        <f t="shared" ref="BM17:BM25" si="17">Q17</f>
        <v>CFMRatio</v>
      </c>
      <c r="BO17" s="43">
        <v>1</v>
      </c>
      <c r="BR17" s="43">
        <v>0</v>
      </c>
      <c r="BU17" s="147">
        <f t="shared" ref="BU17:BU25" si="18">$V17+$W17*BO17+$X17*BO17^2+$Y17*BO17^3</f>
        <v>0.99960000000000004</v>
      </c>
      <c r="BV17" s="147"/>
      <c r="BW17" s="147">
        <f t="shared" ref="BW17:BW25" si="19">$V17+$W17*BR17+$X17*BR17^2+$Y17*BR17^3</f>
        <v>0.16309999999999999</v>
      </c>
    </row>
    <row r="18" spans="1:76" hidden="1" outlineLevel="1" x14ac:dyDescent="0.25">
      <c r="E18" s="43" t="s">
        <v>277</v>
      </c>
      <c r="F18" s="43" t="s">
        <v>436</v>
      </c>
      <c r="G18" s="45" t="s">
        <v>279</v>
      </c>
      <c r="H18" s="43" t="s">
        <v>521</v>
      </c>
      <c r="J18" s="43" t="s">
        <v>272</v>
      </c>
      <c r="K18" s="43" t="s">
        <v>484</v>
      </c>
      <c r="L18" s="43" t="s">
        <v>259</v>
      </c>
      <c r="M18" s="43" t="s">
        <v>526</v>
      </c>
      <c r="N18" s="43" t="str">
        <f t="shared" si="0"/>
        <v>FanAForBIVanesPwrRatio_fCFMRatio</v>
      </c>
      <c r="O18" s="43" t="s">
        <v>230</v>
      </c>
      <c r="P18" s="20" t="s">
        <v>275</v>
      </c>
      <c r="Q18" s="43" t="s">
        <v>120</v>
      </c>
      <c r="V18" s="46">
        <v>0.99770000000000003</v>
      </c>
      <c r="W18" s="46">
        <v>-0.65900000000000003</v>
      </c>
      <c r="X18" s="46">
        <v>0.95469999999999999</v>
      </c>
      <c r="Y18" s="46">
        <v>-0.29360000000000003</v>
      </c>
      <c r="AF18" s="172">
        <f t="shared" ref="AF18:AF25" si="20">V18+(W18*AJ18)+(X18*AJ18^2)+(Y18*AJ18^3)</f>
        <v>0.87098113639999997</v>
      </c>
      <c r="AG18" s="157">
        <v>1</v>
      </c>
      <c r="AH18" s="157">
        <f t="shared" ref="AH18:AH25" si="21">ROUND(AF18,4)</f>
        <v>0.871</v>
      </c>
      <c r="AI18" s="158">
        <v>1</v>
      </c>
      <c r="AJ18" s="158">
        <v>0.51</v>
      </c>
      <c r="AK18" s="158"/>
      <c r="AL18" s="158"/>
      <c r="AO18" s="43">
        <f t="shared" si="7"/>
        <v>1</v>
      </c>
      <c r="AP18" s="166" t="str">
        <f t="shared" si="8"/>
        <v>CrvCubic       "FanAForBIVanesPwrRatio_fCFMRatio"                               Coef1 =  0.997700  Coef2 = -0.659000  Coef3 =  0.954700  Coef4 = -0.293600  _x000D_
                                                                                MaxOut = 1.000   MinOut = 0.871   MaxVar1 = 1.000   MinVar1 = 0.510   _x000D_
..</v>
      </c>
      <c r="AQ18" s="166" t="str">
        <f t="shared" si="1"/>
        <v xml:space="preserve">CrvCubic       "FanAForBIVanesPwrRatio_fCFMRatio"                               Coef1 =  0.997700  Coef2 = -0.659000  Coef3 =  0.954700  Coef4 = -0.293600  </v>
      </c>
      <c r="AR18" s="166" t="str">
        <f t="shared" ref="AR18:AR40" si="22">IF(AO18=1,CONCATENATE(BD18,IF(BE18="-","",$BE$15&amp;BE18),IF(BF18="-","",$BF$15&amp;BF18),IF(BG18="-","",$BG$15&amp;BG18),IF(BH18="-","",$BH$15&amp;BH18),IF(BI18="-","",$BI$15&amp;BI18),IF(BJ18="-","",$BJ$15&amp;BJ18)),"")</f>
        <v xml:space="preserve">_x000D_
                                                                                MaxOut = 1.000   MinOut = 0.871   MaxVar1 = 1.000   MinVar1 = 0.510   </v>
      </c>
      <c r="AS18" s="166" t="str">
        <f t="shared" ref="AS18:AS102" si="23">IF(AO18=1,CHAR(13)&amp;CHAR(10)&amp;"..","")</f>
        <v>_x000D_
..</v>
      </c>
      <c r="AT18" s="43" t="str">
        <f t="shared" si="2"/>
        <v>CrvCubic</v>
      </c>
      <c r="AU18" s="43" t="str">
        <f t="shared" ref="AU18:AU93" si="24">REPT(" ",AU$14-LEN(AT18))</f>
        <v xml:space="preserve">       </v>
      </c>
      <c r="AV18" s="62" t="str">
        <f t="shared" si="3"/>
        <v>"FanAForBIVanesPwrRatio_fCFMRatio"</v>
      </c>
      <c r="AW18" s="43" t="str">
        <f t="shared" si="4"/>
        <v xml:space="preserve">                               </v>
      </c>
      <c r="AX18" s="43" t="str">
        <f t="shared" si="9"/>
        <v xml:space="preserve"> 0.997700  </v>
      </c>
      <c r="AY18" s="43" t="str">
        <f t="shared" si="10"/>
        <v xml:space="preserve">-0.659000  </v>
      </c>
      <c r="AZ18" s="43" t="str">
        <f t="shared" si="11"/>
        <v xml:space="preserve"> 0.954700  </v>
      </c>
      <c r="BA18" s="43" t="str">
        <f t="shared" si="12"/>
        <v xml:space="preserve">-0.293600  </v>
      </c>
      <c r="BB18" s="43" t="str">
        <f t="shared" si="13"/>
        <v>-</v>
      </c>
      <c r="BC18" s="43" t="str">
        <f t="shared" si="14"/>
        <v>-</v>
      </c>
      <c r="BD18" s="43" t="str">
        <f t="shared" si="15"/>
        <v xml:space="preserve">_x000D_
                                                                                </v>
      </c>
      <c r="BE18" s="43" t="str">
        <f t="shared" ref="BE18:BE51" si="25">IF($AO18=1,IF(AG18="","-",CONCATENATE(TEXT(AG18,"0.000"),"   ")),"")</f>
        <v xml:space="preserve">1.000   </v>
      </c>
      <c r="BF18" s="43" t="str">
        <f t="shared" ref="BF18:BF51" si="26">IF($AO18=1,IF(AH18="","-",CONCATENATE(TEXT(AH18,"0.000"),"   ")),"")</f>
        <v xml:space="preserve">0.871   </v>
      </c>
      <c r="BG18" s="43" t="str">
        <f t="shared" ref="BG18:BG51" si="27">IF($AO18=1,IF(AI18="","-",CONCATENATE(TEXT(AI18,"0.000"),"   ")),"")</f>
        <v xml:space="preserve">1.000   </v>
      </c>
      <c r="BH18" s="43" t="str">
        <f t="shared" ref="BH18:BH51" si="28">IF($AO18=1,IF(AJ18="","-",CONCATENATE(TEXT(AJ18,"0.000"),"   ")),"")</f>
        <v xml:space="preserve">0.510   </v>
      </c>
      <c r="BI18" s="43" t="str">
        <f t="shared" ref="BI18:BI51" si="29">IF($AO18=1,IF(AK18="","-",CONCATENATE(TEXT(AK18,"0.000"),"   ")),"")</f>
        <v>-</v>
      </c>
      <c r="BJ18" s="43" t="str">
        <f t="shared" ref="BJ18:BJ51" si="30">IF($AO18=1,IF(AL18="","-",CONCATENATE(TEXT(AL18,"0.000"),"   ")),"")</f>
        <v>-</v>
      </c>
      <c r="BM18" s="43" t="str">
        <f t="shared" si="17"/>
        <v>CFMRatio</v>
      </c>
      <c r="BO18" s="43">
        <v>1</v>
      </c>
      <c r="BR18" s="43">
        <v>0</v>
      </c>
      <c r="BU18" s="147">
        <f t="shared" si="18"/>
        <v>0.99980000000000002</v>
      </c>
      <c r="BV18" s="147"/>
      <c r="BW18" s="147">
        <f t="shared" si="19"/>
        <v>0.99770000000000003</v>
      </c>
    </row>
    <row r="19" spans="1:76" hidden="1" outlineLevel="1" x14ac:dyDescent="0.25">
      <c r="E19" s="43" t="s">
        <v>277</v>
      </c>
      <c r="F19" s="43" t="s">
        <v>436</v>
      </c>
      <c r="G19" s="45" t="s">
        <v>280</v>
      </c>
      <c r="H19" s="43" t="s">
        <v>304</v>
      </c>
      <c r="J19" s="43" t="s">
        <v>272</v>
      </c>
      <c r="K19" s="43" t="s">
        <v>484</v>
      </c>
      <c r="L19" s="43" t="s">
        <v>259</v>
      </c>
      <c r="M19" s="43" t="s">
        <v>526</v>
      </c>
      <c r="N19" s="43" t="str">
        <f t="shared" si="0"/>
        <v>FanFCPwrRatio_fCFMRatio</v>
      </c>
      <c r="O19" s="43" t="s">
        <v>230</v>
      </c>
      <c r="P19" s="20" t="s">
        <v>275</v>
      </c>
      <c r="Q19" s="43" t="s">
        <v>120</v>
      </c>
      <c r="V19" s="46">
        <v>0.12239999999999999</v>
      </c>
      <c r="W19" s="46">
        <v>0.61199999999999999</v>
      </c>
      <c r="X19" s="46">
        <v>0.59830000000000005</v>
      </c>
      <c r="Y19" s="46">
        <v>-0.33339999999999997</v>
      </c>
      <c r="AF19" s="172">
        <f t="shared" si="20"/>
        <v>0.50000030605968915</v>
      </c>
      <c r="AG19" s="157">
        <v>1</v>
      </c>
      <c r="AH19" s="157">
        <f t="shared" si="21"/>
        <v>0.5</v>
      </c>
      <c r="AI19" s="158">
        <v>1</v>
      </c>
      <c r="AJ19" s="158">
        <v>0.46203123039462779</v>
      </c>
      <c r="AK19" s="158"/>
      <c r="AL19" s="158"/>
      <c r="AO19" s="43">
        <f t="shared" si="7"/>
        <v>1</v>
      </c>
      <c r="AP19" s="166" t="str">
        <f t="shared" si="8"/>
        <v>CrvCubic       "FanFCPwrRatio_fCFMRatio"                                        Coef1 =  0.122400  Coef2 =  0.612000  Coef3 =  0.598300  Coef4 = -0.333400  _x000D_
                                                                                MaxOut = 1.000   MinOut = 0.500   MaxVar1 = 1.000   MinVar1 = 0.462   _x000D_
..</v>
      </c>
      <c r="AQ19" s="166" t="str">
        <f t="shared" si="1"/>
        <v xml:space="preserve">CrvCubic       "FanFCPwrRatio_fCFMRatio"                                        Coef1 =  0.122400  Coef2 =  0.612000  Coef3 =  0.598300  Coef4 = -0.333400  </v>
      </c>
      <c r="AR19" s="166" t="str">
        <f t="shared" si="22"/>
        <v xml:space="preserve">_x000D_
                                                                                MaxOut = 1.000   MinOut = 0.500   MaxVar1 = 1.000   MinVar1 = 0.462   </v>
      </c>
      <c r="AS19" s="166" t="str">
        <f t="shared" si="23"/>
        <v>_x000D_
..</v>
      </c>
      <c r="AT19" s="43" t="str">
        <f t="shared" si="2"/>
        <v>CrvCubic</v>
      </c>
      <c r="AU19" s="43" t="str">
        <f t="shared" si="24"/>
        <v xml:space="preserve">       </v>
      </c>
      <c r="AV19" s="62" t="str">
        <f t="shared" si="3"/>
        <v>"FanFCPwrRatio_fCFMRatio"</v>
      </c>
      <c r="AW19" s="43" t="str">
        <f t="shared" si="4"/>
        <v xml:space="preserve">                                        </v>
      </c>
      <c r="AX19" s="43" t="str">
        <f t="shared" si="9"/>
        <v xml:space="preserve"> 0.122400  </v>
      </c>
      <c r="AY19" s="43" t="str">
        <f t="shared" si="10"/>
        <v xml:space="preserve"> 0.612000  </v>
      </c>
      <c r="AZ19" s="43" t="str">
        <f t="shared" si="11"/>
        <v xml:space="preserve"> 0.598300  </v>
      </c>
      <c r="BA19" s="43" t="str">
        <f t="shared" si="12"/>
        <v xml:space="preserve">-0.333400  </v>
      </c>
      <c r="BB19" s="43" t="str">
        <f t="shared" si="13"/>
        <v>-</v>
      </c>
      <c r="BC19" s="43" t="str">
        <f t="shared" si="14"/>
        <v>-</v>
      </c>
      <c r="BD19" s="43" t="str">
        <f t="shared" si="15"/>
        <v xml:space="preserve">_x000D_
                                                                                </v>
      </c>
      <c r="BE19" s="43" t="str">
        <f t="shared" si="25"/>
        <v xml:space="preserve">1.000   </v>
      </c>
      <c r="BF19" s="43" t="str">
        <f t="shared" si="26"/>
        <v xml:space="preserve">0.500   </v>
      </c>
      <c r="BG19" s="43" t="str">
        <f t="shared" si="27"/>
        <v xml:space="preserve">1.000   </v>
      </c>
      <c r="BH19" s="43" t="str">
        <f t="shared" si="28"/>
        <v xml:space="preserve">0.462   </v>
      </c>
      <c r="BI19" s="43" t="str">
        <f t="shared" si="29"/>
        <v>-</v>
      </c>
      <c r="BJ19" s="43" t="str">
        <f t="shared" si="30"/>
        <v>-</v>
      </c>
      <c r="BM19" s="43" t="str">
        <f t="shared" si="17"/>
        <v>CFMRatio</v>
      </c>
      <c r="BO19" s="43">
        <v>1</v>
      </c>
      <c r="BR19" s="43">
        <v>0</v>
      </c>
      <c r="BU19" s="147">
        <f t="shared" si="18"/>
        <v>0.99930000000000008</v>
      </c>
      <c r="BV19" s="147"/>
      <c r="BW19" s="147">
        <f t="shared" si="19"/>
        <v>0.12239999999999999</v>
      </c>
    </row>
    <row r="20" spans="1:76" hidden="1" outlineLevel="1" x14ac:dyDescent="0.25">
      <c r="E20" s="43" t="s">
        <v>277</v>
      </c>
      <c r="F20" s="43" t="s">
        <v>436</v>
      </c>
      <c r="G20" s="45" t="s">
        <v>281</v>
      </c>
      <c r="H20" s="43" t="s">
        <v>523</v>
      </c>
      <c r="J20" s="43" t="s">
        <v>272</v>
      </c>
      <c r="K20" s="43" t="s">
        <v>484</v>
      </c>
      <c r="L20" s="43" t="s">
        <v>259</v>
      </c>
      <c r="M20" s="43" t="s">
        <v>526</v>
      </c>
      <c r="N20" s="43" t="str">
        <f t="shared" si="0"/>
        <v>FanFCVanesPwrRatio_fCFMRatio</v>
      </c>
      <c r="O20" s="43" t="s">
        <v>230</v>
      </c>
      <c r="P20" s="20" t="s">
        <v>275</v>
      </c>
      <c r="Q20" s="43" t="s">
        <v>120</v>
      </c>
      <c r="V20" s="46">
        <v>0.30380000000000001</v>
      </c>
      <c r="W20" s="46">
        <v>-0.76080000000000003</v>
      </c>
      <c r="X20" s="46">
        <v>2.2728999999999999</v>
      </c>
      <c r="Y20" s="46">
        <v>-0.81689999999999996</v>
      </c>
      <c r="AF20" s="172">
        <f t="shared" si="20"/>
        <v>0.49999989476157647</v>
      </c>
      <c r="AG20" s="157">
        <v>1</v>
      </c>
      <c r="AH20" s="157">
        <f t="shared" si="21"/>
        <v>0.5</v>
      </c>
      <c r="AI20" s="158">
        <v>1</v>
      </c>
      <c r="AJ20" s="158">
        <v>0.60996599151795561</v>
      </c>
      <c r="AK20" s="158"/>
      <c r="AL20" s="158"/>
      <c r="AO20" s="43">
        <f t="shared" si="7"/>
        <v>1</v>
      </c>
      <c r="AP20" s="166" t="str">
        <f t="shared" si="8"/>
        <v>CrvCubic       "FanFCVanesPwrRatio_fCFMRatio"                                   Coef1 =  0.303800  Coef2 = -0.760800  Coef3 =  2.272900  Coef4 = -0.816900  _x000D_
                                                                                MaxOut = 1.000   MinOut = 0.500   MaxVar1 = 1.000   MinVar1 = 0.610   _x000D_
..</v>
      </c>
      <c r="AQ20" s="166" t="str">
        <f t="shared" si="1"/>
        <v xml:space="preserve">CrvCubic       "FanFCVanesPwrRatio_fCFMRatio"                                   Coef1 =  0.303800  Coef2 = -0.760800  Coef3 =  2.272900  Coef4 = -0.816900  </v>
      </c>
      <c r="AR20" s="166" t="str">
        <f t="shared" si="22"/>
        <v xml:space="preserve">_x000D_
                                                                                MaxOut = 1.000   MinOut = 0.500   MaxVar1 = 1.000   MinVar1 = 0.610   </v>
      </c>
      <c r="AS20" s="166" t="str">
        <f t="shared" si="23"/>
        <v>_x000D_
..</v>
      </c>
      <c r="AT20" s="43" t="str">
        <f t="shared" si="2"/>
        <v>CrvCubic</v>
      </c>
      <c r="AU20" s="43" t="str">
        <f t="shared" si="24"/>
        <v xml:space="preserve">       </v>
      </c>
      <c r="AV20" s="62" t="str">
        <f t="shared" si="3"/>
        <v>"FanFCVanesPwrRatio_fCFMRatio"</v>
      </c>
      <c r="AW20" s="43" t="str">
        <f t="shared" si="4"/>
        <v xml:space="preserve">                                   </v>
      </c>
      <c r="AX20" s="43" t="str">
        <f t="shared" si="9"/>
        <v xml:space="preserve"> 0.303800  </v>
      </c>
      <c r="AY20" s="43" t="str">
        <f t="shared" si="10"/>
        <v xml:space="preserve">-0.760800  </v>
      </c>
      <c r="AZ20" s="43" t="str">
        <f t="shared" si="11"/>
        <v xml:space="preserve"> 2.272900  </v>
      </c>
      <c r="BA20" s="43" t="str">
        <f t="shared" si="12"/>
        <v xml:space="preserve">-0.816900  </v>
      </c>
      <c r="BB20" s="43" t="str">
        <f t="shared" si="13"/>
        <v>-</v>
      </c>
      <c r="BC20" s="43" t="str">
        <f t="shared" si="14"/>
        <v>-</v>
      </c>
      <c r="BD20" s="43" t="str">
        <f t="shared" si="15"/>
        <v xml:space="preserve">_x000D_
                                                                                </v>
      </c>
      <c r="BE20" s="43" t="str">
        <f t="shared" si="25"/>
        <v xml:space="preserve">1.000   </v>
      </c>
      <c r="BF20" s="43" t="str">
        <f t="shared" si="26"/>
        <v xml:space="preserve">0.500   </v>
      </c>
      <c r="BG20" s="43" t="str">
        <f t="shared" si="27"/>
        <v xml:space="preserve">1.000   </v>
      </c>
      <c r="BH20" s="43" t="str">
        <f t="shared" si="28"/>
        <v xml:space="preserve">0.610   </v>
      </c>
      <c r="BI20" s="43" t="str">
        <f t="shared" si="29"/>
        <v>-</v>
      </c>
      <c r="BJ20" s="43" t="str">
        <f t="shared" si="30"/>
        <v>-</v>
      </c>
      <c r="BM20" s="43" t="str">
        <f t="shared" si="17"/>
        <v>CFMRatio</v>
      </c>
      <c r="BO20" s="43">
        <v>1</v>
      </c>
      <c r="BR20" s="43">
        <v>0</v>
      </c>
      <c r="BU20" s="147">
        <f t="shared" si="18"/>
        <v>0.99899999999999989</v>
      </c>
      <c r="BV20" s="147"/>
      <c r="BW20" s="147">
        <f t="shared" si="19"/>
        <v>0.30380000000000001</v>
      </c>
    </row>
    <row r="21" spans="1:76" hidden="1" outlineLevel="1" x14ac:dyDescent="0.25">
      <c r="E21" s="43" t="s">
        <v>277</v>
      </c>
      <c r="F21" s="43" t="s">
        <v>436</v>
      </c>
      <c r="G21" s="45" t="s">
        <v>282</v>
      </c>
      <c r="H21" s="43" t="s">
        <v>520</v>
      </c>
      <c r="J21" s="43" t="s">
        <v>272</v>
      </c>
      <c r="K21" s="43" t="s">
        <v>484</v>
      </c>
      <c r="L21" s="43" t="s">
        <v>259</v>
      </c>
      <c r="M21" s="43" t="s">
        <v>526</v>
      </c>
      <c r="N21" s="43" t="str">
        <f t="shared" si="0"/>
        <v>FanVaneAxVpPwrRatio_fCFMRatio</v>
      </c>
      <c r="O21" s="43" t="s">
        <v>230</v>
      </c>
      <c r="P21" s="20" t="s">
        <v>275</v>
      </c>
      <c r="Q21" s="43" t="s">
        <v>120</v>
      </c>
      <c r="V21" s="46">
        <v>0.16389999999999999</v>
      </c>
      <c r="W21" s="46">
        <v>-0.40160000000000001</v>
      </c>
      <c r="X21" s="46">
        <v>1.9908999999999999</v>
      </c>
      <c r="Y21" s="46">
        <v>-0.75409999999999999</v>
      </c>
      <c r="AF21" s="172">
        <f t="shared" si="20"/>
        <v>0.39999985820403439</v>
      </c>
      <c r="AG21" s="157">
        <v>1</v>
      </c>
      <c r="AH21" s="157">
        <f t="shared" si="21"/>
        <v>0.4</v>
      </c>
      <c r="AI21" s="158">
        <v>1</v>
      </c>
      <c r="AJ21" s="158">
        <v>0.53183506919007506</v>
      </c>
      <c r="AK21" s="158"/>
      <c r="AL21" s="158"/>
      <c r="AO21" s="43">
        <f t="shared" si="7"/>
        <v>1</v>
      </c>
      <c r="AP21" s="166" t="str">
        <f t="shared" si="8"/>
        <v>CrvCubic       "FanVaneAxVpPwrRatio_fCFMRatio"                                  Coef1 =  0.163900  Coef2 = -0.401600  Coef3 =  1.990900  Coef4 = -0.754100  _x000D_
                                                                                MaxOut = 1.000   MinOut = 0.400   MaxVar1 = 1.000   MinVar1 = 0.532   _x000D_
..</v>
      </c>
      <c r="AQ21" s="166" t="str">
        <f t="shared" si="1"/>
        <v xml:space="preserve">CrvCubic       "FanVaneAxVpPwrRatio_fCFMRatio"                                  Coef1 =  0.163900  Coef2 = -0.401600  Coef3 =  1.990900  Coef4 = -0.754100  </v>
      </c>
      <c r="AR21" s="166" t="str">
        <f t="shared" si="22"/>
        <v xml:space="preserve">_x000D_
                                                                                MaxOut = 1.000   MinOut = 0.400   MaxVar1 = 1.000   MinVar1 = 0.532   </v>
      </c>
      <c r="AS21" s="166" t="str">
        <f t="shared" si="23"/>
        <v>_x000D_
..</v>
      </c>
      <c r="AT21" s="43" t="str">
        <f t="shared" si="2"/>
        <v>CrvCubic</v>
      </c>
      <c r="AU21" s="43" t="str">
        <f t="shared" si="24"/>
        <v xml:space="preserve">       </v>
      </c>
      <c r="AV21" s="62" t="str">
        <f t="shared" si="3"/>
        <v>"FanVaneAxVpPwrRatio_fCFMRatio"</v>
      </c>
      <c r="AW21" s="43" t="str">
        <f t="shared" si="4"/>
        <v xml:space="preserve">                                  </v>
      </c>
      <c r="AX21" s="43" t="str">
        <f t="shared" si="9"/>
        <v xml:space="preserve"> 0.163900  </v>
      </c>
      <c r="AY21" s="43" t="str">
        <f t="shared" si="10"/>
        <v xml:space="preserve">-0.401600  </v>
      </c>
      <c r="AZ21" s="43" t="str">
        <f t="shared" si="11"/>
        <v xml:space="preserve"> 1.990900  </v>
      </c>
      <c r="BA21" s="43" t="str">
        <f t="shared" si="12"/>
        <v xml:space="preserve">-0.754100  </v>
      </c>
      <c r="BB21" s="43" t="str">
        <f t="shared" si="13"/>
        <v>-</v>
      </c>
      <c r="BC21" s="43" t="str">
        <f t="shared" si="14"/>
        <v>-</v>
      </c>
      <c r="BD21" s="43" t="str">
        <f t="shared" si="15"/>
        <v xml:space="preserve">_x000D_
                                                                                </v>
      </c>
      <c r="BE21" s="43" t="str">
        <f t="shared" si="25"/>
        <v xml:space="preserve">1.000   </v>
      </c>
      <c r="BF21" s="43" t="str">
        <f t="shared" si="26"/>
        <v xml:space="preserve">0.400   </v>
      </c>
      <c r="BG21" s="43" t="str">
        <f t="shared" si="27"/>
        <v xml:space="preserve">1.000   </v>
      </c>
      <c r="BH21" s="43" t="str">
        <f t="shared" si="28"/>
        <v xml:space="preserve">0.532   </v>
      </c>
      <c r="BI21" s="43" t="str">
        <f t="shared" si="29"/>
        <v>-</v>
      </c>
      <c r="BJ21" s="43" t="str">
        <f t="shared" si="30"/>
        <v>-</v>
      </c>
      <c r="BM21" s="43" t="str">
        <f t="shared" si="17"/>
        <v>CFMRatio</v>
      </c>
      <c r="BO21" s="43">
        <v>1</v>
      </c>
      <c r="BR21" s="43">
        <v>0</v>
      </c>
      <c r="BU21" s="147">
        <f t="shared" si="18"/>
        <v>0.99909999999999988</v>
      </c>
      <c r="BV21" s="147"/>
      <c r="BW21" s="147">
        <f t="shared" si="19"/>
        <v>0.16389999999999999</v>
      </c>
    </row>
    <row r="22" spans="1:76" hidden="1" outlineLevel="1" x14ac:dyDescent="0.25">
      <c r="E22" s="43" t="s">
        <v>277</v>
      </c>
      <c r="F22" s="43" t="s">
        <v>436</v>
      </c>
      <c r="G22" s="45" t="s">
        <v>283</v>
      </c>
      <c r="H22" s="43" t="s">
        <v>300</v>
      </c>
      <c r="J22" s="43" t="s">
        <v>272</v>
      </c>
      <c r="K22" s="43" t="s">
        <v>484</v>
      </c>
      <c r="L22" s="43" t="s">
        <v>259</v>
      </c>
      <c r="M22" s="43" t="s">
        <v>526</v>
      </c>
      <c r="N22" s="43" t="str">
        <f t="shared" si="0"/>
        <v>FanVSDPwrRatio_fCFMRatio</v>
      </c>
      <c r="O22" s="43" t="s">
        <v>230</v>
      </c>
      <c r="P22" s="20" t="s">
        <v>275</v>
      </c>
      <c r="Q22" s="43" t="s">
        <v>120</v>
      </c>
      <c r="V22" s="46">
        <v>7.0428852E-2</v>
      </c>
      <c r="W22" s="46">
        <v>0.38533020099999998</v>
      </c>
      <c r="X22" s="46">
        <v>-0.46086411799999999</v>
      </c>
      <c r="Y22" s="46">
        <v>1.0092034400000001</v>
      </c>
      <c r="AF22" s="172">
        <f t="shared" si="20"/>
        <v>0.10000003106634714</v>
      </c>
      <c r="AG22" s="157">
        <v>1</v>
      </c>
      <c r="AH22" s="157">
        <f t="shared" si="21"/>
        <v>0.1</v>
      </c>
      <c r="AI22" s="158">
        <v>1</v>
      </c>
      <c r="AJ22" s="158">
        <v>8.3566248038104557E-2</v>
      </c>
      <c r="AK22" s="158"/>
      <c r="AL22" s="158"/>
      <c r="AO22" s="43">
        <f t="shared" si="7"/>
        <v>1</v>
      </c>
      <c r="AP22" s="166" t="str">
        <f t="shared" si="8"/>
        <v>CrvCubic       "FanVSDPwrRatio_fCFMRatio"                                       Coef1 =  0.070429  Coef2 =  0.385330  Coef3 = -0.460864  Coef4 =  1.009203  _x000D_
                                                                                MaxOut = 1.000   MinOut = 0.100   MaxVar1 = 1.000   MinVar1 = 0.084   _x000D_
..</v>
      </c>
      <c r="AQ22" s="166" t="str">
        <f t="shared" si="1"/>
        <v xml:space="preserve">CrvCubic       "FanVSDPwrRatio_fCFMRatio"                                       Coef1 =  0.070429  Coef2 =  0.385330  Coef3 = -0.460864  Coef4 =  1.009203  </v>
      </c>
      <c r="AR22" s="166" t="str">
        <f t="shared" si="22"/>
        <v xml:space="preserve">_x000D_
                                                                                MaxOut = 1.000   MinOut = 0.100   MaxVar1 = 1.000   MinVar1 = 0.084   </v>
      </c>
      <c r="AS22" s="166" t="str">
        <f t="shared" si="23"/>
        <v>_x000D_
..</v>
      </c>
      <c r="AT22" s="43" t="str">
        <f t="shared" si="2"/>
        <v>CrvCubic</v>
      </c>
      <c r="AU22" s="43" t="str">
        <f t="shared" si="24"/>
        <v xml:space="preserve">       </v>
      </c>
      <c r="AV22" s="62" t="str">
        <f t="shared" si="3"/>
        <v>"FanVSDPwrRatio_fCFMRatio"</v>
      </c>
      <c r="AW22" s="43" t="str">
        <f t="shared" si="4"/>
        <v xml:space="preserve">                                       </v>
      </c>
      <c r="AX22" s="43" t="str">
        <f t="shared" si="9"/>
        <v xml:space="preserve"> 0.070429  </v>
      </c>
      <c r="AY22" s="43" t="str">
        <f t="shared" si="10"/>
        <v xml:space="preserve"> 0.385330  </v>
      </c>
      <c r="AZ22" s="43" t="str">
        <f t="shared" si="11"/>
        <v xml:space="preserve">-0.460864  </v>
      </c>
      <c r="BA22" s="43" t="str">
        <f t="shared" si="12"/>
        <v xml:space="preserve"> 1.009203  </v>
      </c>
      <c r="BB22" s="43" t="str">
        <f t="shared" si="13"/>
        <v>-</v>
      </c>
      <c r="BC22" s="43" t="str">
        <f t="shared" si="14"/>
        <v>-</v>
      </c>
      <c r="BD22" s="43" t="str">
        <f t="shared" si="15"/>
        <v xml:space="preserve">_x000D_
                                                                                </v>
      </c>
      <c r="BE22" s="43" t="str">
        <f t="shared" si="25"/>
        <v xml:space="preserve">1.000   </v>
      </c>
      <c r="BF22" s="43" t="str">
        <f t="shared" si="26"/>
        <v xml:space="preserve">0.100   </v>
      </c>
      <c r="BG22" s="43" t="str">
        <f t="shared" si="27"/>
        <v xml:space="preserve">1.000   </v>
      </c>
      <c r="BH22" s="43" t="str">
        <f t="shared" si="28"/>
        <v xml:space="preserve">0.084   </v>
      </c>
      <c r="BI22" s="43" t="str">
        <f t="shared" si="29"/>
        <v>-</v>
      </c>
      <c r="BJ22" s="43" t="str">
        <f t="shared" si="30"/>
        <v>-</v>
      </c>
      <c r="BM22" s="43" t="str">
        <f t="shared" si="17"/>
        <v>CFMRatio</v>
      </c>
      <c r="BO22" s="43">
        <v>1</v>
      </c>
      <c r="BR22" s="43">
        <v>0</v>
      </c>
      <c r="BU22" s="147">
        <f t="shared" si="18"/>
        <v>1.0040983750000001</v>
      </c>
      <c r="BV22" s="147"/>
      <c r="BW22" s="147">
        <f t="shared" si="19"/>
        <v>7.0428852E-2</v>
      </c>
    </row>
    <row r="23" spans="1:76" hidden="1" outlineLevel="1" x14ac:dyDescent="0.25">
      <c r="E23" s="43" t="s">
        <v>277</v>
      </c>
      <c r="F23" s="43" t="s">
        <v>436</v>
      </c>
      <c r="G23" s="45" t="s">
        <v>750</v>
      </c>
      <c r="H23" s="43" t="s">
        <v>751</v>
      </c>
      <c r="J23" s="43" t="s">
        <v>272</v>
      </c>
      <c r="K23" s="43" t="s">
        <v>484</v>
      </c>
      <c r="L23" s="43" t="s">
        <v>259</v>
      </c>
      <c r="M23" s="43" t="s">
        <v>526</v>
      </c>
      <c r="N23" s="43" t="str">
        <f t="shared" si="0"/>
        <v>FanVSD901PwrRatio_fCFMRatio</v>
      </c>
      <c r="O23" s="43" t="s">
        <v>230</v>
      </c>
      <c r="P23" s="20" t="s">
        <v>275</v>
      </c>
      <c r="Q23" s="43" t="s">
        <v>120</v>
      </c>
      <c r="V23" s="46">
        <v>1.2999999999999999E-3</v>
      </c>
      <c r="W23" s="46">
        <v>0.14699999999999999</v>
      </c>
      <c r="X23" s="46">
        <v>0.9506</v>
      </c>
      <c r="Y23" s="46">
        <v>-9.98E-2</v>
      </c>
      <c r="AF23" s="172">
        <f t="shared" ref="AF23" si="31">V23+(W23*AJ23)+(X23*AJ23^2)+(Y23*AJ23^3)</f>
        <v>0.19983251339140001</v>
      </c>
      <c r="AG23" s="157">
        <v>1</v>
      </c>
      <c r="AH23" s="157">
        <f t="shared" ref="AH23" si="32">ROUND(AF23,4)</f>
        <v>0.19980000000000001</v>
      </c>
      <c r="AI23" s="158">
        <v>1</v>
      </c>
      <c r="AJ23" s="158">
        <v>0.39300000000000002</v>
      </c>
      <c r="AK23" s="158"/>
      <c r="AL23" s="158"/>
      <c r="AO23" s="43">
        <f t="shared" si="7"/>
        <v>1</v>
      </c>
      <c r="AP23" s="166" t="str">
        <f t="shared" ref="AP23" si="33">IF(AO23=1,CONCATENATE(AQ23,AR23,AS23),"")</f>
        <v>CrvCubic       "FanVSD901PwrRatio_fCFMRatio"                                    Coef1 =  0.001300  Coef2 =  0.147000  Coef3 =  0.950600  Coef4 = -0.099800  _x000D_
                                                                                MaxOut = 1.000   MinOut = 0.200   MaxVar1 = 1.000   MinVar1 = 0.393   _x000D_
..</v>
      </c>
      <c r="AQ23" s="166" t="str">
        <f t="shared" ref="AQ23" si="34">IF(AO23=1,CONCATENATE(AT23,AU23,AV23,AW23,IF(AX23="-","",$AX$15&amp;AX23),IF(AY23="-","",$AY$15&amp;AY23),IF(AZ23="-","",$AZ$15&amp;AZ23),IF(BA23="-","",$BA$15&amp;BA23),IF(BB23="-","",$BB$15&amp;BB23),IF(BC23="-","",$BC$15&amp;BC23)),"")</f>
        <v xml:space="preserve">CrvCubic       "FanVSD901PwrRatio_fCFMRatio"                                    Coef1 =  0.001300  Coef2 =  0.147000  Coef3 =  0.950600  Coef4 = -0.099800  </v>
      </c>
      <c r="AR23" s="166" t="str">
        <f t="shared" ref="AR23" si="35">IF(AO23=1,CONCATENATE(BD23,IF(BE23="-","",$BE$15&amp;BE23),IF(BF23="-","",$BF$15&amp;BF23),IF(BG23="-","",$BG$15&amp;BG23),IF(BH23="-","",$BH$15&amp;BH23),IF(BI23="-","",$BI$15&amp;BI23),IF(BJ23="-","",$BJ$15&amp;BJ23)),"")</f>
        <v xml:space="preserve">_x000D_
                                                                                MaxOut = 1.000   MinOut = 0.200   MaxVar1 = 1.000   MinVar1 = 0.393   </v>
      </c>
      <c r="AS23" s="166" t="str">
        <f t="shared" ref="AS23" si="36">IF(AO23=1,CHAR(13)&amp;CHAR(10)&amp;"..","")</f>
        <v>_x000D_
..</v>
      </c>
      <c r="AT23" s="43" t="str">
        <f t="shared" ref="AT23" si="37">IF(AO23=1,VLOOKUP(O23,$AT$2:$AV$13,2,0),"")</f>
        <v>CrvCubic</v>
      </c>
      <c r="AU23" s="43" t="str">
        <f t="shared" ref="AU23" si="38">REPT(" ",AU$14-LEN(AT23))</f>
        <v xml:space="preserve">       </v>
      </c>
      <c r="AV23" s="62" t="str">
        <f t="shared" ref="AV23" si="39">IF(AO23=1,CONCATENATE("""",N23,""""),"")</f>
        <v>"FanVSD901PwrRatio_fCFMRatio"</v>
      </c>
      <c r="AW23" s="43" t="str">
        <f t="shared" ref="AW23" si="40">REPT(" ",$AW$14-LEN(AV23))</f>
        <v xml:space="preserve">                                    </v>
      </c>
      <c r="AX23" s="43" t="str">
        <f t="shared" ref="AX23" si="41">IF($AO23=1,IF(ISBLANK(V23),"-",CONCATENATE(TEXT(V23," 0.000000;-0.000000"),"  ")),"")</f>
        <v xml:space="preserve"> 0.001300  </v>
      </c>
      <c r="AY23" s="43" t="str">
        <f t="shared" ref="AY23" si="42">IF($AO23=1,IF(ISBLANK(W23),"-",CONCATENATE(TEXT(W23," 0.000000;-0.000000"),"  ")),"")</f>
        <v xml:space="preserve"> 0.147000  </v>
      </c>
      <c r="AZ23" s="43" t="str">
        <f t="shared" ref="AZ23" si="43">IF($AO23=1,IF(ISBLANK(X23),"-",CONCATENATE(TEXT(X23," 0.000000;-0.000000"),"  ")),"")</f>
        <v xml:space="preserve"> 0.950600  </v>
      </c>
      <c r="BA23" s="43" t="str">
        <f t="shared" ref="BA23" si="44">IF($AO23=1,IF(ISBLANK(Y23),"-",CONCATENATE(TEXT(Y23," 0.000000;-0.000000"),"  ")),"")</f>
        <v xml:space="preserve">-0.099800  </v>
      </c>
      <c r="BB23" s="43" t="str">
        <f t="shared" ref="BB23" si="45">IF($AO23=1,IF(ISBLANK(Z23),"-",CONCATENATE(TEXT(Z23," 0.000000;-0.000000"),"  ")),"")</f>
        <v>-</v>
      </c>
      <c r="BC23" s="43" t="str">
        <f t="shared" ref="BC23" si="46">IF($AO23=1,IF(ISBLANK(AA23),"-",CONCATENATE(TEXT(AA23," 0.000000;-0.000000"),"  ")),"")</f>
        <v>-</v>
      </c>
      <c r="BD23" s="43" t="str">
        <f t="shared" ref="BD23" si="47">IF(MAX(AG23:AL23)=0,REPT(" ",1),CHAR(13)&amp;CHAR(10)&amp;REPT(" ",BD$14))</f>
        <v xml:space="preserve">_x000D_
                                                                                </v>
      </c>
      <c r="BE23" s="43" t="str">
        <f t="shared" ref="BE23" si="48">IF($AO23=1,IF(AG23="","-",CONCATENATE(TEXT(AG23,"0.000"),"   ")),"")</f>
        <v xml:space="preserve">1.000   </v>
      </c>
      <c r="BF23" s="43" t="str">
        <f t="shared" ref="BF23" si="49">IF($AO23=1,IF(AH23="","-",CONCATENATE(TEXT(AH23,"0.000"),"   ")),"")</f>
        <v xml:space="preserve">0.200   </v>
      </c>
      <c r="BG23" s="43" t="str">
        <f t="shared" ref="BG23" si="50">IF($AO23=1,IF(AI23="","-",CONCATENATE(TEXT(AI23,"0.000"),"   ")),"")</f>
        <v xml:space="preserve">1.000   </v>
      </c>
      <c r="BH23" s="43" t="str">
        <f t="shared" ref="BH23" si="51">IF($AO23=1,IF(AJ23="","-",CONCATENATE(TEXT(AJ23,"0.000"),"   ")),"")</f>
        <v xml:space="preserve">0.393   </v>
      </c>
      <c r="BI23" s="43" t="str">
        <f t="shared" ref="BI23" si="52">IF($AO23=1,IF(AK23="","-",CONCATENATE(TEXT(AK23,"0.000"),"   ")),"")</f>
        <v>-</v>
      </c>
      <c r="BJ23" s="43" t="str">
        <f t="shared" ref="BJ23" si="53">IF($AO23=1,IF(AL23="","-",CONCATENATE(TEXT(AL23,"0.000"),"   ")),"")</f>
        <v>-</v>
      </c>
      <c r="BM23" s="43" t="str">
        <f t="shared" ref="BM23" si="54">Q23</f>
        <v>CFMRatio</v>
      </c>
      <c r="BO23" s="43">
        <v>1</v>
      </c>
      <c r="BR23" s="43">
        <v>0</v>
      </c>
      <c r="BU23" s="147">
        <f t="shared" ref="BU23" si="55">$V23+$W23*BO23+$X23*BO23^2+$Y23*BO23^3</f>
        <v>0.99909999999999999</v>
      </c>
      <c r="BV23" s="147"/>
      <c r="BW23" s="147">
        <f t="shared" ref="BW23" si="56">$V23+$W23*BR23+$X23*BR23^2+$Y23*BR23^3</f>
        <v>1.2999999999999999E-3</v>
      </c>
    </row>
    <row r="24" spans="1:76" hidden="1" outlineLevel="1" x14ac:dyDescent="0.25">
      <c r="E24" s="43" t="s">
        <v>277</v>
      </c>
      <c r="F24" s="43" t="s">
        <v>436</v>
      </c>
      <c r="G24" s="45" t="s">
        <v>748</v>
      </c>
      <c r="H24" s="43" t="s">
        <v>746</v>
      </c>
      <c r="J24" s="43" t="s">
        <v>272</v>
      </c>
      <c r="K24" s="43" t="s">
        <v>484</v>
      </c>
      <c r="L24" s="43" t="s">
        <v>259</v>
      </c>
      <c r="M24" s="43" t="s">
        <v>526</v>
      </c>
      <c r="N24" s="43" t="str">
        <f t="shared" si="0"/>
        <v>FanVSDGoodSpResetPwrRatio_fCFMRatio</v>
      </c>
      <c r="O24" s="43" t="s">
        <v>230</v>
      </c>
      <c r="P24" s="20" t="s">
        <v>275</v>
      </c>
      <c r="Q24" s="43" t="s">
        <v>120</v>
      </c>
      <c r="V24" s="46">
        <v>4.0759893999999998E-2</v>
      </c>
      <c r="W24" s="46">
        <v>8.804497E-2</v>
      </c>
      <c r="X24" s="46">
        <v>-7.2926119999999997E-2</v>
      </c>
      <c r="Y24" s="46">
        <v>0.94373982300000003</v>
      </c>
      <c r="AF24" s="172">
        <f t="shared" ref="AF24" si="57">V24+(W24*AJ24)+(X24*AJ24^2)+(Y24*AJ24^3)</f>
        <v>0.10009272899314123</v>
      </c>
      <c r="AG24" s="157">
        <v>1</v>
      </c>
      <c r="AH24" s="157">
        <f t="shared" si="21"/>
        <v>0.10009999999999999</v>
      </c>
      <c r="AI24" s="158">
        <v>1</v>
      </c>
      <c r="AJ24" s="158">
        <v>0.34200000000000003</v>
      </c>
      <c r="AK24" s="158"/>
      <c r="AL24" s="158"/>
      <c r="AO24" s="43">
        <f t="shared" si="7"/>
        <v>1</v>
      </c>
      <c r="AP24" s="166" t="str">
        <f t="shared" ref="AP24" si="58">IF(AO24=1,CONCATENATE(AQ24,AR24,AS24),"")</f>
        <v>CrvCubic       "FanVSDGoodSpResetPwrRatio_fCFMRatio"                            Coef1 =  0.040760  Coef2 =  0.088045  Coef3 = -0.072926  Coef4 =  0.943740  _x000D_
                                                                                MaxOut = 1.000   MinOut = 0.100   MaxVar1 = 1.000   MinVar1 = 0.342   _x000D_
..</v>
      </c>
      <c r="AQ24" s="166" t="str">
        <f t="shared" ref="AQ24" si="59">IF(AO24=1,CONCATENATE(AT24,AU24,AV24,AW24,IF(AX24="-","",$AX$15&amp;AX24),IF(AY24="-","",$AY$15&amp;AY24),IF(AZ24="-","",$AZ$15&amp;AZ24),IF(BA24="-","",$BA$15&amp;BA24),IF(BB24="-","",$BB$15&amp;BB24),IF(BC24="-","",$BC$15&amp;BC24)),"")</f>
        <v xml:space="preserve">CrvCubic       "FanVSDGoodSpResetPwrRatio_fCFMRatio"                            Coef1 =  0.040760  Coef2 =  0.088045  Coef3 = -0.072926  Coef4 =  0.943740  </v>
      </c>
      <c r="AR24" s="166" t="str">
        <f t="shared" ref="AR24" si="60">IF(AO24=1,CONCATENATE(BD24,IF(BE24="-","",$BE$15&amp;BE24),IF(BF24="-","",$BF$15&amp;BF24),IF(BG24="-","",$BG$15&amp;BG24),IF(BH24="-","",$BH$15&amp;BH24),IF(BI24="-","",$BI$15&amp;BI24),IF(BJ24="-","",$BJ$15&amp;BJ24)),"")</f>
        <v xml:space="preserve">_x000D_
                                                                                MaxOut = 1.000   MinOut = 0.100   MaxVar1 = 1.000   MinVar1 = 0.342   </v>
      </c>
      <c r="AS24" s="166" t="str">
        <f t="shared" ref="AS24" si="61">IF(AO24=1,CHAR(13)&amp;CHAR(10)&amp;"..","")</f>
        <v>_x000D_
..</v>
      </c>
      <c r="AT24" s="43" t="str">
        <f t="shared" ref="AT24" si="62">IF(AO24=1,VLOOKUP(O24,$AT$2:$AV$13,2,0),"")</f>
        <v>CrvCubic</v>
      </c>
      <c r="AU24" s="43" t="str">
        <f t="shared" ref="AU24" si="63">REPT(" ",AU$14-LEN(AT24))</f>
        <v xml:space="preserve">       </v>
      </c>
      <c r="AV24" s="62" t="str">
        <f t="shared" ref="AV24" si="64">IF(AO24=1,CONCATENATE("""",N24,""""),"")</f>
        <v>"FanVSDGoodSpResetPwrRatio_fCFMRatio"</v>
      </c>
      <c r="AW24" s="43" t="str">
        <f t="shared" ref="AW24" si="65">REPT(" ",$AW$14-LEN(AV24))</f>
        <v xml:space="preserve">                            </v>
      </c>
      <c r="AX24" s="43" t="str">
        <f t="shared" ref="AX24" si="66">IF($AO24=1,IF(ISBLANK(V24),"-",CONCATENATE(TEXT(V24," 0.000000;-0.000000"),"  ")),"")</f>
        <v xml:space="preserve"> 0.040760  </v>
      </c>
      <c r="AY24" s="43" t="str">
        <f t="shared" ref="AY24" si="67">IF($AO24=1,IF(ISBLANK(W24),"-",CONCATENATE(TEXT(W24," 0.000000;-0.000000"),"  ")),"")</f>
        <v xml:space="preserve"> 0.088045  </v>
      </c>
      <c r="AZ24" s="43" t="str">
        <f t="shared" ref="AZ24" si="68">IF($AO24=1,IF(ISBLANK(X24),"-",CONCATENATE(TEXT(X24," 0.000000;-0.000000"),"  ")),"")</f>
        <v xml:space="preserve">-0.072926  </v>
      </c>
      <c r="BA24" s="43" t="str">
        <f t="shared" ref="BA24" si="69">IF($AO24=1,IF(ISBLANK(Y24),"-",CONCATENATE(TEXT(Y24," 0.000000;-0.000000"),"  ")),"")</f>
        <v xml:space="preserve"> 0.943740  </v>
      </c>
      <c r="BB24" s="43" t="str">
        <f t="shared" ref="BB24" si="70">IF($AO24=1,IF(ISBLANK(Z24),"-",CONCATENATE(TEXT(Z24," 0.000000;-0.000000"),"  ")),"")</f>
        <v>-</v>
      </c>
      <c r="BC24" s="43" t="str">
        <f t="shared" ref="BC24" si="71">IF($AO24=1,IF(ISBLANK(AA24),"-",CONCATENATE(TEXT(AA24," 0.000000;-0.000000"),"  ")),"")</f>
        <v>-</v>
      </c>
      <c r="BD24" s="43" t="str">
        <f t="shared" ref="BD24" si="72">IF(MAX(AG24:AL24)=0,REPT(" ",1),CHAR(13)&amp;CHAR(10)&amp;REPT(" ",BD$14))</f>
        <v xml:space="preserve">_x000D_
                                                                                </v>
      </c>
      <c r="BE24" s="43" t="str">
        <f t="shared" ref="BE24" si="73">IF($AO24=1,IF(AG24="","-",CONCATENATE(TEXT(AG24,"0.000"),"   ")),"")</f>
        <v xml:space="preserve">1.000   </v>
      </c>
      <c r="BF24" s="43" t="str">
        <f t="shared" ref="BF24" si="74">IF($AO24=1,IF(AH24="","-",CONCATENATE(TEXT(AH24,"0.000"),"   ")),"")</f>
        <v xml:space="preserve">0.100   </v>
      </c>
      <c r="BG24" s="43" t="str">
        <f t="shared" ref="BG24" si="75">IF($AO24=1,IF(AI24="","-",CONCATENATE(TEXT(AI24,"0.000"),"   ")),"")</f>
        <v xml:space="preserve">1.000   </v>
      </c>
      <c r="BH24" s="43" t="str">
        <f t="shared" ref="BH24" si="76">IF($AO24=1,IF(AJ24="","-",CONCATENATE(TEXT(AJ24,"0.000"),"   ")),"")</f>
        <v xml:space="preserve">0.342   </v>
      </c>
      <c r="BI24" s="43" t="str">
        <f t="shared" ref="BI24" si="77">IF($AO24=1,IF(AK24="","-",CONCATENATE(TEXT(AK24,"0.000"),"   ")),"")</f>
        <v>-</v>
      </c>
      <c r="BJ24" s="43" t="str">
        <f t="shared" ref="BJ24" si="78">IF($AO24=1,IF(AL24="","-",CONCATENATE(TEXT(AL24,"0.000"),"   ")),"")</f>
        <v>-</v>
      </c>
      <c r="BM24" s="43" t="str">
        <f t="shared" ref="BM24" si="79">Q24</f>
        <v>CFMRatio</v>
      </c>
      <c r="BO24" s="43">
        <v>1</v>
      </c>
      <c r="BR24" s="43">
        <v>0</v>
      </c>
      <c r="BU24" s="147">
        <f t="shared" ref="BU24" si="80">$V24+$W24*BO24+$X24*BO24^2+$Y24*BO24^3</f>
        <v>0.99961856700000007</v>
      </c>
      <c r="BV24" s="147"/>
      <c r="BW24" s="147">
        <f t="shared" ref="BW24" si="81">$V24+$W24*BR24+$X24*BR24^2+$Y24*BR24^3</f>
        <v>4.0759893999999998E-2</v>
      </c>
    </row>
    <row r="25" spans="1:76" hidden="1" outlineLevel="1" x14ac:dyDescent="0.25">
      <c r="E25" s="43" t="s">
        <v>277</v>
      </c>
      <c r="F25" s="43" t="s">
        <v>436</v>
      </c>
      <c r="G25" s="45" t="s">
        <v>749</v>
      </c>
      <c r="H25" s="43" t="s">
        <v>747</v>
      </c>
      <c r="J25" s="43" t="s">
        <v>272</v>
      </c>
      <c r="K25" s="43" t="s">
        <v>484</v>
      </c>
      <c r="L25" s="43" t="s">
        <v>259</v>
      </c>
      <c r="M25" s="43" t="s">
        <v>526</v>
      </c>
      <c r="N25" s="43" t="str">
        <f t="shared" si="0"/>
        <v>FanVSDPerfSpResetPwrRatio_fCFMRatio</v>
      </c>
      <c r="O25" s="43" t="s">
        <v>230</v>
      </c>
      <c r="P25" s="20" t="s">
        <v>275</v>
      </c>
      <c r="Q25" s="43" t="s">
        <v>120</v>
      </c>
      <c r="V25" s="46">
        <v>2.7827882000000002E-2</v>
      </c>
      <c r="W25" s="46">
        <v>2.6583195E-2</v>
      </c>
      <c r="X25" s="46">
        <v>-8.7068699999999999E-2</v>
      </c>
      <c r="Y25" s="46">
        <v>1.03091975</v>
      </c>
      <c r="AF25" s="172">
        <f t="shared" si="20"/>
        <v>9.999995595332202E-2</v>
      </c>
      <c r="AG25" s="157">
        <v>1</v>
      </c>
      <c r="AH25" s="157">
        <f t="shared" si="21"/>
        <v>0.1</v>
      </c>
      <c r="AI25" s="158">
        <v>1</v>
      </c>
      <c r="AJ25" s="158">
        <v>0.41997448440089813</v>
      </c>
      <c r="AK25" s="158"/>
      <c r="AL25" s="158"/>
      <c r="AO25" s="43">
        <f t="shared" si="7"/>
        <v>1</v>
      </c>
      <c r="AP25" s="166" t="str">
        <f t="shared" si="8"/>
        <v>CrvCubic       "FanVSDPerfSpResetPwrRatio_fCFMRatio"                            Coef1 =  0.027828  Coef2 =  0.026583  Coef3 = -0.087069  Coef4 =  1.030920  _x000D_
                                                                                MaxOut = 1.000   MinOut = 0.100   MaxVar1 = 1.000   MinVar1 = 0.420   _x000D_
..</v>
      </c>
      <c r="AQ25" s="166" t="str">
        <f t="shared" si="1"/>
        <v xml:space="preserve">CrvCubic       "FanVSDPerfSpResetPwrRatio_fCFMRatio"                            Coef1 =  0.027828  Coef2 =  0.026583  Coef3 = -0.087069  Coef4 =  1.030920  </v>
      </c>
      <c r="AR25" s="166" t="str">
        <f t="shared" si="22"/>
        <v xml:space="preserve">_x000D_
                                                                                MaxOut = 1.000   MinOut = 0.100   MaxVar1 = 1.000   MinVar1 = 0.420   </v>
      </c>
      <c r="AS25" s="166" t="str">
        <f t="shared" si="23"/>
        <v>_x000D_
..</v>
      </c>
      <c r="AT25" s="43" t="str">
        <f t="shared" si="2"/>
        <v>CrvCubic</v>
      </c>
      <c r="AU25" s="43" t="str">
        <f t="shared" si="24"/>
        <v xml:space="preserve">       </v>
      </c>
      <c r="AV25" s="62" t="str">
        <f t="shared" si="3"/>
        <v>"FanVSDPerfSpResetPwrRatio_fCFMRatio"</v>
      </c>
      <c r="AW25" s="43" t="str">
        <f t="shared" si="4"/>
        <v xml:space="preserve">                            </v>
      </c>
      <c r="AX25" s="43" t="str">
        <f t="shared" si="9"/>
        <v xml:space="preserve"> 0.027828  </v>
      </c>
      <c r="AY25" s="43" t="str">
        <f t="shared" si="10"/>
        <v xml:space="preserve"> 0.026583  </v>
      </c>
      <c r="AZ25" s="43" t="str">
        <f t="shared" si="11"/>
        <v xml:space="preserve">-0.087069  </v>
      </c>
      <c r="BA25" s="43" t="str">
        <f t="shared" si="12"/>
        <v xml:space="preserve"> 1.030920  </v>
      </c>
      <c r="BB25" s="43" t="str">
        <f t="shared" si="13"/>
        <v>-</v>
      </c>
      <c r="BC25" s="43" t="str">
        <f t="shared" si="14"/>
        <v>-</v>
      </c>
      <c r="BD25" s="43" t="str">
        <f t="shared" si="15"/>
        <v xml:space="preserve">_x000D_
                                                                                </v>
      </c>
      <c r="BE25" s="43" t="str">
        <f t="shared" si="25"/>
        <v xml:space="preserve">1.000   </v>
      </c>
      <c r="BF25" s="43" t="str">
        <f t="shared" si="26"/>
        <v xml:space="preserve">0.100   </v>
      </c>
      <c r="BG25" s="43" t="str">
        <f t="shared" si="27"/>
        <v xml:space="preserve">1.000   </v>
      </c>
      <c r="BH25" s="43" t="str">
        <f t="shared" si="28"/>
        <v xml:space="preserve">0.420   </v>
      </c>
      <c r="BI25" s="43" t="str">
        <f t="shared" si="29"/>
        <v>-</v>
      </c>
      <c r="BJ25" s="43" t="str">
        <f t="shared" si="30"/>
        <v>-</v>
      </c>
      <c r="BM25" s="43" t="str">
        <f t="shared" si="17"/>
        <v>CFMRatio</v>
      </c>
      <c r="BO25" s="43">
        <v>1</v>
      </c>
      <c r="BR25" s="43">
        <v>0</v>
      </c>
      <c r="BU25" s="147">
        <f t="shared" si="18"/>
        <v>0.99826212700000005</v>
      </c>
      <c r="BV25" s="147"/>
      <c r="BW25" s="147">
        <f t="shared" si="19"/>
        <v>2.7827882000000002E-2</v>
      </c>
    </row>
    <row r="26" spans="1:76" collapsed="1" x14ac:dyDescent="0.25">
      <c r="A26" s="41" t="s">
        <v>386</v>
      </c>
      <c r="L26" s="57"/>
      <c r="M26" s="57"/>
      <c r="N26" s="43" t="str">
        <f t="shared" si="0"/>
        <v>-</v>
      </c>
      <c r="P26" s="20"/>
      <c r="AF26" s="96"/>
      <c r="AG26" s="157"/>
      <c r="AH26" s="157"/>
      <c r="AI26" s="157"/>
      <c r="AJ26" s="158"/>
      <c r="AK26" s="158"/>
      <c r="AL26" s="158"/>
      <c r="AO26" s="43" t="str">
        <f t="shared" si="7"/>
        <v/>
      </c>
      <c r="AP26" s="166" t="str">
        <f t="shared" si="8"/>
        <v/>
      </c>
      <c r="AQ26" s="166"/>
      <c r="AR26" s="166" t="str">
        <f t="shared" si="22"/>
        <v/>
      </c>
      <c r="AS26" s="166" t="str">
        <f t="shared" si="23"/>
        <v/>
      </c>
      <c r="AU26" s="43" t="str">
        <f t="shared" si="24"/>
        <v xml:space="preserve">               </v>
      </c>
      <c r="AV26" s="62" t="str">
        <f t="shared" si="3"/>
        <v/>
      </c>
      <c r="AW26" s="43" t="str">
        <f t="shared" si="4"/>
        <v xml:space="preserve">                                                                 </v>
      </c>
      <c r="AX26" s="43" t="str">
        <f t="shared" si="9"/>
        <v/>
      </c>
      <c r="AY26" s="43" t="str">
        <f t="shared" si="10"/>
        <v/>
      </c>
      <c r="AZ26" s="43" t="str">
        <f t="shared" si="11"/>
        <v/>
      </c>
      <c r="BA26" s="43" t="str">
        <f t="shared" si="12"/>
        <v/>
      </c>
      <c r="BB26" s="43" t="str">
        <f t="shared" si="13"/>
        <v/>
      </c>
      <c r="BC26" s="43" t="str">
        <f t="shared" si="14"/>
        <v/>
      </c>
      <c r="BD26" s="43" t="str">
        <f t="shared" si="15"/>
        <v xml:space="preserve"> </v>
      </c>
      <c r="BE26" s="43" t="str">
        <f t="shared" si="25"/>
        <v/>
      </c>
      <c r="BF26" s="43" t="str">
        <f t="shared" si="26"/>
        <v/>
      </c>
      <c r="BG26" s="43" t="str">
        <f t="shared" si="27"/>
        <v/>
      </c>
      <c r="BH26" s="43" t="str">
        <f t="shared" si="28"/>
        <v/>
      </c>
      <c r="BI26" s="43" t="str">
        <f t="shared" si="29"/>
        <v/>
      </c>
      <c r="BJ26" s="43" t="str">
        <f t="shared" si="30"/>
        <v/>
      </c>
      <c r="BU26" s="147"/>
      <c r="BV26" s="147"/>
      <c r="BW26" s="147"/>
    </row>
    <row r="27" spans="1:76" s="20" customFormat="1" hidden="1" outlineLevel="1" x14ac:dyDescent="0.25">
      <c r="A27" s="58"/>
      <c r="B27" s="20" t="s">
        <v>154</v>
      </c>
      <c r="C27" s="56" t="s">
        <v>155</v>
      </c>
      <c r="D27" s="59" t="s">
        <v>83</v>
      </c>
      <c r="E27" s="20" t="s">
        <v>385</v>
      </c>
      <c r="F27" s="43" t="s">
        <v>436</v>
      </c>
      <c r="G27" s="60" t="s">
        <v>300</v>
      </c>
      <c r="H27" s="20" t="s">
        <v>712</v>
      </c>
      <c r="J27" s="20" t="s">
        <v>273</v>
      </c>
      <c r="K27" s="20" t="s">
        <v>16</v>
      </c>
      <c r="L27" s="20" t="s">
        <v>387</v>
      </c>
      <c r="M27" s="20" t="s">
        <v>528</v>
      </c>
      <c r="N27" s="43" t="str">
        <f t="shared" si="0"/>
        <v>PumpVSDNoRstPwrRatio_fGPMRatio</v>
      </c>
      <c r="O27" s="20" t="s">
        <v>230</v>
      </c>
      <c r="P27" s="20" t="s">
        <v>275</v>
      </c>
      <c r="Q27" s="20" t="s">
        <v>148</v>
      </c>
      <c r="V27" s="61">
        <v>0</v>
      </c>
      <c r="W27" s="61">
        <v>0.5726</v>
      </c>
      <c r="X27" s="61">
        <v>-0.30099999999999999</v>
      </c>
      <c r="Y27" s="61">
        <v>0.73470000000000002</v>
      </c>
      <c r="Z27" s="61"/>
      <c r="AA27" s="61"/>
      <c r="AF27" s="96"/>
      <c r="AG27" s="159">
        <v>1</v>
      </c>
      <c r="AH27" s="159">
        <v>0</v>
      </c>
      <c r="AI27" s="159">
        <v>1</v>
      </c>
      <c r="AJ27" s="159">
        <v>0</v>
      </c>
      <c r="AK27" s="159"/>
      <c r="AL27" s="159"/>
      <c r="AM27" s="60"/>
      <c r="AO27" s="43">
        <v>0</v>
      </c>
      <c r="AP27" s="166" t="str">
        <f t="shared" si="8"/>
        <v/>
      </c>
      <c r="AQ27" s="167" t="str">
        <f>IF(AO27=1,CONCATENATE(AT27,AU27,AV27,AW27,IF(AX27="-","",$AX$15&amp;AX27),IF(AY27="-","",$AY$15&amp;AY27),IF(AZ27="-","",$AZ$15&amp;AZ27),IF(BA27="-","",$BA$15&amp;BA27),IF(BB27="-","",$BB$15&amp;BB27),IF(BC27="-","",$BC$15&amp;BC27)),"")</f>
        <v/>
      </c>
      <c r="AR27" s="166" t="str">
        <f t="shared" si="22"/>
        <v/>
      </c>
      <c r="AS27" s="166" t="str">
        <f t="shared" si="23"/>
        <v/>
      </c>
      <c r="AT27" s="20" t="str">
        <f t="shared" ref="AT27:AT90" si="82">IF(AO27=1,VLOOKUP(O27,$AT$2:$AV$13,2,0),"")</f>
        <v/>
      </c>
      <c r="AU27" s="43" t="str">
        <f t="shared" si="24"/>
        <v xml:space="preserve">               </v>
      </c>
      <c r="AV27" s="62" t="str">
        <f t="shared" si="3"/>
        <v/>
      </c>
      <c r="AW27" s="43" t="str">
        <f t="shared" si="4"/>
        <v xml:space="preserve">                                                                 </v>
      </c>
      <c r="AX27" s="43" t="str">
        <f t="shared" si="9"/>
        <v/>
      </c>
      <c r="AY27" s="43" t="str">
        <f t="shared" si="10"/>
        <v/>
      </c>
      <c r="AZ27" s="43" t="str">
        <f t="shared" si="11"/>
        <v/>
      </c>
      <c r="BA27" s="43" t="str">
        <f t="shared" si="12"/>
        <v/>
      </c>
      <c r="BB27" s="43" t="str">
        <f t="shared" si="13"/>
        <v/>
      </c>
      <c r="BC27" s="43" t="str">
        <f t="shared" si="14"/>
        <v/>
      </c>
      <c r="BD27" s="43" t="str">
        <f t="shared" si="15"/>
        <v xml:space="preserve">_x000D_
                                                                                </v>
      </c>
      <c r="BE27" s="20" t="str">
        <f t="shared" si="25"/>
        <v/>
      </c>
      <c r="BF27" s="20" t="str">
        <f t="shared" si="26"/>
        <v/>
      </c>
      <c r="BG27" s="20" t="str">
        <f t="shared" si="27"/>
        <v/>
      </c>
      <c r="BH27" s="20" t="str">
        <f t="shared" si="28"/>
        <v/>
      </c>
      <c r="BI27" s="20" t="str">
        <f t="shared" si="29"/>
        <v/>
      </c>
      <c r="BJ27" s="20" t="str">
        <f t="shared" si="30"/>
        <v/>
      </c>
      <c r="BM27" s="43" t="str">
        <f>Q27</f>
        <v>GPMRatio</v>
      </c>
      <c r="BN27" s="43"/>
      <c r="BO27" s="43">
        <v>1</v>
      </c>
      <c r="BP27" s="43"/>
      <c r="BR27" s="43">
        <v>0</v>
      </c>
      <c r="BU27" s="147">
        <f>$V27+$W27*BO27+$X27*BO27^2+$Y27*BO27^3</f>
        <v>1.0063</v>
      </c>
      <c r="BV27" s="147"/>
      <c r="BW27" s="147">
        <f>$V27+$W27*BR27+$X27*BR27^2+$Y27*BR27^3</f>
        <v>0</v>
      </c>
    </row>
    <row r="28" spans="1:76" s="20" customFormat="1" hidden="1" outlineLevel="1" x14ac:dyDescent="0.25">
      <c r="A28" s="58"/>
      <c r="C28" s="56"/>
      <c r="D28" s="59"/>
      <c r="E28" s="20" t="s">
        <v>385</v>
      </c>
      <c r="F28" s="43" t="s">
        <v>436</v>
      </c>
      <c r="G28" s="60" t="s">
        <v>300</v>
      </c>
      <c r="H28" s="20" t="s">
        <v>713</v>
      </c>
      <c r="J28" s="20" t="s">
        <v>273</v>
      </c>
      <c r="K28" s="20" t="s">
        <v>16</v>
      </c>
      <c r="L28" s="20" t="s">
        <v>387</v>
      </c>
      <c r="M28" s="20" t="s">
        <v>528</v>
      </c>
      <c r="N28" s="43" t="str">
        <f t="shared" si="0"/>
        <v>PumpVSDRstPwrRatio_fGPMRatio</v>
      </c>
      <c r="O28" s="20" t="s">
        <v>230</v>
      </c>
      <c r="P28" s="20" t="s">
        <v>275</v>
      </c>
      <c r="Q28" s="20" t="s">
        <v>148</v>
      </c>
      <c r="V28" s="61">
        <v>0</v>
      </c>
      <c r="W28" s="61">
        <v>2.0500000000000001E-2</v>
      </c>
      <c r="X28" s="61">
        <v>0.41010000000000002</v>
      </c>
      <c r="Y28" s="61">
        <v>0.57530000000000003</v>
      </c>
      <c r="Z28" s="61"/>
      <c r="AA28" s="61"/>
      <c r="AF28" s="96"/>
      <c r="AG28" s="159">
        <v>1</v>
      </c>
      <c r="AH28" s="159">
        <v>0</v>
      </c>
      <c r="AI28" s="159">
        <v>1</v>
      </c>
      <c r="AJ28" s="159">
        <v>0</v>
      </c>
      <c r="AK28" s="159"/>
      <c r="AL28" s="159"/>
      <c r="AM28" s="60"/>
      <c r="AO28" s="43">
        <v>0</v>
      </c>
      <c r="AP28" s="166" t="str">
        <f t="shared" si="8"/>
        <v/>
      </c>
      <c r="AQ28" s="167" t="str">
        <f>IF(AO28=1,CONCATENATE(AT28,AU28,AV28,AW28,IF(AX28="-","",$AX$15&amp;AX28),IF(AY28="-","",$AY$15&amp;AY28),IF(AZ28="-","",$AZ$15&amp;AZ28),IF(BA28="-","",$BA$15&amp;BA28),IF(BB28="-","",$BB$15&amp;BB28),IF(BC28="-","",$BC$15&amp;BC28)),"")</f>
        <v/>
      </c>
      <c r="AR28" s="166" t="str">
        <f t="shared" si="22"/>
        <v/>
      </c>
      <c r="AS28" s="166" t="str">
        <f t="shared" si="23"/>
        <v/>
      </c>
      <c r="AT28" s="20" t="str">
        <f t="shared" si="82"/>
        <v/>
      </c>
      <c r="AU28" s="43" t="str">
        <f t="shared" si="24"/>
        <v xml:space="preserve">               </v>
      </c>
      <c r="AV28" s="62" t="str">
        <f t="shared" si="3"/>
        <v/>
      </c>
      <c r="AW28" s="43" t="str">
        <f t="shared" si="4"/>
        <v xml:space="preserve">                                                                 </v>
      </c>
      <c r="AX28" s="43" t="str">
        <f t="shared" si="9"/>
        <v/>
      </c>
      <c r="AY28" s="43" t="str">
        <f t="shared" si="10"/>
        <v/>
      </c>
      <c r="AZ28" s="43" t="str">
        <f t="shared" si="11"/>
        <v/>
      </c>
      <c r="BA28" s="43" t="str">
        <f t="shared" si="12"/>
        <v/>
      </c>
      <c r="BB28" s="43" t="str">
        <f t="shared" si="13"/>
        <v/>
      </c>
      <c r="BC28" s="43" t="str">
        <f t="shared" si="14"/>
        <v/>
      </c>
      <c r="BD28" s="43" t="str">
        <f t="shared" si="15"/>
        <v xml:space="preserve">_x000D_
                                                                                </v>
      </c>
      <c r="BE28" s="20" t="str">
        <f t="shared" si="25"/>
        <v/>
      </c>
      <c r="BF28" s="20" t="str">
        <f t="shared" si="26"/>
        <v/>
      </c>
      <c r="BG28" s="20" t="str">
        <f t="shared" si="27"/>
        <v/>
      </c>
      <c r="BH28" s="20" t="str">
        <f t="shared" si="28"/>
        <v/>
      </c>
      <c r="BI28" s="20" t="str">
        <f t="shared" si="29"/>
        <v/>
      </c>
      <c r="BJ28" s="20" t="str">
        <f t="shared" si="30"/>
        <v/>
      </c>
      <c r="BM28" s="43" t="str">
        <f>Q28</f>
        <v>GPMRatio</v>
      </c>
      <c r="BN28" s="43"/>
      <c r="BO28" s="43">
        <v>1</v>
      </c>
      <c r="BP28" s="43"/>
      <c r="BR28" s="43">
        <v>0</v>
      </c>
      <c r="BU28" s="147">
        <f>$V28+$W28*BO28+$X28*BO28^2+$Y28*BO28^3</f>
        <v>1.0059</v>
      </c>
      <c r="BV28" s="147"/>
      <c r="BW28" s="147">
        <f>$V28+$W28*BR28+$X28*BR28^2+$Y28*BR28^3</f>
        <v>0</v>
      </c>
      <c r="BX28" s="43"/>
    </row>
    <row r="29" spans="1:76" s="20" customFormat="1" hidden="1" outlineLevel="1" x14ac:dyDescent="0.25">
      <c r="A29" s="58"/>
      <c r="C29" s="56"/>
      <c r="D29" s="59"/>
      <c r="E29" s="20" t="s">
        <v>385</v>
      </c>
      <c r="F29" s="43" t="s">
        <v>436</v>
      </c>
      <c r="G29" s="60" t="s">
        <v>300</v>
      </c>
      <c r="H29" s="20" t="s">
        <v>720</v>
      </c>
      <c r="J29" s="20" t="s">
        <v>144</v>
      </c>
      <c r="K29" s="20" t="s">
        <v>16</v>
      </c>
      <c r="L29" s="20" t="s">
        <v>387</v>
      </c>
      <c r="M29" s="20" t="s">
        <v>528</v>
      </c>
      <c r="N29" s="43" t="str">
        <f t="shared" si="0"/>
        <v>PumpVSDNoRstEPPwrRatio_fGPMRatio</v>
      </c>
      <c r="O29" s="20" t="s">
        <v>230</v>
      </c>
      <c r="P29" s="20" t="s">
        <v>275</v>
      </c>
      <c r="Q29" s="20" t="s">
        <v>148</v>
      </c>
      <c r="V29" s="61">
        <v>0.10299999999999999</v>
      </c>
      <c r="W29" s="61">
        <v>-0.04</v>
      </c>
      <c r="X29" s="61">
        <v>0.76700000000000002</v>
      </c>
      <c r="Y29" s="61">
        <v>0.16789999999999999</v>
      </c>
      <c r="Z29" s="61"/>
      <c r="AA29" s="61"/>
      <c r="AF29" s="145">
        <f t="shared" ref="AF29:AF30" si="83">V29+(W29*AJ29)+(X29*AJ29^2)+(Y29*AJ29^3)</f>
        <v>0.1270232</v>
      </c>
      <c r="AG29" s="159">
        <v>1</v>
      </c>
      <c r="AH29" s="157">
        <f t="shared" ref="AH29:AH30" si="84">ROUND(AF29,2)</f>
        <v>0.13</v>
      </c>
      <c r="AI29" s="159">
        <v>1</v>
      </c>
      <c r="AJ29" s="159">
        <v>0.2</v>
      </c>
      <c r="AK29" s="159"/>
      <c r="AL29" s="159"/>
      <c r="AM29" s="60"/>
      <c r="AO29" s="43">
        <f t="shared" ref="AO29:AO37" si="85">IF(ISTEXT(A29),"",IF(I29="IP",0,1))</f>
        <v>1</v>
      </c>
      <c r="AP29" s="166" t="str">
        <f t="shared" si="8"/>
        <v>CrvCubic       "PumpVSDNoRstEPPwrRatio_fGPMRatio"                               Coef1 =  0.103000  Coef2 = -0.040000  Coef3 =  0.767000  Coef4 =  0.167900  _x000D_
                                                                                MaxOut = 1.000   MinOut = 0.130   MaxVar1 = 1.000   MinVar1 = 0.200   _x000D_
..</v>
      </c>
      <c r="AQ29" s="167" t="str">
        <f>IF(AO29=1,CONCATENATE(AT29,AU29,AV29,AW29,IF(AX29="-","",$AX$15&amp;AX29),IF(AY29="-","",$AY$15&amp;AY29),IF(AZ29="-","",$AZ$15&amp;AZ29),IF(BA29="-","",$BA$15&amp;BA29),IF(BB29="-","",$BB$15&amp;BB29),IF(BC29="-","",$BC$15&amp;BC29)),"")</f>
        <v xml:space="preserve">CrvCubic       "PumpVSDNoRstEPPwrRatio_fGPMRatio"                               Coef1 =  0.103000  Coef2 = -0.040000  Coef3 =  0.767000  Coef4 =  0.167900  </v>
      </c>
      <c r="AR29" s="166" t="str">
        <f t="shared" si="22"/>
        <v xml:space="preserve">_x000D_
                                                                                MaxOut = 1.000   MinOut = 0.130   MaxVar1 = 1.000   MinVar1 = 0.200   </v>
      </c>
      <c r="AS29" s="166" t="str">
        <f t="shared" si="23"/>
        <v>_x000D_
..</v>
      </c>
      <c r="AT29" s="20" t="str">
        <f t="shared" si="82"/>
        <v>CrvCubic</v>
      </c>
      <c r="AU29" s="43" t="str">
        <f t="shared" si="24"/>
        <v xml:space="preserve">       </v>
      </c>
      <c r="AV29" s="62" t="str">
        <f t="shared" si="3"/>
        <v>"PumpVSDNoRstEPPwrRatio_fGPMRatio"</v>
      </c>
      <c r="AW29" s="43" t="str">
        <f t="shared" si="4"/>
        <v xml:space="preserve">                               </v>
      </c>
      <c r="AX29" s="43" t="str">
        <f t="shared" si="9"/>
        <v xml:space="preserve"> 0.103000  </v>
      </c>
      <c r="AY29" s="43" t="str">
        <f t="shared" si="10"/>
        <v xml:space="preserve">-0.040000  </v>
      </c>
      <c r="AZ29" s="43" t="str">
        <f t="shared" si="11"/>
        <v xml:space="preserve"> 0.767000  </v>
      </c>
      <c r="BA29" s="43" t="str">
        <f t="shared" si="12"/>
        <v xml:space="preserve"> 0.167900  </v>
      </c>
      <c r="BB29" s="43" t="str">
        <f t="shared" si="13"/>
        <v>-</v>
      </c>
      <c r="BC29" s="43" t="str">
        <f t="shared" si="14"/>
        <v>-</v>
      </c>
      <c r="BD29" s="43" t="str">
        <f t="shared" si="15"/>
        <v xml:space="preserve">_x000D_
                                                                                </v>
      </c>
      <c r="BE29" s="20" t="str">
        <f t="shared" si="25"/>
        <v xml:space="preserve">1.000   </v>
      </c>
      <c r="BF29" s="20" t="str">
        <f t="shared" si="26"/>
        <v xml:space="preserve">0.130   </v>
      </c>
      <c r="BG29" s="20" t="str">
        <f t="shared" si="27"/>
        <v xml:space="preserve">1.000   </v>
      </c>
      <c r="BH29" s="20" t="str">
        <f t="shared" si="28"/>
        <v xml:space="preserve">0.200   </v>
      </c>
      <c r="BI29" s="20" t="str">
        <f t="shared" si="29"/>
        <v>-</v>
      </c>
      <c r="BJ29" s="20" t="str">
        <f t="shared" si="30"/>
        <v>-</v>
      </c>
      <c r="BM29" s="43" t="str">
        <f>Q29</f>
        <v>GPMRatio</v>
      </c>
      <c r="BN29" s="43"/>
      <c r="BO29" s="43">
        <v>1</v>
      </c>
      <c r="BP29" s="43"/>
      <c r="BR29" s="43">
        <v>0</v>
      </c>
      <c r="BU29" s="147">
        <f>$V29+$W29*BO29+$X29*BO29^2+$Y29*BO29^3</f>
        <v>0.99790000000000001</v>
      </c>
      <c r="BV29" s="147"/>
      <c r="BW29" s="147">
        <f>$V29+$W29*BR29+$X29*BR29^2+$Y29*BR29^3</f>
        <v>0.10299999999999999</v>
      </c>
      <c r="BX29" s="43"/>
    </row>
    <row r="30" spans="1:76" s="20" customFormat="1" hidden="1" outlineLevel="1" x14ac:dyDescent="0.25">
      <c r="A30" s="58"/>
      <c r="C30" s="56"/>
      <c r="D30" s="59"/>
      <c r="E30" s="20" t="s">
        <v>385</v>
      </c>
      <c r="F30" s="43" t="s">
        <v>436</v>
      </c>
      <c r="G30" s="60" t="s">
        <v>300</v>
      </c>
      <c r="H30" s="20" t="s">
        <v>721</v>
      </c>
      <c r="J30" s="20" t="s">
        <v>144</v>
      </c>
      <c r="K30" s="20" t="s">
        <v>16</v>
      </c>
      <c r="L30" s="20" t="s">
        <v>387</v>
      </c>
      <c r="M30" s="20" t="s">
        <v>528</v>
      </c>
      <c r="N30" s="43" t="str">
        <f t="shared" si="0"/>
        <v>PumpVSDRstEPPwrRatio_fGPMRatio</v>
      </c>
      <c r="O30" s="20" t="s">
        <v>230</v>
      </c>
      <c r="P30" s="20" t="s">
        <v>275</v>
      </c>
      <c r="Q30" s="20" t="s">
        <v>148</v>
      </c>
      <c r="V30" s="61">
        <v>2.7300000000000001E-2</v>
      </c>
      <c r="W30" s="61">
        <v>-0.13170000000000001</v>
      </c>
      <c r="X30" s="61">
        <v>0.66420000000000001</v>
      </c>
      <c r="Y30" s="61">
        <v>0.44450000000000001</v>
      </c>
      <c r="Z30" s="61"/>
      <c r="AA30" s="61"/>
      <c r="AF30" s="145">
        <f t="shared" si="83"/>
        <v>3.1084000000000004E-2</v>
      </c>
      <c r="AG30" s="159">
        <v>1</v>
      </c>
      <c r="AH30" s="157">
        <f t="shared" si="84"/>
        <v>0.03</v>
      </c>
      <c r="AI30" s="159">
        <v>1</v>
      </c>
      <c r="AJ30" s="159">
        <v>0.2</v>
      </c>
      <c r="AK30" s="159"/>
      <c r="AL30" s="159"/>
      <c r="AM30" s="60"/>
      <c r="AO30" s="43">
        <f t="shared" si="85"/>
        <v>1</v>
      </c>
      <c r="AP30" s="166" t="str">
        <f t="shared" ref="AP30" si="86">IF(AO30=1,CONCATENATE(AQ30,AR30,AS30),"")</f>
        <v>CrvCubic       "PumpVSDRstEPPwrRatio_fGPMRatio"                                 Coef1 =  0.027300  Coef2 = -0.131700  Coef3 =  0.664200  Coef4 =  0.444500  _x000D_
                                                                                MaxOut = 1.000   MinOut = 0.030   MaxVar1 = 1.000   MinVar1 = 0.200   _x000D_
..</v>
      </c>
      <c r="AQ30" s="167" t="str">
        <f>IF(AO30=1,CONCATENATE(AT30,AU30,AV30,AW30,IF(AX30="-","",$AX$15&amp;AX30),IF(AY30="-","",$AY$15&amp;AY30),IF(AZ30="-","",$AZ$15&amp;AZ30),IF(BA30="-","",$BA$15&amp;BA30),IF(BB30="-","",$BB$15&amp;BB30),IF(BC30="-","",$BC$15&amp;BC30)),"")</f>
        <v xml:space="preserve">CrvCubic       "PumpVSDRstEPPwrRatio_fGPMRatio"                                 Coef1 =  0.027300  Coef2 = -0.131700  Coef3 =  0.664200  Coef4 =  0.444500  </v>
      </c>
      <c r="AR30" s="166" t="str">
        <f t="shared" si="22"/>
        <v xml:space="preserve">_x000D_
                                                                                MaxOut = 1.000   MinOut = 0.030   MaxVar1 = 1.000   MinVar1 = 0.200   </v>
      </c>
      <c r="AS30" s="166" t="str">
        <f t="shared" ref="AS30" si="87">IF(AO30=1,CHAR(13)&amp;CHAR(10)&amp;"..","")</f>
        <v>_x000D_
..</v>
      </c>
      <c r="AT30" s="20" t="str">
        <f t="shared" ref="AT30" si="88">IF(AO30=1,VLOOKUP(O30,$AT$2:$AV$13,2,0),"")</f>
        <v>CrvCubic</v>
      </c>
      <c r="AU30" s="43" t="str">
        <f t="shared" ref="AU30" si="89">REPT(" ",AU$14-LEN(AT30))</f>
        <v xml:space="preserve">       </v>
      </c>
      <c r="AV30" s="62" t="str">
        <f t="shared" ref="AV30" si="90">IF(AO30=1,CONCATENATE("""",N30,""""),"")</f>
        <v>"PumpVSDRstEPPwrRatio_fGPMRatio"</v>
      </c>
      <c r="AW30" s="43" t="str">
        <f t="shared" ref="AW30" si="91">REPT(" ",$AW$14-LEN(AV30))</f>
        <v xml:space="preserve">                                 </v>
      </c>
      <c r="AX30" s="43" t="str">
        <f t="shared" ref="AX30" si="92">IF($AO30=1,IF(ISBLANK(V30),"-",CONCATENATE(TEXT(V30," 0.000000;-0.000000"),"  ")),"")</f>
        <v xml:space="preserve"> 0.027300  </v>
      </c>
      <c r="AY30" s="43" t="str">
        <f t="shared" ref="AY30" si="93">IF($AO30=1,IF(ISBLANK(W30),"-",CONCATENATE(TEXT(W30," 0.000000;-0.000000"),"  ")),"")</f>
        <v xml:space="preserve">-0.131700  </v>
      </c>
      <c r="AZ30" s="43" t="str">
        <f t="shared" ref="AZ30" si="94">IF($AO30=1,IF(ISBLANK(X30),"-",CONCATENATE(TEXT(X30," 0.000000;-0.000000"),"  ")),"")</f>
        <v xml:space="preserve"> 0.664200  </v>
      </c>
      <c r="BA30" s="43" t="str">
        <f t="shared" ref="BA30" si="95">IF($AO30=1,IF(ISBLANK(Y30),"-",CONCATENATE(TEXT(Y30," 0.000000;-0.000000"),"  ")),"")</f>
        <v xml:space="preserve"> 0.444500  </v>
      </c>
      <c r="BB30" s="43" t="str">
        <f t="shared" ref="BB30" si="96">IF($AO30=1,IF(ISBLANK(Z30),"-",CONCATENATE(TEXT(Z30," 0.000000;-0.000000"),"  ")),"")</f>
        <v>-</v>
      </c>
      <c r="BC30" s="43" t="str">
        <f t="shared" ref="BC30" si="97">IF($AO30=1,IF(ISBLANK(AA30),"-",CONCATENATE(TEXT(AA30," 0.000000;-0.000000"),"  ")),"")</f>
        <v>-</v>
      </c>
      <c r="BD30" s="43" t="str">
        <f t="shared" ref="BD30" si="98">IF(MAX(AG30:AL30)=0,REPT(" ",1),CHAR(13)&amp;CHAR(10)&amp;REPT(" ",BD$14))</f>
        <v xml:space="preserve">_x000D_
                                                                                </v>
      </c>
      <c r="BE30" s="20" t="str">
        <f t="shared" si="25"/>
        <v xml:space="preserve">1.000   </v>
      </c>
      <c r="BF30" s="20" t="str">
        <f t="shared" si="26"/>
        <v xml:space="preserve">0.030   </v>
      </c>
      <c r="BG30" s="20" t="str">
        <f t="shared" si="27"/>
        <v xml:space="preserve">1.000   </v>
      </c>
      <c r="BH30" s="20" t="str">
        <f t="shared" si="28"/>
        <v xml:space="preserve">0.200   </v>
      </c>
      <c r="BI30" s="20" t="str">
        <f t="shared" si="29"/>
        <v>-</v>
      </c>
      <c r="BJ30" s="20" t="str">
        <f t="shared" si="30"/>
        <v>-</v>
      </c>
      <c r="BM30" s="43" t="str">
        <f>Q30</f>
        <v>GPMRatio</v>
      </c>
      <c r="BN30" s="43"/>
      <c r="BO30" s="43">
        <v>1</v>
      </c>
      <c r="BP30" s="43"/>
      <c r="BR30" s="43">
        <v>0</v>
      </c>
      <c r="BU30" s="147">
        <f>$V30+$W30*BO30+$X30*BO30^2+$Y30*BO30^3</f>
        <v>1.0043</v>
      </c>
      <c r="BV30" s="147"/>
      <c r="BW30" s="147">
        <f>$V30+$W30*BR30+$X30*BR30^2+$Y30*BR30^3</f>
        <v>2.7300000000000001E-2</v>
      </c>
      <c r="BX30" s="43"/>
    </row>
    <row r="31" spans="1:76" collapsed="1" x14ac:dyDescent="0.25">
      <c r="A31" s="41" t="s">
        <v>299</v>
      </c>
      <c r="N31" s="43" t="str">
        <f t="shared" si="0"/>
        <v>-</v>
      </c>
      <c r="AF31" s="96"/>
      <c r="AG31" s="157"/>
      <c r="AH31" s="157"/>
      <c r="AI31" s="158"/>
      <c r="AJ31" s="158"/>
      <c r="AK31" s="158"/>
      <c r="AL31" s="158"/>
      <c r="AO31" s="43" t="str">
        <f t="shared" si="85"/>
        <v/>
      </c>
      <c r="AP31" s="166" t="str">
        <f t="shared" si="8"/>
        <v/>
      </c>
      <c r="AQ31" s="166" t="str">
        <f t="shared" ref="AQ31:AQ69" si="99">IF(AO31=1,CONCATENATE(AT31,AU31,AV31,AW31,IF(AX31="-","",$AX$15&amp;AX31),IF(AY31="-","",$AY$15&amp;AY31),IF(AZ31="-","",$AZ$15&amp;AZ31),IF(BA31="-","",$BA$15&amp;BA31),IF(BB31="-","",$BB$15&amp;BB31),IF(BC31="-","",$BC$15&amp;BC31)),"")</f>
        <v/>
      </c>
      <c r="AR31" s="166" t="str">
        <f t="shared" si="22"/>
        <v/>
      </c>
      <c r="AS31" s="166" t="str">
        <f t="shared" si="23"/>
        <v/>
      </c>
      <c r="AT31" s="43" t="str">
        <f t="shared" si="82"/>
        <v/>
      </c>
      <c r="AU31" s="43" t="str">
        <f t="shared" si="24"/>
        <v xml:space="preserve">               </v>
      </c>
      <c r="AV31" s="62" t="str">
        <f t="shared" si="3"/>
        <v/>
      </c>
      <c r="AW31" s="43" t="str">
        <f t="shared" si="4"/>
        <v xml:space="preserve">                                                                 </v>
      </c>
      <c r="AX31" s="43" t="str">
        <f t="shared" si="9"/>
        <v/>
      </c>
      <c r="AY31" s="43" t="str">
        <f t="shared" si="10"/>
        <v/>
      </c>
      <c r="AZ31" s="43" t="str">
        <f t="shared" si="11"/>
        <v/>
      </c>
      <c r="BA31" s="43" t="str">
        <f t="shared" si="12"/>
        <v/>
      </c>
      <c r="BB31" s="43" t="str">
        <f t="shared" si="13"/>
        <v/>
      </c>
      <c r="BC31" s="43" t="str">
        <f t="shared" si="14"/>
        <v/>
      </c>
      <c r="BD31" s="43" t="str">
        <f t="shared" si="15"/>
        <v xml:space="preserve"> </v>
      </c>
      <c r="BE31" s="43" t="str">
        <f t="shared" si="25"/>
        <v/>
      </c>
      <c r="BF31" s="43" t="str">
        <f t="shared" si="26"/>
        <v/>
      </c>
      <c r="BG31" s="43" t="str">
        <f t="shared" si="27"/>
        <v/>
      </c>
      <c r="BH31" s="43" t="str">
        <f t="shared" si="28"/>
        <v/>
      </c>
      <c r="BI31" s="43" t="str">
        <f t="shared" si="29"/>
        <v/>
      </c>
      <c r="BJ31" s="43" t="str">
        <f t="shared" si="30"/>
        <v/>
      </c>
      <c r="BU31" s="147"/>
      <c r="BV31" s="147"/>
      <c r="BW31" s="147"/>
    </row>
    <row r="32" spans="1:76" ht="60" hidden="1" outlineLevel="1" x14ac:dyDescent="0.25">
      <c r="B32" s="43" t="s">
        <v>126</v>
      </c>
      <c r="C32" s="43" t="s">
        <v>293</v>
      </c>
      <c r="D32" s="45" t="s">
        <v>505</v>
      </c>
      <c r="E32" s="20" t="s">
        <v>306</v>
      </c>
      <c r="F32" s="20" t="s">
        <v>403</v>
      </c>
      <c r="G32" s="45" t="s">
        <v>543</v>
      </c>
      <c r="H32" s="43" t="s">
        <v>35</v>
      </c>
      <c r="I32" s="43" t="s">
        <v>659</v>
      </c>
      <c r="J32" s="43" t="s">
        <v>273</v>
      </c>
      <c r="K32" s="43" t="s">
        <v>29</v>
      </c>
      <c r="L32" s="45"/>
      <c r="M32" s="23"/>
      <c r="N32" s="43" t="str">
        <f t="shared" si="0"/>
        <v>CoilClgPTACQRatio_fTwbToadbIP</v>
      </c>
      <c r="O32" s="20" t="s">
        <v>165</v>
      </c>
      <c r="P32" s="20" t="s">
        <v>160</v>
      </c>
      <c r="Q32" s="43" t="s">
        <v>116</v>
      </c>
      <c r="R32" s="43" t="s">
        <v>460</v>
      </c>
      <c r="V32" s="46">
        <v>1.1839344999999999</v>
      </c>
      <c r="W32" s="46">
        <v>-8.1086999999999999E-3</v>
      </c>
      <c r="X32" s="46">
        <v>2.1100000000000001E-4</v>
      </c>
      <c r="Y32" s="46">
        <v>-6.1434999999999997E-3</v>
      </c>
      <c r="Z32" s="46">
        <v>1.5999999999999999E-6</v>
      </c>
      <c r="AA32" s="46">
        <v>-3.0000000000000001E-6</v>
      </c>
      <c r="AF32" s="96"/>
      <c r="AG32" s="158">
        <f t="shared" ref="AG32:AH37" si="100">IF(BV32&gt;0,ROUND(BV32,2),"")</f>
        <v>1.34</v>
      </c>
      <c r="AH32" s="158">
        <f t="shared" si="100"/>
        <v>0.7</v>
      </c>
      <c r="AI32" s="158">
        <f>IF(BQ32&gt;0,ROUND(BQ32,2),"")</f>
        <v>77</v>
      </c>
      <c r="AJ32" s="158">
        <f>IF(BR32&gt;0,ROUND(BR32,2),"")</f>
        <v>57</v>
      </c>
      <c r="AK32" s="158">
        <f>IF(BS32&gt;0,ROUND(BS32,2),"")</f>
        <v>115</v>
      </c>
      <c r="AL32" s="158">
        <f>IF(BT32&gt;0,ROUND(BT32,2),"")</f>
        <v>75</v>
      </c>
      <c r="AM32" s="45" t="s">
        <v>627</v>
      </c>
      <c r="AO32" s="43">
        <f t="shared" si="85"/>
        <v>0</v>
      </c>
      <c r="AP32" s="166" t="str">
        <f t="shared" si="8"/>
        <v/>
      </c>
      <c r="AQ32" s="166" t="str">
        <f t="shared" si="99"/>
        <v/>
      </c>
      <c r="AR32" s="166" t="str">
        <f t="shared" si="22"/>
        <v/>
      </c>
      <c r="AS32" s="166" t="str">
        <f t="shared" si="23"/>
        <v/>
      </c>
      <c r="AT32" s="43" t="str">
        <f t="shared" si="82"/>
        <v/>
      </c>
      <c r="AU32" s="43" t="str">
        <f t="shared" si="24"/>
        <v xml:space="preserve">               </v>
      </c>
      <c r="AV32" s="62" t="str">
        <f t="shared" si="3"/>
        <v/>
      </c>
      <c r="AW32" s="43" t="str">
        <f t="shared" si="4"/>
        <v xml:space="preserve">                                                                 </v>
      </c>
      <c r="AX32" s="43" t="str">
        <f t="shared" ref="AX32:BC32" si="101">IF($AO32=1,IF(ISBLANK(V32),"-",CONCATENATE(TEXT(V32," 0.000000;-0.000000"),"  ")),"")</f>
        <v/>
      </c>
      <c r="AY32" s="43" t="str">
        <f t="shared" si="101"/>
        <v/>
      </c>
      <c r="AZ32" s="43" t="str">
        <f t="shared" si="101"/>
        <v/>
      </c>
      <c r="BA32" s="43" t="str">
        <f t="shared" si="101"/>
        <v/>
      </c>
      <c r="BB32" s="43" t="str">
        <f t="shared" si="101"/>
        <v/>
      </c>
      <c r="BC32" s="43" t="str">
        <f t="shared" si="101"/>
        <v/>
      </c>
      <c r="BD32" s="43" t="str">
        <f t="shared" si="15"/>
        <v xml:space="preserve">_x000D_
                                                                                </v>
      </c>
      <c r="BE32" s="43" t="str">
        <f t="shared" si="25"/>
        <v/>
      </c>
      <c r="BF32" s="43" t="str">
        <f t="shared" si="26"/>
        <v/>
      </c>
      <c r="BG32" s="43" t="str">
        <f t="shared" si="27"/>
        <v/>
      </c>
      <c r="BH32" s="43" t="str">
        <f t="shared" si="28"/>
        <v/>
      </c>
      <c r="BI32" s="43" t="str">
        <f t="shared" si="29"/>
        <v/>
      </c>
      <c r="BJ32" s="43" t="str">
        <f t="shared" si="30"/>
        <v/>
      </c>
      <c r="BM32" s="43" t="str">
        <f t="shared" ref="BM32:BN37" si="102">Q32</f>
        <v>Twb</v>
      </c>
      <c r="BN32" s="43" t="str">
        <f t="shared" si="102"/>
        <v>Toadb</v>
      </c>
      <c r="BO32" s="43">
        <v>67</v>
      </c>
      <c r="BP32" s="43">
        <v>95</v>
      </c>
      <c r="BQ32" s="43">
        <v>77</v>
      </c>
      <c r="BR32" s="43">
        <v>57</v>
      </c>
      <c r="BS32" s="43">
        <v>115</v>
      </c>
      <c r="BT32" s="43">
        <v>75</v>
      </c>
      <c r="BU32" s="147">
        <f t="shared" ref="BU32:BU37" si="103">$V32+$W32*BO32+$X32*BO32^2+$Y32*BP32+$Z32*BP32^2+$AA32*BO32*BP32</f>
        <v>0.9995430999999998</v>
      </c>
      <c r="BV32" s="147">
        <f>$V32+$W32*BQ32+$X32*BQ32^2+$Y32*BT32+$Z32*BT32^2+$AA32*BQ32*BT32</f>
        <v>1.3414960999999999</v>
      </c>
      <c r="BW32" s="147">
        <f>$V32+$W32*BR32+$X32*BR32^2+$Y32*BS32+$Z32*BS32^2+$AA32*BR32*BS32</f>
        <v>0.70227010000000001</v>
      </c>
      <c r="BX32" s="43" t="s">
        <v>729</v>
      </c>
    </row>
    <row r="33" spans="1:80" ht="45" hidden="1" outlineLevel="1" x14ac:dyDescent="0.25">
      <c r="D33" s="45"/>
      <c r="E33" s="20" t="s">
        <v>306</v>
      </c>
      <c r="F33" s="20" t="s">
        <v>403</v>
      </c>
      <c r="G33" s="45" t="s">
        <v>543</v>
      </c>
      <c r="H33" s="43" t="s">
        <v>35</v>
      </c>
      <c r="I33" s="43" t="s">
        <v>660</v>
      </c>
      <c r="J33" s="43" t="s">
        <v>144</v>
      </c>
      <c r="L33" s="45" t="s">
        <v>534</v>
      </c>
      <c r="M33" s="23" t="s">
        <v>267</v>
      </c>
      <c r="N33" s="43" t="str">
        <f t="shared" si="0"/>
        <v>CoilClgPTACQRatio_fTwbToadbSI</v>
      </c>
      <c r="O33" s="20" t="s">
        <v>165</v>
      </c>
      <c r="P33" s="20" t="s">
        <v>160</v>
      </c>
      <c r="Q33" s="43" t="s">
        <v>116</v>
      </c>
      <c r="R33" s="43" t="s">
        <v>460</v>
      </c>
      <c r="V33" s="46">
        <v>0.94287900000000002</v>
      </c>
      <c r="W33" s="46">
        <v>9.5382000000000002E-3</v>
      </c>
      <c r="X33" s="46">
        <v>6.8364000000000001E-4</v>
      </c>
      <c r="Y33" s="46">
        <v>-1.10016E-2</v>
      </c>
      <c r="Z33" s="46">
        <v>6.4799999999999998E-6</v>
      </c>
      <c r="AA33" s="46">
        <v>-9.7200000000000001E-6</v>
      </c>
      <c r="AF33" s="96"/>
      <c r="AG33" s="158">
        <f t="shared" si="100"/>
        <v>1.34</v>
      </c>
      <c r="AH33" s="158">
        <f t="shared" si="100"/>
        <v>0.71</v>
      </c>
      <c r="AI33" s="158">
        <f t="shared" ref="AI33:AI37" si="104">IF(BQ33&gt;0,ROUND(BQ33,2),"")</f>
        <v>25</v>
      </c>
      <c r="AJ33" s="158">
        <f t="shared" ref="AJ33:AL37" si="105">IF(BR33&gt;0,ROUND(BR33,2),"")</f>
        <v>13.89</v>
      </c>
      <c r="AK33" s="158">
        <f t="shared" si="105"/>
        <v>46.11</v>
      </c>
      <c r="AL33" s="158">
        <f t="shared" si="105"/>
        <v>23.89</v>
      </c>
      <c r="AO33" s="43">
        <f t="shared" si="85"/>
        <v>1</v>
      </c>
      <c r="AP33" s="166" t="str">
        <f t="shared" ref="AP33" si="106">IF(AO33=1,CONCATENATE(AQ33,AR33,AS33),"")</f>
        <v>CrvDblQuad     "CoilClgPTACQRatio_fTwbToadbSI"                                  Coef1 =  0.942879  Coef2 =  0.009538  Coef3 =  0.000684  Coef4 = -0.011002  Coef5 =  0.000006  Coef6 = -0.000010  _x000D_
                                                                                MaxOut = 1.340   MinOut = 0.710   MaxVar1 = 25.000   MinVar1 = 13.890   MaxVar2 = 46.110   MinVar2 = 23.890   _x000D_
..</v>
      </c>
      <c r="AQ33" s="166" t="str">
        <f t="shared" ref="AQ33" si="107">IF(AO33=1,CONCATENATE(AT33,AU33,AV33,AW33,IF(AX33="-","",$AX$15&amp;AX33),IF(AY33="-","",$AY$15&amp;AY33),IF(AZ33="-","",$AZ$15&amp;AZ33),IF(BA33="-","",$BA$15&amp;BA33),IF(BB33="-","",$BB$15&amp;BB33),IF(BC33="-","",$BC$15&amp;BC33)),"")</f>
        <v xml:space="preserve">CrvDblQuad     "CoilClgPTACQRatio_fTwbToadbSI"                                  Coef1 =  0.942879  Coef2 =  0.009538  Coef3 =  0.000684  Coef4 = -0.011002  Coef5 =  0.000006  Coef6 = -0.000010  </v>
      </c>
      <c r="AR33" s="166" t="str">
        <f t="shared" si="22"/>
        <v xml:space="preserve">_x000D_
                                                                                MaxOut = 1.340   MinOut = 0.710   MaxVar1 = 25.000   MinVar1 = 13.890   MaxVar2 = 46.110   MinVar2 = 23.890   </v>
      </c>
      <c r="AS33" s="166" t="str">
        <f t="shared" ref="AS33" si="108">IF(AO33=1,CHAR(13)&amp;CHAR(10)&amp;"..","")</f>
        <v>_x000D_
..</v>
      </c>
      <c r="AT33" s="43" t="str">
        <f t="shared" ref="AT33" si="109">IF(AO33=1,VLOOKUP(O33,$AT$2:$AV$13,2,0),"")</f>
        <v>CrvDblQuad</v>
      </c>
      <c r="AU33" s="43" t="str">
        <f t="shared" si="24"/>
        <v xml:space="preserve">     </v>
      </c>
      <c r="AV33" s="62" t="str">
        <f t="shared" ref="AV33" si="110">IF(AO33=1,CONCATENATE("""",N33,""""),"")</f>
        <v>"CoilClgPTACQRatio_fTwbToadbSI"</v>
      </c>
      <c r="AW33" s="43" t="str">
        <f t="shared" ref="AW33" si="111">REPT(" ",$AW$14-LEN(AV33))</f>
        <v xml:space="preserve">                                  </v>
      </c>
      <c r="AX33" s="43" t="str">
        <f t="shared" ref="AX33" si="112">IF($AO33=1,IF(ISBLANK(V33),"-",CONCATENATE(TEXT(V33," 0.000000;-0.000000"),"  ")),"")</f>
        <v xml:space="preserve"> 0.942879  </v>
      </c>
      <c r="AY33" s="43" t="str">
        <f t="shared" ref="AY33" si="113">IF($AO33=1,IF(ISBLANK(W33),"-",CONCATENATE(TEXT(W33," 0.000000;-0.000000"),"  ")),"")</f>
        <v xml:space="preserve"> 0.009538  </v>
      </c>
      <c r="AZ33" s="43" t="str">
        <f t="shared" ref="AZ33" si="114">IF($AO33=1,IF(ISBLANK(X33),"-",CONCATENATE(TEXT(X33," 0.000000;-0.000000"),"  ")),"")</f>
        <v xml:space="preserve"> 0.000684  </v>
      </c>
      <c r="BA33" s="43" t="str">
        <f t="shared" ref="BA33" si="115">IF($AO33=1,IF(ISBLANK(Y33),"-",CONCATENATE(TEXT(Y33," 0.000000;-0.000000"),"  ")),"")</f>
        <v xml:space="preserve">-0.011002  </v>
      </c>
      <c r="BB33" s="43" t="str">
        <f t="shared" ref="BB33" si="116">IF($AO33=1,IF(ISBLANK(Z33),"-",CONCATENATE(TEXT(Z33," 0.000000;-0.000000"),"  ")),"")</f>
        <v xml:space="preserve"> 0.000006  </v>
      </c>
      <c r="BC33" s="43" t="str">
        <f t="shared" ref="BC33" si="117">IF($AO33=1,IF(ISBLANK(AA33),"-",CONCATENATE(TEXT(AA33," 0.000000;-0.000000"),"  ")),"")</f>
        <v xml:space="preserve">-0.000010  </v>
      </c>
      <c r="BD33" s="43" t="str">
        <f t="shared" si="15"/>
        <v xml:space="preserve">_x000D_
                                                                                </v>
      </c>
      <c r="BE33" s="43" t="str">
        <f t="shared" si="25"/>
        <v xml:space="preserve">1.340   </v>
      </c>
      <c r="BF33" s="43" t="str">
        <f t="shared" si="26"/>
        <v xml:space="preserve">0.710   </v>
      </c>
      <c r="BG33" s="43" t="str">
        <f t="shared" si="27"/>
        <v xml:space="preserve">25.000   </v>
      </c>
      <c r="BH33" s="43" t="str">
        <f t="shared" si="28"/>
        <v xml:space="preserve">13.890   </v>
      </c>
      <c r="BI33" s="43" t="str">
        <f t="shared" si="29"/>
        <v xml:space="preserve">46.110   </v>
      </c>
      <c r="BJ33" s="43" t="str">
        <f t="shared" si="30"/>
        <v xml:space="preserve">23.890   </v>
      </c>
      <c r="BM33" s="43" t="str">
        <f t="shared" si="102"/>
        <v>Twb</v>
      </c>
      <c r="BN33" s="43" t="str">
        <f t="shared" si="102"/>
        <v>Toadb</v>
      </c>
      <c r="BO33" s="164">
        <f>(BO32-32)/1.8</f>
        <v>19.444444444444443</v>
      </c>
      <c r="BP33" s="164">
        <f>(BP32-32)/1.8</f>
        <v>35</v>
      </c>
      <c r="BQ33" s="164">
        <f t="shared" ref="BQ33:BT33" si="118">(BQ32-32)/1.8</f>
        <v>25</v>
      </c>
      <c r="BR33" s="164">
        <f>(BR32-32)/1.8</f>
        <v>13.888888888888889</v>
      </c>
      <c r="BS33" s="164">
        <f t="shared" si="118"/>
        <v>46.111111111111107</v>
      </c>
      <c r="BT33" s="164">
        <f t="shared" si="118"/>
        <v>23.888888888888889</v>
      </c>
      <c r="BU33" s="147">
        <f t="shared" si="103"/>
        <v>1.0030859999999999</v>
      </c>
      <c r="BV33" s="147">
        <f t="shared" ref="BV33:BV37" si="119">$V33+$W33*BQ33+$X33*BQ33^2+$Y33*BT33+$Z33*BT33^2+$AA33*BQ33*BT33</f>
        <v>1.3436860000000002</v>
      </c>
      <c r="BW33" s="147">
        <f t="shared" ref="BW33:BW37" si="120">$V33+$W33*BR33+$X33*BR33^2+$Y33*BS33+$Z33*BS33^2+$AA33*BR33*BS33</f>
        <v>0.70748599999999984</v>
      </c>
      <c r="BX33" s="43" t="s">
        <v>729</v>
      </c>
    </row>
    <row r="34" spans="1:80" ht="60" hidden="1" outlineLevel="1" x14ac:dyDescent="0.25">
      <c r="E34" s="20" t="s">
        <v>306</v>
      </c>
      <c r="F34" s="20" t="s">
        <v>403</v>
      </c>
      <c r="G34" s="60" t="s">
        <v>545</v>
      </c>
      <c r="H34" s="20" t="s">
        <v>301</v>
      </c>
      <c r="I34" s="43" t="s">
        <v>659</v>
      </c>
      <c r="J34" s="43" t="s">
        <v>273</v>
      </c>
      <c r="K34" s="43" t="s">
        <v>29</v>
      </c>
      <c r="L34" s="45"/>
      <c r="M34" s="23"/>
      <c r="N34" s="43" t="str">
        <f t="shared" si="0"/>
        <v>CoilClgDXQRatio_fTwbToadbIP</v>
      </c>
      <c r="O34" s="20" t="s">
        <v>165</v>
      </c>
      <c r="P34" s="20" t="s">
        <v>160</v>
      </c>
      <c r="Q34" s="43" t="s">
        <v>116</v>
      </c>
      <c r="R34" s="43" t="s">
        <v>460</v>
      </c>
      <c r="V34" s="46">
        <v>0.87403019999999998</v>
      </c>
      <c r="W34" s="46">
        <v>-1.1416E-3</v>
      </c>
      <c r="X34" s="46">
        <v>1.7110000000000001E-4</v>
      </c>
      <c r="Y34" s="46">
        <v>-2.957E-3</v>
      </c>
      <c r="Z34" s="46">
        <v>1.0200000000000001E-5</v>
      </c>
      <c r="AA34" s="46">
        <v>-5.9200000000000002E-5</v>
      </c>
      <c r="AF34" s="96"/>
      <c r="AG34" s="158">
        <f t="shared" si="100"/>
        <v>1.29</v>
      </c>
      <c r="AH34" s="158">
        <f t="shared" si="100"/>
        <v>0.77</v>
      </c>
      <c r="AI34" s="158">
        <f t="shared" si="104"/>
        <v>77</v>
      </c>
      <c r="AJ34" s="158">
        <f t="shared" si="105"/>
        <v>57</v>
      </c>
      <c r="AK34" s="158">
        <f t="shared" si="105"/>
        <v>115</v>
      </c>
      <c r="AL34" s="158">
        <f t="shared" si="105"/>
        <v>75</v>
      </c>
      <c r="AM34" s="45" t="s">
        <v>627</v>
      </c>
      <c r="AO34" s="43">
        <f t="shared" si="85"/>
        <v>0</v>
      </c>
      <c r="AP34" s="166" t="str">
        <f t="shared" si="8"/>
        <v/>
      </c>
      <c r="AQ34" s="166" t="str">
        <f t="shared" si="99"/>
        <v/>
      </c>
      <c r="AR34" s="166" t="str">
        <f t="shared" si="22"/>
        <v/>
      </c>
      <c r="AS34" s="166" t="str">
        <f t="shared" si="23"/>
        <v/>
      </c>
      <c r="AT34" s="43" t="str">
        <f t="shared" si="82"/>
        <v/>
      </c>
      <c r="AU34" s="43" t="str">
        <f t="shared" si="24"/>
        <v xml:space="preserve">               </v>
      </c>
      <c r="AV34" s="62" t="str">
        <f t="shared" si="3"/>
        <v/>
      </c>
      <c r="AW34" s="43" t="str">
        <f t="shared" si="4"/>
        <v xml:space="preserve">                                                                 </v>
      </c>
      <c r="AX34" s="43" t="str">
        <f t="shared" ref="AX34:AX114" si="121">IF($AO34=1,IF(ISBLANK(V34),"-",CONCATENATE(TEXT(V34," 0.000000;-0.000000"),"  ")),"")</f>
        <v/>
      </c>
      <c r="AY34" s="43" t="str">
        <f t="shared" ref="AY34:AY114" si="122">IF($AO34=1,IF(ISBLANK(W34),"-",CONCATENATE(TEXT(W34," 0.000000;-0.000000"),"  ")),"")</f>
        <v/>
      </c>
      <c r="AZ34" s="43" t="str">
        <f t="shared" ref="AZ34:AZ114" si="123">IF($AO34=1,IF(ISBLANK(X34),"-",CONCATENATE(TEXT(X34," 0.000000;-0.000000"),"  ")),"")</f>
        <v/>
      </c>
      <c r="BA34" s="43" t="str">
        <f t="shared" ref="BA34:BA114" si="124">IF($AO34=1,IF(ISBLANK(Y34),"-",CONCATENATE(TEXT(Y34," 0.000000;-0.000000"),"  ")),"")</f>
        <v/>
      </c>
      <c r="BB34" s="43" t="str">
        <f t="shared" ref="BB34:BB114" si="125">IF($AO34=1,IF(ISBLANK(Z34),"-",CONCATENATE(TEXT(Z34," 0.000000;-0.000000"),"  ")),"")</f>
        <v/>
      </c>
      <c r="BC34" s="43" t="str">
        <f t="shared" ref="BC34:BC114" si="126">IF($AO34=1,IF(ISBLANK(AA34),"-",CONCATENATE(TEXT(AA34," 0.000000;-0.000000"),"  ")),"")</f>
        <v/>
      </c>
      <c r="BD34" s="43" t="str">
        <f t="shared" si="15"/>
        <v xml:space="preserve">_x000D_
                                                                                </v>
      </c>
      <c r="BE34" s="43" t="str">
        <f t="shared" si="25"/>
        <v/>
      </c>
      <c r="BF34" s="43" t="str">
        <f t="shared" si="26"/>
        <v/>
      </c>
      <c r="BG34" s="43" t="str">
        <f t="shared" si="27"/>
        <v/>
      </c>
      <c r="BH34" s="43" t="str">
        <f t="shared" si="28"/>
        <v/>
      </c>
      <c r="BI34" s="43" t="str">
        <f t="shared" si="29"/>
        <v/>
      </c>
      <c r="BJ34" s="43" t="str">
        <f t="shared" si="30"/>
        <v/>
      </c>
      <c r="BM34" s="43" t="str">
        <f t="shared" si="102"/>
        <v>Twb</v>
      </c>
      <c r="BN34" s="43" t="str">
        <f t="shared" si="102"/>
        <v>Toadb</v>
      </c>
      <c r="BO34" s="43">
        <v>67</v>
      </c>
      <c r="BP34" s="43">
        <v>95</v>
      </c>
      <c r="BQ34" s="43">
        <v>77</v>
      </c>
      <c r="BR34" s="43">
        <v>57</v>
      </c>
      <c r="BS34" s="43">
        <v>115</v>
      </c>
      <c r="BT34" s="43">
        <v>75</v>
      </c>
      <c r="BU34" s="147">
        <f t="shared" si="103"/>
        <v>0.99994289999999997</v>
      </c>
      <c r="BV34" s="147">
        <f t="shared" si="119"/>
        <v>1.2942989</v>
      </c>
      <c r="BW34" s="147">
        <f t="shared" si="120"/>
        <v>0.77164689999999991</v>
      </c>
      <c r="BX34" s="43" t="s">
        <v>729</v>
      </c>
    </row>
    <row r="35" spans="1:80" ht="45" hidden="1" outlineLevel="1" x14ac:dyDescent="0.25">
      <c r="E35" s="20" t="s">
        <v>306</v>
      </c>
      <c r="F35" s="20" t="s">
        <v>403</v>
      </c>
      <c r="G35" s="60" t="s">
        <v>545</v>
      </c>
      <c r="H35" s="20" t="s">
        <v>301</v>
      </c>
      <c r="I35" s="43" t="s">
        <v>660</v>
      </c>
      <c r="J35" s="43" t="s">
        <v>144</v>
      </c>
      <c r="L35" s="45" t="s">
        <v>534</v>
      </c>
      <c r="M35" s="23" t="s">
        <v>267</v>
      </c>
      <c r="N35" s="43" t="str">
        <f t="shared" si="0"/>
        <v>CoilClgDXQRatio_fTwbToadbSI</v>
      </c>
      <c r="O35" s="20" t="s">
        <v>165</v>
      </c>
      <c r="P35" s="20" t="s">
        <v>160</v>
      </c>
      <c r="Q35" s="43" t="s">
        <v>116</v>
      </c>
      <c r="R35" s="43" t="s">
        <v>460</v>
      </c>
      <c r="V35" s="46">
        <v>0.86778999999999995</v>
      </c>
      <c r="W35" s="46">
        <v>1.42452E-2</v>
      </c>
      <c r="X35" s="46">
        <v>5.5404E-4</v>
      </c>
      <c r="Y35" s="46">
        <v>-7.5690000000000002E-3</v>
      </c>
      <c r="Z35" s="46">
        <v>3.2400000000000001E-5</v>
      </c>
      <c r="AA35" s="46">
        <v>-1.9116000000000001E-4</v>
      </c>
      <c r="AF35" s="96"/>
      <c r="AG35" s="158">
        <f t="shared" si="100"/>
        <v>1.29</v>
      </c>
      <c r="AH35" s="158">
        <f t="shared" si="100"/>
        <v>0.77</v>
      </c>
      <c r="AI35" s="158">
        <f t="shared" si="104"/>
        <v>25</v>
      </c>
      <c r="AJ35" s="158">
        <f t="shared" si="105"/>
        <v>13.89</v>
      </c>
      <c r="AK35" s="158">
        <f t="shared" si="105"/>
        <v>46.11</v>
      </c>
      <c r="AL35" s="158">
        <f t="shared" si="105"/>
        <v>23.89</v>
      </c>
      <c r="AO35" s="43">
        <f t="shared" si="85"/>
        <v>1</v>
      </c>
      <c r="AP35" s="166" t="str">
        <f t="shared" ref="AP35" si="127">IF(AO35=1,CONCATENATE(AQ35,AR35,AS35),"")</f>
        <v>CrvDblQuad     "CoilClgDXQRatio_fTwbToadbSI"                                    Coef1 =  0.867790  Coef2 =  0.014245  Coef3 =  0.000554  Coef4 = -0.007569  Coef5 =  0.000032  Coef6 = -0.000191  _x000D_
                                                                                MaxOut = 1.290   MinOut = 0.770   MaxVar1 = 25.000   MinVar1 = 13.890   MaxVar2 = 46.110   MinVar2 = 23.890   _x000D_
..</v>
      </c>
      <c r="AQ35" s="166" t="str">
        <f t="shared" ref="AQ35" si="128">IF(AO35=1,CONCATENATE(AT35,AU35,AV35,AW35,IF(AX35="-","",$AX$15&amp;AX35),IF(AY35="-","",$AY$15&amp;AY35),IF(AZ35="-","",$AZ$15&amp;AZ35),IF(BA35="-","",$BA$15&amp;BA35),IF(BB35="-","",$BB$15&amp;BB35),IF(BC35="-","",$BC$15&amp;BC35)),"")</f>
        <v xml:space="preserve">CrvDblQuad     "CoilClgDXQRatio_fTwbToadbSI"                                    Coef1 =  0.867790  Coef2 =  0.014245  Coef3 =  0.000554  Coef4 = -0.007569  Coef5 =  0.000032  Coef6 = -0.000191  </v>
      </c>
      <c r="AR35" s="166" t="str">
        <f t="shared" si="22"/>
        <v xml:space="preserve">_x000D_
                                                                                MaxOut = 1.290   MinOut = 0.770   MaxVar1 = 25.000   MinVar1 = 13.890   MaxVar2 = 46.110   MinVar2 = 23.890   </v>
      </c>
      <c r="AS35" s="166" t="str">
        <f t="shared" ref="AS35" si="129">IF(AO35=1,CHAR(13)&amp;CHAR(10)&amp;"..","")</f>
        <v>_x000D_
..</v>
      </c>
      <c r="AT35" s="43" t="str">
        <f t="shared" ref="AT35" si="130">IF(AO35=1,VLOOKUP(O35,$AT$2:$AV$13,2,0),"")</f>
        <v>CrvDblQuad</v>
      </c>
      <c r="AU35" s="43" t="str">
        <f t="shared" si="24"/>
        <v xml:space="preserve">     </v>
      </c>
      <c r="AV35" s="62" t="str">
        <f t="shared" ref="AV35" si="131">IF(AO35=1,CONCATENATE("""",N35,""""),"")</f>
        <v>"CoilClgDXQRatio_fTwbToadbSI"</v>
      </c>
      <c r="AW35" s="43" t="str">
        <f t="shared" ref="AW35" si="132">REPT(" ",$AW$14-LEN(AV35))</f>
        <v xml:space="preserve">                                    </v>
      </c>
      <c r="AX35" s="43" t="str">
        <f t="shared" ref="AX35" si="133">IF($AO35=1,IF(ISBLANK(V35),"-",CONCATENATE(TEXT(V35," 0.000000;-0.000000"),"  ")),"")</f>
        <v xml:space="preserve"> 0.867790  </v>
      </c>
      <c r="AY35" s="43" t="str">
        <f t="shared" ref="AY35" si="134">IF($AO35=1,IF(ISBLANK(W35),"-",CONCATENATE(TEXT(W35," 0.000000;-0.000000"),"  ")),"")</f>
        <v xml:space="preserve"> 0.014245  </v>
      </c>
      <c r="AZ35" s="43" t="str">
        <f t="shared" ref="AZ35" si="135">IF($AO35=1,IF(ISBLANK(X35),"-",CONCATENATE(TEXT(X35," 0.000000;-0.000000"),"  ")),"")</f>
        <v xml:space="preserve"> 0.000554  </v>
      </c>
      <c r="BA35" s="43" t="str">
        <f t="shared" ref="BA35" si="136">IF($AO35=1,IF(ISBLANK(Y35),"-",CONCATENATE(TEXT(Y35," 0.000000;-0.000000"),"  ")),"")</f>
        <v xml:space="preserve">-0.007569  </v>
      </c>
      <c r="BB35" s="43" t="str">
        <f t="shared" ref="BB35" si="137">IF($AO35=1,IF(ISBLANK(Z35),"-",CONCATENATE(TEXT(Z35," 0.000000;-0.000000"),"  ")),"")</f>
        <v xml:space="preserve"> 0.000032  </v>
      </c>
      <c r="BC35" s="43" t="str">
        <f t="shared" ref="BC35" si="138">IF($AO35=1,IF(ISBLANK(AA35),"-",CONCATENATE(TEXT(AA35," 0.000000;-0.000000"),"  ")),"")</f>
        <v xml:space="preserve">-0.000191  </v>
      </c>
      <c r="BD35" s="43" t="str">
        <f t="shared" si="15"/>
        <v xml:space="preserve">_x000D_
                                                                                </v>
      </c>
      <c r="BE35" s="43" t="str">
        <f t="shared" si="25"/>
        <v xml:space="preserve">1.290   </v>
      </c>
      <c r="BF35" s="43" t="str">
        <f t="shared" si="26"/>
        <v xml:space="preserve">0.770   </v>
      </c>
      <c r="BG35" s="43" t="str">
        <f t="shared" si="27"/>
        <v xml:space="preserve">25.000   </v>
      </c>
      <c r="BH35" s="43" t="str">
        <f t="shared" si="28"/>
        <v xml:space="preserve">13.890   </v>
      </c>
      <c r="BI35" s="43" t="str">
        <f t="shared" si="29"/>
        <v xml:space="preserve">46.110   </v>
      </c>
      <c r="BJ35" s="43" t="str">
        <f t="shared" si="30"/>
        <v xml:space="preserve">23.890   </v>
      </c>
      <c r="BM35" s="43" t="str">
        <f t="shared" si="102"/>
        <v>Twb</v>
      </c>
      <c r="BN35" s="43" t="str">
        <f t="shared" si="102"/>
        <v>Toadb</v>
      </c>
      <c r="BO35" s="164">
        <f>(BO34-32)/1.8</f>
        <v>19.444444444444443</v>
      </c>
      <c r="BP35" s="164">
        <f>(BP34-32)/1.8</f>
        <v>35</v>
      </c>
      <c r="BQ35" s="164">
        <f t="shared" ref="BQ35" si="139">(BQ34-32)/1.8</f>
        <v>25</v>
      </c>
      <c r="BR35" s="164">
        <f t="shared" ref="BR35" si="140">(BR34-32)/1.8</f>
        <v>13.888888888888889</v>
      </c>
      <c r="BS35" s="164">
        <f t="shared" ref="BS35" si="141">(BS34-32)/1.8</f>
        <v>46.111111111111107</v>
      </c>
      <c r="BT35" s="164">
        <f t="shared" ref="BT35" si="142">(BT34-32)/1.8</f>
        <v>23.888888888888889</v>
      </c>
      <c r="BU35" s="147">
        <f t="shared" si="103"/>
        <v>0.9989349999999998</v>
      </c>
      <c r="BV35" s="147">
        <f t="shared" si="119"/>
        <v>1.2937049999999999</v>
      </c>
      <c r="BW35" s="147">
        <f t="shared" si="120"/>
        <v>0.76996500000000001</v>
      </c>
      <c r="BX35" s="43" t="s">
        <v>729</v>
      </c>
    </row>
    <row r="36" spans="1:80" hidden="1" outlineLevel="1" x14ac:dyDescent="0.25">
      <c r="E36" s="20" t="s">
        <v>306</v>
      </c>
      <c r="F36" s="20" t="s">
        <v>403</v>
      </c>
      <c r="G36" s="60" t="s">
        <v>555</v>
      </c>
      <c r="H36" s="20" t="s">
        <v>302</v>
      </c>
      <c r="I36" s="43" t="s">
        <v>659</v>
      </c>
      <c r="J36" s="43" t="s">
        <v>273</v>
      </c>
      <c r="K36" s="43" t="s">
        <v>29</v>
      </c>
      <c r="L36" s="57"/>
      <c r="M36" s="57"/>
      <c r="N36" s="43" t="str">
        <f t="shared" si="0"/>
        <v>CoilClgWSHPQRatio_fTwbTcwsIP</v>
      </c>
      <c r="O36" s="20" t="s">
        <v>165</v>
      </c>
      <c r="P36" s="20" t="s">
        <v>160</v>
      </c>
      <c r="Q36" s="20" t="s">
        <v>116</v>
      </c>
      <c r="R36" s="43" t="s">
        <v>140</v>
      </c>
      <c r="V36" s="46">
        <v>-0.2780377</v>
      </c>
      <c r="W36" s="46">
        <v>2.4830700000000001E-2</v>
      </c>
      <c r="X36" s="46">
        <v>-9.5000000000000005E-6</v>
      </c>
      <c r="Y36" s="46">
        <v>-3.2731000000000001E-3</v>
      </c>
      <c r="Z36" s="46">
        <v>6.9999999999999999E-6</v>
      </c>
      <c r="AA36" s="46">
        <v>-2.72E-5</v>
      </c>
      <c r="AF36" s="96"/>
      <c r="AG36" s="158">
        <f t="shared" si="100"/>
        <v>1.28</v>
      </c>
      <c r="AH36" s="158">
        <f t="shared" si="100"/>
        <v>0.75</v>
      </c>
      <c r="AI36" s="158">
        <f t="shared" si="104"/>
        <v>77</v>
      </c>
      <c r="AJ36" s="158">
        <f t="shared" si="105"/>
        <v>57</v>
      </c>
      <c r="AK36" s="158">
        <f t="shared" si="105"/>
        <v>85</v>
      </c>
      <c r="AL36" s="158">
        <f t="shared" si="105"/>
        <v>60</v>
      </c>
      <c r="AO36" s="43">
        <f t="shared" si="85"/>
        <v>0</v>
      </c>
      <c r="AP36" s="166" t="str">
        <f t="shared" si="8"/>
        <v/>
      </c>
      <c r="AQ36" s="166" t="str">
        <f t="shared" si="99"/>
        <v/>
      </c>
      <c r="AR36" s="166" t="str">
        <f t="shared" si="22"/>
        <v/>
      </c>
      <c r="AS36" s="166" t="str">
        <f t="shared" si="23"/>
        <v/>
      </c>
      <c r="AT36" s="43" t="str">
        <f t="shared" si="82"/>
        <v/>
      </c>
      <c r="AU36" s="43" t="str">
        <f t="shared" si="24"/>
        <v xml:space="preserve">               </v>
      </c>
      <c r="AV36" s="62" t="str">
        <f t="shared" si="3"/>
        <v/>
      </c>
      <c r="AW36" s="43" t="str">
        <f t="shared" si="4"/>
        <v xml:space="preserve">                                                                 </v>
      </c>
      <c r="AX36" s="43" t="str">
        <f t="shared" si="121"/>
        <v/>
      </c>
      <c r="AY36" s="43" t="str">
        <f t="shared" si="122"/>
        <v/>
      </c>
      <c r="AZ36" s="43" t="str">
        <f t="shared" si="123"/>
        <v/>
      </c>
      <c r="BA36" s="43" t="str">
        <f t="shared" si="124"/>
        <v/>
      </c>
      <c r="BB36" s="43" t="str">
        <f t="shared" si="125"/>
        <v/>
      </c>
      <c r="BC36" s="43" t="str">
        <f t="shared" si="126"/>
        <v/>
      </c>
      <c r="BD36" s="43" t="str">
        <f t="shared" si="15"/>
        <v xml:space="preserve">_x000D_
                                                                                </v>
      </c>
      <c r="BE36" s="43" t="str">
        <f t="shared" si="25"/>
        <v/>
      </c>
      <c r="BF36" s="43" t="str">
        <f t="shared" si="26"/>
        <v/>
      </c>
      <c r="BG36" s="43" t="str">
        <f t="shared" si="27"/>
        <v/>
      </c>
      <c r="BH36" s="43" t="str">
        <f t="shared" si="28"/>
        <v/>
      </c>
      <c r="BI36" s="43" t="str">
        <f t="shared" si="29"/>
        <v/>
      </c>
      <c r="BJ36" s="43" t="str">
        <f t="shared" si="30"/>
        <v/>
      </c>
      <c r="BM36" s="43" t="str">
        <f t="shared" si="102"/>
        <v>Twb</v>
      </c>
      <c r="BN36" s="43" t="str">
        <f t="shared" si="102"/>
        <v>Tcws</v>
      </c>
      <c r="BO36" s="43">
        <v>67</v>
      </c>
      <c r="BP36" s="43">
        <v>85</v>
      </c>
      <c r="BQ36" s="43">
        <v>77</v>
      </c>
      <c r="BR36" s="43">
        <v>57</v>
      </c>
      <c r="BS36" s="43">
        <v>85</v>
      </c>
      <c r="BT36" s="43">
        <v>60</v>
      </c>
      <c r="BU36" s="147">
        <f t="shared" si="103"/>
        <v>0.96043119999999982</v>
      </c>
      <c r="BV36" s="147">
        <f t="shared" si="119"/>
        <v>1.2807507</v>
      </c>
      <c r="BW36" s="147">
        <f t="shared" si="120"/>
        <v>0.74702420000000003</v>
      </c>
      <c r="BX36" s="43" t="s">
        <v>729</v>
      </c>
    </row>
    <row r="37" spans="1:80" hidden="1" outlineLevel="1" x14ac:dyDescent="0.25">
      <c r="E37" s="20" t="s">
        <v>306</v>
      </c>
      <c r="F37" s="20" t="s">
        <v>403</v>
      </c>
      <c r="G37" s="60" t="s">
        <v>556</v>
      </c>
      <c r="H37" s="20" t="s">
        <v>303</v>
      </c>
      <c r="I37" s="43" t="s">
        <v>659</v>
      </c>
      <c r="J37" s="43" t="s">
        <v>273</v>
      </c>
      <c r="K37" s="43" t="s">
        <v>29</v>
      </c>
      <c r="L37" s="57"/>
      <c r="M37" s="57"/>
      <c r="N37" s="43" t="str">
        <f t="shared" si="0"/>
        <v>CoilClgWSDXQRatio_fTwbTcwsIP</v>
      </c>
      <c r="O37" s="20" t="s">
        <v>165</v>
      </c>
      <c r="P37" s="20" t="s">
        <v>160</v>
      </c>
      <c r="Q37" s="20" t="s">
        <v>116</v>
      </c>
      <c r="R37" s="43" t="s">
        <v>140</v>
      </c>
      <c r="V37" s="46">
        <v>0.94526330000000003</v>
      </c>
      <c r="W37" s="46">
        <v>-9.4199000000000001E-3</v>
      </c>
      <c r="X37" s="46">
        <v>2.2699999999999999E-4</v>
      </c>
      <c r="Y37" s="46">
        <v>4.8050000000000002E-4</v>
      </c>
      <c r="Z37" s="46">
        <v>-4.5000000000000001E-6</v>
      </c>
      <c r="AA37" s="46">
        <v>-5.9899999999999999E-5</v>
      </c>
      <c r="AF37" s="96"/>
      <c r="AG37" s="158">
        <f t="shared" si="100"/>
        <v>1.3</v>
      </c>
      <c r="AH37" s="158">
        <f t="shared" si="100"/>
        <v>0.86</v>
      </c>
      <c r="AI37" s="158">
        <f t="shared" si="104"/>
        <v>77</v>
      </c>
      <c r="AJ37" s="158">
        <f t="shared" si="105"/>
        <v>57</v>
      </c>
      <c r="AK37" s="158">
        <f t="shared" si="105"/>
        <v>85</v>
      </c>
      <c r="AL37" s="158">
        <f t="shared" si="105"/>
        <v>60</v>
      </c>
      <c r="AO37" s="43">
        <f t="shared" si="85"/>
        <v>0</v>
      </c>
      <c r="AP37" s="166" t="str">
        <f t="shared" si="8"/>
        <v/>
      </c>
      <c r="AQ37" s="166" t="str">
        <f t="shared" si="99"/>
        <v/>
      </c>
      <c r="AR37" s="166" t="str">
        <f t="shared" si="22"/>
        <v/>
      </c>
      <c r="AS37" s="166" t="str">
        <f t="shared" si="23"/>
        <v/>
      </c>
      <c r="AT37" s="43" t="str">
        <f t="shared" si="82"/>
        <v/>
      </c>
      <c r="AU37" s="43" t="str">
        <f t="shared" si="24"/>
        <v xml:space="preserve">               </v>
      </c>
      <c r="AV37" s="62" t="str">
        <f t="shared" si="3"/>
        <v/>
      </c>
      <c r="AW37" s="43" t="str">
        <f t="shared" si="4"/>
        <v xml:space="preserve">                                                                 </v>
      </c>
      <c r="AX37" s="43" t="str">
        <f t="shared" si="121"/>
        <v/>
      </c>
      <c r="AY37" s="43" t="str">
        <f t="shared" si="122"/>
        <v/>
      </c>
      <c r="AZ37" s="43" t="str">
        <f t="shared" si="123"/>
        <v/>
      </c>
      <c r="BA37" s="43" t="str">
        <f t="shared" si="124"/>
        <v/>
      </c>
      <c r="BB37" s="43" t="str">
        <f t="shared" si="125"/>
        <v/>
      </c>
      <c r="BC37" s="43" t="str">
        <f t="shared" si="126"/>
        <v/>
      </c>
      <c r="BD37" s="43" t="str">
        <f t="shared" si="15"/>
        <v xml:space="preserve">_x000D_
                                                                                </v>
      </c>
      <c r="BE37" s="43" t="str">
        <f t="shared" si="25"/>
        <v/>
      </c>
      <c r="BF37" s="43" t="str">
        <f t="shared" si="26"/>
        <v/>
      </c>
      <c r="BG37" s="43" t="str">
        <f t="shared" si="27"/>
        <v/>
      </c>
      <c r="BH37" s="43" t="str">
        <f t="shared" si="28"/>
        <v/>
      </c>
      <c r="BI37" s="43" t="str">
        <f t="shared" si="29"/>
        <v/>
      </c>
      <c r="BJ37" s="43" t="str">
        <f t="shared" si="30"/>
        <v/>
      </c>
      <c r="BM37" s="43" t="str">
        <f t="shared" si="102"/>
        <v>Twb</v>
      </c>
      <c r="BN37" s="43" t="str">
        <f t="shared" si="102"/>
        <v>Tcws</v>
      </c>
      <c r="BO37" s="43">
        <v>67</v>
      </c>
      <c r="BP37" s="43">
        <v>85</v>
      </c>
      <c r="BQ37" s="43">
        <v>77</v>
      </c>
      <c r="BR37" s="43">
        <v>57</v>
      </c>
      <c r="BS37" s="43">
        <v>85</v>
      </c>
      <c r="BT37" s="43">
        <v>60</v>
      </c>
      <c r="BU37" s="147">
        <f t="shared" si="103"/>
        <v>1.0003324999999998</v>
      </c>
      <c r="BV37" s="147">
        <f t="shared" si="119"/>
        <v>1.301706</v>
      </c>
      <c r="BW37" s="147">
        <f t="shared" si="120"/>
        <v>0.8639665000000003</v>
      </c>
      <c r="BX37" s="43" t="s">
        <v>729</v>
      </c>
    </row>
    <row r="38" spans="1:80" s="48" customFormat="1" hidden="1" outlineLevel="1" x14ac:dyDescent="0.25">
      <c r="A38" s="63"/>
      <c r="D38" s="64"/>
      <c r="E38" s="65" t="s">
        <v>306</v>
      </c>
      <c r="F38" s="20" t="s">
        <v>403</v>
      </c>
      <c r="G38" s="64" t="s">
        <v>318</v>
      </c>
      <c r="H38" s="48" t="s">
        <v>303</v>
      </c>
      <c r="I38" s="43" t="s">
        <v>660</v>
      </c>
      <c r="J38" s="48" t="s">
        <v>144</v>
      </c>
      <c r="L38" s="66" t="str">
        <f>'E+ Reference'!$D$25</f>
        <v>Coil:Cooling:WaterToAirHeatPump:EquationFit</v>
      </c>
      <c r="M38" s="66" t="s">
        <v>319</v>
      </c>
      <c r="N38" s="43" t="str">
        <f t="shared" si="0"/>
        <v>CoilClgWSDXQRatio_fTwbRatioTwtRatioCFMRatioGPMRatioSI</v>
      </c>
      <c r="O38" s="65" t="s">
        <v>322</v>
      </c>
      <c r="P38" s="65" t="s">
        <v>160</v>
      </c>
      <c r="Q38" s="65" t="s">
        <v>323</v>
      </c>
      <c r="R38" s="48" t="s">
        <v>324</v>
      </c>
      <c r="S38" s="65" t="s">
        <v>120</v>
      </c>
      <c r="T38" s="65" t="s">
        <v>148</v>
      </c>
      <c r="U38" s="65"/>
      <c r="V38" s="67">
        <v>3.3950423239999998</v>
      </c>
      <c r="W38" s="67">
        <v>5.7256842140000002</v>
      </c>
      <c r="X38" s="67">
        <v>1.8131202749999999</v>
      </c>
      <c r="Y38" s="67">
        <v>0.11697278999999999</v>
      </c>
      <c r="Z38" s="67">
        <v>7.7142694999999997E-2</v>
      </c>
      <c r="AA38" s="68"/>
      <c r="AF38" s="96"/>
      <c r="AG38" s="158" t="str">
        <f t="shared" ref="AG38:AG53" si="143">IF(BV38&gt;0,ROUND(BV38,2),"")</f>
        <v/>
      </c>
      <c r="AH38" s="158" t="str">
        <f t="shared" ref="AH38:AH53" si="144">IF(BW38&gt;0,ROUND(BW38,2),"")</f>
        <v/>
      </c>
      <c r="AI38" s="158" t="str">
        <f t="shared" ref="AI38:AI53" si="145">IF(BQ38&gt;0,ROUND(BQ38,2),"")</f>
        <v/>
      </c>
      <c r="AJ38" s="158" t="str">
        <f t="shared" ref="AJ38:AJ62" si="146">IF(BR38&gt;0,ROUND(BR38,2),"")</f>
        <v/>
      </c>
      <c r="AK38" s="158" t="str">
        <f t="shared" ref="AK38:AK62" si="147">IF(BS38&gt;0,ROUND(BS38,2),"")</f>
        <v/>
      </c>
      <c r="AL38" s="158" t="str">
        <f t="shared" ref="AL38:AL53" si="148">IF(BT38&gt;0,ROUND(BT38,2),"")</f>
        <v/>
      </c>
      <c r="AM38" s="45" t="s">
        <v>641</v>
      </c>
      <c r="AO38" s="43">
        <v>0</v>
      </c>
      <c r="AP38" s="168" t="str">
        <f t="shared" si="8"/>
        <v/>
      </c>
      <c r="AQ38" s="168" t="str">
        <f t="shared" si="99"/>
        <v/>
      </c>
      <c r="AR38" s="166" t="str">
        <f t="shared" si="22"/>
        <v/>
      </c>
      <c r="AS38" s="168" t="str">
        <f t="shared" si="23"/>
        <v/>
      </c>
      <c r="AT38" s="48" t="str">
        <f t="shared" si="82"/>
        <v/>
      </c>
      <c r="AU38" s="43" t="str">
        <f t="shared" si="24"/>
        <v xml:space="preserve">               </v>
      </c>
      <c r="AV38" s="62" t="str">
        <f t="shared" si="3"/>
        <v/>
      </c>
      <c r="AW38" s="48" t="str">
        <f t="shared" si="4"/>
        <v xml:space="preserve">                                                                 </v>
      </c>
      <c r="AX38" s="48" t="str">
        <f t="shared" si="121"/>
        <v/>
      </c>
      <c r="AY38" s="48" t="str">
        <f t="shared" si="122"/>
        <v/>
      </c>
      <c r="AZ38" s="48" t="str">
        <f t="shared" si="123"/>
        <v/>
      </c>
      <c r="BA38" s="48" t="str">
        <f t="shared" si="124"/>
        <v/>
      </c>
      <c r="BB38" s="48" t="str">
        <f t="shared" si="125"/>
        <v/>
      </c>
      <c r="BC38" s="48" t="str">
        <f t="shared" si="126"/>
        <v/>
      </c>
      <c r="BD38" s="43" t="str">
        <f t="shared" si="15"/>
        <v xml:space="preserve"> </v>
      </c>
      <c r="BE38" s="48" t="str">
        <f t="shared" si="25"/>
        <v/>
      </c>
      <c r="BF38" s="48" t="str">
        <f t="shared" si="26"/>
        <v/>
      </c>
      <c r="BG38" s="48" t="str">
        <f t="shared" si="27"/>
        <v/>
      </c>
      <c r="BH38" s="48" t="str">
        <f t="shared" si="28"/>
        <v/>
      </c>
      <c r="BI38" s="48" t="str">
        <f t="shared" si="29"/>
        <v/>
      </c>
      <c r="BJ38" s="48" t="str">
        <f t="shared" si="30"/>
        <v/>
      </c>
      <c r="BM38" s="43"/>
      <c r="BN38" s="43"/>
      <c r="BU38" s="147"/>
      <c r="BV38" s="147"/>
      <c r="BW38" s="147"/>
      <c r="BX38" s="43"/>
    </row>
    <row r="39" spans="1:80" ht="30" hidden="1" outlineLevel="1" x14ac:dyDescent="0.25">
      <c r="A39" s="63"/>
      <c r="B39" s="48"/>
      <c r="C39" s="48"/>
      <c r="D39" s="64"/>
      <c r="E39" s="20" t="s">
        <v>306</v>
      </c>
      <c r="F39" s="20" t="s">
        <v>403</v>
      </c>
      <c r="G39" s="69" t="s">
        <v>33</v>
      </c>
      <c r="H39" s="70" t="s">
        <v>304</v>
      </c>
      <c r="I39" s="43" t="s">
        <v>659</v>
      </c>
      <c r="J39" s="70" t="s">
        <v>273</v>
      </c>
      <c r="K39" s="43" t="s">
        <v>29</v>
      </c>
      <c r="L39" s="56"/>
      <c r="M39" s="56"/>
      <c r="N39" s="43" t="str">
        <f t="shared" si="0"/>
        <v>CoilClgFCQRatio_fTwbTdbIP</v>
      </c>
      <c r="O39" s="56" t="s">
        <v>165</v>
      </c>
      <c r="P39" s="56" t="s">
        <v>160</v>
      </c>
      <c r="Q39" s="56" t="s">
        <v>116</v>
      </c>
      <c r="R39" s="70" t="s">
        <v>117</v>
      </c>
      <c r="S39" s="70"/>
      <c r="T39" s="70"/>
      <c r="U39" s="70"/>
      <c r="V39" s="71">
        <v>0.50388659999999996</v>
      </c>
      <c r="W39" s="71">
        <v>-8.6917599999999998E-2</v>
      </c>
      <c r="X39" s="71">
        <v>1.6846999999999999E-3</v>
      </c>
      <c r="Y39" s="71">
        <v>3.3630399999999998E-2</v>
      </c>
      <c r="Z39" s="71">
        <v>2.4780000000000001E-4</v>
      </c>
      <c r="AA39" s="71">
        <v>-1.0296999999999999E-3</v>
      </c>
      <c r="AF39" s="96"/>
      <c r="AG39" s="158" t="str">
        <f t="shared" si="143"/>
        <v/>
      </c>
      <c r="AH39" s="158" t="str">
        <f t="shared" si="144"/>
        <v/>
      </c>
      <c r="AI39" s="158" t="str">
        <f t="shared" si="145"/>
        <v/>
      </c>
      <c r="AJ39" s="158" t="str">
        <f t="shared" si="146"/>
        <v/>
      </c>
      <c r="AK39" s="158" t="str">
        <f t="shared" si="147"/>
        <v/>
      </c>
      <c r="AL39" s="158" t="str">
        <f t="shared" si="148"/>
        <v/>
      </c>
      <c r="AM39" s="45" t="s">
        <v>665</v>
      </c>
      <c r="AO39" s="43">
        <f>IF(ISTEXT(A39),"",IF(I39="IP",0,1))</f>
        <v>0</v>
      </c>
      <c r="AP39" s="166" t="str">
        <f t="shared" si="8"/>
        <v/>
      </c>
      <c r="AQ39" s="166" t="str">
        <f t="shared" si="99"/>
        <v/>
      </c>
      <c r="AR39" s="166" t="str">
        <f t="shared" si="22"/>
        <v/>
      </c>
      <c r="AS39" s="166" t="str">
        <f t="shared" si="23"/>
        <v/>
      </c>
      <c r="AT39" s="43" t="str">
        <f t="shared" si="82"/>
        <v/>
      </c>
      <c r="AU39" s="43" t="str">
        <f t="shared" si="24"/>
        <v xml:space="preserve">               </v>
      </c>
      <c r="AV39" s="62" t="str">
        <f t="shared" si="3"/>
        <v/>
      </c>
      <c r="AW39" s="43" t="str">
        <f t="shared" si="4"/>
        <v xml:space="preserve">                                                                 </v>
      </c>
      <c r="AX39" s="43" t="str">
        <f t="shared" si="121"/>
        <v/>
      </c>
      <c r="AY39" s="43" t="str">
        <f t="shared" si="122"/>
        <v/>
      </c>
      <c r="AZ39" s="43" t="str">
        <f t="shared" si="123"/>
        <v/>
      </c>
      <c r="BA39" s="43" t="str">
        <f t="shared" si="124"/>
        <v/>
      </c>
      <c r="BB39" s="43" t="str">
        <f t="shared" si="125"/>
        <v/>
      </c>
      <c r="BC39" s="43" t="str">
        <f t="shared" si="126"/>
        <v/>
      </c>
      <c r="BD39" s="43" t="str">
        <f t="shared" si="15"/>
        <v xml:space="preserve"> </v>
      </c>
      <c r="BE39" s="43" t="str">
        <f t="shared" si="25"/>
        <v/>
      </c>
      <c r="BF39" s="43" t="str">
        <f t="shared" si="26"/>
        <v/>
      </c>
      <c r="BG39" s="43" t="str">
        <f t="shared" si="27"/>
        <v/>
      </c>
      <c r="BH39" s="43" t="str">
        <f t="shared" si="28"/>
        <v/>
      </c>
      <c r="BI39" s="43" t="str">
        <f t="shared" si="29"/>
        <v/>
      </c>
      <c r="BJ39" s="43" t="str">
        <f t="shared" si="30"/>
        <v/>
      </c>
      <c r="BM39" s="43" t="str">
        <f t="shared" ref="BM39:BN43" si="149">Q39</f>
        <v>Twb</v>
      </c>
      <c r="BN39" s="43" t="str">
        <f t="shared" si="149"/>
        <v>Tdb</v>
      </c>
      <c r="BO39" s="43">
        <v>67</v>
      </c>
      <c r="BP39" s="43">
        <v>80</v>
      </c>
      <c r="BU39" s="147">
        <f>$V39+$W39*BO39+$X39*BO39^2+$Y39*BP39+$Z39*BP39^2+$AA39*BO39*BP39</f>
        <v>1.0001857000000003</v>
      </c>
      <c r="BV39" s="147"/>
      <c r="BW39" s="147"/>
    </row>
    <row r="40" spans="1:80" ht="30" hidden="1" outlineLevel="1" x14ac:dyDescent="0.25">
      <c r="A40" s="63"/>
      <c r="B40" s="48"/>
      <c r="C40" s="48"/>
      <c r="D40" s="64"/>
      <c r="E40" s="20" t="s">
        <v>306</v>
      </c>
      <c r="F40" s="20" t="s">
        <v>403</v>
      </c>
      <c r="G40" s="69" t="s">
        <v>34</v>
      </c>
      <c r="H40" s="70" t="s">
        <v>524</v>
      </c>
      <c r="I40" s="43" t="s">
        <v>659</v>
      </c>
      <c r="J40" s="70" t="s">
        <v>273</v>
      </c>
      <c r="K40" s="43" t="s">
        <v>29</v>
      </c>
      <c r="L40" s="56"/>
      <c r="M40" s="56"/>
      <c r="N40" s="43" t="str">
        <f t="shared" si="0"/>
        <v>CoilClgChWQRatio_fTwbTdbIP</v>
      </c>
      <c r="O40" s="70" t="s">
        <v>165</v>
      </c>
      <c r="P40" s="56" t="s">
        <v>160</v>
      </c>
      <c r="Q40" s="70" t="s">
        <v>116</v>
      </c>
      <c r="R40" s="70" t="s">
        <v>117</v>
      </c>
      <c r="S40" s="70"/>
      <c r="T40" s="70"/>
      <c r="U40" s="70"/>
      <c r="V40" s="71">
        <v>2.5882584999999998</v>
      </c>
      <c r="W40" s="71">
        <v>-0.23058790000000001</v>
      </c>
      <c r="X40" s="71">
        <v>3.8359000000000002E-3</v>
      </c>
      <c r="Y40" s="71">
        <v>0.1025812</v>
      </c>
      <c r="Z40" s="71">
        <v>5.9840000000000002E-4</v>
      </c>
      <c r="AA40" s="71">
        <v>-2.8720999999999998E-3</v>
      </c>
      <c r="AF40" s="96"/>
      <c r="AG40" s="158" t="str">
        <f t="shared" si="143"/>
        <v/>
      </c>
      <c r="AH40" s="158" t="str">
        <f t="shared" si="144"/>
        <v/>
      </c>
      <c r="AI40" s="158" t="str">
        <f t="shared" si="145"/>
        <v/>
      </c>
      <c r="AJ40" s="158" t="str">
        <f t="shared" si="146"/>
        <v/>
      </c>
      <c r="AK40" s="158" t="str">
        <f t="shared" si="147"/>
        <v/>
      </c>
      <c r="AL40" s="158" t="str">
        <f t="shared" si="148"/>
        <v/>
      </c>
      <c r="AM40" s="45" t="s">
        <v>665</v>
      </c>
      <c r="AO40" s="43">
        <f>IF(ISTEXT(A40),"",IF(I40="IP",0,1))</f>
        <v>0</v>
      </c>
      <c r="AP40" s="166" t="str">
        <f t="shared" si="8"/>
        <v/>
      </c>
      <c r="AQ40" s="166" t="str">
        <f t="shared" si="99"/>
        <v/>
      </c>
      <c r="AR40" s="166" t="str">
        <f t="shared" si="22"/>
        <v/>
      </c>
      <c r="AS40" s="166" t="str">
        <f t="shared" si="23"/>
        <v/>
      </c>
      <c r="AT40" s="43" t="str">
        <f t="shared" si="82"/>
        <v/>
      </c>
      <c r="AU40" s="43" t="str">
        <f t="shared" si="24"/>
        <v xml:space="preserve">               </v>
      </c>
      <c r="AV40" s="62" t="str">
        <f t="shared" si="3"/>
        <v/>
      </c>
      <c r="AW40" s="43" t="str">
        <f t="shared" si="4"/>
        <v xml:space="preserve">                                                                 </v>
      </c>
      <c r="AX40" s="43" t="str">
        <f t="shared" si="121"/>
        <v/>
      </c>
      <c r="AY40" s="43" t="str">
        <f t="shared" si="122"/>
        <v/>
      </c>
      <c r="AZ40" s="43" t="str">
        <f t="shared" si="123"/>
        <v/>
      </c>
      <c r="BA40" s="43" t="str">
        <f t="shared" si="124"/>
        <v/>
      </c>
      <c r="BB40" s="43" t="str">
        <f t="shared" si="125"/>
        <v/>
      </c>
      <c r="BC40" s="43" t="str">
        <f t="shared" si="126"/>
        <v/>
      </c>
      <c r="BD40" s="43" t="str">
        <f t="shared" si="15"/>
        <v xml:space="preserve"> </v>
      </c>
      <c r="BE40" s="43" t="str">
        <f t="shared" si="25"/>
        <v/>
      </c>
      <c r="BF40" s="43" t="str">
        <f t="shared" si="26"/>
        <v/>
      </c>
      <c r="BG40" s="43" t="str">
        <f t="shared" si="27"/>
        <v/>
      </c>
      <c r="BH40" s="43" t="str">
        <f t="shared" si="28"/>
        <v/>
      </c>
      <c r="BI40" s="43" t="str">
        <f t="shared" si="29"/>
        <v/>
      </c>
      <c r="BJ40" s="43" t="str">
        <f t="shared" si="30"/>
        <v/>
      </c>
      <c r="BM40" s="43" t="str">
        <f t="shared" si="149"/>
        <v>Twb</v>
      </c>
      <c r="BN40" s="43" t="str">
        <f t="shared" si="149"/>
        <v>Tdb</v>
      </c>
      <c r="BO40" s="43">
        <v>67</v>
      </c>
      <c r="BP40" s="43">
        <v>80</v>
      </c>
      <c r="BU40" s="147">
        <f>$V40+$W40*BO40+$X40*BO40^2+$Y40*BP40+$Z40*BP40^2+$AA40*BO40*BP40</f>
        <v>1.0000243000000033</v>
      </c>
      <c r="BV40" s="147"/>
      <c r="BW40" s="147"/>
    </row>
    <row r="41" spans="1:80" hidden="1" outlineLevel="1" x14ac:dyDescent="0.25">
      <c r="A41" s="63"/>
      <c r="B41" s="48"/>
      <c r="C41" s="48" t="s">
        <v>810</v>
      </c>
      <c r="D41" s="64"/>
      <c r="E41" s="20" t="s">
        <v>306</v>
      </c>
      <c r="F41" s="20" t="s">
        <v>403</v>
      </c>
      <c r="G41" s="69" t="s">
        <v>825</v>
      </c>
      <c r="H41" s="70" t="s">
        <v>829</v>
      </c>
      <c r="I41" s="43" t="s">
        <v>660</v>
      </c>
      <c r="J41" s="70" t="s">
        <v>144</v>
      </c>
      <c r="L41" s="56"/>
      <c r="M41" s="56" t="s">
        <v>823</v>
      </c>
      <c r="N41" s="43" t="str">
        <f t="shared" si="0"/>
        <v>CoilClgVRFClgQratio_fTwbTdbSI</v>
      </c>
      <c r="O41" s="70" t="s">
        <v>165</v>
      </c>
      <c r="P41" s="56" t="s">
        <v>824</v>
      </c>
      <c r="Q41" s="70" t="s">
        <v>116</v>
      </c>
      <c r="R41" s="70" t="s">
        <v>117</v>
      </c>
      <c r="S41" s="70"/>
      <c r="T41" s="70"/>
      <c r="U41" s="70"/>
      <c r="V41" s="71">
        <v>5.8588407780325903E-2</v>
      </c>
      <c r="W41" s="71">
        <v>5.8739653271838402E-2</v>
      </c>
      <c r="X41" s="71">
        <v>-2.10274979759697E-4</v>
      </c>
      <c r="Y41" s="71">
        <v>1.0937047388964701E-2</v>
      </c>
      <c r="Z41" s="71">
        <v>-1.219549E-4</v>
      </c>
      <c r="AA41" s="71">
        <v>-5.246615E-4</v>
      </c>
      <c r="AF41" s="96"/>
      <c r="AG41" s="158">
        <v>23.89</v>
      </c>
      <c r="AH41" s="158">
        <v>15</v>
      </c>
      <c r="AI41" s="158">
        <v>43.33</v>
      </c>
      <c r="AJ41" s="158">
        <v>20</v>
      </c>
      <c r="AK41" s="158"/>
      <c r="AL41" s="158"/>
      <c r="AM41" s="45" t="s">
        <v>916</v>
      </c>
      <c r="AO41" s="43">
        <f>IF(ISTEXT(A41),"",IF(I41="IP",0,1))</f>
        <v>1</v>
      </c>
      <c r="AP41" s="166" t="str">
        <f t="shared" ref="AP41:AP42" si="150">IF(AO41=1,CONCATENATE(AQ41,AR41,AS41),"")</f>
        <v>CrvDblQuad     "CoilClgVRFClgQratio_fTwbTdbSI"                                  Coef1 =  0.058588  Coef2 =  0.058740  Coef3 = -0.000210  Coef4 =  0.010937  Coef5 = -0.000122  Coef6 = -0.000525  _x000D_
                                                                                MaxOut = 23.890   MinOut = 15.000   MaxVar1 = 43.330   MinVar1 = 20.000   _x000D_
..</v>
      </c>
      <c r="AQ41" s="166" t="str">
        <f t="shared" ref="AQ41:AQ42" si="151">IF(AO41=1,CONCATENATE(AT41,AU41,AV41,AW41,IF(AX41="-","",$AX$15&amp;AX41),IF(AY41="-","",$AY$15&amp;AY41),IF(AZ41="-","",$AZ$15&amp;AZ41),IF(BA41="-","",$BA$15&amp;BA41),IF(BB41="-","",$BB$15&amp;BB41),IF(BC41="-","",$BC$15&amp;BC41)),"")</f>
        <v xml:space="preserve">CrvDblQuad     "CoilClgVRFClgQratio_fTwbTdbSI"                                  Coef1 =  0.058588  Coef2 =  0.058740  Coef3 = -0.000210  Coef4 =  0.010937  Coef5 = -0.000122  Coef6 = -0.000525  </v>
      </c>
      <c r="AR41" s="166" t="str">
        <f t="shared" ref="AR41:AR42" si="152">IF(AO41=1,CONCATENATE(BD41,IF(BE41="-","",$BE$15&amp;BE41),IF(BF41="-","",$BF$15&amp;BF41),IF(BG41="-","",$BG$15&amp;BG41),IF(BH41="-","",$BH$15&amp;BH41),IF(BI41="-","",$BI$15&amp;BI41),IF(BJ41="-","",$BJ$15&amp;BJ41)),"")</f>
        <v xml:space="preserve">_x000D_
                                                                                MaxOut = 23.890   MinOut = 15.000   MaxVar1 = 43.330   MinVar1 = 20.000   </v>
      </c>
      <c r="AS41" s="166" t="str">
        <f t="shared" ref="AS41:AS42" si="153">IF(AO41=1,CHAR(13)&amp;CHAR(10)&amp;"..","")</f>
        <v>_x000D_
..</v>
      </c>
      <c r="AT41" s="43" t="str">
        <f t="shared" ref="AT41:AT42" si="154">IF(AO41=1,VLOOKUP(O41,$AT$2:$AV$13,2,0),"")</f>
        <v>CrvDblQuad</v>
      </c>
      <c r="AU41" s="43" t="str">
        <f t="shared" ref="AU41:AU42" si="155">REPT(" ",AU$14-LEN(AT41))</f>
        <v xml:space="preserve">     </v>
      </c>
      <c r="AV41" s="62" t="str">
        <f t="shared" ref="AV41:AV42" si="156">IF(AO41=1,CONCATENATE("""",N41,""""),"")</f>
        <v>"CoilClgVRFClgQratio_fTwbTdbSI"</v>
      </c>
      <c r="AW41" s="43" t="str">
        <f t="shared" ref="AW41:AW42" si="157">REPT(" ",$AW$14-LEN(AV41))</f>
        <v xml:space="preserve">                                  </v>
      </c>
      <c r="AX41" s="43" t="str">
        <f t="shared" ref="AX41:AX42" si="158">IF($AO41=1,IF(ISBLANK(V41),"-",CONCATENATE(TEXT(V41," 0.000000;-0.000000"),"  ")),"")</f>
        <v xml:space="preserve"> 0.058588  </v>
      </c>
      <c r="AY41" s="43" t="str">
        <f t="shared" ref="AY41:AY42" si="159">IF($AO41=1,IF(ISBLANK(W41),"-",CONCATENATE(TEXT(W41," 0.000000;-0.000000"),"  ")),"")</f>
        <v xml:space="preserve"> 0.058740  </v>
      </c>
      <c r="AZ41" s="43" t="str">
        <f t="shared" ref="AZ41:AZ42" si="160">IF($AO41=1,IF(ISBLANK(X41),"-",CONCATENATE(TEXT(X41," 0.000000;-0.000000"),"  ")),"")</f>
        <v xml:space="preserve">-0.000210  </v>
      </c>
      <c r="BA41" s="43" t="str">
        <f t="shared" ref="BA41:BA42" si="161">IF($AO41=1,IF(ISBLANK(Y41),"-",CONCATENATE(TEXT(Y41," 0.000000;-0.000000"),"  ")),"")</f>
        <v xml:space="preserve"> 0.010937  </v>
      </c>
      <c r="BB41" s="43" t="str">
        <f t="shared" ref="BB41:BB42" si="162">IF($AO41=1,IF(ISBLANK(Z41),"-",CONCATENATE(TEXT(Z41," 0.000000;-0.000000"),"  ")),"")</f>
        <v xml:space="preserve">-0.000122  </v>
      </c>
      <c r="BC41" s="43" t="str">
        <f t="shared" ref="BC41:BC42" si="163">IF($AO41=1,IF(ISBLANK(AA41),"-",CONCATENATE(TEXT(AA41," 0.000000;-0.000000"),"  ")),"")</f>
        <v xml:space="preserve">-0.000525  </v>
      </c>
      <c r="BD41" s="43" t="str">
        <f t="shared" ref="BD41:BD42" si="164">IF(MAX(AG41:AL41)=0,REPT(" ",1),CHAR(13)&amp;CHAR(10)&amp;REPT(" ",BD$14))</f>
        <v xml:space="preserve">_x000D_
                                                                                </v>
      </c>
      <c r="BE41" s="43" t="str">
        <f t="shared" ref="BE41:BE42" si="165">IF($AO41=1,IF(AG41="","-",CONCATENATE(TEXT(AG41,"0.000"),"   ")),"")</f>
        <v xml:space="preserve">23.890   </v>
      </c>
      <c r="BF41" s="43" t="str">
        <f t="shared" ref="BF41:BF42" si="166">IF($AO41=1,IF(AH41="","-",CONCATENATE(TEXT(AH41,"0.000"),"   ")),"")</f>
        <v xml:space="preserve">15.000   </v>
      </c>
      <c r="BG41" s="43" t="str">
        <f t="shared" ref="BG41:BG42" si="167">IF($AO41=1,IF(AI41="","-",CONCATENATE(TEXT(AI41,"0.000"),"   ")),"")</f>
        <v xml:space="preserve">43.330   </v>
      </c>
      <c r="BH41" s="43" t="str">
        <f t="shared" ref="BH41:BH42" si="168">IF($AO41=1,IF(AJ41="","-",CONCATENATE(TEXT(AJ41,"0.000"),"   ")),"")</f>
        <v xml:space="preserve">20.000   </v>
      </c>
      <c r="BI41" s="43" t="str">
        <f t="shared" ref="BI41:BI42" si="169">IF($AO41=1,IF(AK41="","-",CONCATENATE(TEXT(AK41,"0.000"),"   ")),"")</f>
        <v>-</v>
      </c>
      <c r="BJ41" s="43" t="str">
        <f t="shared" ref="BJ41:BJ42" si="170">IF($AO41=1,IF(AL41="","-",CONCATENATE(TEXT(AL41,"0.000"),"   ")),"")</f>
        <v>-</v>
      </c>
      <c r="BM41" s="43" t="str">
        <f t="shared" ref="BM41:BM42" si="171">Q41</f>
        <v>Twb</v>
      </c>
      <c r="BN41" s="43" t="str">
        <f t="shared" ref="BN41:BN42" si="172">R41</f>
        <v>Tdb</v>
      </c>
      <c r="BO41" s="43">
        <v>67</v>
      </c>
      <c r="BP41" s="43">
        <v>80</v>
      </c>
      <c r="BU41" s="147">
        <f t="shared" ref="BU41:BU42" si="173">$V41+$W41*BO41+$X41*BO41^2+$Y41*BP41+$Z41*BP41^2+$AA41*BO41*BP41</f>
        <v>0.33248758396939504</v>
      </c>
      <c r="BV41" s="147"/>
      <c r="BW41" s="147"/>
    </row>
    <row r="42" spans="1:80" hidden="1" outlineLevel="1" x14ac:dyDescent="0.25">
      <c r="A42" s="63"/>
      <c r="B42" s="48"/>
      <c r="C42" s="48" t="s">
        <v>810</v>
      </c>
      <c r="D42" s="64"/>
      <c r="E42" s="20" t="s">
        <v>306</v>
      </c>
      <c r="F42" s="20" t="s">
        <v>502</v>
      </c>
      <c r="G42" s="69" t="s">
        <v>825</v>
      </c>
      <c r="H42" s="70" t="s">
        <v>829</v>
      </c>
      <c r="I42" s="43" t="s">
        <v>660</v>
      </c>
      <c r="J42" s="70" t="s">
        <v>144</v>
      </c>
      <c r="L42" s="56"/>
      <c r="M42" s="56" t="s">
        <v>826</v>
      </c>
      <c r="N42" s="43" t="str">
        <f t="shared" si="0"/>
        <v>CoilClgVRFClgQratio_fCFMRatioSI</v>
      </c>
      <c r="O42" s="70" t="s">
        <v>230</v>
      </c>
      <c r="P42" s="56" t="s">
        <v>824</v>
      </c>
      <c r="Q42" s="70" t="s">
        <v>120</v>
      </c>
      <c r="R42" s="70"/>
      <c r="S42" s="70"/>
      <c r="T42" s="70"/>
      <c r="U42" s="70"/>
      <c r="V42" s="71">
        <v>0.8</v>
      </c>
      <c r="W42" s="71">
        <v>0.2</v>
      </c>
      <c r="X42" s="71">
        <v>0</v>
      </c>
      <c r="Y42" s="71"/>
      <c r="Z42" s="71"/>
      <c r="AA42" s="71"/>
      <c r="AF42" s="96"/>
      <c r="AG42" s="158">
        <v>1.5</v>
      </c>
      <c r="AH42" s="158">
        <v>0.5</v>
      </c>
      <c r="AI42" s="158"/>
      <c r="AJ42" s="158"/>
      <c r="AK42" s="158"/>
      <c r="AL42" s="158"/>
      <c r="AM42" s="45" t="s">
        <v>916</v>
      </c>
      <c r="AO42" s="43">
        <f>IF(ISTEXT(A42),"",IF(I42="IP",0,1))</f>
        <v>1</v>
      </c>
      <c r="AP42" s="166" t="str">
        <f t="shared" si="150"/>
        <v>CrvCubic       "CoilClgVRFClgQratio_fCFMRatioSI"                                Coef1 =  0.800000  Coef2 =  0.200000  Coef3 =  0.000000  _x000D_
                                                                                MaxOut = 1.500   MinOut = 0.500   _x000D_
..</v>
      </c>
      <c r="AQ42" s="166" t="str">
        <f t="shared" si="151"/>
        <v xml:space="preserve">CrvCubic       "CoilClgVRFClgQratio_fCFMRatioSI"                                Coef1 =  0.800000  Coef2 =  0.200000  Coef3 =  0.000000  </v>
      </c>
      <c r="AR42" s="166" t="str">
        <f t="shared" si="152"/>
        <v xml:space="preserve">_x000D_
                                                                                MaxOut = 1.500   MinOut = 0.500   </v>
      </c>
      <c r="AS42" s="166" t="str">
        <f t="shared" si="153"/>
        <v>_x000D_
..</v>
      </c>
      <c r="AT42" s="43" t="str">
        <f t="shared" si="154"/>
        <v>CrvCubic</v>
      </c>
      <c r="AU42" s="43" t="str">
        <f t="shared" si="155"/>
        <v xml:space="preserve">       </v>
      </c>
      <c r="AV42" s="62" t="str">
        <f t="shared" si="156"/>
        <v>"CoilClgVRFClgQratio_fCFMRatioSI"</v>
      </c>
      <c r="AW42" s="43" t="str">
        <f t="shared" si="157"/>
        <v xml:space="preserve">                                </v>
      </c>
      <c r="AX42" s="43" t="str">
        <f t="shared" si="158"/>
        <v xml:space="preserve"> 0.800000  </v>
      </c>
      <c r="AY42" s="43" t="str">
        <f t="shared" si="159"/>
        <v xml:space="preserve"> 0.200000  </v>
      </c>
      <c r="AZ42" s="43" t="str">
        <f t="shared" si="160"/>
        <v xml:space="preserve"> 0.000000  </v>
      </c>
      <c r="BA42" s="43" t="str">
        <f t="shared" si="161"/>
        <v>-</v>
      </c>
      <c r="BB42" s="43" t="str">
        <f t="shared" si="162"/>
        <v>-</v>
      </c>
      <c r="BC42" s="43" t="str">
        <f t="shared" si="163"/>
        <v>-</v>
      </c>
      <c r="BD42" s="43" t="str">
        <f t="shared" si="164"/>
        <v xml:space="preserve">_x000D_
                                                                                </v>
      </c>
      <c r="BE42" s="43" t="str">
        <f t="shared" si="165"/>
        <v xml:space="preserve">1.500   </v>
      </c>
      <c r="BF42" s="43" t="str">
        <f t="shared" si="166"/>
        <v xml:space="preserve">0.500   </v>
      </c>
      <c r="BG42" s="43" t="str">
        <f t="shared" si="167"/>
        <v>-</v>
      </c>
      <c r="BH42" s="43" t="str">
        <f t="shared" si="168"/>
        <v>-</v>
      </c>
      <c r="BI42" s="43" t="str">
        <f t="shared" si="169"/>
        <v>-</v>
      </c>
      <c r="BJ42" s="43" t="str">
        <f t="shared" si="170"/>
        <v>-</v>
      </c>
      <c r="BM42" s="43" t="str">
        <f t="shared" si="171"/>
        <v>CFMRatio</v>
      </c>
      <c r="BN42" s="43">
        <f t="shared" si="172"/>
        <v>0</v>
      </c>
      <c r="BO42" s="43">
        <v>67</v>
      </c>
      <c r="BP42" s="43">
        <v>80</v>
      </c>
      <c r="BU42" s="147">
        <f t="shared" si="173"/>
        <v>14.200000000000001</v>
      </c>
      <c r="BV42" s="147"/>
      <c r="BW42" s="147"/>
    </row>
    <row r="43" spans="1:80" hidden="1" outlineLevel="1" x14ac:dyDescent="0.25">
      <c r="B43" s="43" t="s">
        <v>289</v>
      </c>
      <c r="C43" s="43" t="s">
        <v>504</v>
      </c>
      <c r="D43" s="123" t="s">
        <v>541</v>
      </c>
      <c r="E43" s="20" t="s">
        <v>306</v>
      </c>
      <c r="F43" s="20" t="s">
        <v>502</v>
      </c>
      <c r="G43" s="64" t="s">
        <v>318</v>
      </c>
      <c r="H43" s="48" t="s">
        <v>303</v>
      </c>
      <c r="I43" s="48" t="s">
        <v>660</v>
      </c>
      <c r="J43" s="20" t="s">
        <v>144</v>
      </c>
      <c r="L43" s="66" t="str">
        <f>'E+ Reference'!$D$25</f>
        <v>Coil:Cooling:WaterToAirHeatPump:EquationFit</v>
      </c>
      <c r="M43" s="43" t="s">
        <v>320</v>
      </c>
      <c r="N43" s="43" t="str">
        <f t="shared" si="0"/>
        <v>CoilClgWSDXQRatio_fTdbRatioTwbRatioTwtRatioCFMRatioGPMRatioSI</v>
      </c>
      <c r="O43" s="65" t="s">
        <v>508</v>
      </c>
      <c r="P43" s="65" t="s">
        <v>160</v>
      </c>
      <c r="Q43" s="65" t="s">
        <v>507</v>
      </c>
      <c r="R43" s="65" t="s">
        <v>323</v>
      </c>
      <c r="S43" s="48" t="s">
        <v>324</v>
      </c>
      <c r="T43" s="65" t="s">
        <v>120</v>
      </c>
      <c r="U43" s="65" t="s">
        <v>148</v>
      </c>
      <c r="V43" s="46">
        <v>4.7519887790000004</v>
      </c>
      <c r="W43" s="46">
        <v>19.184484980000001</v>
      </c>
      <c r="X43" s="46">
        <v>22.74622583</v>
      </c>
      <c r="Y43" s="46">
        <v>1.117131096</v>
      </c>
      <c r="Z43" s="46">
        <v>0.47516138000000002</v>
      </c>
      <c r="AA43" s="46">
        <v>6.0557411999999998E-2</v>
      </c>
      <c r="AF43" s="96"/>
      <c r="AG43" s="158" t="str">
        <f t="shared" si="143"/>
        <v/>
      </c>
      <c r="AH43" s="158" t="str">
        <f t="shared" si="144"/>
        <v/>
      </c>
      <c r="AI43" s="158" t="str">
        <f t="shared" si="145"/>
        <v/>
      </c>
      <c r="AJ43" s="158" t="str">
        <f t="shared" si="146"/>
        <v/>
      </c>
      <c r="AK43" s="158" t="str">
        <f t="shared" si="147"/>
        <v/>
      </c>
      <c r="AL43" s="158" t="str">
        <f t="shared" si="148"/>
        <v/>
      </c>
      <c r="AM43" s="45" t="s">
        <v>641</v>
      </c>
      <c r="AO43" s="43">
        <v>0</v>
      </c>
      <c r="AP43" s="166" t="str">
        <f t="shared" si="8"/>
        <v/>
      </c>
      <c r="AQ43" s="166" t="str">
        <f>IF(AO43=1,CONCATENATE(AT43,AU43,AV43,AW43,IF(AX43="-","",$AX$15&amp;AX43),IF(AY43="-","",$AY$15&amp;AY43),IF(AZ43="-","",$AZ$15&amp;AZ43),IF(BA43="-","",$BA$15&amp;BA43),IF(BB43="-","",$BB$15&amp;BB43),IF(BC43="-","",$BC$15&amp;BC43)),"")</f>
        <v/>
      </c>
      <c r="AR43" s="166" t="str">
        <f>IF(AO43=1,CONCATENATE(BD43,IF(BE43="-","",$BE$15&amp;BE43),IF(BF43="-","",$BF$15&amp;BF43),IF(BG43="-","",$BG$15&amp;BG43),IF(BH43="-","",$BH$15&amp;BH43),IF(BI43="-","",$BI$15&amp;BI43),IF(BJ43="-","",$BJ$15&amp;BJ43)),"")</f>
        <v/>
      </c>
      <c r="AS43" s="166" t="str">
        <f>IF(AO43=1,CHAR(13)&amp;CHAR(10)&amp;"..","")</f>
        <v/>
      </c>
      <c r="AT43" s="43" t="str">
        <f>IF(AO43=1,VLOOKUP(O43,$AT$2:$AV$13,2,0),"")</f>
        <v/>
      </c>
      <c r="AU43" s="43" t="str">
        <f t="shared" si="24"/>
        <v xml:space="preserve">               </v>
      </c>
      <c r="AV43" s="62" t="str">
        <f>IF(AO43=1,CONCATENATE("""",N43,""""),"")</f>
        <v/>
      </c>
      <c r="AW43" s="43" t="str">
        <f>REPT(" ",$AW$14-LEN(AV43))</f>
        <v xml:space="preserve">                                                                 </v>
      </c>
      <c r="AX43" s="43" t="str">
        <f t="shared" ref="AX43:BC43" si="174">IF($AO43=1,IF(ISBLANK(V43),"-",CONCATENATE(TEXT(V43," 0.000000;-0.000000"),"  ")),"")</f>
        <v/>
      </c>
      <c r="AY43" s="43" t="str">
        <f t="shared" si="174"/>
        <v/>
      </c>
      <c r="AZ43" s="43" t="str">
        <f t="shared" si="174"/>
        <v/>
      </c>
      <c r="BA43" s="43" t="str">
        <f t="shared" si="174"/>
        <v/>
      </c>
      <c r="BB43" s="43" t="str">
        <f t="shared" si="174"/>
        <v/>
      </c>
      <c r="BC43" s="43" t="str">
        <f t="shared" si="174"/>
        <v/>
      </c>
      <c r="BD43" s="43" t="str">
        <f t="shared" si="15"/>
        <v xml:space="preserve"> </v>
      </c>
      <c r="BE43" s="43" t="str">
        <f t="shared" si="25"/>
        <v/>
      </c>
      <c r="BF43" s="43" t="str">
        <f t="shared" si="26"/>
        <v/>
      </c>
      <c r="BG43" s="43" t="str">
        <f t="shared" si="27"/>
        <v/>
      </c>
      <c r="BH43" s="43" t="str">
        <f t="shared" si="28"/>
        <v/>
      </c>
      <c r="BI43" s="43" t="str">
        <f t="shared" si="29"/>
        <v/>
      </c>
      <c r="BJ43" s="43" t="str">
        <f t="shared" si="30"/>
        <v/>
      </c>
      <c r="BM43" s="43" t="str">
        <f t="shared" si="149"/>
        <v>TdbRatio</v>
      </c>
      <c r="BN43" s="43" t="str">
        <f t="shared" si="149"/>
        <v>TwbRatio</v>
      </c>
      <c r="BU43" s="147"/>
      <c r="BV43" s="147"/>
      <c r="BW43" s="147"/>
    </row>
    <row r="44" spans="1:80" hidden="1" outlineLevel="1" x14ac:dyDescent="0.25">
      <c r="B44" s="43" t="s">
        <v>126</v>
      </c>
      <c r="C44" s="43" t="s">
        <v>292</v>
      </c>
      <c r="D44" s="45" t="s">
        <v>118</v>
      </c>
      <c r="E44" s="20" t="s">
        <v>306</v>
      </c>
      <c r="F44" s="20" t="s">
        <v>404</v>
      </c>
      <c r="G44" s="45" t="s">
        <v>543</v>
      </c>
      <c r="H44" s="43" t="s">
        <v>35</v>
      </c>
      <c r="J44" s="43" t="s">
        <v>273</v>
      </c>
      <c r="K44" s="43" t="s">
        <v>0</v>
      </c>
      <c r="N44" s="43" t="str">
        <f t="shared" si="0"/>
        <v>CoilClgPTACCoilBPF_fCFMRatio</v>
      </c>
      <c r="O44" s="43" t="s">
        <v>230</v>
      </c>
      <c r="P44" s="20" t="s">
        <v>274</v>
      </c>
      <c r="Q44" s="43" t="s">
        <v>120</v>
      </c>
      <c r="V44" s="46">
        <v>-2.2770000000000001</v>
      </c>
      <c r="W44" s="46">
        <v>5.2114000000000003</v>
      </c>
      <c r="X44" s="46">
        <v>-1.9343999999999999</v>
      </c>
      <c r="Y44" s="61">
        <v>0</v>
      </c>
      <c r="AF44" s="96"/>
      <c r="AG44" s="158" t="str">
        <f t="shared" si="143"/>
        <v/>
      </c>
      <c r="AH44" s="158" t="str">
        <f t="shared" si="144"/>
        <v/>
      </c>
      <c r="AI44" s="158" t="str">
        <f t="shared" si="145"/>
        <v/>
      </c>
      <c r="AJ44" s="158" t="str">
        <f t="shared" si="146"/>
        <v/>
      </c>
      <c r="AK44" s="158" t="str">
        <f t="shared" si="147"/>
        <v/>
      </c>
      <c r="AL44" s="158" t="str">
        <f t="shared" si="148"/>
        <v/>
      </c>
      <c r="AO44" s="43">
        <v>0</v>
      </c>
      <c r="AP44" s="166" t="str">
        <f t="shared" si="8"/>
        <v/>
      </c>
      <c r="AQ44" s="166" t="str">
        <f t="shared" si="99"/>
        <v/>
      </c>
      <c r="AR44" s="166" t="str">
        <f t="shared" ref="AR44:AR108" si="175">IF(AO44=1,CONCATENATE(BD44,IF(BE44="-","",$BE$15&amp;BE44),IF(BF44="-","",$BF$15&amp;BF44),IF(BG44="-","",$BG$15&amp;BG44),IF(BH44="-","",$BH$15&amp;BH44),IF(BI44="-","",$BI$15&amp;BI44),IF(BJ44="-","",$BJ$15&amp;BJ44)),"")</f>
        <v/>
      </c>
      <c r="AS44" s="166" t="str">
        <f t="shared" si="23"/>
        <v/>
      </c>
      <c r="AT44" s="43" t="str">
        <f t="shared" si="82"/>
        <v/>
      </c>
      <c r="AU44" s="43" t="str">
        <f t="shared" si="24"/>
        <v xml:space="preserve">               </v>
      </c>
      <c r="AV44" s="62" t="str">
        <f t="shared" ref="AV44:AV55" si="176">IF(AO44=1,CONCATENATE("""",N44,""""),"")</f>
        <v/>
      </c>
      <c r="AW44" s="43" t="str">
        <f t="shared" ref="AW44:AW116" si="177">REPT(" ",$AW$14-LEN(AV44))</f>
        <v xml:space="preserve">                                                                 </v>
      </c>
      <c r="AX44" s="43" t="str">
        <f t="shared" si="121"/>
        <v/>
      </c>
      <c r="AY44" s="43" t="str">
        <f t="shared" si="122"/>
        <v/>
      </c>
      <c r="AZ44" s="43" t="str">
        <f t="shared" si="123"/>
        <v/>
      </c>
      <c r="BA44" s="43" t="str">
        <f t="shared" si="124"/>
        <v/>
      </c>
      <c r="BB44" s="43" t="str">
        <f t="shared" si="125"/>
        <v/>
      </c>
      <c r="BC44" s="43" t="str">
        <f t="shared" si="126"/>
        <v/>
      </c>
      <c r="BD44" s="43" t="str">
        <f t="shared" si="15"/>
        <v xml:space="preserve"> </v>
      </c>
      <c r="BE44" s="43" t="str">
        <f t="shared" si="25"/>
        <v/>
      </c>
      <c r="BF44" s="43" t="str">
        <f t="shared" si="26"/>
        <v/>
      </c>
      <c r="BG44" s="43" t="str">
        <f t="shared" si="27"/>
        <v/>
      </c>
      <c r="BH44" s="43" t="str">
        <f t="shared" si="28"/>
        <v/>
      </c>
      <c r="BI44" s="43" t="str">
        <f t="shared" si="29"/>
        <v/>
      </c>
      <c r="BJ44" s="43" t="str">
        <f t="shared" si="30"/>
        <v/>
      </c>
      <c r="BM44" s="43" t="str">
        <f t="shared" ref="BM44:BM54" si="178">Q44</f>
        <v>CFMRatio</v>
      </c>
      <c r="BO44" s="43">
        <v>1</v>
      </c>
      <c r="BR44" s="43">
        <v>0</v>
      </c>
      <c r="BU44" s="147">
        <f>$V44+$W44*BO44+$X44*BO44^2+$Y44*BO44^3</f>
        <v>1.0000000000000002</v>
      </c>
      <c r="BV44" s="147"/>
      <c r="BW44" s="147"/>
    </row>
    <row r="45" spans="1:80" hidden="1" outlineLevel="1" x14ac:dyDescent="0.25">
      <c r="E45" s="20" t="s">
        <v>306</v>
      </c>
      <c r="F45" s="20" t="s">
        <v>404</v>
      </c>
      <c r="G45" s="45" t="s">
        <v>553</v>
      </c>
      <c r="H45" s="43" t="s">
        <v>36</v>
      </c>
      <c r="J45" s="43" t="s">
        <v>273</v>
      </c>
      <c r="K45" s="43" t="s">
        <v>0</v>
      </c>
      <c r="N45" s="43" t="str">
        <f t="shared" si="0"/>
        <v>CoilClgHPCoilBPF_fCFMRatio</v>
      </c>
      <c r="O45" s="43" t="s">
        <v>230</v>
      </c>
      <c r="P45" s="20" t="s">
        <v>274</v>
      </c>
      <c r="Q45" s="43" t="s">
        <v>120</v>
      </c>
      <c r="V45" s="46">
        <v>-0.82816020000000001</v>
      </c>
      <c r="W45" s="46">
        <v>14.317914999999999</v>
      </c>
      <c r="X45" s="46">
        <v>-21.889440499999999</v>
      </c>
      <c r="Y45" s="46">
        <v>9.3996896999999997</v>
      </c>
      <c r="AF45" s="96"/>
      <c r="AG45" s="158" t="str">
        <f t="shared" si="143"/>
        <v/>
      </c>
      <c r="AH45" s="158" t="str">
        <f t="shared" si="144"/>
        <v/>
      </c>
      <c r="AI45" s="158" t="str">
        <f t="shared" si="145"/>
        <v/>
      </c>
      <c r="AJ45" s="158" t="str">
        <f t="shared" si="146"/>
        <v/>
      </c>
      <c r="AK45" s="158" t="str">
        <f t="shared" si="147"/>
        <v/>
      </c>
      <c r="AL45" s="158" t="str">
        <f t="shared" si="148"/>
        <v/>
      </c>
      <c r="AO45" s="43">
        <v>0</v>
      </c>
      <c r="AP45" s="166" t="str">
        <f t="shared" si="8"/>
        <v/>
      </c>
      <c r="AQ45" s="166" t="str">
        <f t="shared" si="99"/>
        <v/>
      </c>
      <c r="AR45" s="166" t="str">
        <f t="shared" si="175"/>
        <v/>
      </c>
      <c r="AS45" s="166" t="str">
        <f t="shared" si="23"/>
        <v/>
      </c>
      <c r="AT45" s="43" t="str">
        <f t="shared" si="82"/>
        <v/>
      </c>
      <c r="AU45" s="43" t="str">
        <f t="shared" si="24"/>
        <v xml:space="preserve">               </v>
      </c>
      <c r="AV45" s="62" t="str">
        <f t="shared" si="176"/>
        <v/>
      </c>
      <c r="AW45" s="43" t="str">
        <f t="shared" si="177"/>
        <v xml:space="preserve">                                                                 </v>
      </c>
      <c r="AX45" s="43" t="str">
        <f t="shared" si="121"/>
        <v/>
      </c>
      <c r="AY45" s="43" t="str">
        <f t="shared" si="122"/>
        <v/>
      </c>
      <c r="AZ45" s="43" t="str">
        <f t="shared" si="123"/>
        <v/>
      </c>
      <c r="BA45" s="43" t="str">
        <f t="shared" si="124"/>
        <v/>
      </c>
      <c r="BB45" s="43" t="str">
        <f t="shared" si="125"/>
        <v/>
      </c>
      <c r="BC45" s="43" t="str">
        <f t="shared" si="126"/>
        <v/>
      </c>
      <c r="BD45" s="43" t="str">
        <f t="shared" si="15"/>
        <v xml:space="preserve"> </v>
      </c>
      <c r="BE45" s="43" t="str">
        <f t="shared" si="25"/>
        <v/>
      </c>
      <c r="BF45" s="43" t="str">
        <f t="shared" si="26"/>
        <v/>
      </c>
      <c r="BG45" s="43" t="str">
        <f t="shared" si="27"/>
        <v/>
      </c>
      <c r="BH45" s="43" t="str">
        <f t="shared" si="28"/>
        <v/>
      </c>
      <c r="BI45" s="43" t="str">
        <f t="shared" si="29"/>
        <v/>
      </c>
      <c r="BJ45" s="43" t="str">
        <f t="shared" si="30"/>
        <v/>
      </c>
      <c r="BM45" s="43" t="str">
        <f t="shared" si="178"/>
        <v>CFMRatio</v>
      </c>
      <c r="BO45" s="43">
        <v>1</v>
      </c>
      <c r="BR45" s="43">
        <v>0</v>
      </c>
      <c r="BU45" s="147">
        <f>$V45+$W45*BO45+$X45*BO45^2+$Y45*BO45^3</f>
        <v>1.0000040000000006</v>
      </c>
      <c r="BV45" s="147"/>
      <c r="BW45" s="147"/>
    </row>
    <row r="46" spans="1:80" hidden="1" outlineLevel="1" x14ac:dyDescent="0.25">
      <c r="E46" s="20" t="s">
        <v>306</v>
      </c>
      <c r="F46" s="20" t="s">
        <v>404</v>
      </c>
      <c r="G46" s="45" t="s">
        <v>554</v>
      </c>
      <c r="H46" s="43" t="s">
        <v>301</v>
      </c>
      <c r="J46" s="43" t="s">
        <v>273</v>
      </c>
      <c r="K46" s="43" t="s">
        <v>0</v>
      </c>
      <c r="N46" s="43" t="str">
        <f t="shared" si="0"/>
        <v>CoilClgDXCoilBPF_fCFMRatio</v>
      </c>
      <c r="O46" s="43" t="s">
        <v>230</v>
      </c>
      <c r="P46" s="20" t="s">
        <v>274</v>
      </c>
      <c r="Q46" s="43" t="s">
        <v>120</v>
      </c>
      <c r="V46" s="46">
        <v>-0.25423410000000002</v>
      </c>
      <c r="W46" s="46">
        <v>1.2182558000000001</v>
      </c>
      <c r="X46" s="46">
        <v>3.5978400000000001E-2</v>
      </c>
      <c r="Y46" s="61">
        <v>0</v>
      </c>
      <c r="AF46" s="96"/>
      <c r="AG46" s="158" t="str">
        <f t="shared" si="143"/>
        <v/>
      </c>
      <c r="AH46" s="158" t="str">
        <f t="shared" si="144"/>
        <v/>
      </c>
      <c r="AI46" s="158" t="str">
        <f t="shared" si="145"/>
        <v/>
      </c>
      <c r="AJ46" s="158" t="str">
        <f t="shared" si="146"/>
        <v/>
      </c>
      <c r="AK46" s="158" t="str">
        <f t="shared" si="147"/>
        <v/>
      </c>
      <c r="AL46" s="158" t="str">
        <f t="shared" si="148"/>
        <v/>
      </c>
      <c r="AO46" s="43">
        <v>0</v>
      </c>
      <c r="AP46" s="166" t="str">
        <f t="shared" si="8"/>
        <v/>
      </c>
      <c r="AQ46" s="166" t="str">
        <f t="shared" si="99"/>
        <v/>
      </c>
      <c r="AR46" s="166" t="str">
        <f t="shared" si="175"/>
        <v/>
      </c>
      <c r="AS46" s="166" t="str">
        <f t="shared" si="23"/>
        <v/>
      </c>
      <c r="AT46" s="43" t="str">
        <f t="shared" si="82"/>
        <v/>
      </c>
      <c r="AU46" s="43" t="str">
        <f t="shared" si="24"/>
        <v xml:space="preserve">               </v>
      </c>
      <c r="AV46" s="62" t="str">
        <f t="shared" si="176"/>
        <v/>
      </c>
      <c r="AW46" s="43" t="str">
        <f t="shared" si="177"/>
        <v xml:space="preserve">                                                                 </v>
      </c>
      <c r="AX46" s="43" t="str">
        <f t="shared" si="121"/>
        <v/>
      </c>
      <c r="AY46" s="43" t="str">
        <f t="shared" si="122"/>
        <v/>
      </c>
      <c r="AZ46" s="43" t="str">
        <f t="shared" si="123"/>
        <v/>
      </c>
      <c r="BA46" s="43" t="str">
        <f t="shared" si="124"/>
        <v/>
      </c>
      <c r="BB46" s="43" t="str">
        <f t="shared" si="125"/>
        <v/>
      </c>
      <c r="BC46" s="43" t="str">
        <f t="shared" si="126"/>
        <v/>
      </c>
      <c r="BD46" s="43" t="str">
        <f t="shared" si="15"/>
        <v xml:space="preserve"> </v>
      </c>
      <c r="BE46" s="43" t="str">
        <f t="shared" si="25"/>
        <v/>
      </c>
      <c r="BF46" s="43" t="str">
        <f t="shared" si="26"/>
        <v/>
      </c>
      <c r="BG46" s="43" t="str">
        <f t="shared" si="27"/>
        <v/>
      </c>
      <c r="BH46" s="43" t="str">
        <f t="shared" si="28"/>
        <v/>
      </c>
      <c r="BI46" s="43" t="str">
        <f t="shared" si="29"/>
        <v/>
      </c>
      <c r="BJ46" s="43" t="str">
        <f t="shared" si="30"/>
        <v/>
      </c>
      <c r="BM46" s="43" t="str">
        <f t="shared" si="178"/>
        <v>CFMRatio</v>
      </c>
      <c r="BO46" s="43">
        <v>1</v>
      </c>
      <c r="BR46" s="43">
        <v>0</v>
      </c>
      <c r="BU46" s="147">
        <f>$V46+$W46*BO46+$X46*BO46^2+$Y46*BO46^3</f>
        <v>1.0000001000000001</v>
      </c>
      <c r="BV46" s="147"/>
      <c r="BW46" s="147"/>
    </row>
    <row r="47" spans="1:80" hidden="1" outlineLevel="1" x14ac:dyDescent="0.25">
      <c r="E47" s="20" t="s">
        <v>306</v>
      </c>
      <c r="F47" s="20" t="s">
        <v>406</v>
      </c>
      <c r="G47" s="45" t="s">
        <v>728</v>
      </c>
      <c r="H47" s="43" t="s">
        <v>69</v>
      </c>
      <c r="I47" s="43" t="s">
        <v>659</v>
      </c>
      <c r="J47" s="43" t="s">
        <v>273</v>
      </c>
      <c r="K47" s="43" t="s">
        <v>1</v>
      </c>
      <c r="N47" s="43" t="str">
        <f t="shared" si="0"/>
        <v>CoilClgAllCoilBPF_fTwbTdbIP</v>
      </c>
      <c r="O47" s="20" t="s">
        <v>165</v>
      </c>
      <c r="P47" s="20" t="s">
        <v>274</v>
      </c>
      <c r="Q47" s="20" t="s">
        <v>116</v>
      </c>
      <c r="R47" s="43" t="s">
        <v>117</v>
      </c>
      <c r="V47" s="46">
        <v>1.0660053</v>
      </c>
      <c r="W47" s="46">
        <v>-5.1699999999999999E-4</v>
      </c>
      <c r="X47" s="46">
        <v>5.6700000000000003E-5</v>
      </c>
      <c r="Y47" s="46">
        <v>-1.29181E-2</v>
      </c>
      <c r="Z47" s="46">
        <v>-1.7E-6</v>
      </c>
      <c r="AA47" s="46">
        <v>1.5029999999999999E-4</v>
      </c>
      <c r="AF47" s="96"/>
      <c r="AG47" s="158">
        <f t="shared" si="143"/>
        <v>1.26</v>
      </c>
      <c r="AH47" s="158">
        <f t="shared" si="144"/>
        <v>0.82</v>
      </c>
      <c r="AI47" s="158">
        <f t="shared" si="145"/>
        <v>77</v>
      </c>
      <c r="AJ47" s="158">
        <f t="shared" si="146"/>
        <v>57</v>
      </c>
      <c r="AK47" s="158">
        <f t="shared" si="147"/>
        <v>90</v>
      </c>
      <c r="AL47" s="158">
        <f t="shared" si="148"/>
        <v>70</v>
      </c>
      <c r="AO47" s="43">
        <f>IF(ISTEXT(A47),"",IF(I47="IP",0,1))</f>
        <v>0</v>
      </c>
      <c r="AP47" s="166" t="str">
        <f t="shared" si="8"/>
        <v/>
      </c>
      <c r="AQ47" s="166" t="str">
        <f t="shared" si="99"/>
        <v/>
      </c>
      <c r="AR47" s="166" t="str">
        <f t="shared" si="175"/>
        <v/>
      </c>
      <c r="AS47" s="166" t="str">
        <f t="shared" si="23"/>
        <v/>
      </c>
      <c r="AT47" s="43" t="str">
        <f t="shared" si="82"/>
        <v/>
      </c>
      <c r="AU47" s="43" t="str">
        <f t="shared" si="24"/>
        <v xml:space="preserve">               </v>
      </c>
      <c r="AV47" s="62" t="str">
        <f t="shared" si="176"/>
        <v/>
      </c>
      <c r="AW47" s="43" t="str">
        <f t="shared" si="177"/>
        <v xml:space="preserve">                                                                 </v>
      </c>
      <c r="AX47" s="43" t="str">
        <f t="shared" si="121"/>
        <v/>
      </c>
      <c r="AY47" s="43" t="str">
        <f t="shared" si="122"/>
        <v/>
      </c>
      <c r="AZ47" s="43" t="str">
        <f t="shared" si="123"/>
        <v/>
      </c>
      <c r="BA47" s="43" t="str">
        <f t="shared" si="124"/>
        <v/>
      </c>
      <c r="BB47" s="43" t="str">
        <f t="shared" si="125"/>
        <v/>
      </c>
      <c r="BC47" s="43" t="str">
        <f t="shared" si="126"/>
        <v/>
      </c>
      <c r="BD47" s="43" t="str">
        <f t="shared" si="15"/>
        <v xml:space="preserve">_x000D_
                                                                                </v>
      </c>
      <c r="BE47" s="43" t="str">
        <f t="shared" si="25"/>
        <v/>
      </c>
      <c r="BF47" s="43" t="str">
        <f t="shared" si="26"/>
        <v/>
      </c>
      <c r="BG47" s="43" t="str">
        <f t="shared" si="27"/>
        <v/>
      </c>
      <c r="BH47" s="43" t="str">
        <f t="shared" si="28"/>
        <v/>
      </c>
      <c r="BI47" s="43" t="str">
        <f t="shared" si="29"/>
        <v/>
      </c>
      <c r="BJ47" s="43" t="str">
        <f t="shared" si="30"/>
        <v/>
      </c>
      <c r="BM47" s="20" t="str">
        <f t="shared" si="178"/>
        <v>Twb</v>
      </c>
      <c r="BN47" s="43" t="str">
        <f t="shared" ref="BN47" si="179">R47</f>
        <v>Tdb</v>
      </c>
      <c r="BO47" s="20">
        <v>67</v>
      </c>
      <c r="BP47" s="20">
        <v>80</v>
      </c>
      <c r="BQ47" s="20">
        <v>77</v>
      </c>
      <c r="BR47" s="20">
        <v>57</v>
      </c>
      <c r="BS47" s="20">
        <v>90</v>
      </c>
      <c r="BT47" s="20">
        <v>70</v>
      </c>
      <c r="BU47" s="161">
        <f>$V47+$W47*BO47+$X47*BO47^2+$Y47*BP47+$Z47*BP47^2+$AA47*BO47*BP47</f>
        <v>1.0471726000000001</v>
      </c>
      <c r="BV47" s="161">
        <f>$V47+$W47*BQ47+$X47*BQ47^2+$Y47*BT47+$Z47*BT47^2+$AA47*BQ47*BT47</f>
        <v>1.2598906000000001</v>
      </c>
      <c r="BW47" s="161">
        <f>$V47+$W47*BR47+$X47*BR47^2+$Y47*BS47+$Z47*BS47^2+$AA47*BR47*BS47</f>
        <v>0.81539460000000008</v>
      </c>
      <c r="BX47" s="20"/>
      <c r="BY47" s="20"/>
      <c r="BZ47" s="20"/>
      <c r="CA47" s="20"/>
      <c r="CB47" s="20"/>
    </row>
    <row r="48" spans="1:80" hidden="1" outlineLevel="1" x14ac:dyDescent="0.25">
      <c r="E48" s="20" t="s">
        <v>306</v>
      </c>
      <c r="F48" s="20" t="s">
        <v>405</v>
      </c>
      <c r="G48" s="45" t="s">
        <v>543</v>
      </c>
      <c r="H48" s="43" t="s">
        <v>35</v>
      </c>
      <c r="J48" s="43" t="s">
        <v>273</v>
      </c>
      <c r="K48" s="43" t="s">
        <v>2</v>
      </c>
      <c r="N48" s="43" t="str">
        <f t="shared" ref="N48:N55" si="180">IF(ISBLANK(E48),"-",E48&amp;H48&amp;P48&amp;"_f"&amp;Q48&amp;R48&amp;S48&amp;T48&amp;U48&amp;I48)</f>
        <v>CoilClgPTACCoilBPF_fQRatio</v>
      </c>
      <c r="O48" s="43" t="s">
        <v>286</v>
      </c>
      <c r="P48" s="20" t="s">
        <v>274</v>
      </c>
      <c r="Q48" s="48" t="s">
        <v>160</v>
      </c>
      <c r="V48" s="46">
        <v>0</v>
      </c>
      <c r="W48" s="46">
        <v>1</v>
      </c>
      <c r="AF48" s="96"/>
      <c r="AG48" s="158" t="str">
        <f t="shared" si="143"/>
        <v/>
      </c>
      <c r="AH48" s="158" t="str">
        <f t="shared" si="144"/>
        <v/>
      </c>
      <c r="AI48" s="158" t="str">
        <f t="shared" si="145"/>
        <v/>
      </c>
      <c r="AJ48" s="158" t="str">
        <f t="shared" si="146"/>
        <v/>
      </c>
      <c r="AK48" s="158" t="str">
        <f t="shared" si="147"/>
        <v/>
      </c>
      <c r="AL48" s="158" t="str">
        <f t="shared" si="148"/>
        <v/>
      </c>
      <c r="AO48" s="43">
        <v>0</v>
      </c>
      <c r="AP48" s="166" t="str">
        <f t="shared" si="8"/>
        <v/>
      </c>
      <c r="AQ48" s="166" t="str">
        <f t="shared" si="99"/>
        <v/>
      </c>
      <c r="AR48" s="166" t="str">
        <f t="shared" si="175"/>
        <v/>
      </c>
      <c r="AS48" s="166" t="str">
        <f t="shared" si="23"/>
        <v/>
      </c>
      <c r="AT48" s="43" t="str">
        <f t="shared" si="82"/>
        <v/>
      </c>
      <c r="AU48" s="43" t="str">
        <f t="shared" si="24"/>
        <v xml:space="preserve">               </v>
      </c>
      <c r="AV48" s="62" t="str">
        <f t="shared" si="176"/>
        <v/>
      </c>
      <c r="AW48" s="43" t="str">
        <f t="shared" si="177"/>
        <v xml:space="preserve">                                                                 </v>
      </c>
      <c r="AX48" s="43" t="str">
        <f t="shared" si="121"/>
        <v/>
      </c>
      <c r="AY48" s="43" t="str">
        <f t="shared" si="122"/>
        <v/>
      </c>
      <c r="AZ48" s="43" t="str">
        <f t="shared" si="123"/>
        <v/>
      </c>
      <c r="BA48" s="43" t="str">
        <f t="shared" si="124"/>
        <v/>
      </c>
      <c r="BB48" s="43" t="str">
        <f t="shared" si="125"/>
        <v/>
      </c>
      <c r="BC48" s="43" t="str">
        <f t="shared" si="126"/>
        <v/>
      </c>
      <c r="BD48" s="43" t="str">
        <f t="shared" si="15"/>
        <v xml:space="preserve"> </v>
      </c>
      <c r="BE48" s="43" t="str">
        <f t="shared" si="25"/>
        <v/>
      </c>
      <c r="BF48" s="43" t="str">
        <f t="shared" si="26"/>
        <v/>
      </c>
      <c r="BG48" s="43" t="str">
        <f t="shared" si="27"/>
        <v/>
      </c>
      <c r="BH48" s="43" t="str">
        <f t="shared" si="28"/>
        <v/>
      </c>
      <c r="BI48" s="43" t="str">
        <f t="shared" si="29"/>
        <v/>
      </c>
      <c r="BJ48" s="43" t="str">
        <f t="shared" si="30"/>
        <v/>
      </c>
      <c r="BM48" s="43" t="str">
        <f t="shared" si="178"/>
        <v>QRatio</v>
      </c>
      <c r="BO48" s="43">
        <v>1</v>
      </c>
      <c r="BR48" s="43">
        <v>0</v>
      </c>
      <c r="BU48" s="147">
        <f>$V48+$W48*BO48+$X48*BO48^2+$Y48*BO48^3</f>
        <v>1</v>
      </c>
      <c r="BV48" s="147"/>
      <c r="BW48" s="147">
        <f>$V48+$W48*BR48+$X48*BR48^2+$Y48*BR48^3</f>
        <v>0</v>
      </c>
    </row>
    <row r="49" spans="2:84" hidden="1" outlineLevel="1" x14ac:dyDescent="0.25">
      <c r="E49" s="20" t="s">
        <v>306</v>
      </c>
      <c r="F49" s="20" t="s">
        <v>405</v>
      </c>
      <c r="G49" s="45" t="s">
        <v>553</v>
      </c>
      <c r="H49" s="43" t="s">
        <v>36</v>
      </c>
      <c r="J49" s="43" t="s">
        <v>273</v>
      </c>
      <c r="K49" s="43" t="s">
        <v>2</v>
      </c>
      <c r="N49" s="43" t="str">
        <f t="shared" si="180"/>
        <v>CoilClgHPCoilBPF_fQRatio</v>
      </c>
      <c r="O49" s="43" t="s">
        <v>286</v>
      </c>
      <c r="P49" s="20" t="s">
        <v>274</v>
      </c>
      <c r="Q49" s="48" t="s">
        <v>160</v>
      </c>
      <c r="V49" s="46">
        <v>0</v>
      </c>
      <c r="W49" s="46">
        <v>1</v>
      </c>
      <c r="AF49" s="96"/>
      <c r="AG49" s="158" t="str">
        <f t="shared" si="143"/>
        <v/>
      </c>
      <c r="AH49" s="158" t="str">
        <f t="shared" si="144"/>
        <v/>
      </c>
      <c r="AI49" s="158" t="str">
        <f t="shared" si="145"/>
        <v/>
      </c>
      <c r="AJ49" s="158" t="str">
        <f t="shared" si="146"/>
        <v/>
      </c>
      <c r="AK49" s="158" t="str">
        <f t="shared" si="147"/>
        <v/>
      </c>
      <c r="AL49" s="158" t="str">
        <f t="shared" si="148"/>
        <v/>
      </c>
      <c r="AO49" s="43">
        <v>0</v>
      </c>
      <c r="AP49" s="166" t="str">
        <f t="shared" si="8"/>
        <v/>
      </c>
      <c r="AQ49" s="166" t="str">
        <f t="shared" si="99"/>
        <v/>
      </c>
      <c r="AR49" s="166" t="str">
        <f t="shared" si="175"/>
        <v/>
      </c>
      <c r="AS49" s="166" t="str">
        <f t="shared" si="23"/>
        <v/>
      </c>
      <c r="AT49" s="43" t="str">
        <f t="shared" si="82"/>
        <v/>
      </c>
      <c r="AU49" s="43" t="str">
        <f t="shared" si="24"/>
        <v xml:space="preserve">               </v>
      </c>
      <c r="AV49" s="62" t="str">
        <f t="shared" si="176"/>
        <v/>
      </c>
      <c r="AW49" s="43" t="str">
        <f t="shared" si="177"/>
        <v xml:space="preserve">                                                                 </v>
      </c>
      <c r="AX49" s="43" t="str">
        <f t="shared" si="121"/>
        <v/>
      </c>
      <c r="AY49" s="43" t="str">
        <f t="shared" si="122"/>
        <v/>
      </c>
      <c r="AZ49" s="43" t="str">
        <f t="shared" si="123"/>
        <v/>
      </c>
      <c r="BA49" s="43" t="str">
        <f t="shared" si="124"/>
        <v/>
      </c>
      <c r="BB49" s="43" t="str">
        <f t="shared" si="125"/>
        <v/>
      </c>
      <c r="BC49" s="43" t="str">
        <f t="shared" si="126"/>
        <v/>
      </c>
      <c r="BD49" s="43" t="str">
        <f t="shared" si="15"/>
        <v xml:space="preserve"> </v>
      </c>
      <c r="BE49" s="43" t="str">
        <f t="shared" si="25"/>
        <v/>
      </c>
      <c r="BF49" s="43" t="str">
        <f t="shared" si="26"/>
        <v/>
      </c>
      <c r="BG49" s="43" t="str">
        <f t="shared" si="27"/>
        <v/>
      </c>
      <c r="BH49" s="43" t="str">
        <f t="shared" si="28"/>
        <v/>
      </c>
      <c r="BI49" s="43" t="str">
        <f t="shared" si="29"/>
        <v/>
      </c>
      <c r="BJ49" s="43" t="str">
        <f t="shared" si="30"/>
        <v/>
      </c>
      <c r="BM49" s="43" t="str">
        <f t="shared" si="178"/>
        <v>QRatio</v>
      </c>
      <c r="BO49" s="43">
        <v>1</v>
      </c>
      <c r="BR49" s="43">
        <v>0</v>
      </c>
      <c r="BU49" s="147">
        <f>$V49+$W49*BO49+$X49*BO49^2+$Y49*BO49^3</f>
        <v>1</v>
      </c>
      <c r="BV49" s="147"/>
      <c r="BW49" s="147">
        <f>$V49+$W49*BR49+$X49*BR49^2+$Y49*BR49^3</f>
        <v>0</v>
      </c>
    </row>
    <row r="50" spans="2:84" hidden="1" outlineLevel="1" x14ac:dyDescent="0.25">
      <c r="E50" s="20" t="s">
        <v>306</v>
      </c>
      <c r="F50" s="20" t="s">
        <v>405</v>
      </c>
      <c r="G50" s="45" t="s">
        <v>554</v>
      </c>
      <c r="H50" s="43" t="s">
        <v>301</v>
      </c>
      <c r="J50" s="43" t="s">
        <v>273</v>
      </c>
      <c r="K50" s="43" t="s">
        <v>2</v>
      </c>
      <c r="N50" s="43" t="str">
        <f t="shared" si="180"/>
        <v>CoilClgDXCoilBPF_fQRatio</v>
      </c>
      <c r="O50" s="43" t="s">
        <v>286</v>
      </c>
      <c r="P50" s="20" t="s">
        <v>274</v>
      </c>
      <c r="Q50" s="48" t="s">
        <v>160</v>
      </c>
      <c r="V50" s="46">
        <v>0</v>
      </c>
      <c r="W50" s="46">
        <v>1</v>
      </c>
      <c r="AF50" s="96"/>
      <c r="AG50" s="158" t="str">
        <f t="shared" si="143"/>
        <v/>
      </c>
      <c r="AH50" s="158" t="str">
        <f t="shared" si="144"/>
        <v/>
      </c>
      <c r="AI50" s="158" t="str">
        <f t="shared" si="145"/>
        <v/>
      </c>
      <c r="AJ50" s="158" t="str">
        <f t="shared" si="146"/>
        <v/>
      </c>
      <c r="AK50" s="158" t="str">
        <f t="shared" si="147"/>
        <v/>
      </c>
      <c r="AL50" s="158" t="str">
        <f t="shared" si="148"/>
        <v/>
      </c>
      <c r="AO50" s="43">
        <v>0</v>
      </c>
      <c r="AP50" s="166" t="str">
        <f t="shared" si="8"/>
        <v/>
      </c>
      <c r="AQ50" s="166" t="str">
        <f t="shared" si="99"/>
        <v/>
      </c>
      <c r="AR50" s="166" t="str">
        <f t="shared" si="175"/>
        <v/>
      </c>
      <c r="AS50" s="166" t="str">
        <f t="shared" si="23"/>
        <v/>
      </c>
      <c r="AT50" s="43" t="str">
        <f t="shared" si="82"/>
        <v/>
      </c>
      <c r="AU50" s="43" t="str">
        <f t="shared" si="24"/>
        <v xml:space="preserve">               </v>
      </c>
      <c r="AV50" s="62" t="str">
        <f t="shared" si="176"/>
        <v/>
      </c>
      <c r="AW50" s="43" t="str">
        <f t="shared" si="177"/>
        <v xml:space="preserve">                                                                 </v>
      </c>
      <c r="AX50" s="43" t="str">
        <f t="shared" si="121"/>
        <v/>
      </c>
      <c r="AY50" s="43" t="str">
        <f t="shared" si="122"/>
        <v/>
      </c>
      <c r="AZ50" s="43" t="str">
        <f t="shared" si="123"/>
        <v/>
      </c>
      <c r="BA50" s="43" t="str">
        <f t="shared" si="124"/>
        <v/>
      </c>
      <c r="BB50" s="43" t="str">
        <f t="shared" si="125"/>
        <v/>
      </c>
      <c r="BC50" s="43" t="str">
        <f t="shared" si="126"/>
        <v/>
      </c>
      <c r="BD50" s="43" t="str">
        <f t="shared" si="15"/>
        <v xml:space="preserve"> </v>
      </c>
      <c r="BE50" s="43" t="str">
        <f t="shared" si="25"/>
        <v/>
      </c>
      <c r="BF50" s="43" t="str">
        <f t="shared" si="26"/>
        <v/>
      </c>
      <c r="BG50" s="43" t="str">
        <f t="shared" si="27"/>
        <v/>
      </c>
      <c r="BH50" s="43" t="str">
        <f t="shared" si="28"/>
        <v/>
      </c>
      <c r="BI50" s="43" t="str">
        <f t="shared" si="29"/>
        <v/>
      </c>
      <c r="BJ50" s="43" t="str">
        <f t="shared" si="30"/>
        <v/>
      </c>
      <c r="BM50" s="43" t="str">
        <f t="shared" si="178"/>
        <v>QRatio</v>
      </c>
      <c r="BO50" s="43">
        <v>1</v>
      </c>
      <c r="BR50" s="43">
        <v>0</v>
      </c>
      <c r="BU50" s="147">
        <f>$V50+$W50*BO50+$X50*BO50^2+$Y50*BO50^3</f>
        <v>1</v>
      </c>
      <c r="BV50" s="147"/>
      <c r="BW50" s="147">
        <f>$V50+$W50*BR50+$X50*BR50^2+$Y50*BR50^3</f>
        <v>0</v>
      </c>
    </row>
    <row r="51" spans="2:84" hidden="1" outlineLevel="1" x14ac:dyDescent="0.25">
      <c r="B51" s="43" t="s">
        <v>289</v>
      </c>
      <c r="C51" s="43" t="s">
        <v>285</v>
      </c>
      <c r="D51" s="123" t="s">
        <v>541</v>
      </c>
      <c r="E51" s="20" t="s">
        <v>306</v>
      </c>
      <c r="F51" s="20" t="s">
        <v>502</v>
      </c>
      <c r="G51" s="45" t="s">
        <v>551</v>
      </c>
      <c r="H51" s="43" t="s">
        <v>538</v>
      </c>
      <c r="J51" s="20" t="s">
        <v>144</v>
      </c>
      <c r="L51" s="73" t="s">
        <v>171</v>
      </c>
      <c r="M51" s="43" t="s">
        <v>170</v>
      </c>
      <c r="N51" s="43" t="str">
        <f t="shared" si="180"/>
        <v>CoilClgDXSnglQRatio_fCFMRatio</v>
      </c>
      <c r="O51" s="20" t="s">
        <v>162</v>
      </c>
      <c r="P51" s="20" t="s">
        <v>160</v>
      </c>
      <c r="Q51" s="65" t="s">
        <v>120</v>
      </c>
      <c r="V51" s="46">
        <v>0.8</v>
      </c>
      <c r="W51" s="46">
        <v>0.2</v>
      </c>
      <c r="X51" s="46">
        <v>0</v>
      </c>
      <c r="AF51" s="96"/>
      <c r="AG51" s="158" t="str">
        <f t="shared" si="143"/>
        <v/>
      </c>
      <c r="AH51" s="158">
        <f t="shared" si="144"/>
        <v>0.8</v>
      </c>
      <c r="AI51" s="158" t="str">
        <f t="shared" si="145"/>
        <v/>
      </c>
      <c r="AJ51" s="158" t="str">
        <f t="shared" si="146"/>
        <v/>
      </c>
      <c r="AK51" s="158" t="str">
        <f t="shared" si="147"/>
        <v/>
      </c>
      <c r="AL51" s="158" t="str">
        <f t="shared" si="148"/>
        <v/>
      </c>
      <c r="AM51" s="45" t="s">
        <v>640</v>
      </c>
      <c r="AO51" s="43">
        <f>IF(ISTEXT(A51),"",IF(I51="IP",0,1))</f>
        <v>1</v>
      </c>
      <c r="AP51" s="166" t="str">
        <f t="shared" si="8"/>
        <v>CrvQuad        "CoilClgDXSnglQRatio_fCFMRatio"                                  Coef1 =  0.800000  Coef2 =  0.200000  Coef3 =  0.000000  _x000D_
                                                                                MinOut = 0.800   _x000D_
..</v>
      </c>
      <c r="AQ51" s="166" t="str">
        <f t="shared" si="99"/>
        <v xml:space="preserve">CrvQuad        "CoilClgDXSnglQRatio_fCFMRatio"                                  Coef1 =  0.800000  Coef2 =  0.200000  Coef3 =  0.000000  </v>
      </c>
      <c r="AR51" s="166" t="str">
        <f t="shared" si="175"/>
        <v xml:space="preserve">_x000D_
                                                                                MinOut = 0.800   </v>
      </c>
      <c r="AS51" s="166" t="str">
        <f t="shared" si="23"/>
        <v>_x000D_
..</v>
      </c>
      <c r="AT51" s="43" t="str">
        <f t="shared" si="82"/>
        <v>CrvQuad</v>
      </c>
      <c r="AU51" s="43" t="str">
        <f t="shared" si="24"/>
        <v xml:space="preserve">        </v>
      </c>
      <c r="AV51" s="62" t="str">
        <f t="shared" si="176"/>
        <v>"CoilClgDXSnglQRatio_fCFMRatio"</v>
      </c>
      <c r="AW51" s="43" t="str">
        <f t="shared" si="177"/>
        <v xml:space="preserve">                                  </v>
      </c>
      <c r="AX51" s="43" t="str">
        <f t="shared" si="121"/>
        <v xml:space="preserve"> 0.800000  </v>
      </c>
      <c r="AY51" s="43" t="str">
        <f t="shared" si="122"/>
        <v xml:space="preserve"> 0.200000  </v>
      </c>
      <c r="AZ51" s="43" t="str">
        <f t="shared" si="123"/>
        <v xml:space="preserve"> 0.000000  </v>
      </c>
      <c r="BA51" s="43" t="str">
        <f t="shared" si="124"/>
        <v>-</v>
      </c>
      <c r="BB51" s="43" t="str">
        <f t="shared" si="125"/>
        <v>-</v>
      </c>
      <c r="BC51" s="43" t="str">
        <f t="shared" si="126"/>
        <v>-</v>
      </c>
      <c r="BD51" s="43" t="str">
        <f t="shared" si="15"/>
        <v xml:space="preserve">_x000D_
                                                                                </v>
      </c>
      <c r="BE51" s="43" t="str">
        <f t="shared" si="25"/>
        <v>-</v>
      </c>
      <c r="BF51" s="43" t="str">
        <f t="shared" si="26"/>
        <v xml:space="preserve">0.800   </v>
      </c>
      <c r="BG51" s="43" t="str">
        <f t="shared" si="27"/>
        <v>-</v>
      </c>
      <c r="BH51" s="43" t="str">
        <f t="shared" si="28"/>
        <v>-</v>
      </c>
      <c r="BI51" s="43" t="str">
        <f t="shared" si="29"/>
        <v>-</v>
      </c>
      <c r="BJ51" s="43" t="str">
        <f t="shared" si="30"/>
        <v>-</v>
      </c>
      <c r="BM51" s="43" t="str">
        <f t="shared" si="178"/>
        <v>CFMRatio</v>
      </c>
      <c r="BO51" s="43">
        <v>1</v>
      </c>
      <c r="BR51" s="43">
        <v>0</v>
      </c>
      <c r="BU51" s="147">
        <f>$V51+$W51*BO51+$X51*BO51^2+$Y51*BO51^3</f>
        <v>1</v>
      </c>
      <c r="BV51" s="147"/>
      <c r="BW51" s="147">
        <f>$V51+$W51*BR51+$X51*BR51^2+$Y51*BR51^3</f>
        <v>0.8</v>
      </c>
    </row>
    <row r="52" spans="2:84" hidden="1" outlineLevel="1" x14ac:dyDescent="0.25">
      <c r="D52" s="45"/>
      <c r="E52" s="20" t="s">
        <v>306</v>
      </c>
      <c r="F52" s="20" t="s">
        <v>502</v>
      </c>
      <c r="G52" s="45" t="s">
        <v>552</v>
      </c>
      <c r="H52" s="43" t="s">
        <v>539</v>
      </c>
      <c r="J52" s="20" t="s">
        <v>144</v>
      </c>
      <c r="L52" s="73" t="s">
        <v>287</v>
      </c>
      <c r="M52" s="43" t="s">
        <v>170</v>
      </c>
      <c r="N52" s="43" t="str">
        <f t="shared" si="180"/>
        <v>CoilClgDXDblQRatio_fCFMRatio</v>
      </c>
      <c r="O52" s="20" t="s">
        <v>230</v>
      </c>
      <c r="P52" s="20" t="s">
        <v>160</v>
      </c>
      <c r="Q52" s="65" t="s">
        <v>120</v>
      </c>
      <c r="V52" s="46">
        <v>0.47278588999999999</v>
      </c>
      <c r="W52" s="46">
        <v>1.2433415000000001</v>
      </c>
      <c r="X52" s="46">
        <v>-1.0387055000000001</v>
      </c>
      <c r="Y52" s="46">
        <v>0.32257813000000002</v>
      </c>
      <c r="AF52" s="96"/>
      <c r="AG52" s="158" t="str">
        <f t="shared" si="143"/>
        <v/>
      </c>
      <c r="AH52" s="158">
        <f t="shared" si="144"/>
        <v>0.47</v>
      </c>
      <c r="AI52" s="158" t="str">
        <f t="shared" si="145"/>
        <v/>
      </c>
      <c r="AJ52" s="158" t="str">
        <f t="shared" si="146"/>
        <v/>
      </c>
      <c r="AK52" s="158" t="str">
        <f t="shared" si="147"/>
        <v/>
      </c>
      <c r="AL52" s="158" t="str">
        <f t="shared" si="148"/>
        <v/>
      </c>
      <c r="AM52" s="45" t="s">
        <v>640</v>
      </c>
      <c r="AO52" s="43">
        <f>IF(ISTEXT(A52),"",IF(I52="IP",0,1))</f>
        <v>1</v>
      </c>
      <c r="AP52" s="166" t="str">
        <f t="shared" ref="AP52:AP63" si="181">IF(AO52=1,CONCATENATE(AQ52,AR52,AS52),"")</f>
        <v>CrvCubic       "CoilClgDXDblQRatio_fCFMRatio"                                   Coef1 =  0.472786  Coef2 =  1.243342  Coef3 = -1.038706  Coef4 =  0.322578  _x000D_
                                                                                MinOut = 0.470   _x000D_
..</v>
      </c>
      <c r="AQ52" s="166" t="str">
        <f t="shared" ref="AQ52:AQ63" si="182">IF(AO52=1,CONCATENATE(AT52,AU52,AV52,AW52,IF(AX52="-","",$AX$15&amp;AX52),IF(AY52="-","",$AY$15&amp;AY52),IF(AZ52="-","",$AZ$15&amp;AZ52),IF(BA52="-","",$BA$15&amp;BA52),IF(BB52="-","",$BB$15&amp;BB52),IF(BC52="-","",$BC$15&amp;BC52)),"")</f>
        <v xml:space="preserve">CrvCubic       "CoilClgDXDblQRatio_fCFMRatio"                                   Coef1 =  0.472786  Coef2 =  1.243342  Coef3 = -1.038706  Coef4 =  0.322578  </v>
      </c>
      <c r="AR52" s="166" t="str">
        <f t="shared" ref="AR52:AR63" si="183">IF(AO52=1,CONCATENATE(BD52,IF(BE52="-","",$BE$15&amp;BE52),IF(BF52="-","",$BF$15&amp;BF52),IF(BG52="-","",$BG$15&amp;BG52),IF(BH52="-","",$BH$15&amp;BH52),IF(BI52="-","",$BI$15&amp;BI52),IF(BJ52="-","",$BJ$15&amp;BJ52)),"")</f>
        <v xml:space="preserve">_x000D_
                                                                                MinOut = 0.470   </v>
      </c>
      <c r="AS52" s="166" t="str">
        <f t="shared" ref="AS52:AS63" si="184">IF(AO52=1,CHAR(13)&amp;CHAR(10)&amp;"..","")</f>
        <v>_x000D_
..</v>
      </c>
      <c r="AT52" s="43" t="str">
        <f t="shared" ref="AT52:AT63" si="185">IF(AO52=1,VLOOKUP(O52,$AT$2:$AV$13,2,0),"")</f>
        <v>CrvCubic</v>
      </c>
      <c r="AU52" s="43" t="str">
        <f t="shared" si="24"/>
        <v xml:space="preserve">       </v>
      </c>
      <c r="AV52" s="62" t="str">
        <f t="shared" si="176"/>
        <v>"CoilClgDXDblQRatio_fCFMRatio"</v>
      </c>
      <c r="AW52" s="43" t="str">
        <f t="shared" ref="AW52:AW63" si="186">REPT(" ",$AW$14-LEN(AV52))</f>
        <v xml:space="preserve">                                   </v>
      </c>
      <c r="AX52" s="43" t="str">
        <f t="shared" ref="AX52:BC52" si="187">IF($AO52=1,IF(ISBLANK(V52),"-",CONCATENATE(TEXT(V52," 0.000000;-0.000000"),"  ")),"")</f>
        <v xml:space="preserve"> 0.472786  </v>
      </c>
      <c r="AY52" s="43" t="str">
        <f t="shared" si="187"/>
        <v xml:space="preserve"> 1.243342  </v>
      </c>
      <c r="AZ52" s="43" t="str">
        <f t="shared" si="187"/>
        <v xml:space="preserve">-1.038706  </v>
      </c>
      <c r="BA52" s="43" t="str">
        <f t="shared" si="187"/>
        <v xml:space="preserve"> 0.322578  </v>
      </c>
      <c r="BB52" s="43" t="str">
        <f t="shared" si="187"/>
        <v>-</v>
      </c>
      <c r="BC52" s="43" t="str">
        <f t="shared" si="187"/>
        <v>-</v>
      </c>
      <c r="BD52" s="43" t="str">
        <f t="shared" si="15"/>
        <v xml:space="preserve">_x000D_
                                                                                </v>
      </c>
      <c r="BE52" s="43" t="str">
        <f t="shared" ref="BE52:BE118" si="188">IF($AO52=1,IF(AG52="","-",CONCATENATE(TEXT(AG52,"0.000"),"   ")),"")</f>
        <v>-</v>
      </c>
      <c r="BF52" s="43" t="str">
        <f t="shared" ref="BF52:BF118" si="189">IF($AO52=1,IF(AH52="","-",CONCATENATE(TEXT(AH52,"0.000"),"   ")),"")</f>
        <v xml:space="preserve">0.470   </v>
      </c>
      <c r="BG52" s="43" t="str">
        <f t="shared" ref="BG52:BG118" si="190">IF($AO52=1,IF(AI52="","-",CONCATENATE(TEXT(AI52,"0.000"),"   ")),"")</f>
        <v>-</v>
      </c>
      <c r="BH52" s="43" t="str">
        <f t="shared" ref="BH52:BH118" si="191">IF($AO52=1,IF(AJ52="","-",CONCATENATE(TEXT(AJ52,"0.000"),"   ")),"")</f>
        <v>-</v>
      </c>
      <c r="BI52" s="43" t="str">
        <f t="shared" ref="BI52:BI118" si="192">IF($AO52=1,IF(AK52="","-",CONCATENATE(TEXT(AK52,"0.000"),"   ")),"")</f>
        <v>-</v>
      </c>
      <c r="BJ52" s="43" t="str">
        <f t="shared" ref="BJ52:BJ118" si="193">IF($AO52=1,IF(AL52="","-",CONCATENATE(TEXT(AL52,"0.000"),"   ")),"")</f>
        <v>-</v>
      </c>
      <c r="BM52" s="43" t="str">
        <f t="shared" si="178"/>
        <v>CFMRatio</v>
      </c>
      <c r="BO52" s="43">
        <v>1</v>
      </c>
      <c r="BR52" s="43">
        <v>0</v>
      </c>
      <c r="BU52" s="147">
        <f>$V52+$W52*BO52+$X52*BO52^2+$Y52*BO52^3</f>
        <v>1.0000000199999999</v>
      </c>
      <c r="BV52" s="147"/>
      <c r="BW52" s="147">
        <f>$V52+$W52*BR52+$X52*BR52^2+$Y52*BR52^3</f>
        <v>0.47278588999999999</v>
      </c>
    </row>
    <row r="53" spans="2:84" ht="60" hidden="1" outlineLevel="1" x14ac:dyDescent="0.25">
      <c r="B53" s="43" t="s">
        <v>127</v>
      </c>
      <c r="C53" s="43" t="s">
        <v>291</v>
      </c>
      <c r="D53" s="72" t="s">
        <v>119</v>
      </c>
      <c r="E53" s="20" t="s">
        <v>306</v>
      </c>
      <c r="F53" s="20" t="s">
        <v>401</v>
      </c>
      <c r="G53" s="45" t="s">
        <v>543</v>
      </c>
      <c r="H53" s="43" t="s">
        <v>35</v>
      </c>
      <c r="I53" s="43" t="s">
        <v>659</v>
      </c>
      <c r="J53" s="43" t="s">
        <v>273</v>
      </c>
      <c r="K53" s="43" t="s">
        <v>3</v>
      </c>
      <c r="L53" s="93"/>
      <c r="M53" s="73"/>
      <c r="N53" s="43" t="str">
        <f t="shared" si="180"/>
        <v>CoilClgPTACEIRRatio_fTwbToadbIP</v>
      </c>
      <c r="O53" s="20" t="s">
        <v>165</v>
      </c>
      <c r="P53" s="43" t="s">
        <v>288</v>
      </c>
      <c r="Q53" s="43" t="s">
        <v>116</v>
      </c>
      <c r="R53" s="43" t="s">
        <v>460</v>
      </c>
      <c r="V53" s="46">
        <v>-0.65504609999999996</v>
      </c>
      <c r="W53" s="46">
        <v>3.8891000000000002E-2</v>
      </c>
      <c r="X53" s="46">
        <v>-1.9249999999999999E-4</v>
      </c>
      <c r="Y53" s="46">
        <v>1.3045999999999999E-3</v>
      </c>
      <c r="Z53" s="46">
        <v>1.3520000000000001E-4</v>
      </c>
      <c r="AA53" s="46">
        <v>-2.2469999999999999E-4</v>
      </c>
      <c r="AF53" s="96"/>
      <c r="AG53" s="158">
        <f t="shared" si="143"/>
        <v>1.4</v>
      </c>
      <c r="AH53" s="158">
        <f t="shared" si="144"/>
        <v>0.76</v>
      </c>
      <c r="AI53" s="158">
        <f t="shared" si="145"/>
        <v>77</v>
      </c>
      <c r="AJ53" s="158">
        <f t="shared" si="146"/>
        <v>57</v>
      </c>
      <c r="AK53" s="158">
        <f t="shared" si="147"/>
        <v>115</v>
      </c>
      <c r="AL53" s="158">
        <f t="shared" si="148"/>
        <v>75</v>
      </c>
      <c r="AM53" s="45" t="s">
        <v>627</v>
      </c>
      <c r="AO53" s="43">
        <f>IF(ISTEXT(A53),"",IF(I53="IP",0,1))</f>
        <v>0</v>
      </c>
      <c r="AP53" s="166" t="str">
        <f t="shared" si="181"/>
        <v/>
      </c>
      <c r="AQ53" s="166" t="str">
        <f t="shared" si="182"/>
        <v/>
      </c>
      <c r="AR53" s="166" t="str">
        <f t="shared" si="183"/>
        <v/>
      </c>
      <c r="AS53" s="166" t="str">
        <f t="shared" si="184"/>
        <v/>
      </c>
      <c r="AT53" s="43" t="str">
        <f t="shared" si="185"/>
        <v/>
      </c>
      <c r="AU53" s="43" t="str">
        <f t="shared" si="24"/>
        <v xml:space="preserve">               </v>
      </c>
      <c r="AV53" s="62" t="str">
        <f t="shared" si="176"/>
        <v/>
      </c>
      <c r="AW53" s="43" t="str">
        <f t="shared" si="186"/>
        <v xml:space="preserve">                                                                 </v>
      </c>
      <c r="AX53" s="43" t="str">
        <f t="shared" ref="AX53:BC62" si="194">IF($AO53=1,IF(ISBLANK(V53),"-",CONCATENATE(TEXT(V53," 0.000000;-0.000000"),"  ")),"")</f>
        <v/>
      </c>
      <c r="AY53" s="43" t="str">
        <f t="shared" si="194"/>
        <v/>
      </c>
      <c r="AZ53" s="43" t="str">
        <f t="shared" si="194"/>
        <v/>
      </c>
      <c r="BA53" s="43" t="str">
        <f t="shared" si="194"/>
        <v/>
      </c>
      <c r="BB53" s="43" t="str">
        <f t="shared" si="194"/>
        <v/>
      </c>
      <c r="BC53" s="43" t="str">
        <f t="shared" si="194"/>
        <v/>
      </c>
      <c r="BD53" s="43" t="str">
        <f t="shared" si="15"/>
        <v xml:space="preserve">_x000D_
                                                                                </v>
      </c>
      <c r="BE53" s="43" t="str">
        <f t="shared" si="188"/>
        <v/>
      </c>
      <c r="BF53" s="43" t="str">
        <f t="shared" si="189"/>
        <v/>
      </c>
      <c r="BG53" s="43" t="str">
        <f t="shared" si="190"/>
        <v/>
      </c>
      <c r="BH53" s="43" t="str">
        <f t="shared" si="191"/>
        <v/>
      </c>
      <c r="BI53" s="43" t="str">
        <f t="shared" si="192"/>
        <v/>
      </c>
      <c r="BJ53" s="43" t="str">
        <f t="shared" si="193"/>
        <v/>
      </c>
      <c r="BM53" s="43" t="str">
        <f t="shared" si="178"/>
        <v>Twb</v>
      </c>
      <c r="BN53" s="43" t="str">
        <f>R53</f>
        <v>Toadb</v>
      </c>
      <c r="BO53" s="43">
        <v>67</v>
      </c>
      <c r="BP53" s="43">
        <v>95</v>
      </c>
      <c r="BQ53" s="43">
        <v>77</v>
      </c>
      <c r="BR53" s="43">
        <v>57</v>
      </c>
      <c r="BS53" s="43">
        <v>115</v>
      </c>
      <c r="BT53" s="43">
        <v>75</v>
      </c>
      <c r="BU53" s="147">
        <f>$V53+$W53*BO53+$X53*BO53^2+$Y53*BP53+$Z53*BP53^2+$AA53*BO53*BP53</f>
        <v>1.0004199000000005</v>
      </c>
      <c r="BV53" s="147">
        <f>$V53+$W53*BR53+$X53*BR53^2+$Y53*BS53+$Z53*BS53^2+$AA53*BR53*BS53</f>
        <v>1.4014489000000006</v>
      </c>
      <c r="BW53" s="147">
        <f>$V53+$W53*BQ53+$X53*BQ53^2+$Y53*BT53+$Z53*BT53^2+$AA53*BQ53*BT53</f>
        <v>0.75893090000000063</v>
      </c>
      <c r="BX53" s="43" t="s">
        <v>729</v>
      </c>
    </row>
    <row r="54" spans="2:84" hidden="1" outlineLevel="1" x14ac:dyDescent="0.25">
      <c r="D54" s="72"/>
      <c r="E54" s="20" t="s">
        <v>306</v>
      </c>
      <c r="F54" s="20" t="s">
        <v>401</v>
      </c>
      <c r="G54" s="45" t="s">
        <v>543</v>
      </c>
      <c r="H54" s="43" t="s">
        <v>35</v>
      </c>
      <c r="I54" s="43" t="s">
        <v>660</v>
      </c>
      <c r="J54" s="43" t="s">
        <v>144</v>
      </c>
      <c r="L54" s="93" t="s">
        <v>171</v>
      </c>
      <c r="M54" s="73" t="s">
        <v>169</v>
      </c>
      <c r="N54" s="43" t="str">
        <f t="shared" si="180"/>
        <v>CoilClgPTACEIRRatio_fTwbToadbSI</v>
      </c>
      <c r="O54" s="20" t="s">
        <v>165</v>
      </c>
      <c r="P54" s="43" t="s">
        <v>288</v>
      </c>
      <c r="Q54" s="43" t="s">
        <v>116</v>
      </c>
      <c r="R54" s="43" t="s">
        <v>460</v>
      </c>
      <c r="V54" s="46">
        <v>0.34143400000000002</v>
      </c>
      <c r="W54" s="46">
        <v>3.4810199999999999E-2</v>
      </c>
      <c r="X54" s="46">
        <v>-6.2531999999999996E-4</v>
      </c>
      <c r="Y54" s="46">
        <v>4.9410000000000001E-3</v>
      </c>
      <c r="Z54" s="46">
        <v>4.3740000000000001E-4</v>
      </c>
      <c r="AA54" s="46">
        <v>-7.2900000000000005E-4</v>
      </c>
      <c r="AF54" s="96"/>
      <c r="AG54" s="158">
        <f t="shared" ref="AG54:AG62" si="195">IF(BV54&gt;0,ROUND(BV54,2),"")</f>
        <v>1.4</v>
      </c>
      <c r="AH54" s="158">
        <f t="shared" ref="AH54:AH62" si="196">IF(BW54&gt;0,ROUND(BW54,2),"")</f>
        <v>0.75</v>
      </c>
      <c r="AI54" s="158">
        <f t="shared" ref="AI54:AI62" si="197">IF(BQ54&gt;0,ROUND(BQ54,2),"")</f>
        <v>25</v>
      </c>
      <c r="AJ54" s="158">
        <f t="shared" si="146"/>
        <v>13.89</v>
      </c>
      <c r="AK54" s="158">
        <f t="shared" si="147"/>
        <v>46.11</v>
      </c>
      <c r="AL54" s="158">
        <f t="shared" ref="AL54:AL62" si="198">IF(BT54&gt;0,ROUND(BT54,2),"")</f>
        <v>23.89</v>
      </c>
      <c r="AO54" s="43">
        <f>IF(ISTEXT(A54),"",IF(I54="IP",0,1))</f>
        <v>1</v>
      </c>
      <c r="AP54" s="166" t="str">
        <f t="shared" si="181"/>
        <v>CrvDblQuad     "CoilClgPTACEIRRatio_fTwbToadbSI"                                Coef1 =  0.341434  Coef2 =  0.034810  Coef3 = -0.000625  Coef4 =  0.004941  Coef5 =  0.000437  Coef6 = -0.000729  _x000D_
                                                                                MaxOut = 1.400   MinOut = 0.750   MaxVar1 = 25.000   MinVar1 = 13.890   MaxVar2 = 46.110   MinVar2 = 23.890   _x000D_
..</v>
      </c>
      <c r="AQ54" s="166" t="str">
        <f t="shared" si="182"/>
        <v xml:space="preserve">CrvDblQuad     "CoilClgPTACEIRRatio_fTwbToadbSI"                                Coef1 =  0.341434  Coef2 =  0.034810  Coef3 = -0.000625  Coef4 =  0.004941  Coef5 =  0.000437  Coef6 = -0.000729  </v>
      </c>
      <c r="AR54" s="166" t="str">
        <f t="shared" si="183"/>
        <v xml:space="preserve">_x000D_
                                                                                MaxOut = 1.400   MinOut = 0.750   MaxVar1 = 25.000   MinVar1 = 13.890   MaxVar2 = 46.110   MinVar2 = 23.890   </v>
      </c>
      <c r="AS54" s="166" t="str">
        <f t="shared" si="184"/>
        <v>_x000D_
..</v>
      </c>
      <c r="AT54" s="43" t="str">
        <f t="shared" si="185"/>
        <v>CrvDblQuad</v>
      </c>
      <c r="AU54" s="43" t="str">
        <f t="shared" si="24"/>
        <v xml:space="preserve">     </v>
      </c>
      <c r="AV54" s="62" t="str">
        <f t="shared" ref="AV54" si="199">IF(AO54=1,CONCATENATE("""",N54,""""),"")</f>
        <v>"CoilClgPTACEIRRatio_fTwbToadbSI"</v>
      </c>
      <c r="AW54" s="43" t="str">
        <f t="shared" si="186"/>
        <v xml:space="preserve">                                </v>
      </c>
      <c r="AX54" s="43" t="str">
        <f t="shared" ref="AX54" si="200">IF($AO54=1,IF(ISBLANK(V54),"-",CONCATENATE(TEXT(V54," 0.000000;-0.000000"),"  ")),"")</f>
        <v xml:space="preserve"> 0.341434  </v>
      </c>
      <c r="AY54" s="43" t="str">
        <f t="shared" ref="AY54" si="201">IF($AO54=1,IF(ISBLANK(W54),"-",CONCATENATE(TEXT(W54," 0.000000;-0.000000"),"  ")),"")</f>
        <v xml:space="preserve"> 0.034810  </v>
      </c>
      <c r="AZ54" s="43" t="str">
        <f t="shared" ref="AZ54" si="202">IF($AO54=1,IF(ISBLANK(X54),"-",CONCATENATE(TEXT(X54," 0.000000;-0.000000"),"  ")),"")</f>
        <v xml:space="preserve">-0.000625  </v>
      </c>
      <c r="BA54" s="43" t="str">
        <f t="shared" ref="BA54" si="203">IF($AO54=1,IF(ISBLANK(Y54),"-",CONCATENATE(TEXT(Y54," 0.000000;-0.000000"),"  ")),"")</f>
        <v xml:space="preserve"> 0.004941  </v>
      </c>
      <c r="BB54" s="43" t="str">
        <f t="shared" ref="BB54" si="204">IF($AO54=1,IF(ISBLANK(Z54),"-",CONCATENATE(TEXT(Z54," 0.000000;-0.000000"),"  ")),"")</f>
        <v xml:space="preserve"> 0.000437  </v>
      </c>
      <c r="BC54" s="43" t="str">
        <f t="shared" ref="BC54" si="205">IF($AO54=1,IF(ISBLANK(AA54),"-",CONCATENATE(TEXT(AA54," 0.000000;-0.000000"),"  ")),"")</f>
        <v xml:space="preserve">-0.000729  </v>
      </c>
      <c r="BD54" s="43" t="str">
        <f t="shared" si="15"/>
        <v xml:space="preserve">_x000D_
                                                                                </v>
      </c>
      <c r="BE54" s="43" t="str">
        <f t="shared" si="188"/>
        <v xml:space="preserve">1.400   </v>
      </c>
      <c r="BF54" s="43" t="str">
        <f t="shared" si="189"/>
        <v xml:space="preserve">0.750   </v>
      </c>
      <c r="BG54" s="43" t="str">
        <f t="shared" si="190"/>
        <v xml:space="preserve">25.000   </v>
      </c>
      <c r="BH54" s="43" t="str">
        <f t="shared" si="191"/>
        <v xml:space="preserve">13.890   </v>
      </c>
      <c r="BI54" s="43" t="str">
        <f t="shared" si="192"/>
        <v xml:space="preserve">46.110   </v>
      </c>
      <c r="BJ54" s="43" t="str">
        <f t="shared" si="193"/>
        <v xml:space="preserve">23.890   </v>
      </c>
      <c r="BM54" s="43" t="str">
        <f t="shared" si="178"/>
        <v>Twb</v>
      </c>
      <c r="BN54" s="43" t="str">
        <f>R54</f>
        <v>Toadb</v>
      </c>
      <c r="BO54" s="164">
        <f>(BO53-32)/1.8</f>
        <v>19.444444444444443</v>
      </c>
      <c r="BP54" s="164">
        <f>(BP53-32)/1.8</f>
        <v>35</v>
      </c>
      <c r="BQ54" s="164">
        <f t="shared" ref="BQ54" si="206">(BQ53-32)/1.8</f>
        <v>25</v>
      </c>
      <c r="BR54" s="164">
        <f t="shared" ref="BR54" si="207">(BR53-32)/1.8</f>
        <v>13.888888888888889</v>
      </c>
      <c r="BS54" s="164">
        <f t="shared" ref="BS54" si="208">(BS53-32)/1.8</f>
        <v>46.111111111111107</v>
      </c>
      <c r="BT54" s="164">
        <f t="shared" ref="BT54" si="209">(BT53-32)/1.8</f>
        <v>23.888888888888889</v>
      </c>
      <c r="BU54" s="147">
        <f>$V54+$W54*BO54+$X54*BO54^2+$Y54*BP54+$Z54*BP54^2+$AA54*BO54*BP54</f>
        <v>0.99449900000000002</v>
      </c>
      <c r="BV54" s="147">
        <f t="shared" ref="BV54:BV65" si="210">$V54+$W54*BR54+$X54*BR54^2+$Y54*BS54+$Z54*BS54^2+$AA54*BR54*BS54</f>
        <v>1.3952589999999998</v>
      </c>
      <c r="BW54" s="147">
        <f t="shared" ref="BW54:BW65" si="211">$V54+$W54*BQ54+$X54*BQ54^2+$Y54*BT54+$Z54*BT54^2+$AA54*BQ54*BT54</f>
        <v>0.753139</v>
      </c>
      <c r="BX54" s="43" t="s">
        <v>729</v>
      </c>
    </row>
    <row r="55" spans="2:84" hidden="1" outlineLevel="1" x14ac:dyDescent="0.25">
      <c r="E55" s="20" t="s">
        <v>306</v>
      </c>
      <c r="F55" s="20" t="s">
        <v>401</v>
      </c>
      <c r="G55" s="45" t="s">
        <v>544</v>
      </c>
      <c r="H55" s="43" t="s">
        <v>525</v>
      </c>
      <c r="I55" s="43" t="s">
        <v>659</v>
      </c>
      <c r="J55" s="43" t="s">
        <v>273</v>
      </c>
      <c r="K55" s="43" t="s">
        <v>3</v>
      </c>
      <c r="L55" s="93"/>
      <c r="M55" s="73"/>
      <c r="N55" s="43" t="str">
        <f t="shared" si="180"/>
        <v>CoilClgDXSEEREIRRatio_fTwbToadbIP</v>
      </c>
      <c r="O55" s="20" t="s">
        <v>165</v>
      </c>
      <c r="P55" s="43" t="s">
        <v>288</v>
      </c>
      <c r="Q55" s="43" t="s">
        <v>116</v>
      </c>
      <c r="R55" s="43" t="s">
        <v>460</v>
      </c>
      <c r="V55" s="81"/>
      <c r="W55" s="81"/>
      <c r="X55" s="81"/>
      <c r="Y55" s="81"/>
      <c r="Z55" s="81"/>
      <c r="AA55" s="81"/>
      <c r="AF55" s="96"/>
      <c r="AG55" s="158" t="str">
        <f t="shared" si="195"/>
        <v/>
      </c>
      <c r="AH55" s="158" t="str">
        <f t="shared" si="196"/>
        <v/>
      </c>
      <c r="AI55" s="158">
        <f t="shared" si="197"/>
        <v>77</v>
      </c>
      <c r="AJ55" s="158">
        <f t="shared" si="146"/>
        <v>57</v>
      </c>
      <c r="AK55" s="158">
        <f t="shared" si="147"/>
        <v>115</v>
      </c>
      <c r="AL55" s="158">
        <f t="shared" si="198"/>
        <v>75</v>
      </c>
      <c r="AM55" s="45" t="s">
        <v>562</v>
      </c>
      <c r="AO55" s="43">
        <f>IF(ISTEXT(A55),"",IF(I55="IP",0,1))</f>
        <v>0</v>
      </c>
      <c r="AP55" s="166" t="str">
        <f t="shared" si="181"/>
        <v/>
      </c>
      <c r="AQ55" s="166" t="str">
        <f t="shared" si="182"/>
        <v/>
      </c>
      <c r="AR55" s="166" t="str">
        <f t="shared" si="183"/>
        <v/>
      </c>
      <c r="AS55" s="166" t="str">
        <f t="shared" si="184"/>
        <v/>
      </c>
      <c r="AT55" s="43" t="str">
        <f t="shared" si="185"/>
        <v/>
      </c>
      <c r="AU55" s="43" t="str">
        <f t="shared" si="24"/>
        <v xml:space="preserve">               </v>
      </c>
      <c r="AV55" s="62" t="str">
        <f t="shared" si="176"/>
        <v/>
      </c>
      <c r="AW55" s="43" t="str">
        <f t="shared" si="186"/>
        <v xml:space="preserve">                                                                 </v>
      </c>
      <c r="AX55" s="43" t="str">
        <f t="shared" si="194"/>
        <v/>
      </c>
      <c r="AY55" s="43" t="str">
        <f t="shared" si="194"/>
        <v/>
      </c>
      <c r="AZ55" s="43" t="str">
        <f t="shared" si="194"/>
        <v/>
      </c>
      <c r="BA55" s="43" t="str">
        <f t="shared" si="194"/>
        <v/>
      </c>
      <c r="BB55" s="43" t="str">
        <f t="shared" si="194"/>
        <v/>
      </c>
      <c r="BC55" s="43" t="str">
        <f t="shared" si="194"/>
        <v/>
      </c>
      <c r="BD55" s="43" t="str">
        <f t="shared" si="15"/>
        <v xml:space="preserve">_x000D_
                                                                                </v>
      </c>
      <c r="BE55" s="43" t="str">
        <f t="shared" si="188"/>
        <v/>
      </c>
      <c r="BF55" s="43" t="str">
        <f t="shared" si="189"/>
        <v/>
      </c>
      <c r="BG55" s="43" t="str">
        <f t="shared" si="190"/>
        <v/>
      </c>
      <c r="BH55" s="43" t="str">
        <f t="shared" si="191"/>
        <v/>
      </c>
      <c r="BI55" s="43" t="str">
        <f t="shared" si="192"/>
        <v/>
      </c>
      <c r="BJ55" s="43" t="str">
        <f t="shared" si="193"/>
        <v/>
      </c>
      <c r="BM55" s="43" t="str">
        <f t="shared" ref="BM55:BM56" si="212">Q55</f>
        <v>Twb</v>
      </c>
      <c r="BN55" s="43" t="str">
        <f t="shared" ref="BN55:BN56" si="213">R55</f>
        <v>Toadb</v>
      </c>
      <c r="BO55" s="43">
        <v>67</v>
      </c>
      <c r="BP55" s="43">
        <v>95</v>
      </c>
      <c r="BQ55" s="43">
        <v>77</v>
      </c>
      <c r="BR55" s="43">
        <v>57</v>
      </c>
      <c r="BS55" s="43">
        <v>115</v>
      </c>
      <c r="BT55" s="43">
        <v>75</v>
      </c>
      <c r="BU55" s="147"/>
      <c r="BV55" s="147">
        <f t="shared" si="210"/>
        <v>0</v>
      </c>
      <c r="BW55" s="147">
        <f t="shared" si="211"/>
        <v>0</v>
      </c>
      <c r="BX55" s="43" t="s">
        <v>729</v>
      </c>
    </row>
    <row r="56" spans="2:84" hidden="1" outlineLevel="1" x14ac:dyDescent="0.25">
      <c r="E56" s="20" t="s">
        <v>306</v>
      </c>
      <c r="F56" s="20" t="s">
        <v>401</v>
      </c>
      <c r="G56" s="45" t="s">
        <v>544</v>
      </c>
      <c r="H56" s="43" t="s">
        <v>905</v>
      </c>
      <c r="I56" s="43" t="s">
        <v>660</v>
      </c>
      <c r="J56" s="43" t="s">
        <v>144</v>
      </c>
      <c r="L56" s="93" t="s">
        <v>171</v>
      </c>
      <c r="M56" s="73" t="s">
        <v>169</v>
      </c>
      <c r="N56" s="43" t="str">
        <f t="shared" ref="N56:N87" si="214">IF(ISBLANK(E56),"-",E56&amp;H56&amp;P56&amp;"_f"&amp;Q56&amp;R56&amp;S56&amp;T56&amp;U56&amp;I56)</f>
        <v>CoilClgDXEER11SEER13EIRRatio_fTwbToadbSI</v>
      </c>
      <c r="O56" s="20" t="s">
        <v>165</v>
      </c>
      <c r="P56" s="43" t="s">
        <v>288</v>
      </c>
      <c r="Q56" s="43" t="s">
        <v>116</v>
      </c>
      <c r="R56" s="43" t="s">
        <v>460</v>
      </c>
      <c r="V56" s="183">
        <v>0.68668371859999999</v>
      </c>
      <c r="W56" s="183">
        <v>-3.5825755200000003E-2</v>
      </c>
      <c r="X56" s="183">
        <v>7.8065630000000001E-4</v>
      </c>
      <c r="Y56" s="183">
        <v>2.55636817E-2</v>
      </c>
      <c r="Z56" s="183">
        <v>1.634393E-4</v>
      </c>
      <c r="AA56" s="183">
        <v>-5.5893900000000005E-4</v>
      </c>
      <c r="AF56" s="96"/>
      <c r="AG56" s="158">
        <f t="shared" si="195"/>
        <v>1.51</v>
      </c>
      <c r="AH56" s="158">
        <f t="shared" si="196"/>
        <v>0.65</v>
      </c>
      <c r="AI56" s="158">
        <f t="shared" si="197"/>
        <v>25</v>
      </c>
      <c r="AJ56" s="158">
        <f t="shared" si="146"/>
        <v>13.89</v>
      </c>
      <c r="AK56" s="158">
        <f t="shared" si="147"/>
        <v>46.11</v>
      </c>
      <c r="AL56" s="158">
        <f t="shared" si="198"/>
        <v>23.89</v>
      </c>
      <c r="AM56" t="s">
        <v>893</v>
      </c>
      <c r="AO56" s="43">
        <v>1</v>
      </c>
      <c r="AP56" s="166" t="str">
        <f>IF(AO56=1,CONCATENATE(AQ56,AR56,AS56),"")</f>
        <v>CrvDblQuad     "CoilClgDXEER11SEER13EIRRatio_fTwbToadbSI"                       Coef1 =  0.686684  Coef2 = -0.035826  Coef3 =  0.000781  Coef4 =  0.025564  Coef5 =  0.000163  Coef6 = -0.000559  _x000D_
                                                                                MaxOut = 1.510   MinOut = 0.650   MaxVar1 = 25.000   MinVar1 = 13.890   MaxVar2 = 46.110   MinVar2 = 23.890   _x000D_
..</v>
      </c>
      <c r="AQ56" s="166" t="str">
        <f t="shared" si="182"/>
        <v xml:space="preserve">CrvDblQuad     "CoilClgDXEER11SEER13EIRRatio_fTwbToadbSI"                       Coef1 =  0.686684  Coef2 = -0.035826  Coef3 =  0.000781  Coef4 =  0.025564  Coef5 =  0.000163  Coef6 = -0.000559  </v>
      </c>
      <c r="AR56" s="166" t="str">
        <f t="shared" si="183"/>
        <v xml:space="preserve">_x000D_
                                                                                MaxOut = 1.510   MinOut = 0.650   MaxVar1 = 25.000   MinVar1 = 13.890   MaxVar2 = 46.110   MinVar2 = 23.890   </v>
      </c>
      <c r="AS56" s="166" t="str">
        <f t="shared" si="184"/>
        <v>_x000D_
..</v>
      </c>
      <c r="AT56" s="43" t="str">
        <f t="shared" si="185"/>
        <v>CrvDblQuad</v>
      </c>
      <c r="AU56" s="43" t="str">
        <f t="shared" si="24"/>
        <v xml:space="preserve">     </v>
      </c>
      <c r="AV56" s="62" t="str">
        <f t="shared" ref="AV56:AV87" si="215">IF(AO56=1,CONCATENATE("""",N56,""""),"")</f>
        <v>"CoilClgDXEER11SEER13EIRRatio_fTwbToadbSI"</v>
      </c>
      <c r="AW56" s="43" t="str">
        <f t="shared" si="186"/>
        <v xml:space="preserve">                       </v>
      </c>
      <c r="AX56" s="43" t="str">
        <f t="shared" ref="AX56" si="216">IF($AO56=1,IF(ISBLANK(V56),"-",CONCATENATE(TEXT(V56," 0.000000;-0.000000"),"  ")),"")</f>
        <v xml:space="preserve"> 0.686684  </v>
      </c>
      <c r="AY56" s="43" t="str">
        <f t="shared" ref="AY56" si="217">IF($AO56=1,IF(ISBLANK(W56),"-",CONCATENATE(TEXT(W56," 0.000000;-0.000000"),"  ")),"")</f>
        <v xml:space="preserve">-0.035826  </v>
      </c>
      <c r="AZ56" s="43" t="str">
        <f t="shared" ref="AZ56" si="218">IF($AO56=1,IF(ISBLANK(X56),"-",CONCATENATE(TEXT(X56," 0.000000;-0.000000"),"  ")),"")</f>
        <v xml:space="preserve"> 0.000781  </v>
      </c>
      <c r="BA56" s="43" t="str">
        <f t="shared" ref="BA56" si="219">IF($AO56=1,IF(ISBLANK(Y56),"-",CONCATENATE(TEXT(Y56," 0.000000;-0.000000"),"  ")),"")</f>
        <v xml:space="preserve"> 0.025564  </v>
      </c>
      <c r="BB56" s="43" t="str">
        <f t="shared" ref="BB56" si="220">IF($AO56=1,IF(ISBLANK(Z56),"-",CONCATENATE(TEXT(Z56," 0.000000;-0.000000"),"  ")),"")</f>
        <v xml:space="preserve"> 0.000163  </v>
      </c>
      <c r="BC56" s="43" t="str">
        <f t="shared" ref="BC56" si="221">IF($AO56=1,IF(ISBLANK(AA56),"-",CONCATENATE(TEXT(AA56," 0.000000;-0.000000"),"  ")),"")</f>
        <v xml:space="preserve">-0.000559  </v>
      </c>
      <c r="BD56" s="43" t="str">
        <f t="shared" si="15"/>
        <v xml:space="preserve">_x000D_
                                                                                </v>
      </c>
      <c r="BE56" s="43" t="str">
        <f t="shared" si="188"/>
        <v xml:space="preserve">1.510   </v>
      </c>
      <c r="BF56" s="43" t="str">
        <f t="shared" si="189"/>
        <v xml:space="preserve">0.650   </v>
      </c>
      <c r="BG56" s="43" t="str">
        <f t="shared" si="190"/>
        <v xml:space="preserve">25.000   </v>
      </c>
      <c r="BH56" s="43" t="str">
        <f t="shared" si="191"/>
        <v xml:space="preserve">13.890   </v>
      </c>
      <c r="BI56" s="43" t="str">
        <f t="shared" si="192"/>
        <v xml:space="preserve">46.110   </v>
      </c>
      <c r="BJ56" s="43" t="str">
        <f t="shared" si="193"/>
        <v xml:space="preserve">23.890   </v>
      </c>
      <c r="BM56" s="43" t="str">
        <f t="shared" si="212"/>
        <v>Twb</v>
      </c>
      <c r="BN56" s="43" t="str">
        <f t="shared" si="213"/>
        <v>Toadb</v>
      </c>
      <c r="BO56" s="43">
        <v>19.399999999999999</v>
      </c>
      <c r="BP56" s="164">
        <f>(BP55-32)/1.8</f>
        <v>35</v>
      </c>
      <c r="BQ56" s="164">
        <f t="shared" ref="BQ56" si="222">(BQ55-32)/1.8</f>
        <v>25</v>
      </c>
      <c r="BR56" s="164">
        <f t="shared" ref="BR56" si="223">(BR55-32)/1.8</f>
        <v>13.888888888888889</v>
      </c>
      <c r="BS56" s="164">
        <f t="shared" ref="BS56" si="224">(BS55-32)/1.8</f>
        <v>46.111111111111107</v>
      </c>
      <c r="BT56" s="164">
        <f t="shared" ref="BT56" si="225">(BT55-32)/1.8</f>
        <v>23.888888888888889</v>
      </c>
      <c r="BU56" s="147">
        <f t="shared" ref="BU56:BU65" si="226">$V56+$W56*BO56+$X56*BO56^2+$Y56*BP56+$Z56*BP56^2+$AA56*BO56*BP56</f>
        <v>1.0008942937879999</v>
      </c>
      <c r="BV56" s="147">
        <f t="shared" si="210"/>
        <v>1.5080109291493826</v>
      </c>
      <c r="BW56" s="147">
        <f t="shared" si="211"/>
        <v>0.6490985644580245</v>
      </c>
      <c r="BX56" s="43" t="s">
        <v>729</v>
      </c>
      <c r="CB56" s="43">
        <f>1/3</f>
        <v>0.33333333333333331</v>
      </c>
      <c r="CC56" s="43" t="s">
        <v>736</v>
      </c>
      <c r="CD56" s="138">
        <f>$CB56*BV56</f>
        <v>0.50267030971646087</v>
      </c>
      <c r="CE56" s="138">
        <f>$CB56*BW56</f>
        <v>0.21636618815267483</v>
      </c>
      <c r="CF56" s="43" t="s">
        <v>737</v>
      </c>
    </row>
    <row r="57" spans="2:84" hidden="1" outlineLevel="1" x14ac:dyDescent="0.25">
      <c r="E57" s="20" t="s">
        <v>306</v>
      </c>
      <c r="F57" s="20" t="s">
        <v>401</v>
      </c>
      <c r="G57" s="45" t="s">
        <v>544</v>
      </c>
      <c r="H57" s="43" t="s">
        <v>906</v>
      </c>
      <c r="I57" s="43" t="s">
        <v>660</v>
      </c>
      <c r="J57" s="43" t="s">
        <v>144</v>
      </c>
      <c r="L57" s="93" t="s">
        <v>171</v>
      </c>
      <c r="M57" s="73" t="s">
        <v>169</v>
      </c>
      <c r="N57" s="43" t="str">
        <f t="shared" si="214"/>
        <v>CoilClgDXEER11SEER15EIRRatio_fTwbToadbSI</v>
      </c>
      <c r="O57" s="20" t="s">
        <v>165</v>
      </c>
      <c r="P57" s="43" t="s">
        <v>288</v>
      </c>
      <c r="Q57" s="43" t="s">
        <v>116</v>
      </c>
      <c r="R57" s="43" t="s">
        <v>460</v>
      </c>
      <c r="V57" s="183">
        <v>-0.19999207490000001</v>
      </c>
      <c r="W57" s="183">
        <v>-3.5685746099999999E-2</v>
      </c>
      <c r="X57" s="183">
        <v>7.865557E-4</v>
      </c>
      <c r="Y57" s="183">
        <v>7.4834090000000006E-2</v>
      </c>
      <c r="Z57" s="183">
        <v>-5.1612809999999996E-4</v>
      </c>
      <c r="AA57" s="183">
        <v>-5.734968E-4</v>
      </c>
      <c r="AF57" s="96"/>
      <c r="AG57" s="158">
        <f t="shared" si="195"/>
        <v>1.44</v>
      </c>
      <c r="AH57" s="158">
        <f t="shared" si="196"/>
        <v>0.55000000000000004</v>
      </c>
      <c r="AI57" s="158">
        <f t="shared" si="197"/>
        <v>25</v>
      </c>
      <c r="AJ57" s="158">
        <f t="shared" si="146"/>
        <v>13.89</v>
      </c>
      <c r="AK57" s="158">
        <f t="shared" si="147"/>
        <v>46.11</v>
      </c>
      <c r="AL57" s="158">
        <f t="shared" si="198"/>
        <v>23.89</v>
      </c>
      <c r="AM57" t="s">
        <v>894</v>
      </c>
      <c r="AO57" s="43">
        <v>1</v>
      </c>
      <c r="AP57" s="166" t="str">
        <f t="shared" ref="AP57:AP61" si="227">IF(AO57=1,CONCATENATE(AQ57,AR57,AS57),"")</f>
        <v>CrvDblQuad     "CoilClgDXEER11SEER15EIRRatio_fTwbToadbSI"                       Coef1 = -0.199992  Coef2 = -0.035686  Coef3 =  0.000787  Coef4 =  0.074834  Coef5 = -0.000516  Coef6 = -0.000573  _x000D_
                                                                                MaxOut = 1.440   MinOut = 0.550   MaxVar1 = 25.000   MinVar1 = 13.890   MaxVar2 = 46.110   MinVar2 = 23.890   _x000D_
..</v>
      </c>
      <c r="AQ57" s="166" t="str">
        <f t="shared" ref="AQ57:AQ61" si="228">IF(AO57=1,CONCATENATE(AT57,AU57,AV57,AW57,IF(AX57="-","",$AX$15&amp;AX57),IF(AY57="-","",$AY$15&amp;AY57),IF(AZ57="-","",$AZ$15&amp;AZ57),IF(BA57="-","",$BA$15&amp;BA57),IF(BB57="-","",$BB$15&amp;BB57),IF(BC57="-","",$BC$15&amp;BC57)),"")</f>
        <v xml:space="preserve">CrvDblQuad     "CoilClgDXEER11SEER15EIRRatio_fTwbToadbSI"                       Coef1 = -0.199992  Coef2 = -0.035686  Coef3 =  0.000787  Coef4 =  0.074834  Coef5 = -0.000516  Coef6 = -0.000573  </v>
      </c>
      <c r="AR57" s="166" t="str">
        <f t="shared" ref="AR57:AR61" si="229">IF(AO57=1,CONCATENATE(BD57,IF(BE57="-","",$BE$15&amp;BE57),IF(BF57="-","",$BF$15&amp;BF57),IF(BG57="-","",$BG$15&amp;BG57),IF(BH57="-","",$BH$15&amp;BH57),IF(BI57="-","",$BI$15&amp;BI57),IF(BJ57="-","",$BJ$15&amp;BJ57)),"")</f>
        <v xml:space="preserve">_x000D_
                                                                                MaxOut = 1.440   MinOut = 0.550   MaxVar1 = 25.000   MinVar1 = 13.890   MaxVar2 = 46.110   MinVar2 = 23.890   </v>
      </c>
      <c r="AS57" s="166" t="str">
        <f t="shared" ref="AS57:AS61" si="230">IF(AO57=1,CHAR(13)&amp;CHAR(10)&amp;"..","")</f>
        <v>_x000D_
..</v>
      </c>
      <c r="AT57" s="43" t="str">
        <f t="shared" ref="AT57:AT61" si="231">IF(AO57=1,VLOOKUP(O57,$AT$2:$AV$13,2,0),"")</f>
        <v>CrvDblQuad</v>
      </c>
      <c r="AU57" s="43" t="str">
        <f t="shared" ref="AU57:AU61" si="232">REPT(" ",AU$14-LEN(AT57))</f>
        <v xml:space="preserve">     </v>
      </c>
      <c r="AV57" s="62" t="str">
        <f t="shared" si="215"/>
        <v>"CoilClgDXEER11SEER15EIRRatio_fTwbToadbSI"</v>
      </c>
      <c r="AW57" s="43" t="str">
        <f t="shared" ref="AW57:AW61" si="233">REPT(" ",$AW$14-LEN(AV57))</f>
        <v xml:space="preserve">                       </v>
      </c>
      <c r="AX57" s="43" t="str">
        <f t="shared" ref="AX57:AX61" si="234">IF($AO57=1,IF(ISBLANK(V57),"-",CONCATENATE(TEXT(V57," 0.000000;-0.000000"),"  ")),"")</f>
        <v xml:space="preserve">-0.199992  </v>
      </c>
      <c r="AY57" s="43" t="str">
        <f t="shared" ref="AY57:AY61" si="235">IF($AO57=1,IF(ISBLANK(W57),"-",CONCATENATE(TEXT(W57," 0.000000;-0.000000"),"  ")),"")</f>
        <v xml:space="preserve">-0.035686  </v>
      </c>
      <c r="AZ57" s="43" t="str">
        <f t="shared" ref="AZ57:AZ61" si="236">IF($AO57=1,IF(ISBLANK(X57),"-",CONCATENATE(TEXT(X57," 0.000000;-0.000000"),"  ")),"")</f>
        <v xml:space="preserve"> 0.000787  </v>
      </c>
      <c r="BA57" s="43" t="str">
        <f t="shared" ref="BA57:BA61" si="237">IF($AO57=1,IF(ISBLANK(Y57),"-",CONCATENATE(TEXT(Y57," 0.000000;-0.000000"),"  ")),"")</f>
        <v xml:space="preserve"> 0.074834  </v>
      </c>
      <c r="BB57" s="43" t="str">
        <f t="shared" ref="BB57:BB61" si="238">IF($AO57=1,IF(ISBLANK(Z57),"-",CONCATENATE(TEXT(Z57," 0.000000;-0.000000"),"  ")),"")</f>
        <v xml:space="preserve">-0.000516  </v>
      </c>
      <c r="BC57" s="43" t="str">
        <f t="shared" ref="BC57:BC61" si="239">IF($AO57=1,IF(ISBLANK(AA57),"-",CONCATENATE(TEXT(AA57," 0.000000;-0.000000"),"  ")),"")</f>
        <v xml:space="preserve">-0.000573  </v>
      </c>
      <c r="BD57" s="43" t="str">
        <f t="shared" ref="BD57:BD61" si="240">IF(MAX(AG57:AL57)=0,REPT(" ",1),CHAR(13)&amp;CHAR(10)&amp;REPT(" ",BD$14))</f>
        <v xml:space="preserve">_x000D_
                                                                                </v>
      </c>
      <c r="BE57" s="43" t="str">
        <f t="shared" si="188"/>
        <v xml:space="preserve">1.440   </v>
      </c>
      <c r="BF57" s="43" t="str">
        <f t="shared" si="189"/>
        <v xml:space="preserve">0.550   </v>
      </c>
      <c r="BG57" s="43" t="str">
        <f t="shared" si="190"/>
        <v xml:space="preserve">25.000   </v>
      </c>
      <c r="BH57" s="43" t="str">
        <f t="shared" si="191"/>
        <v xml:space="preserve">13.890   </v>
      </c>
      <c r="BI57" s="43" t="str">
        <f t="shared" si="192"/>
        <v xml:space="preserve">46.110   </v>
      </c>
      <c r="BJ57" s="43" t="str">
        <f t="shared" si="193"/>
        <v xml:space="preserve">23.890   </v>
      </c>
      <c r="BM57" s="43" t="str">
        <f t="shared" ref="BM57:BN61" si="241">Q57</f>
        <v>Twb</v>
      </c>
      <c r="BN57" s="43" t="str">
        <f t="shared" si="241"/>
        <v>Toadb</v>
      </c>
      <c r="BO57" s="164">
        <f>BO56</f>
        <v>19.399999999999999</v>
      </c>
      <c r="BP57" s="164">
        <f>BP56</f>
        <v>35</v>
      </c>
      <c r="BQ57" s="164">
        <f t="shared" ref="BQ57:BT57" si="242">BQ56</f>
        <v>25</v>
      </c>
      <c r="BR57" s="164">
        <f>BR56</f>
        <v>13.888888888888889</v>
      </c>
      <c r="BS57" s="164">
        <f t="shared" si="242"/>
        <v>46.111111111111107</v>
      </c>
      <c r="BT57" s="164">
        <f t="shared" si="242"/>
        <v>23.888888888888889</v>
      </c>
      <c r="BU57" s="147">
        <f t="shared" si="226"/>
        <v>1.0012644543120004</v>
      </c>
      <c r="BV57" s="147">
        <f t="shared" si="210"/>
        <v>1.4420880001308647</v>
      </c>
      <c r="BW57" s="147">
        <f t="shared" si="211"/>
        <v>0.55011633852592623</v>
      </c>
      <c r="BX57" s="43" t="s">
        <v>729</v>
      </c>
      <c r="CB57" s="43">
        <f t="shared" ref="CB57:CB61" si="243">1/3</f>
        <v>0.33333333333333331</v>
      </c>
      <c r="CC57" s="43" t="s">
        <v>736</v>
      </c>
      <c r="CD57" s="138">
        <f t="shared" ref="CD57:CD61" si="244">$CB57*BV57</f>
        <v>0.48069600004362156</v>
      </c>
      <c r="CE57" s="138">
        <f t="shared" ref="CE57:CE61" si="245">$CB57*BW57</f>
        <v>0.18337211284197541</v>
      </c>
      <c r="CF57" s="43" t="s">
        <v>737</v>
      </c>
    </row>
    <row r="58" spans="2:84" hidden="1" outlineLevel="1" x14ac:dyDescent="0.25">
      <c r="E58" s="20" t="s">
        <v>306</v>
      </c>
      <c r="F58" s="20" t="s">
        <v>401</v>
      </c>
      <c r="G58" s="45" t="s">
        <v>544</v>
      </c>
      <c r="H58" s="43" t="s">
        <v>910</v>
      </c>
      <c r="I58" s="43" t="s">
        <v>660</v>
      </c>
      <c r="J58" s="43" t="s">
        <v>144</v>
      </c>
      <c r="L58" s="93" t="s">
        <v>171</v>
      </c>
      <c r="M58" s="73" t="s">
        <v>169</v>
      </c>
      <c r="N58" s="43" t="str">
        <f t="shared" si="214"/>
        <v>CoilClgDXEER11SEER17EIRRatio_fTwbToadbSI</v>
      </c>
      <c r="O58" s="20" t="s">
        <v>165</v>
      </c>
      <c r="P58" s="43" t="s">
        <v>288</v>
      </c>
      <c r="Q58" s="43" t="s">
        <v>116</v>
      </c>
      <c r="R58" s="43" t="s">
        <v>460</v>
      </c>
      <c r="V58" s="183">
        <v>-1.7904739961</v>
      </c>
      <c r="W58" s="183">
        <v>-2.87772944E-2</v>
      </c>
      <c r="X58" s="183">
        <v>7.6288609999999998E-4</v>
      </c>
      <c r="Y58" s="183">
        <v>0.15339063089999999</v>
      </c>
      <c r="Z58" s="183">
        <v>-1.4824492999999999E-3</v>
      </c>
      <c r="AA58" s="183">
        <v>-7.2065360000000001E-4</v>
      </c>
      <c r="AF58" s="96"/>
      <c r="AG58" s="158">
        <f t="shared" si="195"/>
        <v>1.42</v>
      </c>
      <c r="AH58" s="158">
        <f t="shared" si="196"/>
        <v>0.35</v>
      </c>
      <c r="AI58" s="158">
        <f t="shared" si="197"/>
        <v>25</v>
      </c>
      <c r="AJ58" s="158">
        <f t="shared" si="146"/>
        <v>13.89</v>
      </c>
      <c r="AK58" s="158">
        <f t="shared" si="147"/>
        <v>46.11</v>
      </c>
      <c r="AL58" s="158">
        <f t="shared" si="198"/>
        <v>23.89</v>
      </c>
      <c r="AM58" t="s">
        <v>895</v>
      </c>
      <c r="AO58" s="43">
        <v>1</v>
      </c>
      <c r="AP58" s="166" t="str">
        <f t="shared" si="227"/>
        <v>CrvDblQuad     "CoilClgDXEER11SEER17EIRRatio_fTwbToadbSI"                       Coef1 = -1.790474  Coef2 = -0.028777  Coef3 =  0.000763  Coef4 =  0.153391  Coef5 = -0.001482  Coef6 = -0.000721  _x000D_
                                                                                MaxOut = 1.420   MinOut = 0.350   MaxVar1 = 25.000   MinVar1 = 13.890   MaxVar2 = 46.110   MinVar2 = 23.890   _x000D_
..</v>
      </c>
      <c r="AQ58" s="166" t="str">
        <f t="shared" si="228"/>
        <v xml:space="preserve">CrvDblQuad     "CoilClgDXEER11SEER17EIRRatio_fTwbToadbSI"                       Coef1 = -1.790474  Coef2 = -0.028777  Coef3 =  0.000763  Coef4 =  0.153391  Coef5 = -0.001482  Coef6 = -0.000721  </v>
      </c>
      <c r="AR58" s="166" t="str">
        <f t="shared" si="229"/>
        <v xml:space="preserve">_x000D_
                                                                                MaxOut = 1.420   MinOut = 0.350   MaxVar1 = 25.000   MinVar1 = 13.890   MaxVar2 = 46.110   MinVar2 = 23.890   </v>
      </c>
      <c r="AS58" s="166" t="str">
        <f t="shared" si="230"/>
        <v>_x000D_
..</v>
      </c>
      <c r="AT58" s="43" t="str">
        <f t="shared" si="231"/>
        <v>CrvDblQuad</v>
      </c>
      <c r="AU58" s="43" t="str">
        <f t="shared" si="232"/>
        <v xml:space="preserve">     </v>
      </c>
      <c r="AV58" s="62" t="str">
        <f t="shared" si="215"/>
        <v>"CoilClgDXEER11SEER17EIRRatio_fTwbToadbSI"</v>
      </c>
      <c r="AW58" s="43" t="str">
        <f t="shared" si="233"/>
        <v xml:space="preserve">                       </v>
      </c>
      <c r="AX58" s="43" t="str">
        <f t="shared" si="234"/>
        <v xml:space="preserve">-1.790474  </v>
      </c>
      <c r="AY58" s="43" t="str">
        <f t="shared" si="235"/>
        <v xml:space="preserve">-0.028777  </v>
      </c>
      <c r="AZ58" s="43" t="str">
        <f t="shared" si="236"/>
        <v xml:space="preserve"> 0.000763  </v>
      </c>
      <c r="BA58" s="43" t="str">
        <f t="shared" si="237"/>
        <v xml:space="preserve"> 0.153391  </v>
      </c>
      <c r="BB58" s="43" t="str">
        <f t="shared" si="238"/>
        <v xml:space="preserve">-0.001482  </v>
      </c>
      <c r="BC58" s="43" t="str">
        <f t="shared" si="239"/>
        <v xml:space="preserve">-0.000721  </v>
      </c>
      <c r="BD58" s="43" t="str">
        <f t="shared" si="240"/>
        <v xml:space="preserve">_x000D_
                                                                                </v>
      </c>
      <c r="BE58" s="43" t="str">
        <f t="shared" si="188"/>
        <v xml:space="preserve">1.420   </v>
      </c>
      <c r="BF58" s="43" t="str">
        <f t="shared" si="189"/>
        <v xml:space="preserve">0.350   </v>
      </c>
      <c r="BG58" s="43" t="str">
        <f t="shared" si="190"/>
        <v xml:space="preserve">25.000   </v>
      </c>
      <c r="BH58" s="43" t="str">
        <f t="shared" si="191"/>
        <v xml:space="preserve">13.890   </v>
      </c>
      <c r="BI58" s="43" t="str">
        <f t="shared" si="192"/>
        <v xml:space="preserve">46.110   </v>
      </c>
      <c r="BJ58" s="43" t="str">
        <f t="shared" si="193"/>
        <v xml:space="preserve">23.890   </v>
      </c>
      <c r="BM58" s="43" t="str">
        <f t="shared" si="241"/>
        <v>Twb</v>
      </c>
      <c r="BN58" s="43" t="str">
        <f t="shared" si="241"/>
        <v>Toadb</v>
      </c>
      <c r="BO58" s="164">
        <f t="shared" ref="BO58:BP61" si="246">BO57</f>
        <v>19.399999999999999</v>
      </c>
      <c r="BP58" s="164">
        <f t="shared" si="246"/>
        <v>35</v>
      </c>
      <c r="BQ58" s="164">
        <f t="shared" ref="BQ58:BQ61" si="247">BQ57</f>
        <v>25</v>
      </c>
      <c r="BR58" s="164">
        <f t="shared" ref="BR58:BR61" si="248">BR57</f>
        <v>13.888888888888889</v>
      </c>
      <c r="BS58" s="164">
        <f t="shared" ref="BS58:BS61" si="249">BS57</f>
        <v>46.111111111111107</v>
      </c>
      <c r="BT58" s="164">
        <f t="shared" ref="BT58:BT61" si="250">BT57</f>
        <v>23.888888888888889</v>
      </c>
      <c r="BU58" s="147">
        <f t="shared" si="226"/>
        <v>1.0017141997359997</v>
      </c>
      <c r="BV58" s="147">
        <f t="shared" si="210"/>
        <v>1.4164508104617282</v>
      </c>
      <c r="BW58" s="147">
        <f t="shared" si="211"/>
        <v>0.35483614774567901</v>
      </c>
      <c r="BX58" s="43" t="s">
        <v>729</v>
      </c>
      <c r="CB58" s="43">
        <f t="shared" si="243"/>
        <v>0.33333333333333331</v>
      </c>
      <c r="CC58" s="43" t="s">
        <v>736</v>
      </c>
      <c r="CD58" s="138">
        <f t="shared" si="244"/>
        <v>0.47215027015390937</v>
      </c>
      <c r="CE58" s="138">
        <f t="shared" si="245"/>
        <v>0.11827871591522633</v>
      </c>
      <c r="CF58" s="43" t="s">
        <v>737</v>
      </c>
    </row>
    <row r="59" spans="2:84" hidden="1" outlineLevel="1" x14ac:dyDescent="0.25">
      <c r="E59" s="20" t="s">
        <v>306</v>
      </c>
      <c r="F59" s="20" t="s">
        <v>401</v>
      </c>
      <c r="G59" s="45" t="s">
        <v>544</v>
      </c>
      <c r="H59" s="43" t="s">
        <v>907</v>
      </c>
      <c r="I59" s="43" t="s">
        <v>660</v>
      </c>
      <c r="J59" s="43" t="s">
        <v>144</v>
      </c>
      <c r="L59" s="93" t="s">
        <v>171</v>
      </c>
      <c r="M59" s="73" t="s">
        <v>169</v>
      </c>
      <c r="N59" s="43" t="str">
        <f t="shared" si="214"/>
        <v>CoilClgDXEER13SEER16EIRRatio_fTwbToadbSI</v>
      </c>
      <c r="O59" s="20" t="s">
        <v>165</v>
      </c>
      <c r="P59" s="43" t="s">
        <v>288</v>
      </c>
      <c r="Q59" s="43" t="s">
        <v>116</v>
      </c>
      <c r="R59" s="43" t="s">
        <v>460</v>
      </c>
      <c r="V59" s="183">
        <v>-1.2471210388</v>
      </c>
      <c r="W59" s="183">
        <v>-2.75131006E-2</v>
      </c>
      <c r="X59" s="183">
        <v>7.5193649999999999E-4</v>
      </c>
      <c r="Y59" s="183">
        <v>0.1211232191</v>
      </c>
      <c r="Z59" s="183">
        <v>-1.0125734E-3</v>
      </c>
      <c r="AA59" s="183">
        <v>-7.3577820000000004E-4</v>
      </c>
      <c r="AF59" s="96"/>
      <c r="AG59" s="158">
        <f t="shared" si="195"/>
        <v>1.48</v>
      </c>
      <c r="AH59" s="158">
        <f t="shared" si="196"/>
        <v>0.41</v>
      </c>
      <c r="AI59" s="158">
        <f t="shared" si="197"/>
        <v>25</v>
      </c>
      <c r="AJ59" s="158">
        <f t="shared" si="146"/>
        <v>13.89</v>
      </c>
      <c r="AK59" s="158">
        <f t="shared" si="147"/>
        <v>46.11</v>
      </c>
      <c r="AL59" s="158">
        <f t="shared" si="198"/>
        <v>23.89</v>
      </c>
      <c r="AM59" t="s">
        <v>896</v>
      </c>
      <c r="AO59" s="43">
        <v>1</v>
      </c>
      <c r="AP59" s="166" t="str">
        <f t="shared" si="227"/>
        <v>CrvDblQuad     "CoilClgDXEER13SEER16EIRRatio_fTwbToadbSI"                       Coef1 = -1.247121  Coef2 = -0.027513  Coef3 =  0.000752  Coef4 =  0.121123  Coef5 = -0.001013  Coef6 = -0.000736  _x000D_
                                                                                MaxOut = 1.480   MinOut = 0.410   MaxVar1 = 25.000   MinVar1 = 13.890   MaxVar2 = 46.110   MinVar2 = 23.890   _x000D_
..</v>
      </c>
      <c r="AQ59" s="166" t="str">
        <f t="shared" si="228"/>
        <v xml:space="preserve">CrvDblQuad     "CoilClgDXEER13SEER16EIRRatio_fTwbToadbSI"                       Coef1 = -1.247121  Coef2 = -0.027513  Coef3 =  0.000752  Coef4 =  0.121123  Coef5 = -0.001013  Coef6 = -0.000736  </v>
      </c>
      <c r="AR59" s="166" t="str">
        <f t="shared" si="229"/>
        <v xml:space="preserve">_x000D_
                                                                                MaxOut = 1.480   MinOut = 0.410   MaxVar1 = 25.000   MinVar1 = 13.890   MaxVar2 = 46.110   MinVar2 = 23.890   </v>
      </c>
      <c r="AS59" s="166" t="str">
        <f t="shared" si="230"/>
        <v>_x000D_
..</v>
      </c>
      <c r="AT59" s="43" t="str">
        <f t="shared" si="231"/>
        <v>CrvDblQuad</v>
      </c>
      <c r="AU59" s="43" t="str">
        <f t="shared" si="232"/>
        <v xml:space="preserve">     </v>
      </c>
      <c r="AV59" s="62" t="str">
        <f t="shared" si="215"/>
        <v>"CoilClgDXEER13SEER16EIRRatio_fTwbToadbSI"</v>
      </c>
      <c r="AW59" s="43" t="str">
        <f t="shared" si="233"/>
        <v xml:space="preserve">                       </v>
      </c>
      <c r="AX59" s="43" t="str">
        <f t="shared" si="234"/>
        <v xml:space="preserve">-1.247121  </v>
      </c>
      <c r="AY59" s="43" t="str">
        <f t="shared" si="235"/>
        <v xml:space="preserve">-0.027513  </v>
      </c>
      <c r="AZ59" s="43" t="str">
        <f t="shared" si="236"/>
        <v xml:space="preserve"> 0.000752  </v>
      </c>
      <c r="BA59" s="43" t="str">
        <f t="shared" si="237"/>
        <v xml:space="preserve"> 0.121123  </v>
      </c>
      <c r="BB59" s="43" t="str">
        <f t="shared" si="238"/>
        <v xml:space="preserve">-0.001013  </v>
      </c>
      <c r="BC59" s="43" t="str">
        <f t="shared" si="239"/>
        <v xml:space="preserve">-0.000736  </v>
      </c>
      <c r="BD59" s="43" t="str">
        <f t="shared" si="240"/>
        <v xml:space="preserve">_x000D_
                                                                                </v>
      </c>
      <c r="BE59" s="43" t="str">
        <f t="shared" si="188"/>
        <v xml:space="preserve">1.480   </v>
      </c>
      <c r="BF59" s="43" t="str">
        <f t="shared" si="189"/>
        <v xml:space="preserve">0.410   </v>
      </c>
      <c r="BG59" s="43" t="str">
        <f t="shared" si="190"/>
        <v xml:space="preserve">25.000   </v>
      </c>
      <c r="BH59" s="43" t="str">
        <f t="shared" si="191"/>
        <v xml:space="preserve">13.890   </v>
      </c>
      <c r="BI59" s="43" t="str">
        <f t="shared" si="192"/>
        <v xml:space="preserve">46.110   </v>
      </c>
      <c r="BJ59" s="43" t="str">
        <f t="shared" si="193"/>
        <v xml:space="preserve">23.890   </v>
      </c>
      <c r="BM59" s="43" t="str">
        <f t="shared" si="241"/>
        <v>Twb</v>
      </c>
      <c r="BN59" s="43" t="str">
        <f t="shared" si="241"/>
        <v>Toadb</v>
      </c>
      <c r="BO59" s="164">
        <f t="shared" si="246"/>
        <v>19.399999999999999</v>
      </c>
      <c r="BP59" s="164">
        <f t="shared" si="246"/>
        <v>35</v>
      </c>
      <c r="BQ59" s="164">
        <f t="shared" si="247"/>
        <v>25</v>
      </c>
      <c r="BR59" s="164">
        <f t="shared" si="248"/>
        <v>13.888888888888889</v>
      </c>
      <c r="BS59" s="164">
        <f t="shared" si="249"/>
        <v>46.111111111111107</v>
      </c>
      <c r="BT59" s="164">
        <f t="shared" si="250"/>
        <v>23.888888888888889</v>
      </c>
      <c r="BU59" s="147">
        <f t="shared" si="226"/>
        <v>1.0014404863999999</v>
      </c>
      <c r="BV59" s="147">
        <f t="shared" si="210"/>
        <v>1.4767437147308642</v>
      </c>
      <c r="BW59" s="147">
        <f t="shared" si="211"/>
        <v>0.41123340213827186</v>
      </c>
      <c r="BX59" s="43" t="s">
        <v>729</v>
      </c>
      <c r="CB59" s="43">
        <f t="shared" si="243"/>
        <v>0.33333333333333331</v>
      </c>
      <c r="CC59" s="43" t="s">
        <v>736</v>
      </c>
      <c r="CD59" s="138">
        <f t="shared" si="244"/>
        <v>0.49224790491028803</v>
      </c>
      <c r="CE59" s="138">
        <f t="shared" si="245"/>
        <v>0.13707780071275727</v>
      </c>
      <c r="CF59" s="43" t="s">
        <v>737</v>
      </c>
    </row>
    <row r="60" spans="2:84" hidden="1" outlineLevel="1" x14ac:dyDescent="0.25">
      <c r="E60" s="20" t="s">
        <v>306</v>
      </c>
      <c r="F60" s="20" t="s">
        <v>401</v>
      </c>
      <c r="G60" s="45" t="s">
        <v>544</v>
      </c>
      <c r="H60" s="43" t="s">
        <v>908</v>
      </c>
      <c r="I60" s="43" t="s">
        <v>660</v>
      </c>
      <c r="J60" s="43" t="s">
        <v>144</v>
      </c>
      <c r="L60" s="93" t="s">
        <v>171</v>
      </c>
      <c r="M60" s="73" t="s">
        <v>169</v>
      </c>
      <c r="N60" s="43" t="str">
        <f t="shared" si="214"/>
        <v>CoilClgDXEER13SEER18EIRRatio_fTwbToadbSI</v>
      </c>
      <c r="O60" s="20" t="s">
        <v>165</v>
      </c>
      <c r="P60" s="43" t="s">
        <v>288</v>
      </c>
      <c r="Q60" s="43" t="s">
        <v>116</v>
      </c>
      <c r="R60" s="43" t="s">
        <v>460</v>
      </c>
      <c r="V60" s="183">
        <v>-2.7249195793999998</v>
      </c>
      <c r="W60" s="183">
        <v>-2.1119805299999999E-2</v>
      </c>
      <c r="X60" s="183">
        <v>7.2996729999999998E-4</v>
      </c>
      <c r="Y60" s="183">
        <v>0.194127624</v>
      </c>
      <c r="Z60" s="183">
        <v>-1.9107555E-3</v>
      </c>
      <c r="AA60" s="183">
        <v>-8.7189989999999996E-4</v>
      </c>
      <c r="AF60" s="96"/>
      <c r="AG60" s="158">
        <f t="shared" si="195"/>
        <v>1.45</v>
      </c>
      <c r="AH60" s="158">
        <f t="shared" si="196"/>
        <v>0.23</v>
      </c>
      <c r="AI60" s="158">
        <f t="shared" si="197"/>
        <v>25</v>
      </c>
      <c r="AJ60" s="158">
        <f t="shared" si="146"/>
        <v>13.89</v>
      </c>
      <c r="AK60" s="158">
        <f t="shared" si="147"/>
        <v>46.11</v>
      </c>
      <c r="AL60" s="158">
        <f t="shared" si="198"/>
        <v>23.89</v>
      </c>
      <c r="AM60" t="s">
        <v>897</v>
      </c>
      <c r="AO60" s="43">
        <v>1</v>
      </c>
      <c r="AP60" s="166" t="str">
        <f t="shared" si="227"/>
        <v>CrvDblQuad     "CoilClgDXEER13SEER18EIRRatio_fTwbToadbSI"                       Coef1 = -2.724920  Coef2 = -0.021120  Coef3 =  0.000730  Coef4 =  0.194128  Coef5 = -0.001911  Coef6 = -0.000872  _x000D_
                                                                                MaxOut = 1.450   MinOut = 0.230   MaxVar1 = 25.000   MinVar1 = 13.890   MaxVar2 = 46.110   MinVar2 = 23.890   _x000D_
..</v>
      </c>
      <c r="AQ60" s="166" t="str">
        <f t="shared" si="228"/>
        <v xml:space="preserve">CrvDblQuad     "CoilClgDXEER13SEER18EIRRatio_fTwbToadbSI"                       Coef1 = -2.724920  Coef2 = -0.021120  Coef3 =  0.000730  Coef4 =  0.194128  Coef5 = -0.001911  Coef6 = -0.000872  </v>
      </c>
      <c r="AR60" s="166" t="str">
        <f t="shared" si="229"/>
        <v xml:space="preserve">_x000D_
                                                                                MaxOut = 1.450   MinOut = 0.230   MaxVar1 = 25.000   MinVar1 = 13.890   MaxVar2 = 46.110   MinVar2 = 23.890   </v>
      </c>
      <c r="AS60" s="166" t="str">
        <f t="shared" si="230"/>
        <v>_x000D_
..</v>
      </c>
      <c r="AT60" s="43" t="str">
        <f t="shared" si="231"/>
        <v>CrvDblQuad</v>
      </c>
      <c r="AU60" s="43" t="str">
        <f t="shared" si="232"/>
        <v xml:space="preserve">     </v>
      </c>
      <c r="AV60" s="62" t="str">
        <f t="shared" si="215"/>
        <v>"CoilClgDXEER13SEER18EIRRatio_fTwbToadbSI"</v>
      </c>
      <c r="AW60" s="43" t="str">
        <f t="shared" si="233"/>
        <v xml:space="preserve">                       </v>
      </c>
      <c r="AX60" s="43" t="str">
        <f t="shared" si="234"/>
        <v xml:space="preserve">-2.724920  </v>
      </c>
      <c r="AY60" s="43" t="str">
        <f t="shared" si="235"/>
        <v xml:space="preserve">-0.021120  </v>
      </c>
      <c r="AZ60" s="43" t="str">
        <f t="shared" si="236"/>
        <v xml:space="preserve"> 0.000730  </v>
      </c>
      <c r="BA60" s="43" t="str">
        <f t="shared" si="237"/>
        <v xml:space="preserve"> 0.194128  </v>
      </c>
      <c r="BB60" s="43" t="str">
        <f t="shared" si="238"/>
        <v xml:space="preserve">-0.001911  </v>
      </c>
      <c r="BC60" s="43" t="str">
        <f t="shared" si="239"/>
        <v xml:space="preserve">-0.000872  </v>
      </c>
      <c r="BD60" s="43" t="str">
        <f t="shared" si="240"/>
        <v xml:space="preserve">_x000D_
                                                                                </v>
      </c>
      <c r="BE60" s="43" t="str">
        <f t="shared" si="188"/>
        <v xml:space="preserve">1.450   </v>
      </c>
      <c r="BF60" s="43" t="str">
        <f t="shared" si="189"/>
        <v xml:space="preserve">0.230   </v>
      </c>
      <c r="BG60" s="43" t="str">
        <f t="shared" si="190"/>
        <v xml:space="preserve">25.000   </v>
      </c>
      <c r="BH60" s="43" t="str">
        <f t="shared" si="191"/>
        <v xml:space="preserve">13.890   </v>
      </c>
      <c r="BI60" s="43" t="str">
        <f t="shared" si="192"/>
        <v xml:space="preserve">46.110   </v>
      </c>
      <c r="BJ60" s="43" t="str">
        <f t="shared" si="193"/>
        <v xml:space="preserve">23.890   </v>
      </c>
      <c r="BM60" s="43" t="str">
        <f t="shared" si="241"/>
        <v>Twb</v>
      </c>
      <c r="BN60" s="43" t="str">
        <f t="shared" si="241"/>
        <v>Toadb</v>
      </c>
      <c r="BO60" s="164">
        <f t="shared" si="246"/>
        <v>19.399999999999999</v>
      </c>
      <c r="BP60" s="164">
        <f t="shared" si="246"/>
        <v>35</v>
      </c>
      <c r="BQ60" s="164">
        <f t="shared" si="247"/>
        <v>25</v>
      </c>
      <c r="BR60" s="164">
        <f t="shared" si="248"/>
        <v>13.888888888888889</v>
      </c>
      <c r="BS60" s="164">
        <f t="shared" si="249"/>
        <v>46.111111111111107</v>
      </c>
      <c r="BT60" s="164">
        <f t="shared" si="250"/>
        <v>23.888888888888889</v>
      </c>
      <c r="BU60" s="147">
        <f t="shared" si="226"/>
        <v>1.0018580112080004</v>
      </c>
      <c r="BV60" s="147">
        <f t="shared" si="210"/>
        <v>1.4528947470197533</v>
      </c>
      <c r="BW60" s="147">
        <f t="shared" si="211"/>
        <v>0.22966203319259304</v>
      </c>
      <c r="BX60" s="43" t="s">
        <v>729</v>
      </c>
      <c r="CB60" s="43">
        <f t="shared" si="243"/>
        <v>0.33333333333333331</v>
      </c>
      <c r="CC60" s="43" t="s">
        <v>736</v>
      </c>
      <c r="CD60" s="138">
        <f t="shared" si="244"/>
        <v>0.48429824900658441</v>
      </c>
      <c r="CE60" s="138">
        <f t="shared" si="245"/>
        <v>7.655401106419768E-2</v>
      </c>
      <c r="CF60" s="43" t="s">
        <v>737</v>
      </c>
    </row>
    <row r="61" spans="2:84" hidden="1" outlineLevel="1" x14ac:dyDescent="0.25">
      <c r="E61" s="20" t="s">
        <v>306</v>
      </c>
      <c r="F61" s="20" t="s">
        <v>401</v>
      </c>
      <c r="G61" s="45" t="s">
        <v>544</v>
      </c>
      <c r="H61" s="43" t="s">
        <v>909</v>
      </c>
      <c r="I61" s="43" t="s">
        <v>660</v>
      </c>
      <c r="J61" s="43" t="s">
        <v>144</v>
      </c>
      <c r="L61" s="93" t="s">
        <v>171</v>
      </c>
      <c r="M61" s="73" t="s">
        <v>169</v>
      </c>
      <c r="N61" s="43" t="str">
        <f t="shared" si="214"/>
        <v>CoilClgDXEER13SEER20EIRRatio_fTwbToadbSI</v>
      </c>
      <c r="O61" s="20" t="s">
        <v>165</v>
      </c>
      <c r="P61" s="43" t="s">
        <v>288</v>
      </c>
      <c r="Q61" s="43" t="s">
        <v>116</v>
      </c>
      <c r="R61" s="43" t="s">
        <v>460</v>
      </c>
      <c r="V61" s="174">
        <v>-3.0605380000000002</v>
      </c>
      <c r="W61" s="174">
        <v>-2.3206999999999998E-2</v>
      </c>
      <c r="X61" s="174">
        <v>7.4399999999999998E-4</v>
      </c>
      <c r="Y61" s="174">
        <v>0.21609300000000001</v>
      </c>
      <c r="Z61" s="174">
        <v>-2.2529999999999998E-3</v>
      </c>
      <c r="AA61" s="174">
        <v>-8.3900000000000001E-4</v>
      </c>
      <c r="AF61" s="96"/>
      <c r="AG61" s="158">
        <f t="shared" si="195"/>
        <v>1.4</v>
      </c>
      <c r="AH61" s="158">
        <f t="shared" si="196"/>
        <v>0.2</v>
      </c>
      <c r="AI61" s="158">
        <f t="shared" si="197"/>
        <v>25</v>
      </c>
      <c r="AJ61" s="158">
        <f t="shared" si="146"/>
        <v>13.89</v>
      </c>
      <c r="AK61" s="158">
        <f t="shared" si="147"/>
        <v>46.11</v>
      </c>
      <c r="AL61" s="158">
        <f t="shared" si="198"/>
        <v>23.89</v>
      </c>
      <c r="AM61" t="s">
        <v>898</v>
      </c>
      <c r="AO61" s="43">
        <v>1</v>
      </c>
      <c r="AP61" s="166" t="str">
        <f t="shared" si="227"/>
        <v>CrvDblQuad     "CoilClgDXEER13SEER20EIRRatio_fTwbToadbSI"                       Coef1 = -3.060538  Coef2 = -0.023207  Coef3 =  0.000744  Coef4 =  0.216093  Coef5 = -0.002253  Coef6 = -0.000839  _x000D_
                                                                                MaxOut = 1.400   MinOut = 0.200   MaxVar1 = 25.000   MinVar1 = 13.890   MaxVar2 = 46.110   MinVar2 = 23.890   _x000D_
..</v>
      </c>
      <c r="AQ61" s="166" t="str">
        <f t="shared" si="228"/>
        <v xml:space="preserve">CrvDblQuad     "CoilClgDXEER13SEER20EIRRatio_fTwbToadbSI"                       Coef1 = -3.060538  Coef2 = -0.023207  Coef3 =  0.000744  Coef4 =  0.216093  Coef5 = -0.002253  Coef6 = -0.000839  </v>
      </c>
      <c r="AR61" s="166" t="str">
        <f t="shared" si="229"/>
        <v xml:space="preserve">_x000D_
                                                                                MaxOut = 1.400   MinOut = 0.200   MaxVar1 = 25.000   MinVar1 = 13.890   MaxVar2 = 46.110   MinVar2 = 23.890   </v>
      </c>
      <c r="AS61" s="166" t="str">
        <f t="shared" si="230"/>
        <v>_x000D_
..</v>
      </c>
      <c r="AT61" s="43" t="str">
        <f t="shared" si="231"/>
        <v>CrvDblQuad</v>
      </c>
      <c r="AU61" s="43" t="str">
        <f t="shared" si="232"/>
        <v xml:space="preserve">     </v>
      </c>
      <c r="AV61" s="62" t="str">
        <f t="shared" si="215"/>
        <v>"CoilClgDXEER13SEER20EIRRatio_fTwbToadbSI"</v>
      </c>
      <c r="AW61" s="43" t="str">
        <f t="shared" si="233"/>
        <v xml:space="preserve">                       </v>
      </c>
      <c r="AX61" s="43" t="str">
        <f t="shared" si="234"/>
        <v xml:space="preserve">-3.060538  </v>
      </c>
      <c r="AY61" s="43" t="str">
        <f t="shared" si="235"/>
        <v xml:space="preserve">-0.023207  </v>
      </c>
      <c r="AZ61" s="43" t="str">
        <f t="shared" si="236"/>
        <v xml:space="preserve"> 0.000744  </v>
      </c>
      <c r="BA61" s="43" t="str">
        <f t="shared" si="237"/>
        <v xml:space="preserve"> 0.216093  </v>
      </c>
      <c r="BB61" s="43" t="str">
        <f t="shared" si="238"/>
        <v xml:space="preserve">-0.002253  </v>
      </c>
      <c r="BC61" s="43" t="str">
        <f t="shared" si="239"/>
        <v xml:space="preserve">-0.000839  </v>
      </c>
      <c r="BD61" s="43" t="str">
        <f t="shared" si="240"/>
        <v xml:space="preserve">_x000D_
                                                                                </v>
      </c>
      <c r="BE61" s="43" t="str">
        <f t="shared" si="188"/>
        <v xml:space="preserve">1.400   </v>
      </c>
      <c r="BF61" s="43" t="str">
        <f t="shared" si="189"/>
        <v xml:space="preserve">0.200   </v>
      </c>
      <c r="BG61" s="43" t="str">
        <f t="shared" si="190"/>
        <v xml:space="preserve">25.000   </v>
      </c>
      <c r="BH61" s="43" t="str">
        <f t="shared" si="191"/>
        <v xml:space="preserve">13.890   </v>
      </c>
      <c r="BI61" s="43" t="str">
        <f t="shared" si="192"/>
        <v xml:space="preserve">46.110   </v>
      </c>
      <c r="BJ61" s="43" t="str">
        <f t="shared" si="193"/>
        <v xml:space="preserve">23.890   </v>
      </c>
      <c r="BM61" s="43" t="str">
        <f t="shared" si="241"/>
        <v>Twb</v>
      </c>
      <c r="BN61" s="43" t="str">
        <f t="shared" si="241"/>
        <v>Toadb</v>
      </c>
      <c r="BO61" s="164">
        <f t="shared" si="246"/>
        <v>19.399999999999999</v>
      </c>
      <c r="BP61" s="164">
        <f t="shared" si="246"/>
        <v>35</v>
      </c>
      <c r="BQ61" s="164">
        <f t="shared" si="247"/>
        <v>25</v>
      </c>
      <c r="BR61" s="164">
        <f t="shared" si="248"/>
        <v>13.888888888888889</v>
      </c>
      <c r="BS61" s="164">
        <f t="shared" si="249"/>
        <v>46.111111111111107</v>
      </c>
      <c r="BT61" s="164">
        <f t="shared" si="250"/>
        <v>23.888888888888889</v>
      </c>
      <c r="BU61" s="147">
        <f t="shared" si="226"/>
        <v>1.0029070399999993</v>
      </c>
      <c r="BV61" s="147">
        <f t="shared" si="210"/>
        <v>1.3972203950617281</v>
      </c>
      <c r="BW61" s="147">
        <f t="shared" si="211"/>
        <v>0.19969940740740688</v>
      </c>
      <c r="BX61" s="43" t="s">
        <v>729</v>
      </c>
      <c r="CB61" s="43">
        <f t="shared" si="243"/>
        <v>0.33333333333333331</v>
      </c>
      <c r="CC61" s="43" t="s">
        <v>736</v>
      </c>
      <c r="CD61" s="138">
        <f t="shared" si="244"/>
        <v>0.46574013168724271</v>
      </c>
      <c r="CE61" s="138">
        <f t="shared" si="245"/>
        <v>6.6566469135802289E-2</v>
      </c>
      <c r="CF61" s="43" t="s">
        <v>737</v>
      </c>
    </row>
    <row r="62" spans="2:84" ht="60" hidden="1" outlineLevel="1" x14ac:dyDescent="0.25">
      <c r="E62" s="20" t="s">
        <v>306</v>
      </c>
      <c r="F62" s="20" t="s">
        <v>401</v>
      </c>
      <c r="G62" s="45" t="s">
        <v>545</v>
      </c>
      <c r="H62" s="43" t="s">
        <v>301</v>
      </c>
      <c r="I62" s="43" t="s">
        <v>659</v>
      </c>
      <c r="J62" s="43" t="s">
        <v>273</v>
      </c>
      <c r="K62" s="43" t="s">
        <v>3</v>
      </c>
      <c r="L62" s="93"/>
      <c r="M62" s="73"/>
      <c r="N62" s="43" t="str">
        <f t="shared" si="214"/>
        <v>CoilClgDXEIRRatio_fTwbToadbIP</v>
      </c>
      <c r="O62" s="20" t="s">
        <v>165</v>
      </c>
      <c r="P62" s="43" t="s">
        <v>288</v>
      </c>
      <c r="Q62" s="43" t="s">
        <v>116</v>
      </c>
      <c r="R62" s="43" t="s">
        <v>460</v>
      </c>
      <c r="V62" s="46">
        <v>-1.063931</v>
      </c>
      <c r="W62" s="46">
        <v>3.0658399999999999E-2</v>
      </c>
      <c r="X62" s="46">
        <v>-1.2689999999999999E-4</v>
      </c>
      <c r="Y62" s="46">
        <v>1.5421300000000001E-2</v>
      </c>
      <c r="Z62" s="46">
        <v>4.9700000000000002E-5</v>
      </c>
      <c r="AA62" s="46">
        <v>-2.096E-4</v>
      </c>
      <c r="AF62" s="96"/>
      <c r="AG62" s="158">
        <f t="shared" si="195"/>
        <v>1.33</v>
      </c>
      <c r="AH62" s="158">
        <f t="shared" si="196"/>
        <v>0.77</v>
      </c>
      <c r="AI62" s="158">
        <f t="shared" si="197"/>
        <v>77</v>
      </c>
      <c r="AJ62" s="158">
        <f t="shared" si="146"/>
        <v>57</v>
      </c>
      <c r="AK62" s="158">
        <f t="shared" si="147"/>
        <v>115</v>
      </c>
      <c r="AL62" s="158">
        <f t="shared" si="198"/>
        <v>75</v>
      </c>
      <c r="AM62" s="45" t="s">
        <v>627</v>
      </c>
      <c r="AO62" s="43">
        <f>IF(ISTEXT(A62),"",IF(I62="IP",0,1))</f>
        <v>0</v>
      </c>
      <c r="AP62" s="166" t="str">
        <f t="shared" si="181"/>
        <v/>
      </c>
      <c r="AQ62" s="166" t="str">
        <f t="shared" si="182"/>
        <v/>
      </c>
      <c r="AR62" s="166" t="str">
        <f t="shared" si="183"/>
        <v/>
      </c>
      <c r="AS62" s="166" t="str">
        <f t="shared" si="184"/>
        <v/>
      </c>
      <c r="AT62" s="43" t="str">
        <f t="shared" si="185"/>
        <v/>
      </c>
      <c r="AU62" s="43" t="str">
        <f t="shared" si="24"/>
        <v xml:space="preserve">               </v>
      </c>
      <c r="AV62" s="62" t="str">
        <f t="shared" si="215"/>
        <v/>
      </c>
      <c r="AW62" s="43" t="str">
        <f t="shared" si="186"/>
        <v xml:space="preserve">                                                                 </v>
      </c>
      <c r="AX62" s="43" t="str">
        <f t="shared" si="194"/>
        <v/>
      </c>
      <c r="AY62" s="43" t="str">
        <f t="shared" si="194"/>
        <v/>
      </c>
      <c r="AZ62" s="43" t="str">
        <f t="shared" si="194"/>
        <v/>
      </c>
      <c r="BA62" s="43" t="str">
        <f t="shared" si="194"/>
        <v/>
      </c>
      <c r="BB62" s="43" t="str">
        <f t="shared" si="194"/>
        <v/>
      </c>
      <c r="BC62" s="43" t="str">
        <f t="shared" si="194"/>
        <v/>
      </c>
      <c r="BD62" s="43" t="str">
        <f t="shared" si="15"/>
        <v xml:space="preserve">_x000D_
                                                                                </v>
      </c>
      <c r="BE62" s="43" t="str">
        <f t="shared" si="188"/>
        <v/>
      </c>
      <c r="BF62" s="43" t="str">
        <f t="shared" si="189"/>
        <v/>
      </c>
      <c r="BG62" s="43" t="str">
        <f t="shared" si="190"/>
        <v/>
      </c>
      <c r="BH62" s="43" t="str">
        <f t="shared" si="191"/>
        <v/>
      </c>
      <c r="BI62" s="43" t="str">
        <f t="shared" si="192"/>
        <v/>
      </c>
      <c r="BJ62" s="43" t="str">
        <f t="shared" si="193"/>
        <v/>
      </c>
      <c r="BM62" s="43" t="str">
        <f t="shared" ref="BM62:BM71" si="251">Q62</f>
        <v>Twb</v>
      </c>
      <c r="BN62" s="43" t="str">
        <f t="shared" ref="BN62:BN81" si="252">R62</f>
        <v>Toadb</v>
      </c>
      <c r="BO62" s="43">
        <v>67</v>
      </c>
      <c r="BP62" s="43">
        <v>95</v>
      </c>
      <c r="BQ62" s="43">
        <v>77</v>
      </c>
      <c r="BR62" s="43">
        <v>57</v>
      </c>
      <c r="BS62" s="43">
        <v>115</v>
      </c>
      <c r="BT62" s="43">
        <v>75</v>
      </c>
      <c r="BU62" s="147">
        <f t="shared" si="226"/>
        <v>0.99998969999999998</v>
      </c>
      <c r="BV62" s="147">
        <f t="shared" si="210"/>
        <v>1.3281037</v>
      </c>
      <c r="BW62" s="147">
        <f t="shared" si="211"/>
        <v>0.77009569999999994</v>
      </c>
      <c r="BX62" s="43" t="s">
        <v>729</v>
      </c>
    </row>
    <row r="63" spans="2:84" ht="30" hidden="1" outlineLevel="1" x14ac:dyDescent="0.25">
      <c r="E63" s="20" t="s">
        <v>306</v>
      </c>
      <c r="F63" s="20" t="s">
        <v>401</v>
      </c>
      <c r="G63" s="45" t="s">
        <v>545</v>
      </c>
      <c r="H63" s="43" t="s">
        <v>301</v>
      </c>
      <c r="I63" s="43" t="s">
        <v>660</v>
      </c>
      <c r="J63" s="43" t="s">
        <v>144</v>
      </c>
      <c r="L63" s="93" t="s">
        <v>533</v>
      </c>
      <c r="M63" s="73" t="s">
        <v>169</v>
      </c>
      <c r="N63" s="43" t="str">
        <f t="shared" si="214"/>
        <v>CoilClgDXEIRRatio_fTwbToadbSI</v>
      </c>
      <c r="O63" s="20" t="s">
        <v>165</v>
      </c>
      <c r="P63" s="43" t="s">
        <v>288</v>
      </c>
      <c r="Q63" s="43" t="s">
        <v>116</v>
      </c>
      <c r="R63" s="43" t="s">
        <v>460</v>
      </c>
      <c r="V63" s="46">
        <v>0.11670899999999999</v>
      </c>
      <c r="W63" s="46">
        <v>2.8458000000000001E-2</v>
      </c>
      <c r="X63" s="46">
        <v>-4.1147999999999998E-4</v>
      </c>
      <c r="Y63" s="46">
        <v>2.1421800000000001E-2</v>
      </c>
      <c r="Z63" s="46">
        <v>1.6200000000000001E-4</v>
      </c>
      <c r="AA63" s="46">
        <v>-6.8039999999999995E-4</v>
      </c>
      <c r="AF63" s="96"/>
      <c r="AG63" s="158">
        <f t="shared" ref="AG63:AG74" si="253">IF(BV63&gt;0,ROUND(BV63,2),"")</f>
        <v>1.33</v>
      </c>
      <c r="AH63" s="158">
        <f t="shared" ref="AH63:AH74" si="254">IF(BW63&gt;0,ROUND(BW63,2),"")</f>
        <v>0.77</v>
      </c>
      <c r="AI63" s="158">
        <f t="shared" ref="AI63:AI74" si="255">IF(BQ63&gt;0,ROUND(BQ63,2),"")</f>
        <v>25</v>
      </c>
      <c r="AJ63" s="158">
        <f>IF(BR63&gt;0,ROUND(BR63,2),"")</f>
        <v>13.89</v>
      </c>
      <c r="AK63" s="158">
        <f t="shared" ref="AK63:AK74" si="256">IF(BS63&gt;0,ROUND(BS63,2),"")</f>
        <v>46.11</v>
      </c>
      <c r="AL63" s="158">
        <f t="shared" ref="AL63:AL74" si="257">IF(BT63&gt;0,ROUND(BT63,2),"")</f>
        <v>23.89</v>
      </c>
      <c r="AO63" s="43">
        <f>IF(ISTEXT(A63),"",IF(I63="IP",0,1))</f>
        <v>1</v>
      </c>
      <c r="AP63" s="166" t="str">
        <f t="shared" si="181"/>
        <v>CrvDblQuad     "CoilClgDXEIRRatio_fTwbToadbSI"                                  Coef1 =  0.116709  Coef2 =  0.028458  Coef3 = -0.000411  Coef4 =  0.021422  Coef5 =  0.000162  Coef6 = -0.000680  _x000D_
                                                                                MaxOut = 1.330   MinOut = 0.770   MaxVar1 = 25.000   MinVar1 = 13.890   MaxVar2 = 46.110   MinVar2 = 23.890   _x000D_
..</v>
      </c>
      <c r="AQ63" s="166" t="str">
        <f t="shared" si="182"/>
        <v xml:space="preserve">CrvDblQuad     "CoilClgDXEIRRatio_fTwbToadbSI"                                  Coef1 =  0.116709  Coef2 =  0.028458  Coef3 = -0.000411  Coef4 =  0.021422  Coef5 =  0.000162  Coef6 = -0.000680  </v>
      </c>
      <c r="AR63" s="166" t="str">
        <f t="shared" si="183"/>
        <v xml:space="preserve">_x000D_
                                                                                MaxOut = 1.330   MinOut = 0.770   MaxVar1 = 25.000   MinVar1 = 13.890   MaxVar2 = 46.110   MinVar2 = 23.890   </v>
      </c>
      <c r="AS63" s="166" t="str">
        <f t="shared" si="184"/>
        <v>_x000D_
..</v>
      </c>
      <c r="AT63" s="43" t="str">
        <f t="shared" si="185"/>
        <v>CrvDblQuad</v>
      </c>
      <c r="AU63" s="43" t="str">
        <f t="shared" si="24"/>
        <v xml:space="preserve">     </v>
      </c>
      <c r="AV63" s="62" t="str">
        <f t="shared" si="215"/>
        <v>"CoilClgDXEIRRatio_fTwbToadbSI"</v>
      </c>
      <c r="AW63" s="43" t="str">
        <f t="shared" si="186"/>
        <v xml:space="preserve">                                  </v>
      </c>
      <c r="AX63" s="43" t="str">
        <f t="shared" ref="AX63" si="258">IF($AO63=1,IF(ISBLANK(V63),"-",CONCATENATE(TEXT(V63," 0.000000;-0.000000"),"  ")),"")</f>
        <v xml:space="preserve"> 0.116709  </v>
      </c>
      <c r="AY63" s="43" t="str">
        <f t="shared" ref="AY63" si="259">IF($AO63=1,IF(ISBLANK(W63),"-",CONCATENATE(TEXT(W63," 0.000000;-0.000000"),"  ")),"")</f>
        <v xml:space="preserve"> 0.028458  </v>
      </c>
      <c r="AZ63" s="43" t="str">
        <f t="shared" ref="AZ63" si="260">IF($AO63=1,IF(ISBLANK(X63),"-",CONCATENATE(TEXT(X63," 0.000000;-0.000000"),"  ")),"")</f>
        <v xml:space="preserve">-0.000411  </v>
      </c>
      <c r="BA63" s="43" t="str">
        <f t="shared" ref="BA63" si="261">IF($AO63=1,IF(ISBLANK(Y63),"-",CONCATENATE(TEXT(Y63," 0.000000;-0.000000"),"  ")),"")</f>
        <v xml:space="preserve"> 0.021422  </v>
      </c>
      <c r="BB63" s="43" t="str">
        <f t="shared" ref="BB63" si="262">IF($AO63=1,IF(ISBLANK(Z63),"-",CONCATENATE(TEXT(Z63," 0.000000;-0.000000"),"  ")),"")</f>
        <v xml:space="preserve"> 0.000162  </v>
      </c>
      <c r="BC63" s="43" t="str">
        <f t="shared" ref="BC63" si="263">IF($AO63=1,IF(ISBLANK(AA63),"-",CONCATENATE(TEXT(AA63," 0.000000;-0.000000"),"  ")),"")</f>
        <v xml:space="preserve">-0.000680  </v>
      </c>
      <c r="BD63" s="43" t="str">
        <f t="shared" si="15"/>
        <v xml:space="preserve">_x000D_
                                                                                </v>
      </c>
      <c r="BE63" s="43" t="str">
        <f t="shared" si="188"/>
        <v xml:space="preserve">1.330   </v>
      </c>
      <c r="BF63" s="43" t="str">
        <f t="shared" si="189"/>
        <v xml:space="preserve">0.770   </v>
      </c>
      <c r="BG63" s="43" t="str">
        <f t="shared" si="190"/>
        <v xml:space="preserve">25.000   </v>
      </c>
      <c r="BH63" s="43" t="str">
        <f t="shared" si="191"/>
        <v xml:space="preserve">13.890   </v>
      </c>
      <c r="BI63" s="43" t="str">
        <f t="shared" si="192"/>
        <v xml:space="preserve">46.110   </v>
      </c>
      <c r="BJ63" s="43" t="str">
        <f t="shared" si="193"/>
        <v xml:space="preserve">23.890   </v>
      </c>
      <c r="BM63" s="43" t="str">
        <f t="shared" si="251"/>
        <v>Twb</v>
      </c>
      <c r="BN63" s="43" t="str">
        <f t="shared" si="252"/>
        <v>Toadb</v>
      </c>
      <c r="BO63" s="164">
        <f>(BO62-32)/1.8</f>
        <v>19.444444444444443</v>
      </c>
      <c r="BP63" s="164">
        <f>(BP62-32)/1.8</f>
        <v>35</v>
      </c>
      <c r="BQ63" s="164">
        <f t="shared" ref="BQ63" si="264">(BQ62-32)/1.8</f>
        <v>25</v>
      </c>
      <c r="BR63" s="164">
        <f t="shared" ref="BR63" si="265">(BR62-32)/1.8</f>
        <v>13.888888888888889</v>
      </c>
      <c r="BS63" s="164">
        <f t="shared" ref="BS63" si="266">(BS62-32)/1.8</f>
        <v>46.111111111111107</v>
      </c>
      <c r="BT63" s="164">
        <f t="shared" ref="BT63" si="267">(BT62-32)/1.8</f>
        <v>23.888888888888889</v>
      </c>
      <c r="BU63" s="147">
        <f t="shared" si="226"/>
        <v>0.99964700000000017</v>
      </c>
      <c r="BV63" s="147">
        <f t="shared" si="210"/>
        <v>1.3290670000000002</v>
      </c>
      <c r="BW63" s="147">
        <f t="shared" si="211"/>
        <v>0.76882699999999993</v>
      </c>
      <c r="BX63" s="43" t="s">
        <v>729</v>
      </c>
    </row>
    <row r="64" spans="2:84" hidden="1" outlineLevel="1" x14ac:dyDescent="0.25">
      <c r="D64" s="72"/>
      <c r="E64" s="20" t="s">
        <v>306</v>
      </c>
      <c r="F64" s="20" t="s">
        <v>401</v>
      </c>
      <c r="G64" s="45" t="s">
        <v>37</v>
      </c>
      <c r="H64" s="43" t="s">
        <v>302</v>
      </c>
      <c r="I64" s="43" t="s">
        <v>659</v>
      </c>
      <c r="J64" s="43" t="s">
        <v>273</v>
      </c>
      <c r="K64" s="43" t="s">
        <v>3</v>
      </c>
      <c r="L64" s="57"/>
      <c r="M64" s="57"/>
      <c r="N64" s="43" t="str">
        <f t="shared" si="214"/>
        <v>CoilClgWSHPEIRRatio_fTwbTcwsIP</v>
      </c>
      <c r="O64" s="20" t="s">
        <v>165</v>
      </c>
      <c r="P64" s="43" t="s">
        <v>288</v>
      </c>
      <c r="Q64" s="20" t="s">
        <v>116</v>
      </c>
      <c r="R64" s="43" t="s">
        <v>140</v>
      </c>
      <c r="V64" s="46">
        <v>2.0280385000000001</v>
      </c>
      <c r="W64" s="46">
        <v>-4.2309100000000002E-2</v>
      </c>
      <c r="X64" s="46">
        <v>3.054E-4</v>
      </c>
      <c r="Y64" s="46">
        <v>1.49672E-2</v>
      </c>
      <c r="Z64" s="46">
        <v>2.44E-5</v>
      </c>
      <c r="AA64" s="46">
        <v>-1.64E-4</v>
      </c>
      <c r="AF64" s="96"/>
      <c r="AG64" s="158">
        <f t="shared" si="253"/>
        <v>0.96</v>
      </c>
      <c r="AH64" s="158">
        <f t="shared" si="254"/>
        <v>1.03</v>
      </c>
      <c r="AI64" s="158">
        <f t="shared" si="255"/>
        <v>57</v>
      </c>
      <c r="AJ64" s="158">
        <f>IF(BR64&gt;0,ROUND(BR64,2),"")</f>
        <v>77</v>
      </c>
      <c r="AK64" s="158">
        <f t="shared" si="256"/>
        <v>85</v>
      </c>
      <c r="AL64" s="158">
        <f t="shared" si="257"/>
        <v>60</v>
      </c>
      <c r="AM64" s="64"/>
      <c r="AO64" s="43">
        <f>IF(ISTEXT(A64),"",IF(I64="IP",0,1))</f>
        <v>0</v>
      </c>
      <c r="AP64" s="166" t="str">
        <f t="shared" si="8"/>
        <v/>
      </c>
      <c r="AQ64" s="166" t="str">
        <f t="shared" si="99"/>
        <v/>
      </c>
      <c r="AR64" s="166" t="str">
        <f t="shared" si="175"/>
        <v/>
      </c>
      <c r="AS64" s="166" t="str">
        <f t="shared" si="23"/>
        <v/>
      </c>
      <c r="AT64" s="43" t="str">
        <f t="shared" si="82"/>
        <v/>
      </c>
      <c r="AU64" s="43" t="str">
        <f t="shared" si="24"/>
        <v xml:space="preserve">               </v>
      </c>
      <c r="AV64" s="62" t="str">
        <f t="shared" si="215"/>
        <v/>
      </c>
      <c r="AW64" s="43" t="str">
        <f t="shared" si="177"/>
        <v xml:space="preserve">                                                                 </v>
      </c>
      <c r="AX64" s="43" t="str">
        <f t="shared" si="121"/>
        <v/>
      </c>
      <c r="AY64" s="43" t="str">
        <f t="shared" si="122"/>
        <v/>
      </c>
      <c r="AZ64" s="43" t="str">
        <f t="shared" si="123"/>
        <v/>
      </c>
      <c r="BA64" s="43" t="str">
        <f t="shared" si="124"/>
        <v/>
      </c>
      <c r="BB64" s="43" t="str">
        <f t="shared" si="125"/>
        <v/>
      </c>
      <c r="BC64" s="43" t="str">
        <f t="shared" si="126"/>
        <v/>
      </c>
      <c r="BD64" s="43" t="str">
        <f t="shared" si="15"/>
        <v xml:space="preserve">_x000D_
                                                                                </v>
      </c>
      <c r="BE64" s="43" t="str">
        <f t="shared" si="188"/>
        <v/>
      </c>
      <c r="BF64" s="43" t="str">
        <f t="shared" si="189"/>
        <v/>
      </c>
      <c r="BG64" s="43" t="str">
        <f t="shared" si="190"/>
        <v/>
      </c>
      <c r="BH64" s="43" t="str">
        <f t="shared" si="191"/>
        <v/>
      </c>
      <c r="BI64" s="43" t="str">
        <f t="shared" si="192"/>
        <v/>
      </c>
      <c r="BJ64" s="43" t="str">
        <f t="shared" si="193"/>
        <v/>
      </c>
      <c r="BM64" s="43" t="str">
        <f t="shared" si="251"/>
        <v>Twb</v>
      </c>
      <c r="BN64" s="43" t="str">
        <f t="shared" si="252"/>
        <v>Tcws</v>
      </c>
      <c r="BO64" s="43">
        <v>67</v>
      </c>
      <c r="BP64" s="43">
        <v>75</v>
      </c>
      <c r="BQ64" s="43">
        <v>57</v>
      </c>
      <c r="BR64" s="43">
        <v>77</v>
      </c>
      <c r="BS64" s="43">
        <v>85</v>
      </c>
      <c r="BT64" s="43">
        <v>60</v>
      </c>
      <c r="BU64" s="147">
        <f t="shared" si="226"/>
        <v>0.99995939999999994</v>
      </c>
      <c r="BV64" s="147">
        <f t="shared" si="210"/>
        <v>0.95607639999999949</v>
      </c>
      <c r="BW64" s="147">
        <f t="shared" si="211"/>
        <v>1.0336563999999999</v>
      </c>
      <c r="BX64" s="43" t="s">
        <v>729</v>
      </c>
    </row>
    <row r="65" spans="1:80" hidden="1" outlineLevel="1" x14ac:dyDescent="0.25">
      <c r="E65" s="20" t="s">
        <v>306</v>
      </c>
      <c r="F65" s="20" t="s">
        <v>401</v>
      </c>
      <c r="G65" s="45" t="s">
        <v>38</v>
      </c>
      <c r="H65" s="43" t="s">
        <v>303</v>
      </c>
      <c r="I65" s="43" t="s">
        <v>659</v>
      </c>
      <c r="J65" s="43" t="s">
        <v>273</v>
      </c>
      <c r="K65" s="43" t="s">
        <v>3</v>
      </c>
      <c r="L65" s="57"/>
      <c r="M65" s="57"/>
      <c r="N65" s="43" t="str">
        <f t="shared" si="214"/>
        <v>CoilClgWSDXEIRRatio_fTwbTcwsIP</v>
      </c>
      <c r="O65" s="20" t="s">
        <v>165</v>
      </c>
      <c r="P65" s="43" t="s">
        <v>288</v>
      </c>
      <c r="Q65" s="20" t="s">
        <v>116</v>
      </c>
      <c r="R65" s="43" t="s">
        <v>140</v>
      </c>
      <c r="V65" s="46">
        <v>-1.8394759999999999</v>
      </c>
      <c r="W65" s="46">
        <v>7.5136300000000003E-2</v>
      </c>
      <c r="X65" s="46">
        <v>-5.6860000000000005E-4</v>
      </c>
      <c r="Y65" s="46">
        <v>4.7089999999999996E-3</v>
      </c>
      <c r="Z65" s="46">
        <v>9.0099999999999995E-5</v>
      </c>
      <c r="AA65" s="46">
        <v>-1.2180000000000001E-4</v>
      </c>
      <c r="AF65" s="96"/>
      <c r="AG65" s="158">
        <f t="shared" si="253"/>
        <v>0.83</v>
      </c>
      <c r="AH65" s="158">
        <f t="shared" si="254"/>
        <v>0.79</v>
      </c>
      <c r="AI65" s="158">
        <f t="shared" si="255"/>
        <v>57</v>
      </c>
      <c r="AJ65" s="158">
        <f>IF(BR65&gt;0,ROUND(BR65,2),"")</f>
        <v>77</v>
      </c>
      <c r="AK65" s="158">
        <f t="shared" si="256"/>
        <v>85</v>
      </c>
      <c r="AL65" s="158">
        <f t="shared" si="257"/>
        <v>60</v>
      </c>
      <c r="AO65" s="43">
        <f>IF(ISTEXT(A65),"",IF(I65="IP",0,1))</f>
        <v>0</v>
      </c>
      <c r="AP65" s="166" t="str">
        <f t="shared" si="8"/>
        <v/>
      </c>
      <c r="AQ65" s="166" t="str">
        <f t="shared" si="99"/>
        <v/>
      </c>
      <c r="AR65" s="166" t="str">
        <f t="shared" si="175"/>
        <v/>
      </c>
      <c r="AS65" s="166" t="str">
        <f t="shared" si="23"/>
        <v/>
      </c>
      <c r="AT65" s="43" t="str">
        <f t="shared" si="82"/>
        <v/>
      </c>
      <c r="AU65" s="43" t="str">
        <f t="shared" si="24"/>
        <v xml:space="preserve">               </v>
      </c>
      <c r="AV65" s="62" t="str">
        <f t="shared" si="215"/>
        <v/>
      </c>
      <c r="AW65" s="43" t="str">
        <f t="shared" si="177"/>
        <v xml:space="preserve">                                                                 </v>
      </c>
      <c r="AX65" s="43" t="str">
        <f t="shared" si="121"/>
        <v/>
      </c>
      <c r="AY65" s="43" t="str">
        <f t="shared" si="122"/>
        <v/>
      </c>
      <c r="AZ65" s="43" t="str">
        <f t="shared" si="123"/>
        <v/>
      </c>
      <c r="BA65" s="43" t="str">
        <f t="shared" si="124"/>
        <v/>
      </c>
      <c r="BB65" s="43" t="str">
        <f t="shared" si="125"/>
        <v/>
      </c>
      <c r="BC65" s="43" t="str">
        <f t="shared" si="126"/>
        <v/>
      </c>
      <c r="BD65" s="43" t="str">
        <f t="shared" si="15"/>
        <v xml:space="preserve">_x000D_
                                                                                </v>
      </c>
      <c r="BE65" s="43" t="str">
        <f t="shared" si="188"/>
        <v/>
      </c>
      <c r="BF65" s="43" t="str">
        <f t="shared" si="189"/>
        <v/>
      </c>
      <c r="BG65" s="43" t="str">
        <f t="shared" si="190"/>
        <v/>
      </c>
      <c r="BH65" s="43" t="str">
        <f t="shared" si="191"/>
        <v/>
      </c>
      <c r="BI65" s="43" t="str">
        <f t="shared" si="192"/>
        <v/>
      </c>
      <c r="BJ65" s="43" t="str">
        <f t="shared" si="193"/>
        <v/>
      </c>
      <c r="BM65" s="43" t="str">
        <f t="shared" si="251"/>
        <v>Twb</v>
      </c>
      <c r="BN65" s="43" t="str">
        <f t="shared" si="252"/>
        <v>Tcws</v>
      </c>
      <c r="BO65" s="43">
        <v>67</v>
      </c>
      <c r="BP65" s="43">
        <v>85</v>
      </c>
      <c r="BQ65" s="43">
        <v>57</v>
      </c>
      <c r="BR65" s="43">
        <v>77</v>
      </c>
      <c r="BS65" s="43">
        <v>85</v>
      </c>
      <c r="BT65" s="43">
        <v>60</v>
      </c>
      <c r="BU65" s="147">
        <f t="shared" si="226"/>
        <v>0.99979719999999972</v>
      </c>
      <c r="BV65" s="147">
        <f t="shared" si="210"/>
        <v>0.8288462000000002</v>
      </c>
      <c r="BW65" s="147">
        <f t="shared" si="211"/>
        <v>0.78625570000000022</v>
      </c>
      <c r="BX65" s="43" t="s">
        <v>729</v>
      </c>
    </row>
    <row r="66" spans="1:80" hidden="1" outlineLevel="1" x14ac:dyDescent="0.25">
      <c r="E66" s="20" t="s">
        <v>306</v>
      </c>
      <c r="F66" s="20" t="s">
        <v>401</v>
      </c>
      <c r="G66" s="45" t="s">
        <v>318</v>
      </c>
      <c r="H66" s="43" t="s">
        <v>303</v>
      </c>
      <c r="I66" s="43" t="s">
        <v>660</v>
      </c>
      <c r="J66" s="43" t="s">
        <v>144</v>
      </c>
      <c r="L66" s="73" t="str">
        <f>'E+ Reference'!$D$25</f>
        <v>Coil:Cooling:WaterToAirHeatPump:EquationFit</v>
      </c>
      <c r="M66" s="73" t="s">
        <v>321</v>
      </c>
      <c r="N66" s="43" t="str">
        <f t="shared" si="214"/>
        <v>CoilClgWSDXEIRRatio_fTwbRatioTwtRatioCFMRatioGPMRatioSI</v>
      </c>
      <c r="O66" s="65" t="s">
        <v>322</v>
      </c>
      <c r="P66" s="43" t="s">
        <v>288</v>
      </c>
      <c r="Q66" s="65" t="s">
        <v>323</v>
      </c>
      <c r="R66" s="48" t="s">
        <v>324</v>
      </c>
      <c r="S66" s="65" t="s">
        <v>120</v>
      </c>
      <c r="T66" s="65" t="s">
        <v>148</v>
      </c>
      <c r="V66" s="46">
        <v>7.3945237290000003</v>
      </c>
      <c r="W66" s="46">
        <v>0.82845099</v>
      </c>
      <c r="X66" s="46">
        <v>7.8532199360000003</v>
      </c>
      <c r="Y66" s="46">
        <v>0.26946231700000001</v>
      </c>
      <c r="Z66" s="46">
        <v>0.29678486799999998</v>
      </c>
      <c r="AF66" s="96"/>
      <c r="AG66" s="158" t="str">
        <f t="shared" si="253"/>
        <v/>
      </c>
      <c r="AH66" s="158" t="str">
        <f t="shared" si="254"/>
        <v/>
      </c>
      <c r="AI66" s="158" t="str">
        <f t="shared" si="255"/>
        <v/>
      </c>
      <c r="AJ66" s="158" t="str">
        <f>IF(BR66&gt;0,ROUND(BR66,2),"")</f>
        <v/>
      </c>
      <c r="AK66" s="158" t="str">
        <f t="shared" si="256"/>
        <v/>
      </c>
      <c r="AL66" s="158" t="str">
        <f t="shared" si="257"/>
        <v/>
      </c>
      <c r="AM66" s="45" t="s">
        <v>641</v>
      </c>
      <c r="AO66" s="43">
        <v>0</v>
      </c>
      <c r="AP66" s="166" t="str">
        <f t="shared" si="8"/>
        <v/>
      </c>
      <c r="AQ66" s="166" t="str">
        <f t="shared" si="99"/>
        <v/>
      </c>
      <c r="AR66" s="166" t="str">
        <f t="shared" si="175"/>
        <v/>
      </c>
      <c r="AS66" s="166" t="str">
        <f t="shared" si="23"/>
        <v/>
      </c>
      <c r="AT66" s="43" t="str">
        <f t="shared" si="82"/>
        <v/>
      </c>
      <c r="AU66" s="43" t="str">
        <f t="shared" si="24"/>
        <v xml:space="preserve">               </v>
      </c>
      <c r="AV66" s="62" t="str">
        <f t="shared" si="215"/>
        <v/>
      </c>
      <c r="AW66" s="43" t="str">
        <f t="shared" si="177"/>
        <v xml:space="preserve">                                                                 </v>
      </c>
      <c r="AX66" s="43" t="str">
        <f t="shared" si="121"/>
        <v/>
      </c>
      <c r="AY66" s="43" t="str">
        <f t="shared" si="122"/>
        <v/>
      </c>
      <c r="AZ66" s="43" t="str">
        <f t="shared" si="123"/>
        <v/>
      </c>
      <c r="BA66" s="43" t="str">
        <f t="shared" si="124"/>
        <v/>
      </c>
      <c r="BB66" s="43" t="str">
        <f t="shared" si="125"/>
        <v/>
      </c>
      <c r="BC66" s="43" t="str">
        <f t="shared" si="126"/>
        <v/>
      </c>
      <c r="BD66" s="43" t="str">
        <f t="shared" si="15"/>
        <v xml:space="preserve"> </v>
      </c>
      <c r="BE66" s="43" t="str">
        <f t="shared" si="188"/>
        <v/>
      </c>
      <c r="BF66" s="43" t="str">
        <f t="shared" si="189"/>
        <v/>
      </c>
      <c r="BG66" s="43" t="str">
        <f t="shared" si="190"/>
        <v/>
      </c>
      <c r="BH66" s="43" t="str">
        <f t="shared" si="191"/>
        <v/>
      </c>
      <c r="BI66" s="43" t="str">
        <f t="shared" si="192"/>
        <v/>
      </c>
      <c r="BJ66" s="43" t="str">
        <f t="shared" si="193"/>
        <v/>
      </c>
      <c r="BM66" s="43" t="str">
        <f t="shared" si="251"/>
        <v>TwbRatio</v>
      </c>
      <c r="BN66" s="43" t="str">
        <f t="shared" si="252"/>
        <v>TwtRatio</v>
      </c>
      <c r="BU66" s="147"/>
      <c r="BV66" s="147"/>
      <c r="BW66" s="147"/>
    </row>
    <row r="67" spans="1:80" hidden="1" outlineLevel="1" x14ac:dyDescent="0.25">
      <c r="A67" s="58"/>
      <c r="B67" s="43" t="s">
        <v>289</v>
      </c>
      <c r="C67" s="43" t="s">
        <v>285</v>
      </c>
      <c r="D67" s="123" t="s">
        <v>541</v>
      </c>
      <c r="E67" s="20" t="s">
        <v>306</v>
      </c>
      <c r="F67" s="20" t="s">
        <v>532</v>
      </c>
      <c r="G67" s="45" t="s">
        <v>551</v>
      </c>
      <c r="H67" s="43" t="s">
        <v>538</v>
      </c>
      <c r="J67" s="20" t="s">
        <v>144</v>
      </c>
      <c r="L67" s="73" t="s">
        <v>171</v>
      </c>
      <c r="M67" s="121" t="s">
        <v>168</v>
      </c>
      <c r="N67" s="43" t="str">
        <f t="shared" si="214"/>
        <v>CoilClgDXSnglEIRRatio_fCFMRatio</v>
      </c>
      <c r="O67" s="20" t="s">
        <v>162</v>
      </c>
      <c r="P67" s="43" t="s">
        <v>288</v>
      </c>
      <c r="Q67" s="65" t="s">
        <v>120</v>
      </c>
      <c r="V67" s="61">
        <v>1.1559999999999999</v>
      </c>
      <c r="W67" s="61">
        <v>-0.18160000000000001</v>
      </c>
      <c r="X67" s="61">
        <v>2.5600000000000001E-2</v>
      </c>
      <c r="Y67" s="61"/>
      <c r="Z67" s="61"/>
      <c r="AA67" s="61"/>
      <c r="AF67" s="96"/>
      <c r="AG67" s="158"/>
      <c r="AH67" s="158"/>
      <c r="AI67" s="158"/>
      <c r="AJ67" s="158"/>
      <c r="AK67" s="158"/>
      <c r="AL67" s="158"/>
      <c r="AM67" s="45" t="s">
        <v>640</v>
      </c>
      <c r="AO67" s="43">
        <f>IF(ISTEXT(A67),"",IF(I67="IP",0,1))</f>
        <v>1</v>
      </c>
      <c r="AP67" s="166" t="str">
        <f t="shared" si="8"/>
        <v>CrvQuad        "CoilClgDXSnglEIRRatio_fCFMRatio"                                Coef1 =  1.156000  Coef2 = -0.181600  Coef3 =  0.025600   _x000D_
..</v>
      </c>
      <c r="AQ67" s="166" t="str">
        <f t="shared" si="99"/>
        <v xml:space="preserve">CrvQuad        "CoilClgDXSnglEIRRatio_fCFMRatio"                                Coef1 =  1.156000  Coef2 = -0.181600  Coef3 =  0.025600  </v>
      </c>
      <c r="AR67" s="166" t="str">
        <f t="shared" si="175"/>
        <v xml:space="preserve"> </v>
      </c>
      <c r="AS67" s="166" t="str">
        <f t="shared" si="23"/>
        <v>_x000D_
..</v>
      </c>
      <c r="AT67" s="43" t="str">
        <f t="shared" si="82"/>
        <v>CrvQuad</v>
      </c>
      <c r="AU67" s="43" t="str">
        <f t="shared" si="24"/>
        <v xml:space="preserve">        </v>
      </c>
      <c r="AV67" s="62" t="str">
        <f t="shared" si="215"/>
        <v>"CoilClgDXSnglEIRRatio_fCFMRatio"</v>
      </c>
      <c r="AW67" s="43" t="str">
        <f t="shared" si="177"/>
        <v xml:space="preserve">                                </v>
      </c>
      <c r="AX67" s="43" t="str">
        <f t="shared" si="121"/>
        <v xml:space="preserve"> 1.156000  </v>
      </c>
      <c r="AY67" s="43" t="str">
        <f t="shared" si="122"/>
        <v xml:space="preserve">-0.181600  </v>
      </c>
      <c r="AZ67" s="43" t="str">
        <f t="shared" si="123"/>
        <v xml:space="preserve"> 0.025600  </v>
      </c>
      <c r="BA67" s="43" t="str">
        <f t="shared" si="124"/>
        <v>-</v>
      </c>
      <c r="BB67" s="43" t="str">
        <f t="shared" si="125"/>
        <v>-</v>
      </c>
      <c r="BC67" s="43" t="str">
        <f t="shared" si="126"/>
        <v>-</v>
      </c>
      <c r="BD67" s="43" t="str">
        <f t="shared" si="15"/>
        <v xml:space="preserve"> </v>
      </c>
      <c r="BE67" s="43" t="str">
        <f t="shared" si="188"/>
        <v>-</v>
      </c>
      <c r="BF67" s="43" t="str">
        <f t="shared" si="189"/>
        <v>-</v>
      </c>
      <c r="BG67" s="43" t="str">
        <f t="shared" si="190"/>
        <v>-</v>
      </c>
      <c r="BH67" s="43" t="str">
        <f t="shared" si="191"/>
        <v>-</v>
      </c>
      <c r="BI67" s="43" t="str">
        <f t="shared" si="192"/>
        <v>-</v>
      </c>
      <c r="BJ67" s="43" t="str">
        <f t="shared" si="193"/>
        <v>-</v>
      </c>
      <c r="BM67" s="43" t="str">
        <f t="shared" si="251"/>
        <v>CFMRatio</v>
      </c>
      <c r="BO67" s="43">
        <v>1</v>
      </c>
      <c r="BR67" s="43">
        <v>0</v>
      </c>
      <c r="BU67" s="147">
        <f t="shared" ref="BU67:BU76" si="268">$V67+$W67*BO67+$X67*BO67^2+$Y67*BO67^3</f>
        <v>0.99999999999999989</v>
      </c>
      <c r="BV67" s="147"/>
      <c r="BW67" s="147"/>
    </row>
    <row r="68" spans="1:80" hidden="1" outlineLevel="1" x14ac:dyDescent="0.25">
      <c r="A68" s="58"/>
      <c r="D68" s="45"/>
      <c r="E68" s="20" t="s">
        <v>306</v>
      </c>
      <c r="F68" s="20" t="s">
        <v>532</v>
      </c>
      <c r="G68" s="45" t="s">
        <v>552</v>
      </c>
      <c r="H68" s="43" t="s">
        <v>539</v>
      </c>
      <c r="J68" s="20" t="s">
        <v>144</v>
      </c>
      <c r="L68" s="73" t="s">
        <v>287</v>
      </c>
      <c r="M68" s="121" t="s">
        <v>168</v>
      </c>
      <c r="N68" s="43" t="str">
        <f t="shared" si="214"/>
        <v>CoilClgDXDblEIRRatio_fCFMRatio</v>
      </c>
      <c r="O68" s="20" t="s">
        <v>230</v>
      </c>
      <c r="P68" s="43" t="s">
        <v>288</v>
      </c>
      <c r="Q68" s="65" t="s">
        <v>120</v>
      </c>
      <c r="V68" s="61">
        <v>1.0079484000000001</v>
      </c>
      <c r="W68" s="61">
        <v>0.34544129000000001</v>
      </c>
      <c r="X68" s="61">
        <v>-0.69228909999999999</v>
      </c>
      <c r="Y68" s="61">
        <v>0.33889943</v>
      </c>
      <c r="Z68" s="61"/>
      <c r="AA68" s="61"/>
      <c r="AF68" s="96"/>
      <c r="AG68" s="158"/>
      <c r="AH68" s="158"/>
      <c r="AI68" s="158"/>
      <c r="AJ68" s="158"/>
      <c r="AK68" s="158"/>
      <c r="AL68" s="158"/>
      <c r="AM68" s="45" t="s">
        <v>640</v>
      </c>
      <c r="AO68" s="43">
        <f>IF(ISTEXT(A68),"",IF(I68="IP",0,1))</f>
        <v>1</v>
      </c>
      <c r="AP68" s="166" t="str">
        <f>IF(AO68=1,CONCATENATE(AQ68,AR68,AS68),"")</f>
        <v>CrvCubic       "CoilClgDXDblEIRRatio_fCFMRatio"                                 Coef1 =  1.007948  Coef2 =  0.345441  Coef3 = -0.692289  Coef4 =  0.338899   _x000D_
..</v>
      </c>
      <c r="AQ68" s="166" t="str">
        <f>IF(AO68=1,CONCATENATE(AT68,AU68,AV68,AW68,IF(AX68="-","",$AX$15&amp;AX68),IF(AY68="-","",$AY$15&amp;AY68),IF(AZ68="-","",$AZ$15&amp;AZ68),IF(BA68="-","",$BA$15&amp;BA68),IF(BB68="-","",$BB$15&amp;BB68),IF(BC68="-","",$BC$15&amp;BC68)),"")</f>
        <v xml:space="preserve">CrvCubic       "CoilClgDXDblEIRRatio_fCFMRatio"                                 Coef1 =  1.007948  Coef2 =  0.345441  Coef3 = -0.692289  Coef4 =  0.338899  </v>
      </c>
      <c r="AR68" s="166" t="str">
        <f>IF(AO68=1,CONCATENATE(BD68,IF(BE68="-","",$BE$15&amp;BE68),IF(BF68="-","",$BF$15&amp;BF68),IF(BG68="-","",$BG$15&amp;BG68),IF(BH68="-","",$BH$15&amp;BH68),IF(BI68="-","",$BI$15&amp;BI68),IF(BJ68="-","",$BJ$15&amp;BJ68)),"")</f>
        <v xml:space="preserve"> </v>
      </c>
      <c r="AS68" s="166" t="str">
        <f>IF(AO68=1,CHAR(13)&amp;CHAR(10)&amp;"..","")</f>
        <v>_x000D_
..</v>
      </c>
      <c r="AT68" s="43" t="str">
        <f>IF(AO68=1,VLOOKUP(O68,$AT$2:$AV$13,2,0),"")</f>
        <v>CrvCubic</v>
      </c>
      <c r="AU68" s="43" t="str">
        <f t="shared" si="24"/>
        <v xml:space="preserve">       </v>
      </c>
      <c r="AV68" s="62" t="str">
        <f t="shared" si="215"/>
        <v>"CoilClgDXDblEIRRatio_fCFMRatio"</v>
      </c>
      <c r="AW68" s="43" t="str">
        <f>REPT(" ",$AW$14-LEN(AV68))</f>
        <v xml:space="preserve">                                 </v>
      </c>
      <c r="AX68" s="43" t="str">
        <f t="shared" ref="AX68:BC68" si="269">IF($AO68=1,IF(ISBLANK(V68),"-",CONCATENATE(TEXT(V68," 0.000000;-0.000000"),"  ")),"")</f>
        <v xml:space="preserve"> 1.007948  </v>
      </c>
      <c r="AY68" s="43" t="str">
        <f t="shared" si="269"/>
        <v xml:space="preserve"> 0.345441  </v>
      </c>
      <c r="AZ68" s="43" t="str">
        <f t="shared" si="269"/>
        <v xml:space="preserve">-0.692289  </v>
      </c>
      <c r="BA68" s="43" t="str">
        <f t="shared" si="269"/>
        <v xml:space="preserve"> 0.338899  </v>
      </c>
      <c r="BB68" s="43" t="str">
        <f t="shared" si="269"/>
        <v>-</v>
      </c>
      <c r="BC68" s="43" t="str">
        <f t="shared" si="269"/>
        <v>-</v>
      </c>
      <c r="BD68" s="43" t="str">
        <f t="shared" si="15"/>
        <v xml:space="preserve"> </v>
      </c>
      <c r="BE68" s="43" t="str">
        <f t="shared" si="188"/>
        <v>-</v>
      </c>
      <c r="BF68" s="43" t="str">
        <f t="shared" si="189"/>
        <v>-</v>
      </c>
      <c r="BG68" s="43" t="str">
        <f t="shared" si="190"/>
        <v>-</v>
      </c>
      <c r="BH68" s="43" t="str">
        <f t="shared" si="191"/>
        <v>-</v>
      </c>
      <c r="BI68" s="43" t="str">
        <f t="shared" si="192"/>
        <v>-</v>
      </c>
      <c r="BJ68" s="43" t="str">
        <f t="shared" si="193"/>
        <v>-</v>
      </c>
      <c r="BM68" s="43" t="str">
        <f t="shared" si="251"/>
        <v>CFMRatio</v>
      </c>
      <c r="BO68" s="43">
        <v>1</v>
      </c>
      <c r="BR68" s="43">
        <v>0</v>
      </c>
      <c r="BU68" s="147">
        <f t="shared" si="268"/>
        <v>1.0000000200000003</v>
      </c>
      <c r="BV68" s="147"/>
      <c r="BW68" s="147"/>
    </row>
    <row r="69" spans="1:80" ht="30" hidden="1" outlineLevel="1" x14ac:dyDescent="0.25">
      <c r="B69" s="70" t="s">
        <v>127</v>
      </c>
      <c r="C69" s="70" t="s">
        <v>290</v>
      </c>
      <c r="D69" s="44" t="s">
        <v>62</v>
      </c>
      <c r="E69" s="20" t="s">
        <v>306</v>
      </c>
      <c r="F69" s="20" t="s">
        <v>402</v>
      </c>
      <c r="G69" s="45" t="s">
        <v>550</v>
      </c>
      <c r="H69" s="43" t="s">
        <v>302</v>
      </c>
      <c r="J69" s="43" t="s">
        <v>273</v>
      </c>
      <c r="K69" s="43" t="s">
        <v>4</v>
      </c>
      <c r="L69" s="73"/>
      <c r="M69" s="73"/>
      <c r="N69" s="43" t="str">
        <f t="shared" si="214"/>
        <v>CoilClgWSHPEIRRatio_fQRatio</v>
      </c>
      <c r="O69" s="43" t="s">
        <v>230</v>
      </c>
      <c r="P69" s="20" t="s">
        <v>288</v>
      </c>
      <c r="Q69" s="43" t="s">
        <v>160</v>
      </c>
      <c r="V69" s="46">
        <v>0.125</v>
      </c>
      <c r="W69" s="46">
        <v>0.875</v>
      </c>
      <c r="X69" s="46">
        <v>0</v>
      </c>
      <c r="Y69" s="46">
        <v>0</v>
      </c>
      <c r="AF69" s="96"/>
      <c r="AG69" s="158" t="str">
        <f t="shared" si="253"/>
        <v/>
      </c>
      <c r="AH69" s="158">
        <f t="shared" si="254"/>
        <v>0.13</v>
      </c>
      <c r="AI69" s="158" t="str">
        <f t="shared" si="255"/>
        <v/>
      </c>
      <c r="AJ69" s="158" t="str">
        <f t="shared" ref="AJ69:AJ103" si="270">IF(BR69&gt;0,ROUND(BR69,2),"")</f>
        <v/>
      </c>
      <c r="AK69" s="158" t="str">
        <f t="shared" si="256"/>
        <v/>
      </c>
      <c r="AL69" s="158" t="str">
        <f t="shared" si="257"/>
        <v/>
      </c>
      <c r="AO69" s="43">
        <v>0</v>
      </c>
      <c r="AP69" s="166" t="str">
        <f t="shared" si="8"/>
        <v/>
      </c>
      <c r="AQ69" s="166" t="str">
        <f t="shared" si="99"/>
        <v/>
      </c>
      <c r="AR69" s="166" t="str">
        <f t="shared" si="175"/>
        <v/>
      </c>
      <c r="AS69" s="166" t="str">
        <f t="shared" si="23"/>
        <v/>
      </c>
      <c r="AT69" s="43" t="str">
        <f t="shared" si="82"/>
        <v/>
      </c>
      <c r="AU69" s="43" t="str">
        <f t="shared" si="24"/>
        <v xml:space="preserve">               </v>
      </c>
      <c r="AV69" s="62" t="str">
        <f t="shared" si="215"/>
        <v/>
      </c>
      <c r="AW69" s="43" t="str">
        <f t="shared" si="177"/>
        <v xml:space="preserve">                                                                 </v>
      </c>
      <c r="AX69" s="43" t="str">
        <f t="shared" si="121"/>
        <v/>
      </c>
      <c r="AY69" s="43" t="str">
        <f t="shared" si="122"/>
        <v/>
      </c>
      <c r="AZ69" s="43" t="str">
        <f t="shared" si="123"/>
        <v/>
      </c>
      <c r="BA69" s="43" t="str">
        <f t="shared" si="124"/>
        <v/>
      </c>
      <c r="BB69" s="43" t="str">
        <f t="shared" si="125"/>
        <v/>
      </c>
      <c r="BC69" s="43" t="str">
        <f t="shared" si="126"/>
        <v/>
      </c>
      <c r="BD69" s="43" t="str">
        <f t="shared" si="15"/>
        <v xml:space="preserve">_x000D_
                                                                                </v>
      </c>
      <c r="BE69" s="43" t="str">
        <f t="shared" si="188"/>
        <v/>
      </c>
      <c r="BF69" s="43" t="str">
        <f t="shared" si="189"/>
        <v/>
      </c>
      <c r="BG69" s="43" t="str">
        <f t="shared" si="190"/>
        <v/>
      </c>
      <c r="BH69" s="43" t="str">
        <f t="shared" si="191"/>
        <v/>
      </c>
      <c r="BI69" s="43" t="str">
        <f t="shared" si="192"/>
        <v/>
      </c>
      <c r="BJ69" s="43" t="str">
        <f t="shared" si="193"/>
        <v/>
      </c>
      <c r="BM69" s="43" t="str">
        <f t="shared" si="251"/>
        <v>QRatio</v>
      </c>
      <c r="BO69" s="43">
        <v>1</v>
      </c>
      <c r="BR69" s="43">
        <v>0</v>
      </c>
      <c r="BU69" s="147">
        <f t="shared" si="268"/>
        <v>1</v>
      </c>
      <c r="BV69" s="147"/>
      <c r="BW69" s="147">
        <f t="shared" ref="BW69:BW76" si="271">$V69+$W69*BR69+$X69*BR69^2+$Y69*BR69^3</f>
        <v>0.125</v>
      </c>
    </row>
    <row r="70" spans="1:80" hidden="1" outlineLevel="1" x14ac:dyDescent="0.25">
      <c r="B70" s="48"/>
      <c r="C70" s="48"/>
      <c r="E70" s="20" t="s">
        <v>306</v>
      </c>
      <c r="F70" s="20" t="s">
        <v>402</v>
      </c>
      <c r="G70" s="45" t="s">
        <v>557</v>
      </c>
      <c r="H70" s="43" t="s">
        <v>303</v>
      </c>
      <c r="J70" s="43" t="s">
        <v>273</v>
      </c>
      <c r="K70" s="43" t="s">
        <v>4</v>
      </c>
      <c r="L70" s="73"/>
      <c r="M70" s="73"/>
      <c r="N70" s="43" t="str">
        <f t="shared" si="214"/>
        <v>CoilClgWSDXEIRRatio_fQRatio</v>
      </c>
      <c r="O70" s="43" t="s">
        <v>230</v>
      </c>
      <c r="P70" s="20" t="s">
        <v>288</v>
      </c>
      <c r="Q70" s="43" t="s">
        <v>160</v>
      </c>
      <c r="V70" s="46">
        <v>0.2012301</v>
      </c>
      <c r="W70" s="46">
        <v>-3.1217499999999999E-2</v>
      </c>
      <c r="X70" s="46">
        <v>1.9504979</v>
      </c>
      <c r="Y70" s="46">
        <v>-1.1205105</v>
      </c>
      <c r="AF70" s="96"/>
      <c r="AG70" s="158" t="str">
        <f t="shared" si="253"/>
        <v/>
      </c>
      <c r="AH70" s="158">
        <f t="shared" si="254"/>
        <v>0.2</v>
      </c>
      <c r="AI70" s="158" t="str">
        <f t="shared" si="255"/>
        <v/>
      </c>
      <c r="AJ70" s="158" t="str">
        <f t="shared" si="270"/>
        <v/>
      </c>
      <c r="AK70" s="158" t="str">
        <f t="shared" si="256"/>
        <v/>
      </c>
      <c r="AL70" s="158" t="str">
        <f t="shared" si="257"/>
        <v/>
      </c>
      <c r="AO70" s="43">
        <v>0</v>
      </c>
      <c r="AP70" s="166" t="str">
        <f t="shared" si="8"/>
        <v/>
      </c>
      <c r="AQ70" s="166" t="str">
        <f t="shared" ref="AQ70:AQ110" si="272">IF(AO70=1,CONCATENATE(AT70,AU70,AV70,AW70,IF(AX70="-","",$AX$15&amp;AX70),IF(AY70="-","",$AY$15&amp;AY70),IF(AZ70="-","",$AZ$15&amp;AZ70),IF(BA70="-","",$BA$15&amp;BA70),IF(BB70="-","",$BB$15&amp;BB70),IF(BC70="-","",$BC$15&amp;BC70)),"")</f>
        <v/>
      </c>
      <c r="AR70" s="166" t="str">
        <f t="shared" si="175"/>
        <v/>
      </c>
      <c r="AS70" s="166" t="str">
        <f t="shared" si="23"/>
        <v/>
      </c>
      <c r="AT70" s="43" t="str">
        <f t="shared" si="82"/>
        <v/>
      </c>
      <c r="AU70" s="43" t="str">
        <f t="shared" si="24"/>
        <v xml:space="preserve">               </v>
      </c>
      <c r="AV70" s="62" t="str">
        <f t="shared" si="215"/>
        <v/>
      </c>
      <c r="AW70" s="43" t="str">
        <f t="shared" si="177"/>
        <v xml:space="preserve">                                                                 </v>
      </c>
      <c r="AX70" s="43" t="str">
        <f t="shared" si="121"/>
        <v/>
      </c>
      <c r="AY70" s="43" t="str">
        <f t="shared" si="122"/>
        <v/>
      </c>
      <c r="AZ70" s="43" t="str">
        <f t="shared" si="123"/>
        <v/>
      </c>
      <c r="BA70" s="43" t="str">
        <f t="shared" si="124"/>
        <v/>
      </c>
      <c r="BB70" s="43" t="str">
        <f t="shared" si="125"/>
        <v/>
      </c>
      <c r="BC70" s="43" t="str">
        <f t="shared" si="126"/>
        <v/>
      </c>
      <c r="BD70" s="43" t="str">
        <f t="shared" si="15"/>
        <v xml:space="preserve">_x000D_
                                                                                </v>
      </c>
      <c r="BE70" s="43" t="str">
        <f t="shared" si="188"/>
        <v/>
      </c>
      <c r="BF70" s="43" t="str">
        <f t="shared" si="189"/>
        <v/>
      </c>
      <c r="BG70" s="43" t="str">
        <f t="shared" si="190"/>
        <v/>
      </c>
      <c r="BH70" s="43" t="str">
        <f t="shared" si="191"/>
        <v/>
      </c>
      <c r="BI70" s="43" t="str">
        <f t="shared" si="192"/>
        <v/>
      </c>
      <c r="BJ70" s="43" t="str">
        <f t="shared" si="193"/>
        <v/>
      </c>
      <c r="BM70" s="43" t="str">
        <f t="shared" si="251"/>
        <v>QRatio</v>
      </c>
      <c r="BO70" s="43">
        <v>1</v>
      </c>
      <c r="BR70" s="43">
        <v>0</v>
      </c>
      <c r="BU70" s="147">
        <f t="shared" si="268"/>
        <v>1</v>
      </c>
      <c r="BV70" s="147"/>
      <c r="BW70" s="147">
        <f t="shared" si="271"/>
        <v>0.2012301</v>
      </c>
    </row>
    <row r="71" spans="1:80" hidden="1" outlineLevel="1" x14ac:dyDescent="0.25">
      <c r="B71" s="48"/>
      <c r="C71" s="48"/>
      <c r="E71" s="20" t="s">
        <v>306</v>
      </c>
      <c r="F71" s="20" t="s">
        <v>402</v>
      </c>
      <c r="G71" s="45" t="s">
        <v>543</v>
      </c>
      <c r="H71" s="43" t="s">
        <v>35</v>
      </c>
      <c r="J71" s="43" t="s">
        <v>273</v>
      </c>
      <c r="K71" s="43" t="s">
        <v>4</v>
      </c>
      <c r="L71" s="73"/>
      <c r="M71" s="73"/>
      <c r="N71" s="43" t="str">
        <f t="shared" si="214"/>
        <v>CoilClgPTACEIRRatio_fQRatio</v>
      </c>
      <c r="O71" s="43" t="s">
        <v>230</v>
      </c>
      <c r="P71" s="20" t="s">
        <v>288</v>
      </c>
      <c r="Q71" s="43" t="s">
        <v>160</v>
      </c>
      <c r="V71" s="46">
        <v>0.125</v>
      </c>
      <c r="W71" s="46">
        <v>0.875</v>
      </c>
      <c r="X71" s="46">
        <v>0</v>
      </c>
      <c r="Y71" s="46">
        <v>0</v>
      </c>
      <c r="AF71" s="96"/>
      <c r="AG71" s="158" t="str">
        <f t="shared" si="253"/>
        <v/>
      </c>
      <c r="AH71" s="158">
        <f t="shared" si="254"/>
        <v>0.13</v>
      </c>
      <c r="AI71" s="158" t="str">
        <f t="shared" si="255"/>
        <v/>
      </c>
      <c r="AJ71" s="158" t="str">
        <f t="shared" si="270"/>
        <v/>
      </c>
      <c r="AK71" s="158" t="str">
        <f t="shared" si="256"/>
        <v/>
      </c>
      <c r="AL71" s="158" t="str">
        <f t="shared" si="257"/>
        <v/>
      </c>
      <c r="AO71" s="43">
        <v>0</v>
      </c>
      <c r="AP71" s="166" t="str">
        <f t="shared" si="8"/>
        <v/>
      </c>
      <c r="AQ71" s="166" t="str">
        <f t="shared" si="272"/>
        <v/>
      </c>
      <c r="AR71" s="166" t="str">
        <f t="shared" si="175"/>
        <v/>
      </c>
      <c r="AS71" s="166" t="str">
        <f t="shared" si="23"/>
        <v/>
      </c>
      <c r="AT71" s="43" t="str">
        <f t="shared" si="82"/>
        <v/>
      </c>
      <c r="AU71" s="43" t="str">
        <f t="shared" si="24"/>
        <v xml:space="preserve">               </v>
      </c>
      <c r="AV71" s="62" t="str">
        <f t="shared" si="215"/>
        <v/>
      </c>
      <c r="AW71" s="43" t="str">
        <f t="shared" si="177"/>
        <v xml:space="preserve">                                                                 </v>
      </c>
      <c r="AX71" s="43" t="str">
        <f t="shared" si="121"/>
        <v/>
      </c>
      <c r="AY71" s="43" t="str">
        <f t="shared" si="122"/>
        <v/>
      </c>
      <c r="AZ71" s="43" t="str">
        <f t="shared" si="123"/>
        <v/>
      </c>
      <c r="BA71" s="43" t="str">
        <f t="shared" si="124"/>
        <v/>
      </c>
      <c r="BB71" s="43" t="str">
        <f t="shared" si="125"/>
        <v/>
      </c>
      <c r="BC71" s="43" t="str">
        <f t="shared" si="126"/>
        <v/>
      </c>
      <c r="BD71" s="43" t="str">
        <f t="shared" si="15"/>
        <v xml:space="preserve">_x000D_
                                                                                </v>
      </c>
      <c r="BE71" s="43" t="str">
        <f t="shared" si="188"/>
        <v/>
      </c>
      <c r="BF71" s="43" t="str">
        <f t="shared" si="189"/>
        <v/>
      </c>
      <c r="BG71" s="43" t="str">
        <f t="shared" si="190"/>
        <v/>
      </c>
      <c r="BH71" s="43" t="str">
        <f t="shared" si="191"/>
        <v/>
      </c>
      <c r="BI71" s="43" t="str">
        <f t="shared" si="192"/>
        <v/>
      </c>
      <c r="BJ71" s="43" t="str">
        <f t="shared" si="193"/>
        <v/>
      </c>
      <c r="BM71" s="43" t="str">
        <f t="shared" si="251"/>
        <v>QRatio</v>
      </c>
      <c r="BO71" s="43">
        <v>1</v>
      </c>
      <c r="BR71" s="43">
        <v>0</v>
      </c>
      <c r="BU71" s="147">
        <f t="shared" si="268"/>
        <v>1</v>
      </c>
      <c r="BV71" s="147"/>
      <c r="BW71" s="147">
        <f t="shared" si="271"/>
        <v>0.125</v>
      </c>
    </row>
    <row r="72" spans="1:80" hidden="1" outlineLevel="1" x14ac:dyDescent="0.25">
      <c r="B72" s="48"/>
      <c r="C72" s="48"/>
      <c r="E72" s="20" t="s">
        <v>306</v>
      </c>
      <c r="F72" s="20" t="s">
        <v>402</v>
      </c>
      <c r="G72" s="45" t="s">
        <v>546</v>
      </c>
      <c r="H72" s="43" t="s">
        <v>525</v>
      </c>
      <c r="J72" s="43" t="s">
        <v>273</v>
      </c>
      <c r="K72" s="43" t="s">
        <v>4</v>
      </c>
      <c r="L72" s="73"/>
      <c r="M72" s="73"/>
      <c r="N72" s="43" t="str">
        <f t="shared" si="214"/>
        <v>CoilClgDXSEEREIRRatio_fQRatio</v>
      </c>
      <c r="O72" s="43" t="s">
        <v>230</v>
      </c>
      <c r="P72" s="20" t="s">
        <v>288</v>
      </c>
      <c r="Q72" s="43" t="s">
        <v>160</v>
      </c>
      <c r="V72" s="46">
        <v>0</v>
      </c>
      <c r="W72" s="46">
        <v>1</v>
      </c>
      <c r="X72" s="46">
        <v>0</v>
      </c>
      <c r="Y72" s="46">
        <v>0</v>
      </c>
      <c r="AF72" s="96"/>
      <c r="AG72" s="158" t="str">
        <f t="shared" si="253"/>
        <v/>
      </c>
      <c r="AH72" s="158" t="str">
        <f t="shared" si="254"/>
        <v/>
      </c>
      <c r="AI72" s="158" t="str">
        <f t="shared" si="255"/>
        <v/>
      </c>
      <c r="AJ72" s="158" t="str">
        <f t="shared" si="270"/>
        <v/>
      </c>
      <c r="AK72" s="158" t="str">
        <f t="shared" si="256"/>
        <v/>
      </c>
      <c r="AL72" s="158" t="str">
        <f t="shared" si="257"/>
        <v/>
      </c>
      <c r="AO72" s="43">
        <v>0</v>
      </c>
      <c r="AP72" s="166" t="str">
        <f t="shared" si="8"/>
        <v/>
      </c>
      <c r="AQ72" s="166" t="str">
        <f t="shared" si="272"/>
        <v/>
      </c>
      <c r="AR72" s="166" t="str">
        <f t="shared" si="175"/>
        <v/>
      </c>
      <c r="AS72" s="166" t="str">
        <f t="shared" si="23"/>
        <v/>
      </c>
      <c r="AT72" s="43" t="str">
        <f t="shared" si="82"/>
        <v/>
      </c>
      <c r="AU72" s="43" t="str">
        <f t="shared" si="24"/>
        <v xml:space="preserve">               </v>
      </c>
      <c r="AV72" s="62" t="str">
        <f t="shared" si="215"/>
        <v/>
      </c>
      <c r="AW72" s="43" t="str">
        <f t="shared" si="177"/>
        <v xml:space="preserve">                                                                 </v>
      </c>
      <c r="AX72" s="43" t="str">
        <f t="shared" si="121"/>
        <v/>
      </c>
      <c r="AY72" s="43" t="str">
        <f t="shared" si="122"/>
        <v/>
      </c>
      <c r="AZ72" s="43" t="str">
        <f t="shared" si="123"/>
        <v/>
      </c>
      <c r="BA72" s="43" t="str">
        <f t="shared" si="124"/>
        <v/>
      </c>
      <c r="BB72" s="43" t="str">
        <f t="shared" si="125"/>
        <v/>
      </c>
      <c r="BC72" s="43" t="str">
        <f t="shared" si="126"/>
        <v/>
      </c>
      <c r="BD72" s="43" t="str">
        <f t="shared" si="15"/>
        <v xml:space="preserve"> </v>
      </c>
      <c r="BE72" s="43" t="str">
        <f t="shared" si="188"/>
        <v/>
      </c>
      <c r="BF72" s="43" t="str">
        <f t="shared" si="189"/>
        <v/>
      </c>
      <c r="BG72" s="43" t="str">
        <f t="shared" si="190"/>
        <v/>
      </c>
      <c r="BH72" s="43" t="str">
        <f t="shared" si="191"/>
        <v/>
      </c>
      <c r="BI72" s="43" t="str">
        <f t="shared" si="192"/>
        <v/>
      </c>
      <c r="BJ72" s="43" t="str">
        <f t="shared" si="193"/>
        <v/>
      </c>
      <c r="BO72" s="43">
        <v>1</v>
      </c>
      <c r="BR72" s="43">
        <v>0</v>
      </c>
      <c r="BU72" s="147">
        <f t="shared" si="268"/>
        <v>1</v>
      </c>
      <c r="BV72" s="147"/>
      <c r="BW72" s="147">
        <f t="shared" si="271"/>
        <v>0</v>
      </c>
    </row>
    <row r="73" spans="1:80" hidden="1" outlineLevel="1" x14ac:dyDescent="0.25">
      <c r="B73" s="48"/>
      <c r="C73" s="48"/>
      <c r="E73" s="20" t="s">
        <v>306</v>
      </c>
      <c r="F73" s="20" t="s">
        <v>402</v>
      </c>
      <c r="G73" s="45" t="s">
        <v>545</v>
      </c>
      <c r="H73" s="43" t="s">
        <v>301</v>
      </c>
      <c r="J73" s="43" t="s">
        <v>273</v>
      </c>
      <c r="K73" s="43" t="s">
        <v>4</v>
      </c>
      <c r="L73" s="73"/>
      <c r="M73" s="73"/>
      <c r="N73" s="43" t="str">
        <f t="shared" si="214"/>
        <v>CoilClgDXEIRRatio_fQRatio</v>
      </c>
      <c r="O73" s="43" t="s">
        <v>230</v>
      </c>
      <c r="P73" s="20" t="s">
        <v>288</v>
      </c>
      <c r="Q73" s="43" t="s">
        <v>160</v>
      </c>
      <c r="V73" s="46">
        <v>0.2012301</v>
      </c>
      <c r="W73" s="46">
        <v>-3.1217499999999999E-2</v>
      </c>
      <c r="X73" s="46">
        <v>1.9504979</v>
      </c>
      <c r="Y73" s="46">
        <v>-1.1205105</v>
      </c>
      <c r="AF73" s="96"/>
      <c r="AG73" s="158" t="str">
        <f t="shared" si="253"/>
        <v/>
      </c>
      <c r="AH73" s="158">
        <f t="shared" si="254"/>
        <v>0.2</v>
      </c>
      <c r="AI73" s="158" t="str">
        <f t="shared" si="255"/>
        <v/>
      </c>
      <c r="AJ73" s="158" t="str">
        <f t="shared" si="270"/>
        <v/>
      </c>
      <c r="AK73" s="158" t="str">
        <f t="shared" si="256"/>
        <v/>
      </c>
      <c r="AL73" s="158" t="str">
        <f t="shared" si="257"/>
        <v/>
      </c>
      <c r="AO73" s="43">
        <v>1</v>
      </c>
      <c r="AP73" s="166" t="str">
        <f t="shared" si="8"/>
        <v>CrvCubic       "CoilClgDXEIRRatio_fQRatio"                                      Coef1 =  0.201230  Coef2 = -0.031218  Coef3 =  1.950498  Coef4 = -1.120511  _x000D_
                                                                                MinOut = 0.200   _x000D_
..</v>
      </c>
      <c r="AQ73" s="166" t="str">
        <f t="shared" si="272"/>
        <v xml:space="preserve">CrvCubic       "CoilClgDXEIRRatio_fQRatio"                                      Coef1 =  0.201230  Coef2 = -0.031218  Coef3 =  1.950498  Coef4 = -1.120511  </v>
      </c>
      <c r="AR73" s="166" t="str">
        <f t="shared" si="175"/>
        <v xml:space="preserve">_x000D_
                                                                                MinOut = 0.200   </v>
      </c>
      <c r="AS73" s="166" t="str">
        <f t="shared" si="23"/>
        <v>_x000D_
..</v>
      </c>
      <c r="AT73" s="43" t="str">
        <f t="shared" si="82"/>
        <v>CrvCubic</v>
      </c>
      <c r="AU73" s="43" t="str">
        <f t="shared" si="24"/>
        <v xml:space="preserve">       </v>
      </c>
      <c r="AV73" s="62" t="str">
        <f t="shared" si="215"/>
        <v>"CoilClgDXEIRRatio_fQRatio"</v>
      </c>
      <c r="AW73" s="43" t="str">
        <f t="shared" si="177"/>
        <v xml:space="preserve">                                      </v>
      </c>
      <c r="AX73" s="43" t="str">
        <f t="shared" si="121"/>
        <v xml:space="preserve"> 0.201230  </v>
      </c>
      <c r="AY73" s="43" t="str">
        <f t="shared" si="122"/>
        <v xml:space="preserve">-0.031218  </v>
      </c>
      <c r="AZ73" s="43" t="str">
        <f t="shared" si="123"/>
        <v xml:space="preserve"> 1.950498  </v>
      </c>
      <c r="BA73" s="43" t="str">
        <f t="shared" si="124"/>
        <v xml:space="preserve">-1.120511  </v>
      </c>
      <c r="BB73" s="43" t="str">
        <f t="shared" si="125"/>
        <v>-</v>
      </c>
      <c r="BC73" s="43" t="str">
        <f t="shared" si="126"/>
        <v>-</v>
      </c>
      <c r="BD73" s="43" t="str">
        <f t="shared" si="15"/>
        <v xml:space="preserve">_x000D_
                                                                                </v>
      </c>
      <c r="BE73" s="43" t="str">
        <f t="shared" si="188"/>
        <v>-</v>
      </c>
      <c r="BF73" s="43" t="str">
        <f t="shared" si="189"/>
        <v xml:space="preserve">0.200   </v>
      </c>
      <c r="BG73" s="43" t="str">
        <f t="shared" si="190"/>
        <v>-</v>
      </c>
      <c r="BH73" s="43" t="str">
        <f t="shared" si="191"/>
        <v>-</v>
      </c>
      <c r="BI73" s="43" t="str">
        <f t="shared" si="192"/>
        <v>-</v>
      </c>
      <c r="BJ73" s="43" t="str">
        <f t="shared" si="193"/>
        <v>-</v>
      </c>
      <c r="BM73" s="20" t="str">
        <f>Q73</f>
        <v>QRatio</v>
      </c>
      <c r="BN73" s="20"/>
      <c r="BO73" s="20">
        <v>1</v>
      </c>
      <c r="BP73" s="20"/>
      <c r="BQ73" s="20"/>
      <c r="BR73" s="20">
        <v>0</v>
      </c>
      <c r="BS73" s="20"/>
      <c r="BT73" s="20"/>
      <c r="BU73" s="161">
        <f t="shared" si="268"/>
        <v>1</v>
      </c>
      <c r="BV73" s="161"/>
      <c r="BW73" s="161">
        <f t="shared" si="271"/>
        <v>0.2012301</v>
      </c>
      <c r="BX73" s="20"/>
      <c r="BY73" s="20"/>
      <c r="BZ73" s="20"/>
    </row>
    <row r="74" spans="1:80" ht="30" hidden="1" outlineLevel="1" x14ac:dyDescent="0.25">
      <c r="B74" s="48" t="s">
        <v>127</v>
      </c>
      <c r="C74" s="48" t="s">
        <v>290</v>
      </c>
      <c r="D74" s="44" t="s">
        <v>62</v>
      </c>
      <c r="E74" s="20" t="s">
        <v>306</v>
      </c>
      <c r="F74" s="20" t="s">
        <v>540</v>
      </c>
      <c r="G74" s="45" t="s">
        <v>543</v>
      </c>
      <c r="H74" s="43" t="s">
        <v>35</v>
      </c>
      <c r="J74" s="20" t="s">
        <v>144</v>
      </c>
      <c r="L74" s="45" t="s">
        <v>686</v>
      </c>
      <c r="M74" s="121" t="s">
        <v>167</v>
      </c>
      <c r="N74" s="43" t="str">
        <f t="shared" si="214"/>
        <v>CoilClgPTACEIRRatio_fQFrac</v>
      </c>
      <c r="O74" s="43" t="s">
        <v>230</v>
      </c>
      <c r="P74" s="20" t="s">
        <v>288</v>
      </c>
      <c r="Q74" s="65" t="s">
        <v>739</v>
      </c>
      <c r="V74" s="46">
        <v>0.85</v>
      </c>
      <c r="W74" s="61">
        <v>0.15</v>
      </c>
      <c r="X74" s="61">
        <v>0</v>
      </c>
      <c r="Y74" s="61">
        <v>0</v>
      </c>
      <c r="AF74" s="96"/>
      <c r="AG74" s="158">
        <f t="shared" si="253"/>
        <v>1</v>
      </c>
      <c r="AH74" s="158">
        <f t="shared" si="254"/>
        <v>0.96</v>
      </c>
      <c r="AI74" s="158">
        <f t="shared" si="255"/>
        <v>1</v>
      </c>
      <c r="AJ74" s="158">
        <f t="shared" si="270"/>
        <v>0.7</v>
      </c>
      <c r="AK74" s="158" t="str">
        <f t="shared" si="256"/>
        <v/>
      </c>
      <c r="AL74" s="158" t="str">
        <f t="shared" si="257"/>
        <v/>
      </c>
      <c r="AO74" s="43">
        <f t="shared" ref="AO74:AO81" si="273">IF(ISTEXT(A74),"",IF(I74="IP",0,1))</f>
        <v>1</v>
      </c>
      <c r="AP74" s="166" t="str">
        <f t="shared" si="8"/>
        <v>CrvCubic       "CoilClgPTACEIRRatio_fQFrac"                                     Coef1 =  0.850000  Coef2 =  0.150000  Coef3 =  0.000000  Coef4 =  0.000000  _x000D_
                                                                                MaxOut = 1.000   MinOut = 0.960   MaxVar1 = 1.000   MinVar1 = 0.700   _x000D_
..</v>
      </c>
      <c r="AQ74" s="166" t="str">
        <f t="shared" si="272"/>
        <v xml:space="preserve">CrvCubic       "CoilClgPTACEIRRatio_fQFrac"                                     Coef1 =  0.850000  Coef2 =  0.150000  Coef3 =  0.000000  Coef4 =  0.000000  </v>
      </c>
      <c r="AR74" s="166" t="str">
        <f t="shared" si="175"/>
        <v xml:space="preserve">_x000D_
                                                                                MaxOut = 1.000   MinOut = 0.960   MaxVar1 = 1.000   MinVar1 = 0.700   </v>
      </c>
      <c r="AS74" s="166" t="str">
        <f t="shared" si="23"/>
        <v>_x000D_
..</v>
      </c>
      <c r="AT74" s="43" t="str">
        <f t="shared" si="82"/>
        <v>CrvCubic</v>
      </c>
      <c r="AU74" s="43" t="str">
        <f t="shared" si="24"/>
        <v xml:space="preserve">       </v>
      </c>
      <c r="AV74" s="62" t="str">
        <f t="shared" si="215"/>
        <v>"CoilClgPTACEIRRatio_fQFrac"</v>
      </c>
      <c r="AW74" s="43" t="str">
        <f t="shared" si="177"/>
        <v xml:space="preserve">                                     </v>
      </c>
      <c r="AX74" s="43" t="str">
        <f t="shared" si="121"/>
        <v xml:space="preserve"> 0.850000  </v>
      </c>
      <c r="AY74" s="43" t="str">
        <f t="shared" si="122"/>
        <v xml:space="preserve"> 0.150000  </v>
      </c>
      <c r="AZ74" s="43" t="str">
        <f t="shared" si="123"/>
        <v xml:space="preserve"> 0.000000  </v>
      </c>
      <c r="BA74" s="43" t="str">
        <f t="shared" si="124"/>
        <v xml:space="preserve"> 0.000000  </v>
      </c>
      <c r="BB74" s="43" t="str">
        <f t="shared" si="125"/>
        <v>-</v>
      </c>
      <c r="BC74" s="43" t="str">
        <f t="shared" si="126"/>
        <v>-</v>
      </c>
      <c r="BD74" s="43" t="str">
        <f t="shared" si="15"/>
        <v xml:space="preserve">_x000D_
                                                                                </v>
      </c>
      <c r="BE74" s="43" t="str">
        <f t="shared" si="188"/>
        <v xml:space="preserve">1.000   </v>
      </c>
      <c r="BF74" s="43" t="str">
        <f t="shared" si="189"/>
        <v xml:space="preserve">0.960   </v>
      </c>
      <c r="BG74" s="43" t="str">
        <f t="shared" si="190"/>
        <v xml:space="preserve">1.000   </v>
      </c>
      <c r="BH74" s="43" t="str">
        <f t="shared" si="191"/>
        <v xml:space="preserve">0.700   </v>
      </c>
      <c r="BI74" s="43" t="str">
        <f t="shared" si="192"/>
        <v>-</v>
      </c>
      <c r="BJ74" s="43" t="str">
        <f t="shared" si="193"/>
        <v>-</v>
      </c>
      <c r="BM74" s="43" t="str">
        <f>Q74</f>
        <v>QFrac</v>
      </c>
      <c r="BO74" s="43">
        <v>1</v>
      </c>
      <c r="BQ74" s="43">
        <v>1</v>
      </c>
      <c r="BR74" s="43">
        <v>0.7</v>
      </c>
      <c r="BU74" s="147">
        <f t="shared" si="268"/>
        <v>1</v>
      </c>
      <c r="BV74" s="147">
        <v>1</v>
      </c>
      <c r="BW74" s="147">
        <f t="shared" si="271"/>
        <v>0.95499999999999996</v>
      </c>
    </row>
    <row r="75" spans="1:80" ht="30" hidden="1" outlineLevel="1" x14ac:dyDescent="0.25">
      <c r="E75" s="20" t="s">
        <v>306</v>
      </c>
      <c r="F75" s="20" t="s">
        <v>540</v>
      </c>
      <c r="G75" s="45" t="s">
        <v>546</v>
      </c>
      <c r="H75" s="43" t="s">
        <v>525</v>
      </c>
      <c r="J75" s="20" t="s">
        <v>144</v>
      </c>
      <c r="L75" s="45" t="s">
        <v>686</v>
      </c>
      <c r="M75" s="121" t="s">
        <v>167</v>
      </c>
      <c r="N75" s="43" t="str">
        <f t="shared" si="214"/>
        <v>CoilClgDXSEEREIRRatio_fQFrac</v>
      </c>
      <c r="O75" s="43" t="s">
        <v>230</v>
      </c>
      <c r="P75" s="20" t="s">
        <v>288</v>
      </c>
      <c r="Q75" s="65" t="s">
        <v>739</v>
      </c>
      <c r="V75" s="46">
        <v>1</v>
      </c>
      <c r="W75" s="61">
        <v>0</v>
      </c>
      <c r="X75" s="61">
        <v>0</v>
      </c>
      <c r="Y75" s="61">
        <v>0</v>
      </c>
      <c r="AF75" s="96"/>
      <c r="AG75" s="158">
        <f t="shared" ref="AG75:AG92" si="274">IF(BV75&gt;0,ROUND(BV75,2),"")</f>
        <v>1</v>
      </c>
      <c r="AH75" s="158">
        <f t="shared" ref="AH75:AH92" si="275">IF(BW75&gt;0,ROUND(BW75,2),"")</f>
        <v>1</v>
      </c>
      <c r="AI75" s="158">
        <f t="shared" ref="AI75:AI92" si="276">IF(BQ75&gt;0,ROUND(BQ75,2),"")</f>
        <v>1</v>
      </c>
      <c r="AJ75" s="158">
        <f t="shared" si="270"/>
        <v>0.7</v>
      </c>
      <c r="AK75" s="158" t="str">
        <f t="shared" ref="AK75:AK92" si="277">IF(BS75&gt;0,ROUND(BS75,2),"")</f>
        <v/>
      </c>
      <c r="AL75" s="158" t="str">
        <f t="shared" ref="AL75:AL92" si="278">IF(BT75&gt;0,ROUND(BT75,2),"")</f>
        <v/>
      </c>
      <c r="AO75" s="43">
        <f t="shared" si="273"/>
        <v>1</v>
      </c>
      <c r="AP75" s="166" t="str">
        <f t="shared" si="8"/>
        <v>CrvCubic       "CoilClgDXSEEREIRRatio_fQFrac"                                   Coef1 =  1.000000  Coef2 =  0.000000  Coef3 =  0.000000  Coef4 =  0.000000  _x000D_
                                                                                MaxOut = 1.000   MinOut = 1.000   MaxVar1 = 1.000   MinVar1 = 0.700   _x000D_
..</v>
      </c>
      <c r="AQ75" s="166" t="str">
        <f t="shared" si="272"/>
        <v xml:space="preserve">CrvCubic       "CoilClgDXSEEREIRRatio_fQFrac"                                   Coef1 =  1.000000  Coef2 =  0.000000  Coef3 =  0.000000  Coef4 =  0.000000  </v>
      </c>
      <c r="AR75" s="166" t="str">
        <f t="shared" si="175"/>
        <v xml:space="preserve">_x000D_
                                                                                MaxOut = 1.000   MinOut = 1.000   MaxVar1 = 1.000   MinVar1 = 0.700   </v>
      </c>
      <c r="AS75" s="166" t="str">
        <f t="shared" si="23"/>
        <v>_x000D_
..</v>
      </c>
      <c r="AT75" s="43" t="str">
        <f t="shared" si="82"/>
        <v>CrvCubic</v>
      </c>
      <c r="AU75" s="43" t="str">
        <f t="shared" si="24"/>
        <v xml:space="preserve">       </v>
      </c>
      <c r="AV75" s="62" t="str">
        <f t="shared" si="215"/>
        <v>"CoilClgDXSEEREIRRatio_fQFrac"</v>
      </c>
      <c r="AW75" s="43" t="str">
        <f t="shared" si="177"/>
        <v xml:space="preserve">                                   </v>
      </c>
      <c r="AX75" s="43" t="str">
        <f t="shared" si="121"/>
        <v xml:space="preserve"> 1.000000  </v>
      </c>
      <c r="AY75" s="43" t="str">
        <f t="shared" si="122"/>
        <v xml:space="preserve"> 0.000000  </v>
      </c>
      <c r="AZ75" s="43" t="str">
        <f t="shared" si="123"/>
        <v xml:space="preserve"> 0.000000  </v>
      </c>
      <c r="BA75" s="43" t="str">
        <f t="shared" si="124"/>
        <v xml:space="preserve"> 0.000000  </v>
      </c>
      <c r="BB75" s="43" t="str">
        <f t="shared" si="125"/>
        <v>-</v>
      </c>
      <c r="BC75" s="43" t="str">
        <f t="shared" si="126"/>
        <v>-</v>
      </c>
      <c r="BD75" s="43" t="str">
        <f t="shared" si="15"/>
        <v xml:space="preserve">_x000D_
                                                                                </v>
      </c>
      <c r="BE75" s="43" t="str">
        <f t="shared" si="188"/>
        <v xml:space="preserve">1.000   </v>
      </c>
      <c r="BF75" s="43" t="str">
        <f t="shared" si="189"/>
        <v xml:space="preserve">1.000   </v>
      </c>
      <c r="BG75" s="43" t="str">
        <f t="shared" si="190"/>
        <v xml:space="preserve">1.000   </v>
      </c>
      <c r="BH75" s="43" t="str">
        <f t="shared" si="191"/>
        <v xml:space="preserve">0.700   </v>
      </c>
      <c r="BI75" s="43" t="str">
        <f t="shared" si="192"/>
        <v>-</v>
      </c>
      <c r="BJ75" s="43" t="str">
        <f t="shared" si="193"/>
        <v>-</v>
      </c>
      <c r="BM75" s="43" t="str">
        <f>Q75</f>
        <v>QFrac</v>
      </c>
      <c r="BO75" s="43">
        <v>1</v>
      </c>
      <c r="BQ75" s="43">
        <v>1</v>
      </c>
      <c r="BR75" s="43">
        <v>0.7</v>
      </c>
      <c r="BU75" s="147">
        <f t="shared" si="268"/>
        <v>1</v>
      </c>
      <c r="BV75" s="147">
        <v>1</v>
      </c>
      <c r="BW75" s="147">
        <f t="shared" si="271"/>
        <v>1</v>
      </c>
    </row>
    <row r="76" spans="1:80" ht="45" hidden="1" outlineLevel="1" x14ac:dyDescent="0.25">
      <c r="E76" s="20" t="s">
        <v>306</v>
      </c>
      <c r="F76" s="20" t="s">
        <v>540</v>
      </c>
      <c r="G76" s="45" t="s">
        <v>545</v>
      </c>
      <c r="H76" s="43" t="s">
        <v>301</v>
      </c>
      <c r="J76" s="20" t="s">
        <v>144</v>
      </c>
      <c r="L76" s="45" t="s">
        <v>534</v>
      </c>
      <c r="M76" s="121" t="s">
        <v>167</v>
      </c>
      <c r="N76" s="43" t="str">
        <f t="shared" si="214"/>
        <v>CoilClgDXEIRRatio_fQFrac</v>
      </c>
      <c r="O76" s="43" t="s">
        <v>230</v>
      </c>
      <c r="P76" s="20" t="s">
        <v>288</v>
      </c>
      <c r="Q76" s="65" t="s">
        <v>739</v>
      </c>
      <c r="V76" s="46">
        <v>0</v>
      </c>
      <c r="W76" s="61">
        <v>5.1090999999999998</v>
      </c>
      <c r="X76" s="61">
        <v>-8.5515000000000008</v>
      </c>
      <c r="Y76" s="61">
        <v>4.4744000000000002</v>
      </c>
      <c r="AF76" s="96"/>
      <c r="AG76" s="158">
        <f t="shared" si="274"/>
        <v>1</v>
      </c>
      <c r="AH76" s="158">
        <f t="shared" si="275"/>
        <v>0.92</v>
      </c>
      <c r="AI76" s="158">
        <f t="shared" si="276"/>
        <v>1</v>
      </c>
      <c r="AJ76" s="158">
        <f t="shared" si="270"/>
        <v>0.7</v>
      </c>
      <c r="AK76" s="158" t="str">
        <f t="shared" si="277"/>
        <v/>
      </c>
      <c r="AL76" s="158" t="str">
        <f t="shared" si="278"/>
        <v/>
      </c>
      <c r="AO76" s="43">
        <f t="shared" si="273"/>
        <v>1</v>
      </c>
      <c r="AP76" s="166" t="str">
        <f t="shared" si="8"/>
        <v>CrvCubic       "CoilClgDXEIRRatio_fQFrac"                                       Coef1 =  0.000000  Coef2 =  5.109100  Coef3 = -8.551500  Coef4 =  4.474400  _x000D_
                                                                                MaxOut = 1.000   MinOut = 0.920   MaxVar1 = 1.000   MinVar1 = 0.700   _x000D_
..</v>
      </c>
      <c r="AQ76" s="166" t="str">
        <f t="shared" si="272"/>
        <v xml:space="preserve">CrvCubic       "CoilClgDXEIRRatio_fQFrac"                                       Coef1 =  0.000000  Coef2 =  5.109100  Coef3 = -8.551500  Coef4 =  4.474400  </v>
      </c>
      <c r="AR76" s="166" t="str">
        <f t="shared" si="175"/>
        <v xml:space="preserve">_x000D_
                                                                                MaxOut = 1.000   MinOut = 0.920   MaxVar1 = 1.000   MinVar1 = 0.700   </v>
      </c>
      <c r="AS76" s="166" t="str">
        <f t="shared" si="23"/>
        <v>_x000D_
..</v>
      </c>
      <c r="AT76" s="43" t="str">
        <f t="shared" si="82"/>
        <v>CrvCubic</v>
      </c>
      <c r="AU76" s="43" t="str">
        <f t="shared" si="24"/>
        <v xml:space="preserve">       </v>
      </c>
      <c r="AV76" s="62" t="str">
        <f t="shared" si="215"/>
        <v>"CoilClgDXEIRRatio_fQFrac"</v>
      </c>
      <c r="AW76" s="43" t="str">
        <f t="shared" si="177"/>
        <v xml:space="preserve">                                       </v>
      </c>
      <c r="AX76" s="43" t="str">
        <f t="shared" si="121"/>
        <v xml:space="preserve"> 0.000000  </v>
      </c>
      <c r="AY76" s="43" t="str">
        <f t="shared" si="122"/>
        <v xml:space="preserve"> 5.109100  </v>
      </c>
      <c r="AZ76" s="43" t="str">
        <f t="shared" si="123"/>
        <v xml:space="preserve">-8.551500  </v>
      </c>
      <c r="BA76" s="43" t="str">
        <f t="shared" si="124"/>
        <v xml:space="preserve"> 4.474400  </v>
      </c>
      <c r="BB76" s="43" t="str">
        <f t="shared" si="125"/>
        <v>-</v>
      </c>
      <c r="BC76" s="43" t="str">
        <f t="shared" si="126"/>
        <v>-</v>
      </c>
      <c r="BD76" s="43" t="str">
        <f t="shared" si="15"/>
        <v xml:space="preserve">_x000D_
                                                                                </v>
      </c>
      <c r="BE76" s="43" t="str">
        <f t="shared" si="188"/>
        <v xml:space="preserve">1.000   </v>
      </c>
      <c r="BF76" s="43" t="str">
        <f t="shared" si="189"/>
        <v xml:space="preserve">0.920   </v>
      </c>
      <c r="BG76" s="43" t="str">
        <f t="shared" si="190"/>
        <v xml:space="preserve">1.000   </v>
      </c>
      <c r="BH76" s="43" t="str">
        <f t="shared" si="191"/>
        <v xml:space="preserve">0.700   </v>
      </c>
      <c r="BI76" s="43" t="str">
        <f t="shared" si="192"/>
        <v>-</v>
      </c>
      <c r="BJ76" s="43" t="str">
        <f t="shared" si="193"/>
        <v>-</v>
      </c>
      <c r="BM76" s="75" t="str">
        <f>Q76</f>
        <v>QFrac</v>
      </c>
      <c r="BN76" s="75"/>
      <c r="BO76" s="75">
        <v>1</v>
      </c>
      <c r="BP76" s="75"/>
      <c r="BQ76" s="75">
        <v>1</v>
      </c>
      <c r="BR76" s="75">
        <v>0.7</v>
      </c>
      <c r="BS76" s="75"/>
      <c r="BT76" s="75"/>
      <c r="BU76" s="162">
        <f t="shared" si="268"/>
        <v>1.0319999999999991</v>
      </c>
      <c r="BV76" s="162">
        <v>1</v>
      </c>
      <c r="BW76" s="162">
        <f t="shared" si="271"/>
        <v>0.92085419999999951</v>
      </c>
      <c r="BX76" s="43" t="s">
        <v>740</v>
      </c>
    </row>
    <row r="77" spans="1:80" collapsed="1" x14ac:dyDescent="0.25">
      <c r="A77" s="41" t="s">
        <v>298</v>
      </c>
      <c r="N77" s="43" t="str">
        <f t="shared" si="214"/>
        <v>-</v>
      </c>
      <c r="P77" s="20"/>
      <c r="AG77" s="158" t="str">
        <f t="shared" si="274"/>
        <v/>
      </c>
      <c r="AH77" s="158" t="str">
        <f t="shared" si="275"/>
        <v/>
      </c>
      <c r="AI77" s="158" t="str">
        <f t="shared" si="276"/>
        <v/>
      </c>
      <c r="AJ77" s="158" t="str">
        <f t="shared" si="270"/>
        <v/>
      </c>
      <c r="AK77" s="158" t="str">
        <f t="shared" si="277"/>
        <v/>
      </c>
      <c r="AL77" s="158" t="str">
        <f t="shared" si="278"/>
        <v/>
      </c>
      <c r="AO77" s="43" t="str">
        <f t="shared" si="273"/>
        <v/>
      </c>
      <c r="AP77" s="166" t="str">
        <f t="shared" si="8"/>
        <v/>
      </c>
      <c r="AQ77" s="166" t="str">
        <f t="shared" si="272"/>
        <v/>
      </c>
      <c r="AR77" s="166" t="str">
        <f t="shared" si="175"/>
        <v/>
      </c>
      <c r="AS77" s="166" t="str">
        <f t="shared" si="23"/>
        <v/>
      </c>
      <c r="AT77" s="43" t="str">
        <f t="shared" si="82"/>
        <v/>
      </c>
      <c r="AU77" s="43" t="str">
        <f t="shared" si="24"/>
        <v xml:space="preserve">               </v>
      </c>
      <c r="AV77" s="62" t="str">
        <f t="shared" si="215"/>
        <v/>
      </c>
      <c r="AW77" s="43" t="str">
        <f t="shared" si="177"/>
        <v xml:space="preserve">                                                                 </v>
      </c>
      <c r="AX77" s="43" t="str">
        <f t="shared" si="121"/>
        <v/>
      </c>
      <c r="AY77" s="43" t="str">
        <f t="shared" si="122"/>
        <v/>
      </c>
      <c r="AZ77" s="43" t="str">
        <f t="shared" si="123"/>
        <v/>
      </c>
      <c r="BA77" s="43" t="str">
        <f t="shared" si="124"/>
        <v/>
      </c>
      <c r="BB77" s="43" t="str">
        <f t="shared" si="125"/>
        <v/>
      </c>
      <c r="BC77" s="43" t="str">
        <f t="shared" si="126"/>
        <v/>
      </c>
      <c r="BD77" s="43" t="str">
        <f t="shared" si="15"/>
        <v xml:space="preserve"> </v>
      </c>
      <c r="BE77" s="43" t="str">
        <f t="shared" si="188"/>
        <v/>
      </c>
      <c r="BF77" s="43" t="str">
        <f t="shared" si="189"/>
        <v/>
      </c>
      <c r="BG77" s="43" t="str">
        <f t="shared" si="190"/>
        <v/>
      </c>
      <c r="BH77" s="43" t="str">
        <f t="shared" si="191"/>
        <v/>
      </c>
      <c r="BI77" s="43" t="str">
        <f t="shared" si="192"/>
        <v/>
      </c>
      <c r="BJ77" s="43" t="str">
        <f t="shared" si="193"/>
        <v/>
      </c>
      <c r="BU77" s="147"/>
      <c r="BV77" s="147"/>
      <c r="BW77" s="147"/>
      <c r="BX77" s="48"/>
      <c r="BY77" s="48"/>
      <c r="BZ77" s="48"/>
      <c r="CA77" s="48"/>
      <c r="CB77" s="48"/>
    </row>
    <row r="78" spans="1:80" hidden="1" outlineLevel="1" x14ac:dyDescent="0.25">
      <c r="B78" s="43" t="s">
        <v>131</v>
      </c>
      <c r="C78" s="70" t="s">
        <v>130</v>
      </c>
      <c r="D78" s="44" t="s">
        <v>60</v>
      </c>
      <c r="E78" s="20" t="s">
        <v>307</v>
      </c>
      <c r="F78" s="20" t="s">
        <v>531</v>
      </c>
      <c r="G78" s="45" t="s">
        <v>5</v>
      </c>
      <c r="H78" s="43" t="s">
        <v>296</v>
      </c>
      <c r="J78" s="43" t="s">
        <v>272</v>
      </c>
      <c r="K78" s="43" t="s">
        <v>122</v>
      </c>
      <c r="L78" s="43" t="s">
        <v>166</v>
      </c>
      <c r="M78" s="43" t="s">
        <v>167</v>
      </c>
      <c r="N78" s="43" t="str">
        <f t="shared" si="214"/>
        <v>CoilHtgFurnFIRRatio_fQRatio</v>
      </c>
      <c r="O78" s="20" t="s">
        <v>162</v>
      </c>
      <c r="P78" s="20" t="s">
        <v>391</v>
      </c>
      <c r="Q78" s="43" t="s">
        <v>160</v>
      </c>
      <c r="V78" s="46">
        <v>1.8610000000000002E-2</v>
      </c>
      <c r="W78" s="46">
        <v>1.094209</v>
      </c>
      <c r="X78" s="46">
        <v>-0.112819</v>
      </c>
      <c r="AG78" s="158">
        <f t="shared" si="274"/>
        <v>1</v>
      </c>
      <c r="AH78" s="158">
        <f t="shared" si="275"/>
        <v>0.73</v>
      </c>
      <c r="AI78" s="158">
        <f t="shared" si="276"/>
        <v>1</v>
      </c>
      <c r="AJ78" s="158">
        <f t="shared" si="270"/>
        <v>0.7</v>
      </c>
      <c r="AK78" s="158" t="str">
        <f t="shared" si="277"/>
        <v/>
      </c>
      <c r="AL78" s="158" t="str">
        <f t="shared" si="278"/>
        <v/>
      </c>
      <c r="AO78" s="43">
        <f t="shared" si="273"/>
        <v>1</v>
      </c>
      <c r="AP78" s="166" t="str">
        <f t="shared" si="8"/>
        <v>CrvQuad        "CoilHtgFurnFIRRatio_fQRatio"                                    Coef1 =  0.018610  Coef2 =  1.094209  Coef3 = -0.112819  _x000D_
                                                                                MaxOut = 1.000   MinOut = 0.730   MaxVar1 = 1.000   MinVar1 = 0.700   _x000D_
..</v>
      </c>
      <c r="AQ78" s="166" t="str">
        <f t="shared" si="272"/>
        <v xml:space="preserve">CrvQuad        "CoilHtgFurnFIRRatio_fQRatio"                                    Coef1 =  0.018610  Coef2 =  1.094209  Coef3 = -0.112819  </v>
      </c>
      <c r="AR78" s="166" t="str">
        <f t="shared" si="175"/>
        <v xml:space="preserve">_x000D_
                                                                                MaxOut = 1.000   MinOut = 0.730   MaxVar1 = 1.000   MinVar1 = 0.700   </v>
      </c>
      <c r="AS78" s="166" t="str">
        <f t="shared" si="23"/>
        <v>_x000D_
..</v>
      </c>
      <c r="AT78" s="43" t="str">
        <f t="shared" si="82"/>
        <v>CrvQuad</v>
      </c>
      <c r="AU78" s="43" t="str">
        <f t="shared" si="24"/>
        <v xml:space="preserve">        </v>
      </c>
      <c r="AV78" s="62" t="str">
        <f t="shared" si="215"/>
        <v>"CoilHtgFurnFIRRatio_fQRatio"</v>
      </c>
      <c r="AW78" s="43" t="str">
        <f t="shared" si="177"/>
        <v xml:space="preserve">                                    </v>
      </c>
      <c r="AX78" s="43" t="str">
        <f t="shared" si="121"/>
        <v xml:space="preserve"> 0.018610  </v>
      </c>
      <c r="AY78" s="43" t="str">
        <f t="shared" si="122"/>
        <v xml:space="preserve"> 1.094209  </v>
      </c>
      <c r="AZ78" s="43" t="str">
        <f t="shared" si="123"/>
        <v xml:space="preserve">-0.112819  </v>
      </c>
      <c r="BA78" s="43" t="str">
        <f t="shared" si="124"/>
        <v>-</v>
      </c>
      <c r="BB78" s="43" t="str">
        <f t="shared" si="125"/>
        <v>-</v>
      </c>
      <c r="BC78" s="43" t="str">
        <f t="shared" si="126"/>
        <v>-</v>
      </c>
      <c r="BD78" s="43" t="str">
        <f t="shared" si="15"/>
        <v xml:space="preserve">_x000D_
                                                                                </v>
      </c>
      <c r="BE78" s="43" t="str">
        <f t="shared" si="188"/>
        <v xml:space="preserve">1.000   </v>
      </c>
      <c r="BF78" s="43" t="str">
        <f t="shared" si="189"/>
        <v xml:space="preserve">0.730   </v>
      </c>
      <c r="BG78" s="43" t="str">
        <f t="shared" si="190"/>
        <v xml:space="preserve">1.000   </v>
      </c>
      <c r="BH78" s="43" t="str">
        <f t="shared" si="191"/>
        <v xml:space="preserve">0.700   </v>
      </c>
      <c r="BI78" s="43" t="str">
        <f t="shared" si="192"/>
        <v>-</v>
      </c>
      <c r="BJ78" s="43" t="str">
        <f t="shared" si="193"/>
        <v>-</v>
      </c>
      <c r="BM78" s="43" t="str">
        <f t="shared" ref="BM78:BM91" si="279">Q78</f>
        <v>QRatio</v>
      </c>
      <c r="BO78" s="43">
        <v>1</v>
      </c>
      <c r="BQ78" s="43">
        <v>1</v>
      </c>
      <c r="BR78" s="43">
        <v>0.7</v>
      </c>
      <c r="BU78" s="147">
        <f>$V78+$W78*BO78+$X78*BO78^2+$Y78*BO78^3</f>
        <v>1</v>
      </c>
      <c r="BV78" s="147">
        <f t="shared" ref="BV78:BW80" si="280">$V78+$W78*BQ78+$X78*BQ78^2+$Y78*BQ78^3</f>
        <v>1</v>
      </c>
      <c r="BW78" s="147">
        <f t="shared" si="280"/>
        <v>0.72927498999999996</v>
      </c>
    </row>
    <row r="79" spans="1:80" ht="30" hidden="1" outlineLevel="1" x14ac:dyDescent="0.25">
      <c r="B79" s="43" t="s">
        <v>129</v>
      </c>
      <c r="C79" s="70" t="s">
        <v>132</v>
      </c>
      <c r="D79" s="45" t="s">
        <v>63</v>
      </c>
      <c r="E79" s="20" t="s">
        <v>307</v>
      </c>
      <c r="F79" s="20" t="s">
        <v>408</v>
      </c>
      <c r="G79" s="45" t="s">
        <v>548</v>
      </c>
      <c r="H79" s="43" t="s">
        <v>36</v>
      </c>
      <c r="I79" s="43" t="s">
        <v>659</v>
      </c>
      <c r="J79" s="43" t="s">
        <v>273</v>
      </c>
      <c r="K79" s="43" t="s">
        <v>6</v>
      </c>
      <c r="N79" s="43" t="str">
        <f t="shared" si="214"/>
        <v>CoilHtgHPQRatio_fToadbIP</v>
      </c>
      <c r="O79" s="43" t="s">
        <v>230</v>
      </c>
      <c r="P79" s="20" t="s">
        <v>160</v>
      </c>
      <c r="Q79" s="56" t="s">
        <v>460</v>
      </c>
      <c r="V79" s="61">
        <v>0.25367139999999999</v>
      </c>
      <c r="W79" s="61">
        <v>1.0435099999999999E-2</v>
      </c>
      <c r="X79" s="61">
        <v>1.861E-4</v>
      </c>
      <c r="Y79" s="61">
        <v>-1.5E-6</v>
      </c>
      <c r="Z79" s="61" t="s">
        <v>32</v>
      </c>
      <c r="AA79" s="136" t="s">
        <v>32</v>
      </c>
      <c r="AB79" s="20"/>
      <c r="AC79" s="20"/>
      <c r="AG79" s="158">
        <f t="shared" si="274"/>
        <v>1.05</v>
      </c>
      <c r="AH79" s="158">
        <f t="shared" si="275"/>
        <v>0.17</v>
      </c>
      <c r="AI79" s="158">
        <f t="shared" si="276"/>
        <v>50</v>
      </c>
      <c r="AJ79" s="158" t="str">
        <f t="shared" si="270"/>
        <v/>
      </c>
      <c r="AK79" s="158" t="str">
        <f t="shared" si="277"/>
        <v/>
      </c>
      <c r="AL79" s="158" t="str">
        <f t="shared" si="278"/>
        <v/>
      </c>
      <c r="AO79" s="43">
        <f t="shared" si="273"/>
        <v>0</v>
      </c>
      <c r="AP79" s="166" t="str">
        <f t="shared" si="8"/>
        <v/>
      </c>
      <c r="AQ79" s="166" t="str">
        <f t="shared" si="272"/>
        <v/>
      </c>
      <c r="AR79" s="166" t="str">
        <f t="shared" si="175"/>
        <v/>
      </c>
      <c r="AS79" s="166" t="str">
        <f t="shared" si="23"/>
        <v/>
      </c>
      <c r="AT79" s="43" t="str">
        <f t="shared" si="82"/>
        <v/>
      </c>
      <c r="AU79" s="43" t="str">
        <f t="shared" si="24"/>
        <v xml:space="preserve">               </v>
      </c>
      <c r="AV79" s="62" t="str">
        <f t="shared" si="215"/>
        <v/>
      </c>
      <c r="AW79" s="43" t="str">
        <f t="shared" si="177"/>
        <v xml:space="preserve">                                                                 </v>
      </c>
      <c r="AX79" s="43" t="str">
        <f t="shared" si="121"/>
        <v/>
      </c>
      <c r="AY79" s="43" t="str">
        <f t="shared" si="122"/>
        <v/>
      </c>
      <c r="AZ79" s="43" t="str">
        <f t="shared" si="123"/>
        <v/>
      </c>
      <c r="BA79" s="43" t="str">
        <f t="shared" si="124"/>
        <v/>
      </c>
      <c r="BB79" s="43" t="str">
        <f t="shared" si="125"/>
        <v/>
      </c>
      <c r="BC79" s="43" t="str">
        <f t="shared" si="126"/>
        <v/>
      </c>
      <c r="BD79" s="43" t="str">
        <f t="shared" si="15"/>
        <v xml:space="preserve">_x000D_
                                                                                </v>
      </c>
      <c r="BE79" s="43" t="str">
        <f t="shared" si="188"/>
        <v/>
      </c>
      <c r="BF79" s="43" t="str">
        <f t="shared" si="189"/>
        <v/>
      </c>
      <c r="BG79" s="43" t="str">
        <f t="shared" si="190"/>
        <v/>
      </c>
      <c r="BH79" s="43" t="str">
        <f t="shared" si="191"/>
        <v/>
      </c>
      <c r="BI79" s="43" t="str">
        <f t="shared" si="192"/>
        <v/>
      </c>
      <c r="BJ79" s="43" t="str">
        <f t="shared" si="193"/>
        <v/>
      </c>
      <c r="BM79" s="43" t="str">
        <f t="shared" si="279"/>
        <v>Toadb</v>
      </c>
      <c r="BO79" s="43">
        <v>47</v>
      </c>
      <c r="BQ79" s="43">
        <v>50</v>
      </c>
      <c r="BR79" s="43">
        <v>-10</v>
      </c>
      <c r="BU79" s="147">
        <f>$V79+$W79*BO79+$X79*BO79^2+$Y79*BO79^3</f>
        <v>0.99948150000000002</v>
      </c>
      <c r="BV79" s="147">
        <f t="shared" si="280"/>
        <v>1.0531763999999999</v>
      </c>
      <c r="BW79" s="147">
        <f t="shared" si="280"/>
        <v>0.16943039999999998</v>
      </c>
    </row>
    <row r="80" spans="1:80" hidden="1" outlineLevel="1" x14ac:dyDescent="0.25">
      <c r="C80" s="70"/>
      <c r="D80" s="45"/>
      <c r="E80" s="20" t="s">
        <v>307</v>
      </c>
      <c r="F80" s="20" t="s">
        <v>408</v>
      </c>
      <c r="G80" s="45" t="s">
        <v>548</v>
      </c>
      <c r="H80" s="43" t="s">
        <v>36</v>
      </c>
      <c r="I80" s="43" t="s">
        <v>660</v>
      </c>
      <c r="J80" s="48" t="s">
        <v>144</v>
      </c>
      <c r="L80" s="43" t="s">
        <v>310</v>
      </c>
      <c r="M80" s="43" t="s">
        <v>172</v>
      </c>
      <c r="N80" s="43" t="str">
        <f t="shared" si="214"/>
        <v>CoilHtgHPQRatio_fToadbSI</v>
      </c>
      <c r="O80" s="43" t="s">
        <v>230</v>
      </c>
      <c r="P80" s="20" t="s">
        <v>160</v>
      </c>
      <c r="Q80" s="43" t="s">
        <v>460</v>
      </c>
      <c r="V80" s="61">
        <v>0.72900900000000002</v>
      </c>
      <c r="W80" s="61">
        <v>3.1927499999999998E-2</v>
      </c>
      <c r="X80" s="61">
        <v>1.3640399999999999E-4</v>
      </c>
      <c r="Y80" s="61">
        <v>-8.7479999999999999E-6</v>
      </c>
      <c r="Z80" s="61"/>
      <c r="AA80" s="61"/>
      <c r="AB80" s="20"/>
      <c r="AC80" s="20"/>
      <c r="AG80" s="158">
        <f t="shared" si="274"/>
        <v>1.05</v>
      </c>
      <c r="AH80" s="158">
        <f t="shared" si="275"/>
        <v>0.17</v>
      </c>
      <c r="AI80" s="158">
        <f t="shared" si="276"/>
        <v>10</v>
      </c>
      <c r="AJ80" s="158" t="str">
        <f t="shared" si="270"/>
        <v/>
      </c>
      <c r="AK80" s="158" t="str">
        <f t="shared" si="277"/>
        <v/>
      </c>
      <c r="AL80" s="158" t="str">
        <f t="shared" si="278"/>
        <v/>
      </c>
      <c r="AO80" s="43">
        <f t="shared" si="273"/>
        <v>1</v>
      </c>
      <c r="AP80" s="166" t="str">
        <f t="shared" ref="AP80" si="281">IF(AO80=1,CONCATENATE(AQ80,AR80,AS80),"")</f>
        <v>CrvCubic       "CoilHtgHPQRatio_fToadbSI"                                       Coef1 =  0.729009  Coef2 =  0.031928  Coef3 =  0.000136  Coef4 = -0.000009  _x000D_
                                                                                MaxOut = 1.050   MinOut = 0.170   MaxVar1 = 10.000   _x000D_
..</v>
      </c>
      <c r="AQ80" s="166" t="str">
        <f t="shared" ref="AQ80" si="282">IF(AO80=1,CONCATENATE(AT80,AU80,AV80,AW80,IF(AX80="-","",$AX$15&amp;AX80),IF(AY80="-","",$AY$15&amp;AY80),IF(AZ80="-","",$AZ$15&amp;AZ80),IF(BA80="-","",$BA$15&amp;BA80),IF(BB80="-","",$BB$15&amp;BB80),IF(BC80="-","",$BC$15&amp;BC80)),"")</f>
        <v xml:space="preserve">CrvCubic       "CoilHtgHPQRatio_fToadbSI"                                       Coef1 =  0.729009  Coef2 =  0.031928  Coef3 =  0.000136  Coef4 = -0.000009  </v>
      </c>
      <c r="AR80" s="166" t="str">
        <f t="shared" ref="AR80" si="283">IF(AO80=1,CONCATENATE(BD80,IF(BE80="-","",$BE$15&amp;BE80),IF(BF80="-","",$BF$15&amp;BF80),IF(BG80="-","",$BG$15&amp;BG80),IF(BH80="-","",$BH$15&amp;BH80),IF(BI80="-","",$BI$15&amp;BI80),IF(BJ80="-","",$BJ$15&amp;BJ80)),"")</f>
        <v xml:space="preserve">_x000D_
                                                                                MaxOut = 1.050   MinOut = 0.170   MaxVar1 = 10.000   </v>
      </c>
      <c r="AS80" s="166" t="str">
        <f t="shared" ref="AS80" si="284">IF(AO80=1,CHAR(13)&amp;CHAR(10)&amp;"..","")</f>
        <v>_x000D_
..</v>
      </c>
      <c r="AT80" s="43" t="str">
        <f t="shared" ref="AT80" si="285">IF(AO80=1,VLOOKUP(O80,$AT$2:$AV$13,2,0),"")</f>
        <v>CrvCubic</v>
      </c>
      <c r="AU80" s="43" t="str">
        <f t="shared" si="24"/>
        <v xml:space="preserve">       </v>
      </c>
      <c r="AV80" s="62" t="str">
        <f t="shared" si="215"/>
        <v>"CoilHtgHPQRatio_fToadbSI"</v>
      </c>
      <c r="AW80" s="43" t="str">
        <f t="shared" ref="AW80" si="286">REPT(" ",$AW$14-LEN(AV80))</f>
        <v xml:space="preserve">                                       </v>
      </c>
      <c r="AX80" s="43" t="str">
        <f t="shared" ref="AX80" si="287">IF($AO80=1,IF(ISBLANK(V80),"-",CONCATENATE(TEXT(V80," 0.000000;-0.000000"),"  ")),"")</f>
        <v xml:space="preserve"> 0.729009  </v>
      </c>
      <c r="AY80" s="43" t="str">
        <f t="shared" ref="AY80" si="288">IF($AO80=1,IF(ISBLANK(W80),"-",CONCATENATE(TEXT(W80," 0.000000;-0.000000"),"  ")),"")</f>
        <v xml:space="preserve"> 0.031928  </v>
      </c>
      <c r="AZ80" s="43" t="str">
        <f t="shared" ref="AZ80" si="289">IF($AO80=1,IF(ISBLANK(X80),"-",CONCATENATE(TEXT(X80," 0.000000;-0.000000"),"  ")),"")</f>
        <v xml:space="preserve"> 0.000136  </v>
      </c>
      <c r="BA80" s="43" t="str">
        <f t="shared" ref="BA80" si="290">IF($AO80=1,IF(ISBLANK(Y80),"-",CONCATENATE(TEXT(Y80," 0.000000;-0.000000"),"  ")),"")</f>
        <v xml:space="preserve">-0.000009  </v>
      </c>
      <c r="BB80" s="43" t="str">
        <f t="shared" ref="BB80" si="291">IF($AO80=1,IF(ISBLANK(Z80),"-",CONCATENATE(TEXT(Z80," 0.000000;-0.000000"),"  ")),"")</f>
        <v>-</v>
      </c>
      <c r="BC80" s="43" t="str">
        <f t="shared" ref="BC80" si="292">IF($AO80=1,IF(ISBLANK(AA80),"-",CONCATENATE(TEXT(AA80," 0.000000;-0.000000"),"  ")),"")</f>
        <v>-</v>
      </c>
      <c r="BD80" s="43" t="str">
        <f t="shared" si="15"/>
        <v xml:space="preserve">_x000D_
                                                                                </v>
      </c>
      <c r="BE80" s="43" t="str">
        <f t="shared" si="188"/>
        <v xml:space="preserve">1.050   </v>
      </c>
      <c r="BF80" s="43" t="str">
        <f t="shared" si="189"/>
        <v xml:space="preserve">0.170   </v>
      </c>
      <c r="BG80" s="43" t="str">
        <f t="shared" si="190"/>
        <v xml:space="preserve">10.000   </v>
      </c>
      <c r="BH80" s="43" t="str">
        <f t="shared" si="191"/>
        <v>-</v>
      </c>
      <c r="BI80" s="43" t="str">
        <f t="shared" si="192"/>
        <v>-</v>
      </c>
      <c r="BJ80" s="43" t="str">
        <f t="shared" si="193"/>
        <v>-</v>
      </c>
      <c r="BM80" s="43" t="str">
        <f t="shared" si="279"/>
        <v>Toadb</v>
      </c>
      <c r="BO80" s="164">
        <f>(BO79-32)/1.8</f>
        <v>8.3333333333333339</v>
      </c>
      <c r="BP80" s="164"/>
      <c r="BQ80" s="164">
        <f t="shared" ref="BQ80" si="293">(BQ79-32)/1.8</f>
        <v>10</v>
      </c>
      <c r="BR80" s="164">
        <f t="shared" ref="BR80" si="294">(BR79-32)/1.8</f>
        <v>-23.333333333333332</v>
      </c>
      <c r="BS80" s="164"/>
      <c r="BT80" s="164"/>
      <c r="BU80" s="147">
        <f>$V80+$W80*BO80+$X80*BO80^2+$Y80*BO80^3</f>
        <v>0.99948150000000013</v>
      </c>
      <c r="BV80" s="147">
        <f t="shared" si="280"/>
        <v>1.0531764000000001</v>
      </c>
      <c r="BW80" s="147">
        <f t="shared" si="280"/>
        <v>0.16943040000000004</v>
      </c>
    </row>
    <row r="81" spans="1:80" hidden="1" outlineLevel="1" x14ac:dyDescent="0.25">
      <c r="E81" s="20" t="s">
        <v>307</v>
      </c>
      <c r="F81" s="20" t="s">
        <v>408</v>
      </c>
      <c r="G81" s="45" t="s">
        <v>542</v>
      </c>
      <c r="H81" s="43" t="s">
        <v>302</v>
      </c>
      <c r="I81" s="43" t="s">
        <v>659</v>
      </c>
      <c r="J81" s="43" t="s">
        <v>273</v>
      </c>
      <c r="K81" s="43" t="s">
        <v>6</v>
      </c>
      <c r="N81" s="43" t="str">
        <f t="shared" si="214"/>
        <v>CoilHtgWSHPQRatio_fTdbTcwsIP</v>
      </c>
      <c r="O81" s="43" t="s">
        <v>340</v>
      </c>
      <c r="P81" s="20" t="s">
        <v>160</v>
      </c>
      <c r="Q81" s="43" t="s">
        <v>117</v>
      </c>
      <c r="R81" s="43" t="s">
        <v>140</v>
      </c>
      <c r="V81" s="61">
        <v>0.48865340000000002</v>
      </c>
      <c r="W81" s="61">
        <v>-6.7774000000000003E-3</v>
      </c>
      <c r="X81" s="61">
        <v>0</v>
      </c>
      <c r="Y81" s="61">
        <v>1.4082300000000001E-2</v>
      </c>
      <c r="Z81" s="61"/>
      <c r="AA81" s="61"/>
      <c r="AB81" s="20"/>
      <c r="AC81" s="20"/>
      <c r="AG81" s="158" t="str">
        <f t="shared" si="274"/>
        <v/>
      </c>
      <c r="AH81" s="158" t="str">
        <f t="shared" si="275"/>
        <v/>
      </c>
      <c r="AI81" s="158" t="str">
        <f t="shared" si="276"/>
        <v/>
      </c>
      <c r="AJ81" s="158" t="str">
        <f t="shared" si="270"/>
        <v/>
      </c>
      <c r="AK81" s="158" t="str">
        <f t="shared" si="277"/>
        <v/>
      </c>
      <c r="AL81" s="158" t="str">
        <f t="shared" si="278"/>
        <v/>
      </c>
      <c r="AO81" s="43">
        <f t="shared" si="273"/>
        <v>0</v>
      </c>
      <c r="AP81" s="166" t="str">
        <f t="shared" si="8"/>
        <v/>
      </c>
      <c r="AQ81" s="166" t="str">
        <f t="shared" si="272"/>
        <v/>
      </c>
      <c r="AR81" s="166" t="str">
        <f t="shared" si="175"/>
        <v/>
      </c>
      <c r="AS81" s="166" t="str">
        <f t="shared" si="23"/>
        <v/>
      </c>
      <c r="AT81" s="43" t="str">
        <f t="shared" si="82"/>
        <v/>
      </c>
      <c r="AU81" s="43" t="str">
        <f t="shared" si="24"/>
        <v xml:space="preserve">               </v>
      </c>
      <c r="AV81" s="62" t="str">
        <f t="shared" si="215"/>
        <v/>
      </c>
      <c r="AW81" s="43" t="str">
        <f t="shared" si="177"/>
        <v xml:space="preserve">                                                                 </v>
      </c>
      <c r="AX81" s="43" t="str">
        <f t="shared" si="121"/>
        <v/>
      </c>
      <c r="AY81" s="43" t="str">
        <f t="shared" si="122"/>
        <v/>
      </c>
      <c r="AZ81" s="43" t="str">
        <f t="shared" si="123"/>
        <v/>
      </c>
      <c r="BA81" s="43" t="str">
        <f t="shared" si="124"/>
        <v/>
      </c>
      <c r="BB81" s="43" t="str">
        <f t="shared" si="125"/>
        <v/>
      </c>
      <c r="BC81" s="43" t="str">
        <f t="shared" si="126"/>
        <v/>
      </c>
      <c r="BD81" s="43" t="str">
        <f t="shared" si="15"/>
        <v xml:space="preserve"> </v>
      </c>
      <c r="BE81" s="43" t="str">
        <f t="shared" si="188"/>
        <v/>
      </c>
      <c r="BF81" s="43" t="str">
        <f t="shared" si="189"/>
        <v/>
      </c>
      <c r="BG81" s="43" t="str">
        <f t="shared" si="190"/>
        <v/>
      </c>
      <c r="BH81" s="43" t="str">
        <f t="shared" si="191"/>
        <v/>
      </c>
      <c r="BI81" s="43" t="str">
        <f t="shared" si="192"/>
        <v/>
      </c>
      <c r="BJ81" s="43" t="str">
        <f t="shared" si="193"/>
        <v/>
      </c>
      <c r="BM81" s="43" t="str">
        <f t="shared" si="279"/>
        <v>Tdb</v>
      </c>
      <c r="BN81" s="43" t="str">
        <f t="shared" si="252"/>
        <v>Tcws</v>
      </c>
      <c r="BU81" s="147"/>
      <c r="BV81" s="147"/>
      <c r="BW81" s="147"/>
    </row>
    <row r="82" spans="1:80" s="48" customFormat="1" hidden="1" outlineLevel="1" x14ac:dyDescent="0.25">
      <c r="A82" s="63"/>
      <c r="D82" s="64"/>
      <c r="E82" s="65" t="s">
        <v>307</v>
      </c>
      <c r="F82" s="20" t="s">
        <v>408</v>
      </c>
      <c r="G82" s="45" t="s">
        <v>542</v>
      </c>
      <c r="H82" s="43" t="s">
        <v>302</v>
      </c>
      <c r="I82" s="43" t="s">
        <v>660</v>
      </c>
      <c r="J82" s="48" t="s">
        <v>144</v>
      </c>
      <c r="L82" s="66" t="str">
        <f>'E+ Reference'!$D$43</f>
        <v>Coil:Heating:WaterToAirHeatPump:EquationFit</v>
      </c>
      <c r="M82" s="66" t="s">
        <v>337</v>
      </c>
      <c r="N82" s="43" t="str">
        <f t="shared" si="214"/>
        <v>CoilHtgWSHPQRatio_fTdbRatioTwtRatioCFMRatioGPMRatioSI</v>
      </c>
      <c r="O82" s="65" t="s">
        <v>322</v>
      </c>
      <c r="P82" s="65" t="s">
        <v>160</v>
      </c>
      <c r="Q82" s="65" t="s">
        <v>507</v>
      </c>
      <c r="R82" s="48" t="s">
        <v>324</v>
      </c>
      <c r="S82" s="65" t="s">
        <v>120</v>
      </c>
      <c r="T82" s="65" t="s">
        <v>148</v>
      </c>
      <c r="U82" s="65"/>
      <c r="V82" s="31">
        <v>0.204873159</v>
      </c>
      <c r="W82" s="31">
        <v>-2.8926641100000001</v>
      </c>
      <c r="X82" s="31">
        <v>3.2786986260000002</v>
      </c>
      <c r="Y82" s="31">
        <v>0.154356726</v>
      </c>
      <c r="Z82" s="31">
        <v>0.11077756599999999</v>
      </c>
      <c r="AA82" s="136"/>
      <c r="AB82" s="65"/>
      <c r="AC82" s="65"/>
      <c r="AG82" s="158" t="str">
        <f t="shared" si="274"/>
        <v/>
      </c>
      <c r="AH82" s="158" t="str">
        <f t="shared" si="275"/>
        <v/>
      </c>
      <c r="AI82" s="158" t="str">
        <f t="shared" si="276"/>
        <v/>
      </c>
      <c r="AJ82" s="158" t="str">
        <f t="shared" si="270"/>
        <v/>
      </c>
      <c r="AK82" s="158" t="str">
        <f t="shared" si="277"/>
        <v/>
      </c>
      <c r="AL82" s="158" t="str">
        <f t="shared" si="278"/>
        <v/>
      </c>
      <c r="AM82" s="64"/>
      <c r="AO82" s="43">
        <v>0</v>
      </c>
      <c r="AP82" s="168" t="str">
        <f t="shared" si="8"/>
        <v/>
      </c>
      <c r="AQ82" s="168" t="str">
        <f t="shared" si="272"/>
        <v/>
      </c>
      <c r="AR82" s="168" t="str">
        <f t="shared" si="175"/>
        <v/>
      </c>
      <c r="AS82" s="168" t="str">
        <f t="shared" si="23"/>
        <v/>
      </c>
      <c r="AT82" s="48" t="str">
        <f t="shared" si="82"/>
        <v/>
      </c>
      <c r="AU82" s="43" t="str">
        <f t="shared" si="24"/>
        <v xml:space="preserve">               </v>
      </c>
      <c r="AV82" s="62" t="str">
        <f t="shared" si="215"/>
        <v/>
      </c>
      <c r="AW82" s="48" t="str">
        <f t="shared" si="177"/>
        <v xml:space="preserve">                                                                 </v>
      </c>
      <c r="AX82" s="48" t="str">
        <f t="shared" si="121"/>
        <v/>
      </c>
      <c r="AY82" s="48" t="str">
        <f t="shared" si="122"/>
        <v/>
      </c>
      <c r="AZ82" s="48" t="str">
        <f t="shared" si="123"/>
        <v/>
      </c>
      <c r="BA82" s="48" t="str">
        <f t="shared" si="124"/>
        <v/>
      </c>
      <c r="BB82" s="48" t="str">
        <f t="shared" si="125"/>
        <v/>
      </c>
      <c r="BC82" s="48" t="str">
        <f t="shared" si="126"/>
        <v/>
      </c>
      <c r="BD82" s="43" t="str">
        <f t="shared" si="15"/>
        <v xml:space="preserve"> </v>
      </c>
      <c r="BE82" s="48" t="str">
        <f t="shared" si="188"/>
        <v/>
      </c>
      <c r="BF82" s="48" t="str">
        <f t="shared" si="189"/>
        <v/>
      </c>
      <c r="BG82" s="48" t="str">
        <f t="shared" si="190"/>
        <v/>
      </c>
      <c r="BH82" s="48" t="str">
        <f t="shared" si="191"/>
        <v/>
      </c>
      <c r="BI82" s="48" t="str">
        <f t="shared" si="192"/>
        <v/>
      </c>
      <c r="BJ82" s="48" t="str">
        <f t="shared" si="193"/>
        <v/>
      </c>
      <c r="BM82" s="43" t="str">
        <f t="shared" si="279"/>
        <v>TdbRatio</v>
      </c>
      <c r="BN82" s="43" t="str">
        <f t="shared" ref="BN82:BN89" si="295">R82</f>
        <v>TwtRatio</v>
      </c>
      <c r="BU82" s="163"/>
      <c r="BV82" s="163"/>
      <c r="BW82" s="163"/>
      <c r="BX82" s="43"/>
      <c r="BY82" s="43"/>
      <c r="BZ82" s="43"/>
      <c r="CA82" s="43"/>
      <c r="CB82" s="43"/>
    </row>
    <row r="83" spans="1:80" hidden="1" outlineLevel="1" x14ac:dyDescent="0.25">
      <c r="A83" s="63"/>
      <c r="B83" s="48"/>
      <c r="C83" s="48" t="s">
        <v>810</v>
      </c>
      <c r="D83" s="64"/>
      <c r="E83" s="20" t="s">
        <v>307</v>
      </c>
      <c r="F83" s="20" t="s">
        <v>403</v>
      </c>
      <c r="G83" s="69" t="s">
        <v>825</v>
      </c>
      <c r="H83" s="70" t="s">
        <v>830</v>
      </c>
      <c r="I83" s="43" t="s">
        <v>660</v>
      </c>
      <c r="J83" s="70" t="s">
        <v>144</v>
      </c>
      <c r="L83" s="56"/>
      <c r="M83" s="56" t="s">
        <v>827</v>
      </c>
      <c r="N83" s="43" t="str">
        <f t="shared" si="214"/>
        <v>CoilHtgVRFHtgQratio_fTwbTdbSI</v>
      </c>
      <c r="O83" s="70" t="s">
        <v>165</v>
      </c>
      <c r="P83" s="56" t="s">
        <v>824</v>
      </c>
      <c r="Q83" s="70" t="s">
        <v>116</v>
      </c>
      <c r="R83" s="70" t="s">
        <v>117</v>
      </c>
      <c r="S83" s="70"/>
      <c r="T83" s="70"/>
      <c r="U83" s="70"/>
      <c r="V83" s="71">
        <v>0.37544399495612701</v>
      </c>
      <c r="W83" s="71">
        <v>6.6819064514782103E-2</v>
      </c>
      <c r="X83" s="71">
        <v>-1.94171026482001E-3</v>
      </c>
      <c r="Y83" s="71">
        <v>4.4261842064018703E-2</v>
      </c>
      <c r="Z83" s="71">
        <v>-4.0095780000000002E-4</v>
      </c>
      <c r="AA83" s="71">
        <v>-1.4819801E-3</v>
      </c>
      <c r="AF83" s="96"/>
      <c r="AG83" s="158">
        <v>27.22</v>
      </c>
      <c r="AH83" s="158">
        <v>21.11</v>
      </c>
      <c r="AI83" s="158">
        <v>18.329999999999998</v>
      </c>
      <c r="AJ83" s="158">
        <v>-15</v>
      </c>
      <c r="AK83" s="158"/>
      <c r="AL83" s="158"/>
      <c r="AM83" s="45" t="s">
        <v>916</v>
      </c>
      <c r="AO83" s="43">
        <f t="shared" ref="AO83:AO88" si="296">IF(ISTEXT(A83),"",IF(I83="IP",0,1))</f>
        <v>1</v>
      </c>
      <c r="AP83" s="168" t="str">
        <f t="shared" ref="AP83:AP84" si="297">IF(AO83=1,CONCATENATE(AQ83,AR83,AS83),"")</f>
        <v>CrvDblQuad     "CoilHtgVRFHtgQratio_fTwbTdbSI"                                  Coef1 =  0.375444  Coef2 =  0.066819  Coef3 = -0.001942  Coef4 =  0.044262  Coef5 = -0.000401  Coef6 = -0.001482  _x000D_
                                                                                MaxOut = 27.220   MinOut = 21.110   MaxVar1 = 18.330   MinVar1 = -15.000   _x000D_
..</v>
      </c>
      <c r="AQ83" s="168" t="str">
        <f t="shared" ref="AQ83:AQ84" si="298">IF(AO83=1,CONCATENATE(AT83,AU83,AV83,AW83,IF(AX83="-","",$AX$15&amp;AX83),IF(AY83="-","",$AY$15&amp;AY83),IF(AZ83="-","",$AZ$15&amp;AZ83),IF(BA83="-","",$BA$15&amp;BA83),IF(BB83="-","",$BB$15&amp;BB83),IF(BC83="-","",$BC$15&amp;BC83)),"")</f>
        <v xml:space="preserve">CrvDblQuad     "CoilHtgVRFHtgQratio_fTwbTdbSI"                                  Coef1 =  0.375444  Coef2 =  0.066819  Coef3 = -0.001942  Coef4 =  0.044262  Coef5 = -0.000401  Coef6 = -0.001482  </v>
      </c>
      <c r="AR83" s="168" t="str">
        <f t="shared" ref="AR83:AR84" si="299">IF(AO83=1,CONCATENATE(BD83,IF(BE83="-","",$BE$15&amp;BE83),IF(BF83="-","",$BF$15&amp;BF83),IF(BG83="-","",$BG$15&amp;BG83),IF(BH83="-","",$BH$15&amp;BH83),IF(BI83="-","",$BI$15&amp;BI83),IF(BJ83="-","",$BJ$15&amp;BJ83)),"")</f>
        <v xml:space="preserve">_x000D_
                                                                                MaxOut = 27.220   MinOut = 21.110   MaxVar1 = 18.330   MinVar1 = -15.000   </v>
      </c>
      <c r="AS83" s="168" t="str">
        <f t="shared" ref="AS83:AS84" si="300">IF(AO83=1,CHAR(13)&amp;CHAR(10)&amp;"..","")</f>
        <v>_x000D_
..</v>
      </c>
      <c r="AT83" s="48" t="str">
        <f t="shared" ref="AT83:AT84" si="301">IF(AO83=1,VLOOKUP(O83,$AT$2:$AV$13,2,0),"")</f>
        <v>CrvDblQuad</v>
      </c>
      <c r="AU83" s="43" t="str">
        <f t="shared" ref="AU83:AU84" si="302">REPT(" ",AU$14-LEN(AT83))</f>
        <v xml:space="preserve">     </v>
      </c>
      <c r="AV83" s="62" t="str">
        <f t="shared" si="215"/>
        <v>"CoilHtgVRFHtgQratio_fTwbTdbSI"</v>
      </c>
      <c r="AW83" s="48" t="str">
        <f t="shared" ref="AW83:AW84" si="303">REPT(" ",$AW$14-LEN(AV83))</f>
        <v xml:space="preserve">                                  </v>
      </c>
      <c r="AX83" s="48" t="str">
        <f t="shared" ref="AX83:AX84" si="304">IF($AO83=1,IF(ISBLANK(V83),"-",CONCATENATE(TEXT(V83," 0.000000;-0.000000"),"  ")),"")</f>
        <v xml:space="preserve"> 0.375444  </v>
      </c>
      <c r="AY83" s="48" t="str">
        <f t="shared" ref="AY83:AY84" si="305">IF($AO83=1,IF(ISBLANK(W83),"-",CONCATENATE(TEXT(W83," 0.000000;-0.000000"),"  ")),"")</f>
        <v xml:space="preserve"> 0.066819  </v>
      </c>
      <c r="AZ83" s="48" t="str">
        <f t="shared" ref="AZ83:AZ84" si="306">IF($AO83=1,IF(ISBLANK(X83),"-",CONCATENATE(TEXT(X83," 0.000000;-0.000000"),"  ")),"")</f>
        <v xml:space="preserve">-0.001942  </v>
      </c>
      <c r="BA83" s="48" t="str">
        <f t="shared" ref="BA83:BA84" si="307">IF($AO83=1,IF(ISBLANK(Y83),"-",CONCATENATE(TEXT(Y83," 0.000000;-0.000000"),"  ")),"")</f>
        <v xml:space="preserve"> 0.044262  </v>
      </c>
      <c r="BB83" s="48" t="str">
        <f t="shared" ref="BB83:BB84" si="308">IF($AO83=1,IF(ISBLANK(Z83),"-",CONCATENATE(TEXT(Z83," 0.000000;-0.000000"),"  ")),"")</f>
        <v xml:space="preserve">-0.000401  </v>
      </c>
      <c r="BC83" s="48" t="str">
        <f t="shared" ref="BC83:BC84" si="309">IF($AO83=1,IF(ISBLANK(AA83),"-",CONCATENATE(TEXT(AA83," 0.000000;-0.000000"),"  ")),"")</f>
        <v xml:space="preserve">-0.001482  </v>
      </c>
      <c r="BD83" s="43" t="str">
        <f t="shared" ref="BD83:BD84" si="310">IF(MAX(AG83:AL83)=0,REPT(" ",1),CHAR(13)&amp;CHAR(10)&amp;REPT(" ",BD$14))</f>
        <v xml:space="preserve">_x000D_
                                                                                </v>
      </c>
      <c r="BE83" s="48" t="str">
        <f t="shared" ref="BE83:BE84" si="311">IF($AO83=1,IF(AG83="","-",CONCATENATE(TEXT(AG83,"0.000"),"   ")),"")</f>
        <v xml:space="preserve">27.220   </v>
      </c>
      <c r="BF83" s="48" t="str">
        <f t="shared" ref="BF83:BF84" si="312">IF($AO83=1,IF(AH83="","-",CONCATENATE(TEXT(AH83,"0.000"),"   ")),"")</f>
        <v xml:space="preserve">21.110   </v>
      </c>
      <c r="BG83" s="48" t="str">
        <f t="shared" ref="BG83:BG84" si="313">IF($AO83=1,IF(AI83="","-",CONCATENATE(TEXT(AI83,"0.000"),"   ")),"")</f>
        <v xml:space="preserve">18.330   </v>
      </c>
      <c r="BH83" s="48" t="str">
        <f t="shared" ref="BH83:BH84" si="314">IF($AO83=1,IF(AJ83="","-",CONCATENATE(TEXT(AJ83,"0.000"),"   ")),"")</f>
        <v xml:space="preserve">-15.000   </v>
      </c>
      <c r="BI83" s="48" t="str">
        <f t="shared" ref="BI83:BI84" si="315">IF($AO83=1,IF(AK83="","-",CONCATENATE(TEXT(AK83,"0.000"),"   ")),"")</f>
        <v>-</v>
      </c>
      <c r="BJ83" s="48" t="str">
        <f t="shared" ref="BJ83:BJ84" si="316">IF($AO83=1,IF(AL83="","-",CONCATENATE(TEXT(AL83,"0.000"),"   ")),"")</f>
        <v>-</v>
      </c>
      <c r="BK83" s="48"/>
      <c r="BL83" s="48"/>
      <c r="BM83" s="43" t="str">
        <f t="shared" ref="BM83:BM84" si="317">Q83</f>
        <v>Twb</v>
      </c>
      <c r="BN83" s="43" t="str">
        <f t="shared" ref="BN83:BN84" si="318">R83</f>
        <v>Tdb</v>
      </c>
      <c r="BO83" s="48"/>
      <c r="BP83" s="48"/>
      <c r="BQ83" s="48"/>
      <c r="BR83" s="48"/>
      <c r="BS83" s="48"/>
      <c r="BT83" s="48"/>
      <c r="BU83" s="163"/>
      <c r="BV83" s="163"/>
      <c r="BW83" s="163"/>
    </row>
    <row r="84" spans="1:80" hidden="1" outlineLevel="1" x14ac:dyDescent="0.25">
      <c r="A84" s="63"/>
      <c r="B84" s="48"/>
      <c r="C84" s="48" t="s">
        <v>810</v>
      </c>
      <c r="D84" s="64"/>
      <c r="E84" s="20" t="s">
        <v>307</v>
      </c>
      <c r="F84" s="20" t="s">
        <v>502</v>
      </c>
      <c r="G84" s="69" t="s">
        <v>825</v>
      </c>
      <c r="H84" s="70" t="s">
        <v>830</v>
      </c>
      <c r="I84" s="43" t="s">
        <v>660</v>
      </c>
      <c r="J84" s="70" t="s">
        <v>144</v>
      </c>
      <c r="L84" s="56"/>
      <c r="M84" s="56" t="s">
        <v>828</v>
      </c>
      <c r="N84" s="43" t="str">
        <f t="shared" si="214"/>
        <v>CoilHtgVRFHtgQratio_fCFMRatioSI</v>
      </c>
      <c r="O84" s="70" t="s">
        <v>230</v>
      </c>
      <c r="P84" s="56" t="s">
        <v>824</v>
      </c>
      <c r="Q84" s="70" t="s">
        <v>120</v>
      </c>
      <c r="R84" s="70"/>
      <c r="S84" s="70"/>
      <c r="T84" s="70"/>
      <c r="U84" s="70"/>
      <c r="V84" s="71">
        <v>0.8</v>
      </c>
      <c r="W84" s="71">
        <v>0.2</v>
      </c>
      <c r="X84" s="71">
        <v>0</v>
      </c>
      <c r="Y84" s="71"/>
      <c r="Z84" s="71"/>
      <c r="AA84" s="71"/>
      <c r="AF84" s="96"/>
      <c r="AG84" s="158">
        <v>1.5</v>
      </c>
      <c r="AH84" s="158">
        <v>0.5</v>
      </c>
      <c r="AI84" s="158"/>
      <c r="AJ84" s="158"/>
      <c r="AK84" s="158"/>
      <c r="AL84" s="158"/>
      <c r="AM84" s="45" t="s">
        <v>916</v>
      </c>
      <c r="AO84" s="43">
        <f t="shared" si="296"/>
        <v>1</v>
      </c>
      <c r="AP84" s="168" t="str">
        <f t="shared" si="297"/>
        <v>CrvCubic       "CoilHtgVRFHtgQratio_fCFMRatioSI"                                Coef1 =  0.800000  Coef2 =  0.200000  Coef3 =  0.000000  _x000D_
                                                                                MaxOut = 1.500   MinOut = 0.500   _x000D_
..</v>
      </c>
      <c r="AQ84" s="168" t="str">
        <f t="shared" si="298"/>
        <v xml:space="preserve">CrvCubic       "CoilHtgVRFHtgQratio_fCFMRatioSI"                                Coef1 =  0.800000  Coef2 =  0.200000  Coef3 =  0.000000  </v>
      </c>
      <c r="AR84" s="168" t="str">
        <f t="shared" si="299"/>
        <v xml:space="preserve">_x000D_
                                                                                MaxOut = 1.500   MinOut = 0.500   </v>
      </c>
      <c r="AS84" s="168" t="str">
        <f t="shared" si="300"/>
        <v>_x000D_
..</v>
      </c>
      <c r="AT84" s="48" t="str">
        <f t="shared" si="301"/>
        <v>CrvCubic</v>
      </c>
      <c r="AU84" s="43" t="str">
        <f t="shared" si="302"/>
        <v xml:space="preserve">       </v>
      </c>
      <c r="AV84" s="62" t="str">
        <f t="shared" si="215"/>
        <v>"CoilHtgVRFHtgQratio_fCFMRatioSI"</v>
      </c>
      <c r="AW84" s="48" t="str">
        <f t="shared" si="303"/>
        <v xml:space="preserve">                                </v>
      </c>
      <c r="AX84" s="48" t="str">
        <f t="shared" si="304"/>
        <v xml:space="preserve"> 0.800000  </v>
      </c>
      <c r="AY84" s="48" t="str">
        <f t="shared" si="305"/>
        <v xml:space="preserve"> 0.200000  </v>
      </c>
      <c r="AZ84" s="48" t="str">
        <f t="shared" si="306"/>
        <v xml:space="preserve"> 0.000000  </v>
      </c>
      <c r="BA84" s="48" t="str">
        <f t="shared" si="307"/>
        <v>-</v>
      </c>
      <c r="BB84" s="48" t="str">
        <f t="shared" si="308"/>
        <v>-</v>
      </c>
      <c r="BC84" s="48" t="str">
        <f t="shared" si="309"/>
        <v>-</v>
      </c>
      <c r="BD84" s="43" t="str">
        <f t="shared" si="310"/>
        <v xml:space="preserve">_x000D_
                                                                                </v>
      </c>
      <c r="BE84" s="48" t="str">
        <f t="shared" si="311"/>
        <v xml:space="preserve">1.500   </v>
      </c>
      <c r="BF84" s="48" t="str">
        <f t="shared" si="312"/>
        <v xml:space="preserve">0.500   </v>
      </c>
      <c r="BG84" s="48" t="str">
        <f t="shared" si="313"/>
        <v>-</v>
      </c>
      <c r="BH84" s="48" t="str">
        <f t="shared" si="314"/>
        <v>-</v>
      </c>
      <c r="BI84" s="48" t="str">
        <f t="shared" si="315"/>
        <v>-</v>
      </c>
      <c r="BJ84" s="48" t="str">
        <f t="shared" si="316"/>
        <v>-</v>
      </c>
      <c r="BK84" s="48"/>
      <c r="BL84" s="48"/>
      <c r="BM84" s="43" t="str">
        <f t="shared" si="317"/>
        <v>CFMRatio</v>
      </c>
      <c r="BN84" s="43">
        <f t="shared" si="318"/>
        <v>0</v>
      </c>
      <c r="BO84" s="48"/>
      <c r="BP84" s="48"/>
      <c r="BQ84" s="48"/>
      <c r="BR84" s="48"/>
      <c r="BS84" s="48"/>
      <c r="BT84" s="48"/>
      <c r="BU84" s="163"/>
      <c r="BV84" s="163"/>
      <c r="BW84" s="163"/>
    </row>
    <row r="85" spans="1:80" hidden="1" outlineLevel="1" x14ac:dyDescent="0.25">
      <c r="B85" s="43" t="s">
        <v>289</v>
      </c>
      <c r="C85" s="43" t="s">
        <v>415</v>
      </c>
      <c r="D85" s="123" t="s">
        <v>541</v>
      </c>
      <c r="E85" s="20" t="s">
        <v>307</v>
      </c>
      <c r="F85" s="20" t="s">
        <v>558</v>
      </c>
      <c r="G85" s="45" t="s">
        <v>548</v>
      </c>
      <c r="H85" s="43" t="s">
        <v>36</v>
      </c>
      <c r="J85" s="20" t="s">
        <v>144</v>
      </c>
      <c r="L85" s="43" t="s">
        <v>310</v>
      </c>
      <c r="M85" s="43" t="s">
        <v>173</v>
      </c>
      <c r="N85" s="43" t="str">
        <f t="shared" si="214"/>
        <v>CoilHtgHPQRatio_fCFMRatio</v>
      </c>
      <c r="O85" s="20" t="s">
        <v>162</v>
      </c>
      <c r="P85" s="20" t="s">
        <v>160</v>
      </c>
      <c r="Q85" s="65" t="s">
        <v>120</v>
      </c>
      <c r="V85" s="61">
        <v>0.84</v>
      </c>
      <c r="W85" s="61">
        <v>0.16</v>
      </c>
      <c r="X85" s="61">
        <v>0</v>
      </c>
      <c r="Y85" s="61"/>
      <c r="Z85" s="61"/>
      <c r="AA85" s="61"/>
      <c r="AB85" s="20"/>
      <c r="AC85" s="20"/>
      <c r="AG85" s="158" t="str">
        <f t="shared" si="274"/>
        <v/>
      </c>
      <c r="AH85" s="158">
        <f t="shared" si="275"/>
        <v>0.84</v>
      </c>
      <c r="AI85" s="158" t="str">
        <f t="shared" si="276"/>
        <v/>
      </c>
      <c r="AJ85" s="158" t="str">
        <f t="shared" si="270"/>
        <v/>
      </c>
      <c r="AK85" s="158" t="str">
        <f t="shared" si="277"/>
        <v/>
      </c>
      <c r="AL85" s="158" t="str">
        <f t="shared" si="278"/>
        <v/>
      </c>
      <c r="AM85" s="45" t="s">
        <v>639</v>
      </c>
      <c r="AO85" s="43">
        <f t="shared" si="296"/>
        <v>1</v>
      </c>
      <c r="AP85" s="166" t="str">
        <f>IF(AO85=1,CONCATENATE(AQ85,AR85,AS85),"")</f>
        <v>CrvQuad        "CoilHtgHPQRatio_fCFMRatio"                                      Coef1 =  0.840000  Coef2 =  0.160000  Coef3 =  0.000000  _x000D_
                                                                                MinOut = 0.840   _x000D_
..</v>
      </c>
      <c r="AQ85" s="166" t="str">
        <f>IF(AO85=1,CONCATENATE(AT85,AU85,AV85,AW85,IF(AX85="-","",$AX$15&amp;AX85),IF(AY85="-","",$AY$15&amp;AY85),IF(AZ85="-","",$AZ$15&amp;AZ85),IF(BA85="-","",$BA$15&amp;BA85),IF(BB85="-","",$BB$15&amp;BB85),IF(BC85="-","",$BC$15&amp;BC85)),"")</f>
        <v xml:space="preserve">CrvQuad        "CoilHtgHPQRatio_fCFMRatio"                                      Coef1 =  0.840000  Coef2 =  0.160000  Coef3 =  0.000000  </v>
      </c>
      <c r="AR85" s="166" t="str">
        <f>IF(AO85=1,CONCATENATE(BD85,IF(BE85="-","",$BE$15&amp;BE85),IF(BF85="-","",$BF$15&amp;BF85),IF(BG85="-","",$BG$15&amp;BG85),IF(BH85="-","",$BH$15&amp;BH85),IF(BI85="-","",$BI$15&amp;BI85),IF(BJ85="-","",$BJ$15&amp;BJ85)),"")</f>
        <v xml:space="preserve">_x000D_
                                                                                MinOut = 0.840   </v>
      </c>
      <c r="AS85" s="166" t="str">
        <f>IF(AO85=1,CHAR(13)&amp;CHAR(10)&amp;"..","")</f>
        <v>_x000D_
..</v>
      </c>
      <c r="AT85" s="43" t="str">
        <f>IF(AO85=1,VLOOKUP(O85,$AT$2:$AV$13,2,0),"")</f>
        <v>CrvQuad</v>
      </c>
      <c r="AU85" s="43" t="str">
        <f t="shared" si="24"/>
        <v xml:space="preserve">        </v>
      </c>
      <c r="AV85" s="62" t="str">
        <f t="shared" si="215"/>
        <v>"CoilHtgHPQRatio_fCFMRatio"</v>
      </c>
      <c r="AW85" s="43" t="str">
        <f>REPT(" ",$AW$14-LEN(AV85))</f>
        <v xml:space="preserve">                                      </v>
      </c>
      <c r="AX85" s="43" t="str">
        <f t="shared" ref="AX85:BC85" si="319">IF($AO85=1,IF(ISBLANK(V85),"-",CONCATENATE(TEXT(V85," 0.000000;-0.000000"),"  ")),"")</f>
        <v xml:space="preserve"> 0.840000  </v>
      </c>
      <c r="AY85" s="43" t="str">
        <f t="shared" si="319"/>
        <v xml:space="preserve"> 0.160000  </v>
      </c>
      <c r="AZ85" s="43" t="str">
        <f t="shared" si="319"/>
        <v xml:space="preserve"> 0.000000  </v>
      </c>
      <c r="BA85" s="43" t="str">
        <f t="shared" si="319"/>
        <v>-</v>
      </c>
      <c r="BB85" s="43" t="str">
        <f t="shared" si="319"/>
        <v>-</v>
      </c>
      <c r="BC85" s="43" t="str">
        <f t="shared" si="319"/>
        <v>-</v>
      </c>
      <c r="BD85" s="43" t="str">
        <f t="shared" si="15"/>
        <v xml:space="preserve">_x000D_
                                                                                </v>
      </c>
      <c r="BE85" s="43" t="str">
        <f t="shared" si="188"/>
        <v>-</v>
      </c>
      <c r="BF85" s="43" t="str">
        <f t="shared" si="189"/>
        <v xml:space="preserve">0.840   </v>
      </c>
      <c r="BG85" s="43" t="str">
        <f t="shared" si="190"/>
        <v>-</v>
      </c>
      <c r="BH85" s="43" t="str">
        <f t="shared" si="191"/>
        <v>-</v>
      </c>
      <c r="BI85" s="43" t="str">
        <f t="shared" si="192"/>
        <v>-</v>
      </c>
      <c r="BJ85" s="43" t="str">
        <f t="shared" si="193"/>
        <v>-</v>
      </c>
      <c r="BM85" s="43" t="str">
        <f t="shared" si="279"/>
        <v>CFMRatio</v>
      </c>
      <c r="BO85" s="43">
        <v>1</v>
      </c>
      <c r="BR85" s="43">
        <v>0</v>
      </c>
      <c r="BU85" s="147">
        <f>$V85+$W85*BO85+$X85*BO85^2+$Y85*BO85^3</f>
        <v>1</v>
      </c>
      <c r="BV85" s="147"/>
      <c r="BW85" s="147">
        <f>$V85+$W85*BR85+$X85*BR85^2+$Y85*BR85^3</f>
        <v>0.84</v>
      </c>
    </row>
    <row r="86" spans="1:80" ht="30" hidden="1" outlineLevel="1" x14ac:dyDescent="0.25">
      <c r="B86" s="43" t="s">
        <v>129</v>
      </c>
      <c r="C86" s="70" t="s">
        <v>133</v>
      </c>
      <c r="D86" s="45" t="s">
        <v>667</v>
      </c>
      <c r="E86" s="20" t="s">
        <v>307</v>
      </c>
      <c r="F86" s="20" t="s">
        <v>414</v>
      </c>
      <c r="G86" s="45" t="s">
        <v>548</v>
      </c>
      <c r="H86" s="43" t="s">
        <v>36</v>
      </c>
      <c r="I86" s="43" t="s">
        <v>659</v>
      </c>
      <c r="J86" s="43" t="s">
        <v>273</v>
      </c>
      <c r="K86" s="43" t="s">
        <v>7</v>
      </c>
      <c r="N86" s="43" t="str">
        <f t="shared" si="214"/>
        <v>CoilHtgHPEIRRatio_fToadbIP</v>
      </c>
      <c r="O86" s="43" t="s">
        <v>230</v>
      </c>
      <c r="P86" s="20" t="s">
        <v>288</v>
      </c>
      <c r="Q86" s="43" t="s">
        <v>460</v>
      </c>
      <c r="R86" s="20"/>
      <c r="V86" s="61">
        <v>2.4600298</v>
      </c>
      <c r="W86" s="61">
        <v>-6.2253900000000001E-2</v>
      </c>
      <c r="X86" s="61">
        <v>8.8000000000000003E-4</v>
      </c>
      <c r="Y86" s="61">
        <v>-4.6E-6</v>
      </c>
      <c r="Z86" s="61"/>
      <c r="AA86" s="61"/>
      <c r="AB86" s="20"/>
      <c r="AC86" s="20"/>
      <c r="AG86" s="158">
        <f t="shared" si="274"/>
        <v>3.18</v>
      </c>
      <c r="AH86" s="158">
        <f t="shared" si="275"/>
        <v>0.97</v>
      </c>
      <c r="AI86" s="158">
        <f t="shared" si="276"/>
        <v>50</v>
      </c>
      <c r="AJ86" s="158" t="str">
        <f t="shared" si="270"/>
        <v/>
      </c>
      <c r="AK86" s="158" t="str">
        <f t="shared" si="277"/>
        <v/>
      </c>
      <c r="AL86" s="158" t="str">
        <f t="shared" si="278"/>
        <v/>
      </c>
      <c r="AO86" s="43">
        <f t="shared" si="296"/>
        <v>0</v>
      </c>
      <c r="AP86" s="166" t="str">
        <f t="shared" si="8"/>
        <v/>
      </c>
      <c r="AQ86" s="166" t="str">
        <f t="shared" si="272"/>
        <v/>
      </c>
      <c r="AR86" s="166" t="str">
        <f t="shared" si="175"/>
        <v/>
      </c>
      <c r="AS86" s="166" t="str">
        <f t="shared" si="23"/>
        <v/>
      </c>
      <c r="AT86" s="43" t="str">
        <f t="shared" si="82"/>
        <v/>
      </c>
      <c r="AU86" s="43" t="str">
        <f t="shared" si="24"/>
        <v xml:space="preserve">               </v>
      </c>
      <c r="AV86" s="62" t="str">
        <f t="shared" si="215"/>
        <v/>
      </c>
      <c r="AW86" s="43" t="str">
        <f t="shared" si="177"/>
        <v xml:space="preserve">                                                                 </v>
      </c>
      <c r="AX86" s="43" t="str">
        <f t="shared" si="121"/>
        <v/>
      </c>
      <c r="AY86" s="43" t="str">
        <f t="shared" si="122"/>
        <v/>
      </c>
      <c r="AZ86" s="43" t="str">
        <f t="shared" si="123"/>
        <v/>
      </c>
      <c r="BA86" s="43" t="str">
        <f t="shared" si="124"/>
        <v/>
      </c>
      <c r="BB86" s="43" t="str">
        <f t="shared" si="125"/>
        <v/>
      </c>
      <c r="BC86" s="43" t="str">
        <f t="shared" si="126"/>
        <v/>
      </c>
      <c r="BD86" s="43" t="str">
        <f t="shared" si="15"/>
        <v xml:space="preserve">_x000D_
                                                                                </v>
      </c>
      <c r="BE86" s="43" t="str">
        <f t="shared" si="188"/>
        <v/>
      </c>
      <c r="BF86" s="43" t="str">
        <f t="shared" si="189"/>
        <v/>
      </c>
      <c r="BG86" s="43" t="str">
        <f t="shared" si="190"/>
        <v/>
      </c>
      <c r="BH86" s="43" t="str">
        <f t="shared" si="191"/>
        <v/>
      </c>
      <c r="BI86" s="43" t="str">
        <f t="shared" si="192"/>
        <v/>
      </c>
      <c r="BJ86" s="43" t="str">
        <f t="shared" si="193"/>
        <v/>
      </c>
      <c r="BM86" s="43" t="str">
        <f t="shared" si="279"/>
        <v>Toadb</v>
      </c>
      <c r="BO86" s="43">
        <v>47</v>
      </c>
      <c r="BQ86" s="43">
        <v>50</v>
      </c>
      <c r="BR86" s="43">
        <v>-10</v>
      </c>
      <c r="BU86" s="147">
        <f>$V86+$W86*BO86+$X86*BO86^2+$Y86*BO86^3</f>
        <v>1.0004307000000001</v>
      </c>
      <c r="BV86" s="147">
        <f>$V86+$W86*BR86+$X86*BR86^2+$Y86*BR86^3</f>
        <v>3.1751687999999998</v>
      </c>
      <c r="BW86" s="147">
        <f>$V86+$W86*BQ86+$X86*BQ86^2+$Y86*BQ86^3</f>
        <v>0.97233480000000028</v>
      </c>
      <c r="BX86" s="43" t="s">
        <v>729</v>
      </c>
    </row>
    <row r="87" spans="1:80" hidden="1" outlineLevel="1" x14ac:dyDescent="0.25">
      <c r="C87" s="70"/>
      <c r="D87" s="45"/>
      <c r="E87" s="20" t="s">
        <v>307</v>
      </c>
      <c r="F87" s="20" t="s">
        <v>414</v>
      </c>
      <c r="G87" s="45" t="s">
        <v>548</v>
      </c>
      <c r="H87" s="43" t="s">
        <v>36</v>
      </c>
      <c r="I87" s="43" t="s">
        <v>660</v>
      </c>
      <c r="J87" s="48" t="s">
        <v>144</v>
      </c>
      <c r="L87" s="43" t="s">
        <v>310</v>
      </c>
      <c r="M87" s="43" t="s">
        <v>169</v>
      </c>
      <c r="N87" s="43" t="str">
        <f t="shared" si="214"/>
        <v>CoilHtgHPEIRRatio_fToadbSI</v>
      </c>
      <c r="O87" s="43" t="s">
        <v>230</v>
      </c>
      <c r="P87" s="20" t="s">
        <v>288</v>
      </c>
      <c r="Q87" s="43" t="s">
        <v>460</v>
      </c>
      <c r="R87" s="20"/>
      <c r="V87" s="61">
        <v>1.2182900000000001</v>
      </c>
      <c r="W87" s="61">
        <v>-3.6117200000000002E-2</v>
      </c>
      <c r="X87" s="61">
        <v>1.4204199999999999E-3</v>
      </c>
      <c r="Y87" s="61">
        <v>-2.68272E-5</v>
      </c>
      <c r="Z87" s="61"/>
      <c r="AA87" s="61"/>
      <c r="AB87" s="20"/>
      <c r="AC87" s="20"/>
      <c r="AG87" s="158">
        <f t="shared" si="274"/>
        <v>3.18</v>
      </c>
      <c r="AH87" s="158">
        <f t="shared" si="275"/>
        <v>0.97</v>
      </c>
      <c r="AI87" s="158">
        <f t="shared" si="276"/>
        <v>10</v>
      </c>
      <c r="AJ87" s="158" t="str">
        <f t="shared" si="270"/>
        <v/>
      </c>
      <c r="AK87" s="158" t="str">
        <f t="shared" si="277"/>
        <v/>
      </c>
      <c r="AL87" s="158" t="str">
        <f t="shared" si="278"/>
        <v/>
      </c>
      <c r="AO87" s="43">
        <f t="shared" si="296"/>
        <v>1</v>
      </c>
      <c r="AP87" s="166" t="str">
        <f t="shared" ref="AP87" si="320">IF(AO87=1,CONCATENATE(AQ87,AR87,AS87),"")</f>
        <v>CrvCubic       "CoilHtgHPEIRRatio_fToadbSI"                                     Coef1 =  1.218290  Coef2 = -0.036117  Coef3 =  0.001420  Coef4 = -0.000027  _x000D_
                                                                                MaxOut = 3.180   MinOut = 0.970   MaxVar1 = 10.000   _x000D_
..</v>
      </c>
      <c r="AQ87" s="166" t="str">
        <f t="shared" ref="AQ87" si="321">IF(AO87=1,CONCATENATE(AT87,AU87,AV87,AW87,IF(AX87="-","",$AX$15&amp;AX87),IF(AY87="-","",$AY$15&amp;AY87),IF(AZ87="-","",$AZ$15&amp;AZ87),IF(BA87="-","",$BA$15&amp;BA87),IF(BB87="-","",$BB$15&amp;BB87),IF(BC87="-","",$BC$15&amp;BC87)),"")</f>
        <v xml:space="preserve">CrvCubic       "CoilHtgHPEIRRatio_fToadbSI"                                     Coef1 =  1.218290  Coef2 = -0.036117  Coef3 =  0.001420  Coef4 = -0.000027  </v>
      </c>
      <c r="AR87" s="166" t="str">
        <f t="shared" ref="AR87" si="322">IF(AO87=1,CONCATENATE(BD87,IF(BE87="-","",$BE$15&amp;BE87),IF(BF87="-","",$BF$15&amp;BF87),IF(BG87="-","",$BG$15&amp;BG87),IF(BH87="-","",$BH$15&amp;BH87),IF(BI87="-","",$BI$15&amp;BI87),IF(BJ87="-","",$BJ$15&amp;BJ87)),"")</f>
        <v xml:space="preserve">_x000D_
                                                                                MaxOut = 3.180   MinOut = 0.970   MaxVar1 = 10.000   </v>
      </c>
      <c r="AS87" s="166" t="str">
        <f t="shared" ref="AS87" si="323">IF(AO87=1,CHAR(13)&amp;CHAR(10)&amp;"..","")</f>
        <v>_x000D_
..</v>
      </c>
      <c r="AT87" s="43" t="str">
        <f t="shared" ref="AT87" si="324">IF(AO87=1,VLOOKUP(O87,$AT$2:$AV$13,2,0),"")</f>
        <v>CrvCubic</v>
      </c>
      <c r="AU87" s="43" t="str">
        <f t="shared" si="24"/>
        <v xml:space="preserve">       </v>
      </c>
      <c r="AV87" s="62" t="str">
        <f t="shared" si="215"/>
        <v>"CoilHtgHPEIRRatio_fToadbSI"</v>
      </c>
      <c r="AW87" s="43" t="str">
        <f t="shared" ref="AW87" si="325">REPT(" ",$AW$14-LEN(AV87))</f>
        <v xml:space="preserve">                                     </v>
      </c>
      <c r="AX87" s="43" t="str">
        <f t="shared" ref="AX87" si="326">IF($AO87=1,IF(ISBLANK(V87),"-",CONCATENATE(TEXT(V87," 0.000000;-0.000000"),"  ")),"")</f>
        <v xml:space="preserve"> 1.218290  </v>
      </c>
      <c r="AY87" s="43" t="str">
        <f t="shared" ref="AY87" si="327">IF($AO87=1,IF(ISBLANK(W87),"-",CONCATENATE(TEXT(W87," 0.000000;-0.000000"),"  ")),"")</f>
        <v xml:space="preserve">-0.036117  </v>
      </c>
      <c r="AZ87" s="43" t="str">
        <f t="shared" ref="AZ87" si="328">IF($AO87=1,IF(ISBLANK(X87),"-",CONCATENATE(TEXT(X87," 0.000000;-0.000000"),"  ")),"")</f>
        <v xml:space="preserve"> 0.001420  </v>
      </c>
      <c r="BA87" s="43" t="str">
        <f t="shared" ref="BA87" si="329">IF($AO87=1,IF(ISBLANK(Y87),"-",CONCATENATE(TEXT(Y87," 0.000000;-0.000000"),"  ")),"")</f>
        <v xml:space="preserve">-0.000027  </v>
      </c>
      <c r="BB87" s="43" t="str">
        <f t="shared" ref="BB87" si="330">IF($AO87=1,IF(ISBLANK(Z87),"-",CONCATENATE(TEXT(Z87," 0.000000;-0.000000"),"  ")),"")</f>
        <v>-</v>
      </c>
      <c r="BC87" s="43" t="str">
        <f t="shared" ref="BC87" si="331">IF($AO87=1,IF(ISBLANK(AA87),"-",CONCATENATE(TEXT(AA87," 0.000000;-0.000000"),"  ")),"")</f>
        <v>-</v>
      </c>
      <c r="BD87" s="43" t="str">
        <f t="shared" si="15"/>
        <v xml:space="preserve">_x000D_
                                                                                </v>
      </c>
      <c r="BE87" s="43" t="str">
        <f t="shared" si="188"/>
        <v xml:space="preserve">3.180   </v>
      </c>
      <c r="BF87" s="43" t="str">
        <f t="shared" si="189"/>
        <v xml:space="preserve">0.970   </v>
      </c>
      <c r="BG87" s="43" t="str">
        <f t="shared" si="190"/>
        <v xml:space="preserve">10.000   </v>
      </c>
      <c r="BH87" s="43" t="str">
        <f t="shared" si="191"/>
        <v>-</v>
      </c>
      <c r="BI87" s="43" t="str">
        <f t="shared" si="192"/>
        <v>-</v>
      </c>
      <c r="BJ87" s="43" t="str">
        <f t="shared" si="193"/>
        <v>-</v>
      </c>
      <c r="BM87" s="43" t="str">
        <f t="shared" si="279"/>
        <v>Toadb</v>
      </c>
      <c r="BO87" s="164">
        <f>(BO86-32)/1.8</f>
        <v>8.3333333333333339</v>
      </c>
      <c r="BP87" s="164"/>
      <c r="BQ87" s="164">
        <f t="shared" ref="BQ87" si="332">(BQ86-32)/1.8</f>
        <v>10</v>
      </c>
      <c r="BR87" s="164">
        <f t="shared" ref="BR87" si="333">(BR86-32)/1.8</f>
        <v>-23.333333333333332</v>
      </c>
      <c r="BS87" s="164"/>
      <c r="BT87" s="164"/>
      <c r="BU87" s="147">
        <f>$V87+$W87*BO87+$X87*BO87^2+$Y87*BO87^3</f>
        <v>1.0004286111111111</v>
      </c>
      <c r="BV87" s="147">
        <f>$V87+$W87*BR87+$X87*BR87^2+$Y87*BR87^3</f>
        <v>3.1751692444444441</v>
      </c>
      <c r="BW87" s="147">
        <f>$V87+$W87*BQ87+$X87*BQ87^2+$Y87*BQ87^3</f>
        <v>0.9723328</v>
      </c>
      <c r="BX87" s="43" t="s">
        <v>729</v>
      </c>
    </row>
    <row r="88" spans="1:80" hidden="1" outlineLevel="1" x14ac:dyDescent="0.25">
      <c r="E88" s="20" t="s">
        <v>307</v>
      </c>
      <c r="F88" s="20" t="s">
        <v>414</v>
      </c>
      <c r="G88" s="45" t="s">
        <v>549</v>
      </c>
      <c r="H88" s="43" t="s">
        <v>302</v>
      </c>
      <c r="I88" s="43" t="s">
        <v>659</v>
      </c>
      <c r="J88" s="43" t="s">
        <v>273</v>
      </c>
      <c r="K88" s="43" t="s">
        <v>7</v>
      </c>
      <c r="N88" s="43" t="str">
        <f t="shared" ref="N88:N119" si="334">IF(ISBLANK(E88),"-",E88&amp;H88&amp;P88&amp;"_f"&amp;Q88&amp;R88&amp;S88&amp;T88&amp;U88&amp;I88)</f>
        <v>CoilHtgWSHPEIRRatio_fTdbTcwsIP</v>
      </c>
      <c r="O88" s="48" t="s">
        <v>340</v>
      </c>
      <c r="P88" s="20" t="s">
        <v>288</v>
      </c>
      <c r="Q88" s="43" t="s">
        <v>117</v>
      </c>
      <c r="R88" s="43" t="s">
        <v>140</v>
      </c>
      <c r="V88" s="61">
        <v>1.3876101999999999</v>
      </c>
      <c r="W88" s="61">
        <v>6.0479000000000002E-3</v>
      </c>
      <c r="X88" s="61">
        <v>0</v>
      </c>
      <c r="Y88" s="61">
        <v>-1.15852E-2</v>
      </c>
      <c r="Z88" s="61"/>
      <c r="AA88" s="61"/>
      <c r="AB88" s="20"/>
      <c r="AC88" s="20"/>
      <c r="AG88" s="158" t="str">
        <f t="shared" si="274"/>
        <v/>
      </c>
      <c r="AH88" s="158" t="str">
        <f t="shared" si="275"/>
        <v/>
      </c>
      <c r="AI88" s="158" t="str">
        <f t="shared" si="276"/>
        <v/>
      </c>
      <c r="AJ88" s="158" t="str">
        <f t="shared" si="270"/>
        <v/>
      </c>
      <c r="AK88" s="158" t="str">
        <f t="shared" si="277"/>
        <v/>
      </c>
      <c r="AL88" s="158" t="str">
        <f t="shared" si="278"/>
        <v/>
      </c>
      <c r="AO88" s="43">
        <f t="shared" si="296"/>
        <v>0</v>
      </c>
      <c r="AP88" s="166" t="str">
        <f t="shared" si="8"/>
        <v/>
      </c>
      <c r="AQ88" s="166" t="str">
        <f t="shared" si="272"/>
        <v/>
      </c>
      <c r="AR88" s="166" t="str">
        <f t="shared" si="175"/>
        <v/>
      </c>
      <c r="AS88" s="166" t="str">
        <f t="shared" si="23"/>
        <v/>
      </c>
      <c r="AT88" s="43" t="str">
        <f t="shared" si="82"/>
        <v/>
      </c>
      <c r="AU88" s="43" t="str">
        <f t="shared" si="24"/>
        <v xml:space="preserve">               </v>
      </c>
      <c r="AV88" s="62" t="str">
        <f t="shared" ref="AV88:AV119" si="335">IF(AO88=1,CONCATENATE("""",N88,""""),"")</f>
        <v/>
      </c>
      <c r="AW88" s="43" t="str">
        <f t="shared" si="177"/>
        <v xml:space="preserve">                                                                 </v>
      </c>
      <c r="AX88" s="43" t="str">
        <f t="shared" si="121"/>
        <v/>
      </c>
      <c r="AY88" s="43" t="str">
        <f t="shared" si="122"/>
        <v/>
      </c>
      <c r="AZ88" s="43" t="str">
        <f t="shared" si="123"/>
        <v/>
      </c>
      <c r="BA88" s="43" t="str">
        <f t="shared" si="124"/>
        <v/>
      </c>
      <c r="BB88" s="43" t="str">
        <f t="shared" si="125"/>
        <v/>
      </c>
      <c r="BC88" s="43" t="str">
        <f t="shared" si="126"/>
        <v/>
      </c>
      <c r="BD88" s="43" t="str">
        <f t="shared" si="15"/>
        <v xml:space="preserve"> </v>
      </c>
      <c r="BE88" s="43" t="str">
        <f t="shared" si="188"/>
        <v/>
      </c>
      <c r="BF88" s="43" t="str">
        <f t="shared" si="189"/>
        <v/>
      </c>
      <c r="BG88" s="43" t="str">
        <f t="shared" si="190"/>
        <v/>
      </c>
      <c r="BH88" s="43" t="str">
        <f t="shared" si="191"/>
        <v/>
      </c>
      <c r="BI88" s="43" t="str">
        <f t="shared" si="192"/>
        <v/>
      </c>
      <c r="BJ88" s="43" t="str">
        <f t="shared" si="193"/>
        <v/>
      </c>
      <c r="BM88" s="43" t="str">
        <f t="shared" si="279"/>
        <v>Tdb</v>
      </c>
      <c r="BN88" s="43" t="str">
        <f t="shared" si="295"/>
        <v>Tcws</v>
      </c>
      <c r="BU88" s="147"/>
      <c r="BV88" s="147"/>
      <c r="BW88" s="147"/>
    </row>
    <row r="89" spans="1:80" hidden="1" outlineLevel="1" x14ac:dyDescent="0.25">
      <c r="A89" s="58"/>
      <c r="D89" s="59"/>
      <c r="E89" s="20" t="s">
        <v>307</v>
      </c>
      <c r="F89" s="20" t="s">
        <v>414</v>
      </c>
      <c r="G89" s="45" t="s">
        <v>549</v>
      </c>
      <c r="H89" s="43" t="s">
        <v>302</v>
      </c>
      <c r="I89" s="43" t="s">
        <v>660</v>
      </c>
      <c r="J89" s="43" t="s">
        <v>144</v>
      </c>
      <c r="L89" s="76" t="str">
        <f>'E+ Reference'!$D$43</f>
        <v>Coil:Heating:WaterToAirHeatPump:EquationFit</v>
      </c>
      <c r="M89" s="76" t="s">
        <v>338</v>
      </c>
      <c r="N89" s="43" t="str">
        <f t="shared" si="334"/>
        <v>CoilHtgWSHPEIRRatio_fTdbRatioTwtRatioCFMRatioGPMRatioSI</v>
      </c>
      <c r="O89" s="51" t="s">
        <v>322</v>
      </c>
      <c r="P89" s="20" t="s">
        <v>288</v>
      </c>
      <c r="Q89" s="65" t="s">
        <v>507</v>
      </c>
      <c r="R89" s="48" t="s">
        <v>324</v>
      </c>
      <c r="S89" s="65" t="s">
        <v>120</v>
      </c>
      <c r="T89" s="65" t="s">
        <v>148</v>
      </c>
      <c r="U89" s="20"/>
      <c r="V89" s="61">
        <v>-3.5732473599999999</v>
      </c>
      <c r="W89" s="61">
        <v>3.192752155</v>
      </c>
      <c r="X89" s="61">
        <v>1.4156902229999999</v>
      </c>
      <c r="Y89" s="61">
        <v>-0.167415851</v>
      </c>
      <c r="Z89" s="61">
        <v>-9.7139668999999998E-2</v>
      </c>
      <c r="AA89" s="61"/>
      <c r="AB89" s="20"/>
      <c r="AC89" s="20"/>
      <c r="AG89" s="158" t="str">
        <f t="shared" si="274"/>
        <v/>
      </c>
      <c r="AH89" s="158" t="str">
        <f t="shared" si="275"/>
        <v/>
      </c>
      <c r="AI89" s="158" t="str">
        <f t="shared" si="276"/>
        <v/>
      </c>
      <c r="AJ89" s="158" t="str">
        <f t="shared" si="270"/>
        <v/>
      </c>
      <c r="AK89" s="158" t="str">
        <f t="shared" si="277"/>
        <v/>
      </c>
      <c r="AL89" s="158" t="str">
        <f t="shared" si="278"/>
        <v/>
      </c>
      <c r="AO89" s="43">
        <v>0</v>
      </c>
      <c r="AP89" s="166" t="str">
        <f t="shared" si="8"/>
        <v/>
      </c>
      <c r="AQ89" s="166" t="str">
        <f t="shared" si="272"/>
        <v/>
      </c>
      <c r="AR89" s="166" t="str">
        <f t="shared" si="175"/>
        <v/>
      </c>
      <c r="AS89" s="166" t="str">
        <f t="shared" si="23"/>
        <v/>
      </c>
      <c r="AT89" s="43" t="str">
        <f t="shared" si="82"/>
        <v/>
      </c>
      <c r="AU89" s="43" t="str">
        <f t="shared" si="24"/>
        <v xml:space="preserve">               </v>
      </c>
      <c r="AV89" s="62" t="str">
        <f t="shared" si="335"/>
        <v/>
      </c>
      <c r="AW89" s="43" t="str">
        <f t="shared" si="177"/>
        <v xml:space="preserve">                                                                 </v>
      </c>
      <c r="AX89" s="43" t="str">
        <f t="shared" si="121"/>
        <v/>
      </c>
      <c r="AY89" s="43" t="str">
        <f t="shared" si="122"/>
        <v/>
      </c>
      <c r="AZ89" s="43" t="str">
        <f t="shared" si="123"/>
        <v/>
      </c>
      <c r="BA89" s="43" t="str">
        <f t="shared" si="124"/>
        <v/>
      </c>
      <c r="BB89" s="43" t="str">
        <f t="shared" si="125"/>
        <v/>
      </c>
      <c r="BC89" s="43" t="str">
        <f t="shared" si="126"/>
        <v/>
      </c>
      <c r="BD89" s="43" t="str">
        <f t="shared" si="15"/>
        <v xml:space="preserve"> </v>
      </c>
      <c r="BE89" s="43" t="str">
        <f t="shared" si="188"/>
        <v/>
      </c>
      <c r="BF89" s="43" t="str">
        <f t="shared" si="189"/>
        <v/>
      </c>
      <c r="BG89" s="43" t="str">
        <f t="shared" si="190"/>
        <v/>
      </c>
      <c r="BH89" s="43" t="str">
        <f t="shared" si="191"/>
        <v/>
      </c>
      <c r="BI89" s="43" t="str">
        <f t="shared" si="192"/>
        <v/>
      </c>
      <c r="BJ89" s="43" t="str">
        <f t="shared" si="193"/>
        <v/>
      </c>
      <c r="BM89" s="43" t="str">
        <f t="shared" si="279"/>
        <v>TdbRatio</v>
      </c>
      <c r="BN89" s="43" t="str">
        <f t="shared" si="295"/>
        <v>TwtRatio</v>
      </c>
      <c r="BU89" s="147"/>
      <c r="BV89" s="147"/>
      <c r="BW89" s="147"/>
    </row>
    <row r="90" spans="1:80" ht="30" hidden="1" outlineLevel="1" x14ac:dyDescent="0.25">
      <c r="B90" s="43" t="s">
        <v>129</v>
      </c>
      <c r="C90" s="70" t="s">
        <v>133</v>
      </c>
      <c r="D90" s="45" t="s">
        <v>666</v>
      </c>
      <c r="E90" s="20" t="s">
        <v>307</v>
      </c>
      <c r="F90" s="20" t="s">
        <v>559</v>
      </c>
      <c r="G90" s="45" t="s">
        <v>548</v>
      </c>
      <c r="H90" s="43" t="s">
        <v>36</v>
      </c>
      <c r="J90" s="60" t="s">
        <v>273</v>
      </c>
      <c r="K90" s="20" t="s">
        <v>8</v>
      </c>
      <c r="L90" s="76"/>
      <c r="M90" s="76"/>
      <c r="N90" s="43" t="str">
        <f t="shared" si="334"/>
        <v>CoilHtgHPEIRRatio_fQRatio</v>
      </c>
      <c r="O90" s="58" t="s">
        <v>230</v>
      </c>
      <c r="P90" s="20" t="s">
        <v>288</v>
      </c>
      <c r="Q90" s="20" t="s">
        <v>160</v>
      </c>
      <c r="R90" s="20"/>
      <c r="S90" s="20"/>
      <c r="T90" s="20"/>
      <c r="U90" s="20"/>
      <c r="V90" s="61">
        <v>8.5652199999999998E-2</v>
      </c>
      <c r="W90" s="61">
        <v>0.93881369999999997</v>
      </c>
      <c r="X90" s="61">
        <v>-0.18343609999999999</v>
      </c>
      <c r="Y90" s="61">
        <v>0.15897020000000001</v>
      </c>
      <c r="Z90" s="61"/>
      <c r="AA90" s="61"/>
      <c r="AB90" s="20"/>
      <c r="AC90" s="20"/>
      <c r="AG90" s="158" t="str">
        <f t="shared" si="274"/>
        <v/>
      </c>
      <c r="AH90" s="158">
        <f t="shared" si="275"/>
        <v>0.09</v>
      </c>
      <c r="AI90" s="158" t="str">
        <f t="shared" si="276"/>
        <v/>
      </c>
      <c r="AJ90" s="158" t="str">
        <f t="shared" si="270"/>
        <v/>
      </c>
      <c r="AK90" s="158" t="str">
        <f t="shared" si="277"/>
        <v/>
      </c>
      <c r="AL90" s="158" t="str">
        <f t="shared" si="278"/>
        <v/>
      </c>
      <c r="AO90" s="43">
        <v>0</v>
      </c>
      <c r="AP90" s="166" t="str">
        <f t="shared" si="8"/>
        <v/>
      </c>
      <c r="AQ90" s="166" t="str">
        <f t="shared" si="272"/>
        <v/>
      </c>
      <c r="AR90" s="166" t="str">
        <f t="shared" si="175"/>
        <v/>
      </c>
      <c r="AS90" s="166" t="str">
        <f t="shared" si="23"/>
        <v/>
      </c>
      <c r="AT90" s="43" t="str">
        <f t="shared" si="82"/>
        <v/>
      </c>
      <c r="AU90" s="43" t="str">
        <f t="shared" si="24"/>
        <v xml:space="preserve">               </v>
      </c>
      <c r="AV90" s="62" t="str">
        <f t="shared" si="335"/>
        <v/>
      </c>
      <c r="AW90" s="43" t="str">
        <f t="shared" si="177"/>
        <v xml:space="preserve">                                                                 </v>
      </c>
      <c r="AX90" s="43" t="str">
        <f t="shared" si="121"/>
        <v/>
      </c>
      <c r="AY90" s="43" t="str">
        <f t="shared" si="122"/>
        <v/>
      </c>
      <c r="AZ90" s="43" t="str">
        <f t="shared" si="123"/>
        <v/>
      </c>
      <c r="BA90" s="43" t="str">
        <f t="shared" si="124"/>
        <v/>
      </c>
      <c r="BB90" s="43" t="str">
        <f t="shared" si="125"/>
        <v/>
      </c>
      <c r="BC90" s="43" t="str">
        <f t="shared" si="126"/>
        <v/>
      </c>
      <c r="BD90" s="43" t="str">
        <f t="shared" si="15"/>
        <v xml:space="preserve">_x000D_
                                                                                </v>
      </c>
      <c r="BE90" s="43" t="str">
        <f t="shared" si="188"/>
        <v/>
      </c>
      <c r="BF90" s="43" t="str">
        <f t="shared" si="189"/>
        <v/>
      </c>
      <c r="BG90" s="43" t="str">
        <f t="shared" si="190"/>
        <v/>
      </c>
      <c r="BH90" s="43" t="str">
        <f t="shared" si="191"/>
        <v/>
      </c>
      <c r="BI90" s="43" t="str">
        <f t="shared" si="192"/>
        <v/>
      </c>
      <c r="BJ90" s="43" t="str">
        <f t="shared" si="193"/>
        <v/>
      </c>
      <c r="BM90" s="43" t="str">
        <f t="shared" si="279"/>
        <v>QRatio</v>
      </c>
      <c r="BO90" s="43">
        <v>1</v>
      </c>
      <c r="BR90" s="43">
        <v>0</v>
      </c>
      <c r="BU90" s="147">
        <f>$V90+$W90*BO90+$X90*BO90^2+$Y90*BO90^3</f>
        <v>1</v>
      </c>
      <c r="BV90" s="147"/>
      <c r="BW90" s="147">
        <f>$V90+$W90*BR90+$X90*BR90^2+$Y90*BR90^3</f>
        <v>8.5652199999999998E-2</v>
      </c>
    </row>
    <row r="91" spans="1:80" hidden="1" outlineLevel="1" x14ac:dyDescent="0.25">
      <c r="D91" s="45"/>
      <c r="E91" s="20" t="s">
        <v>307</v>
      </c>
      <c r="F91" s="20" t="s">
        <v>560</v>
      </c>
      <c r="G91" s="45" t="s">
        <v>548</v>
      </c>
      <c r="H91" s="43" t="s">
        <v>36</v>
      </c>
      <c r="J91" s="20" t="s">
        <v>144</v>
      </c>
      <c r="L91" s="43" t="s">
        <v>310</v>
      </c>
      <c r="M91" s="43" t="s">
        <v>168</v>
      </c>
      <c r="N91" s="43" t="str">
        <f t="shared" si="334"/>
        <v>CoilHtgHPEIRRatio_fCFMRatio</v>
      </c>
      <c r="O91" s="20" t="s">
        <v>162</v>
      </c>
      <c r="P91" s="20" t="s">
        <v>288</v>
      </c>
      <c r="Q91" s="43" t="s">
        <v>120</v>
      </c>
      <c r="V91" s="61">
        <v>1.3824000000000001</v>
      </c>
      <c r="W91" s="61">
        <v>-0.43359999999999999</v>
      </c>
      <c r="X91" s="61">
        <v>5.1200000000000002E-2</v>
      </c>
      <c r="Y91" s="61"/>
      <c r="Z91" s="61"/>
      <c r="AA91" s="61"/>
      <c r="AB91" s="20"/>
      <c r="AC91" s="20"/>
      <c r="AG91" s="158" t="str">
        <f t="shared" si="274"/>
        <v/>
      </c>
      <c r="AH91" s="158">
        <f t="shared" si="275"/>
        <v>1.38</v>
      </c>
      <c r="AI91" s="158">
        <f t="shared" si="276"/>
        <v>1</v>
      </c>
      <c r="AJ91" s="158" t="str">
        <f t="shared" si="270"/>
        <v/>
      </c>
      <c r="AK91" s="158" t="str">
        <f t="shared" si="277"/>
        <v/>
      </c>
      <c r="AL91" s="158" t="str">
        <f t="shared" si="278"/>
        <v/>
      </c>
      <c r="AM91" s="45" t="s">
        <v>638</v>
      </c>
      <c r="AO91" s="43">
        <f>IF(ISTEXT(A91),"",IF(I91="IP",0,1))</f>
        <v>1</v>
      </c>
      <c r="AP91" s="166" t="str">
        <f>IF(AO91=1,CONCATENATE(AQ91,AR91,AS91),"")</f>
        <v>CrvQuad        "CoilHtgHPEIRRatio_fCFMRatio"                                    Coef1 =  1.382400  Coef2 = -0.433600  Coef3 =  0.051200  _x000D_
                                                                                MinOut = 1.380   MaxVar1 = 1.000   _x000D_
..</v>
      </c>
      <c r="AQ91" s="166" t="str">
        <f>IF(AO91=1,CONCATENATE(AT91,AU91,AV91,AW91,IF(AX91="-","",$AX$15&amp;AX91),IF(AY91="-","",$AY$15&amp;AY91),IF(AZ91="-","",$AZ$15&amp;AZ91),IF(BA91="-","",$BA$15&amp;BA91),IF(BB91="-","",$BB$15&amp;BB91),IF(BC91="-","",$BC$15&amp;BC91)),"")</f>
        <v xml:space="preserve">CrvQuad        "CoilHtgHPEIRRatio_fCFMRatio"                                    Coef1 =  1.382400  Coef2 = -0.433600  Coef3 =  0.051200  </v>
      </c>
      <c r="AR91" s="166" t="str">
        <f>IF(AO91=1,CONCATENATE(BD91,IF(BE91="-","",$BE$15&amp;BE91),IF(BF91="-","",$BF$15&amp;BF91),IF(BG91="-","",$BG$15&amp;BG91),IF(BH91="-","",$BH$15&amp;BH91),IF(BI91="-","",$BI$15&amp;BI91),IF(BJ91="-","",$BJ$15&amp;BJ91)),"")</f>
        <v xml:space="preserve">_x000D_
                                                                                MinOut = 1.380   MaxVar1 = 1.000   </v>
      </c>
      <c r="AS91" s="166" t="str">
        <f t="shared" si="23"/>
        <v>_x000D_
..</v>
      </c>
      <c r="AT91" s="43" t="str">
        <f>IF(AO91=1,VLOOKUP(O91,$AT$2:$AV$13,2,0),"")</f>
        <v>CrvQuad</v>
      </c>
      <c r="AU91" s="43" t="str">
        <f t="shared" si="24"/>
        <v xml:space="preserve">        </v>
      </c>
      <c r="AV91" s="62" t="str">
        <f t="shared" si="335"/>
        <v>"CoilHtgHPEIRRatio_fCFMRatio"</v>
      </c>
      <c r="AW91" s="43" t="str">
        <f t="shared" si="177"/>
        <v xml:space="preserve">                                    </v>
      </c>
      <c r="AX91" s="43" t="str">
        <f t="shared" si="121"/>
        <v xml:space="preserve"> 1.382400  </v>
      </c>
      <c r="AY91" s="43" t="str">
        <f t="shared" si="122"/>
        <v xml:space="preserve">-0.433600  </v>
      </c>
      <c r="AZ91" s="43" t="str">
        <f t="shared" si="123"/>
        <v xml:space="preserve"> 0.051200  </v>
      </c>
      <c r="BA91" s="43" t="str">
        <f t="shared" si="124"/>
        <v>-</v>
      </c>
      <c r="BB91" s="43" t="str">
        <f t="shared" si="125"/>
        <v>-</v>
      </c>
      <c r="BC91" s="43" t="str">
        <f t="shared" si="126"/>
        <v>-</v>
      </c>
      <c r="BD91" s="43" t="str">
        <f t="shared" si="15"/>
        <v xml:space="preserve">_x000D_
                                                                                </v>
      </c>
      <c r="BE91" s="43" t="str">
        <f t="shared" si="188"/>
        <v>-</v>
      </c>
      <c r="BF91" s="43" t="str">
        <f t="shared" si="189"/>
        <v xml:space="preserve">1.380   </v>
      </c>
      <c r="BG91" s="43" t="str">
        <f t="shared" si="190"/>
        <v xml:space="preserve">1.000   </v>
      </c>
      <c r="BH91" s="43" t="str">
        <f t="shared" si="191"/>
        <v>-</v>
      </c>
      <c r="BI91" s="43" t="str">
        <f t="shared" si="192"/>
        <v>-</v>
      </c>
      <c r="BJ91" s="43" t="str">
        <f t="shared" si="193"/>
        <v>-</v>
      </c>
      <c r="BM91" s="43" t="str">
        <f t="shared" si="279"/>
        <v>CFMRatio</v>
      </c>
      <c r="BO91" s="43">
        <v>1</v>
      </c>
      <c r="BQ91" s="43">
        <v>1</v>
      </c>
      <c r="BR91" s="43">
        <v>0</v>
      </c>
      <c r="BU91" s="147">
        <f>$V91+$W91*BO91+$X91*BO91^2</f>
        <v>1</v>
      </c>
      <c r="BV91" s="147"/>
      <c r="BW91" s="147">
        <f>$V91+$W91*BR91+$X91*BR91^2</f>
        <v>1.3824000000000001</v>
      </c>
    </row>
    <row r="92" spans="1:80" hidden="1" outlineLevel="1" x14ac:dyDescent="0.25">
      <c r="D92" s="45"/>
      <c r="E92" s="20" t="s">
        <v>307</v>
      </c>
      <c r="F92" s="20" t="s">
        <v>561</v>
      </c>
      <c r="G92" s="45" t="s">
        <v>548</v>
      </c>
      <c r="H92" s="43" t="s">
        <v>36</v>
      </c>
      <c r="J92" s="60" t="s">
        <v>144</v>
      </c>
      <c r="K92" s="20"/>
      <c r="L92" s="76" t="s">
        <v>310</v>
      </c>
      <c r="M92" s="76" t="s">
        <v>167</v>
      </c>
      <c r="N92" s="43" t="str">
        <f t="shared" si="334"/>
        <v>CoilHtgHPEIRRatio_fQFrac</v>
      </c>
      <c r="O92" s="20" t="s">
        <v>162</v>
      </c>
      <c r="P92" s="20" t="s">
        <v>288</v>
      </c>
      <c r="Q92" s="65" t="s">
        <v>739</v>
      </c>
      <c r="R92" s="20"/>
      <c r="S92" s="20"/>
      <c r="T92" s="20"/>
      <c r="U92" s="20"/>
      <c r="V92" s="61">
        <v>0.85</v>
      </c>
      <c r="W92" s="61">
        <v>0.15</v>
      </c>
      <c r="X92" s="61">
        <v>0</v>
      </c>
      <c r="Y92" s="61"/>
      <c r="Z92" s="61"/>
      <c r="AA92" s="61"/>
      <c r="AB92" s="20"/>
      <c r="AC92" s="20"/>
      <c r="AG92" s="158">
        <f t="shared" si="274"/>
        <v>1</v>
      </c>
      <c r="AH92" s="158">
        <f t="shared" si="275"/>
        <v>0.85</v>
      </c>
      <c r="AI92" s="158">
        <f t="shared" si="276"/>
        <v>1</v>
      </c>
      <c r="AJ92" s="158" t="str">
        <f t="shared" si="270"/>
        <v/>
      </c>
      <c r="AK92" s="158" t="str">
        <f t="shared" si="277"/>
        <v/>
      </c>
      <c r="AL92" s="158" t="str">
        <f t="shared" si="278"/>
        <v/>
      </c>
      <c r="AM92" s="45" t="s">
        <v>638</v>
      </c>
      <c r="AO92" s="43">
        <f>IF(ISTEXT(A92),"",IF(I92="IP",0,1))</f>
        <v>1</v>
      </c>
      <c r="AP92" s="166" t="str">
        <f>IF(AO92=1,CONCATENATE(AQ92,AR92,AS92),"")</f>
        <v>CrvQuad        "CoilHtgHPEIRRatio_fQFrac"                                       Coef1 =  0.850000  Coef2 =  0.150000  Coef3 =  0.000000  _x000D_
                                                                                MaxOut = 1.000   MinOut = 0.850   MaxVar1 = 1.000   _x000D_
..</v>
      </c>
      <c r="AQ92" s="166" t="str">
        <f>IF(AO92=1,CONCATENATE(AT92,AU92,AV92,AW92,IF(AX92="-","",$AX$15&amp;AX92),IF(AY92="-","",$AY$15&amp;AY92),IF(AZ92="-","",$AZ$15&amp;AZ92),IF(BA92="-","",$BA$15&amp;BA92),IF(BB92="-","",$BB$15&amp;BB92),IF(BC92="-","",$BC$15&amp;BC92)),"")</f>
        <v xml:space="preserve">CrvQuad        "CoilHtgHPEIRRatio_fQFrac"                                       Coef1 =  0.850000  Coef2 =  0.150000  Coef3 =  0.000000  </v>
      </c>
      <c r="AR92" s="166" t="str">
        <f>IF(AO92=1,CONCATENATE(BD92,IF(BE92="-","",$BE$15&amp;BE92),IF(BF92="-","",$BF$15&amp;BF92),IF(BG92="-","",$BG$15&amp;BG92),IF(BH92="-","",$BH$15&amp;BH92),IF(BI92="-","",$BI$15&amp;BI92),IF(BJ92="-","",$BJ$15&amp;BJ92)),"")</f>
        <v xml:space="preserve">_x000D_
                                                                                MaxOut = 1.000   MinOut = 0.850   MaxVar1 = 1.000   </v>
      </c>
      <c r="AS92" s="166" t="str">
        <f t="shared" si="23"/>
        <v>_x000D_
..</v>
      </c>
      <c r="AT92" s="43" t="str">
        <f>IF(AO92=1,VLOOKUP(O92,$AT$2:$AV$13,2,0),"")</f>
        <v>CrvQuad</v>
      </c>
      <c r="AU92" s="43" t="str">
        <f t="shared" si="24"/>
        <v xml:space="preserve">        </v>
      </c>
      <c r="AV92" s="62" t="str">
        <f t="shared" si="335"/>
        <v>"CoilHtgHPEIRRatio_fQFrac"</v>
      </c>
      <c r="AW92" s="43" t="str">
        <f t="shared" si="177"/>
        <v xml:space="preserve">                                       </v>
      </c>
      <c r="AX92" s="43" t="str">
        <f t="shared" si="121"/>
        <v xml:space="preserve"> 0.850000  </v>
      </c>
      <c r="AY92" s="43" t="str">
        <f t="shared" si="122"/>
        <v xml:space="preserve"> 0.150000  </v>
      </c>
      <c r="AZ92" s="43" t="str">
        <f t="shared" si="123"/>
        <v xml:space="preserve"> 0.000000  </v>
      </c>
      <c r="BA92" s="43" t="str">
        <f t="shared" si="124"/>
        <v>-</v>
      </c>
      <c r="BB92" s="43" t="str">
        <f t="shared" si="125"/>
        <v>-</v>
      </c>
      <c r="BC92" s="43" t="str">
        <f t="shared" si="126"/>
        <v>-</v>
      </c>
      <c r="BD92" s="43" t="str">
        <f t="shared" si="15"/>
        <v xml:space="preserve">_x000D_
                                                                                </v>
      </c>
      <c r="BE92" s="43" t="str">
        <f t="shared" si="188"/>
        <v xml:space="preserve">1.000   </v>
      </c>
      <c r="BF92" s="43" t="str">
        <f t="shared" si="189"/>
        <v xml:space="preserve">0.850   </v>
      </c>
      <c r="BG92" s="43" t="str">
        <f t="shared" si="190"/>
        <v xml:space="preserve">1.000   </v>
      </c>
      <c r="BH92" s="43" t="str">
        <f t="shared" si="191"/>
        <v>-</v>
      </c>
      <c r="BI92" s="43" t="str">
        <f t="shared" si="192"/>
        <v>-</v>
      </c>
      <c r="BJ92" s="43" t="str">
        <f t="shared" si="193"/>
        <v>-</v>
      </c>
      <c r="BM92" s="43" t="str">
        <f>Q92</f>
        <v>QFrac</v>
      </c>
      <c r="BO92" s="43">
        <v>1</v>
      </c>
      <c r="BQ92" s="43">
        <v>1</v>
      </c>
      <c r="BR92" s="43">
        <v>0</v>
      </c>
      <c r="BU92" s="147">
        <f>$V92+$W92*BO92+$X92*BO92^2</f>
        <v>1</v>
      </c>
      <c r="BV92" s="147">
        <v>1</v>
      </c>
      <c r="BW92" s="147">
        <f>$V92+$W92*BR92+$X92*BR92^2</f>
        <v>0.85</v>
      </c>
    </row>
    <row r="93" spans="1:80" collapsed="1" x14ac:dyDescent="0.25">
      <c r="A93" s="41" t="s">
        <v>297</v>
      </c>
      <c r="E93" s="20"/>
      <c r="F93" s="20"/>
      <c r="J93" s="20"/>
      <c r="L93" s="74"/>
      <c r="M93" s="74"/>
      <c r="N93" s="43" t="str">
        <f t="shared" si="334"/>
        <v>-</v>
      </c>
      <c r="P93" s="20"/>
      <c r="V93" s="61"/>
      <c r="W93" s="61"/>
      <c r="X93" s="61"/>
      <c r="Y93" s="61"/>
      <c r="Z93" s="61"/>
      <c r="AA93" s="61"/>
      <c r="AB93" s="20"/>
      <c r="AC93" s="20"/>
      <c r="AG93" s="158" t="str">
        <f t="shared" ref="AG93:AG100" si="336">IF(BV93&gt;0,ROUND(BV93,2),"")</f>
        <v/>
      </c>
      <c r="AH93" s="158" t="str">
        <f t="shared" ref="AH93:AH100" si="337">IF(BW93&gt;0,ROUND(BW93,2),"")</f>
        <v/>
      </c>
      <c r="AI93" s="158" t="str">
        <f t="shared" ref="AI93:AI100" si="338">IF(BQ93&gt;0,ROUND(BQ93,2),"")</f>
        <v/>
      </c>
      <c r="AJ93" s="158" t="str">
        <f t="shared" si="270"/>
        <v/>
      </c>
      <c r="AK93" s="158" t="str">
        <f t="shared" ref="AK93:AK100" si="339">IF(BS93&gt;0,ROUND(BS93,2),"")</f>
        <v/>
      </c>
      <c r="AL93" s="158" t="str">
        <f t="shared" ref="AL93:AL100" si="340">IF(BT93&gt;0,ROUND(BT93,2),"")</f>
        <v/>
      </c>
      <c r="AO93" s="43" t="str">
        <f>IF(ISTEXT(A93),"",IF(I93="IP",0,1))</f>
        <v/>
      </c>
      <c r="AP93" s="166" t="str">
        <f>IF(AO93=1,CONCATENATE(AQ93,AR93,AS93),"")</f>
        <v/>
      </c>
      <c r="AQ93" s="166" t="str">
        <f>IF(AO93=1,CONCATENATE(AT93,AU93,AV93,AW93,IF(AX93="-","",$AX$15&amp;AX93),IF(AY93="-","",$AY$15&amp;AY93),IF(AZ93="-","",$AZ$15&amp;AZ93),IF(BA93="-","",$BA$15&amp;BA93),IF(BB93="-","",$BB$15&amp;BB93),IF(BC93="-","",$BC$15&amp;BC93)),"")</f>
        <v/>
      </c>
      <c r="AR93" s="166" t="str">
        <f>IF(AO93=1,CONCATENATE(BD93,IF(BE93="-","",$BE$15&amp;BE93),IF(BF93="-","",$BF$15&amp;BF93),IF(BG93="-","",$BG$15&amp;BG93),IF(BH93="-","",$BH$15&amp;BH93),IF(BI93="-","",$BI$15&amp;BI93),IF(BJ93="-","",$BJ$15&amp;BJ93)),"")</f>
        <v/>
      </c>
      <c r="AS93" s="166" t="str">
        <f>IF(AO93=1,CHAR(13)&amp;CHAR(10)&amp;"..","")</f>
        <v/>
      </c>
      <c r="AT93" s="43" t="str">
        <f>IF(AO93=1,VLOOKUP(O93,$AT$2:$AV$13,2,0),"")</f>
        <v/>
      </c>
      <c r="AU93" s="43" t="str">
        <f t="shared" si="24"/>
        <v xml:space="preserve">               </v>
      </c>
      <c r="AV93" s="62" t="str">
        <f t="shared" si="335"/>
        <v/>
      </c>
      <c r="AW93" s="43" t="str">
        <f>REPT(" ",$AW$14-LEN(AV93))</f>
        <v xml:space="preserve">                                                                 </v>
      </c>
      <c r="AX93" s="43" t="str">
        <f t="shared" ref="AX93:BC95" si="341">IF($AO93=1,IF(ISBLANK(V93),"-",CONCATENATE(TEXT(V93," 0.000000;-0.000000"),"  ")),"")</f>
        <v/>
      </c>
      <c r="AY93" s="43" t="str">
        <f t="shared" si="341"/>
        <v/>
      </c>
      <c r="AZ93" s="43" t="str">
        <f t="shared" si="341"/>
        <v/>
      </c>
      <c r="BA93" s="43" t="str">
        <f t="shared" si="341"/>
        <v/>
      </c>
      <c r="BB93" s="43" t="str">
        <f t="shared" si="341"/>
        <v/>
      </c>
      <c r="BC93" s="43" t="str">
        <f t="shared" si="341"/>
        <v/>
      </c>
      <c r="BD93" s="43" t="str">
        <f t="shared" ref="BD93:BD146" si="342">IF(MAX(AG93:AL93)=0,REPT(" ",1),CHAR(13)&amp;CHAR(10)&amp;REPT(" ",BD$14))</f>
        <v xml:space="preserve"> </v>
      </c>
      <c r="BE93" s="43" t="str">
        <f t="shared" si="188"/>
        <v/>
      </c>
      <c r="BF93" s="43" t="str">
        <f t="shared" si="189"/>
        <v/>
      </c>
      <c r="BG93" s="43" t="str">
        <f t="shared" si="190"/>
        <v/>
      </c>
      <c r="BH93" s="43" t="str">
        <f t="shared" si="191"/>
        <v/>
      </c>
      <c r="BI93" s="43" t="str">
        <f t="shared" si="192"/>
        <v/>
      </c>
      <c r="BJ93" s="43" t="str">
        <f t="shared" si="193"/>
        <v/>
      </c>
      <c r="BU93" s="147"/>
      <c r="BV93" s="147"/>
      <c r="BW93" s="147"/>
    </row>
    <row r="94" spans="1:80" hidden="1" outlineLevel="1" x14ac:dyDescent="0.25">
      <c r="A94" s="58"/>
      <c r="B94" s="20" t="s">
        <v>128</v>
      </c>
      <c r="C94" s="56" t="s">
        <v>294</v>
      </c>
      <c r="D94" s="60" t="s">
        <v>61</v>
      </c>
      <c r="E94" s="20" t="s">
        <v>305</v>
      </c>
      <c r="F94" s="20" t="s">
        <v>407</v>
      </c>
      <c r="G94" s="45" t="s">
        <v>58</v>
      </c>
      <c r="H94" s="43" t="s">
        <v>629</v>
      </c>
      <c r="I94" s="20"/>
      <c r="J94" s="43" t="s">
        <v>273</v>
      </c>
      <c r="K94" s="43" t="s">
        <v>121</v>
      </c>
      <c r="L94" s="20"/>
      <c r="M94" s="20"/>
      <c r="N94" s="43" t="str">
        <f t="shared" si="334"/>
        <v>EvapClrDirectEffRatio_fCFMRatio</v>
      </c>
      <c r="O94" s="20" t="s">
        <v>162</v>
      </c>
      <c r="P94" s="20" t="s">
        <v>365</v>
      </c>
      <c r="Q94" s="43" t="s">
        <v>120</v>
      </c>
      <c r="V94" s="61">
        <v>1.1833</v>
      </c>
      <c r="W94" s="61">
        <v>-0.25752999999999998</v>
      </c>
      <c r="X94" s="61">
        <v>7.4245000000000005E-2</v>
      </c>
      <c r="Y94" s="61"/>
      <c r="Z94" s="61"/>
      <c r="AA94" s="61"/>
      <c r="AB94" s="20"/>
      <c r="AC94" s="20"/>
      <c r="AG94" s="158" t="str">
        <f t="shared" si="336"/>
        <v/>
      </c>
      <c r="AH94" s="158">
        <f t="shared" si="337"/>
        <v>1.18</v>
      </c>
      <c r="AI94" s="158" t="str">
        <f t="shared" si="338"/>
        <v/>
      </c>
      <c r="AJ94" s="158" t="str">
        <f t="shared" si="270"/>
        <v/>
      </c>
      <c r="AK94" s="158" t="str">
        <f t="shared" si="339"/>
        <v/>
      </c>
      <c r="AL94" s="158" t="str">
        <f t="shared" si="340"/>
        <v/>
      </c>
      <c r="AO94" s="43">
        <v>0</v>
      </c>
      <c r="AP94" s="166" t="str">
        <f>IF(AO94=1,CONCATENATE(AQ94,AR94,AS94),"")</f>
        <v/>
      </c>
      <c r="AQ94" s="166" t="str">
        <f>IF(AO94=1,CONCATENATE(AT94,AU94,AV94,AW94,IF(AX94="-","",$AX$15&amp;AX94),IF(AY94="-","",$AY$15&amp;AY94),IF(AZ94="-","",$AZ$15&amp;AZ94),IF(BA94="-","",$BA$15&amp;BA94),IF(BB94="-","",$BB$15&amp;BB94),IF(BC94="-","",$BC$15&amp;BC94)),"")</f>
        <v/>
      </c>
      <c r="AR94" s="166" t="str">
        <f>IF(AO94=1,CONCATENATE(BD94,IF(BE94="-","",$BE$15&amp;BE94),IF(BF94="-","",$BF$15&amp;BF94),IF(BG94="-","",$BG$15&amp;BG94),IF(BH94="-","",$BH$15&amp;BH94),IF(BI94="-","",$BI$15&amp;BI94),IF(BJ94="-","",$BJ$15&amp;BJ94)),"")</f>
        <v/>
      </c>
      <c r="AS94" s="166" t="str">
        <f>IF(AO94=1,CHAR(13)&amp;CHAR(10)&amp;"..","")</f>
        <v/>
      </c>
      <c r="AT94" s="43" t="str">
        <f>IF(AO94=1,VLOOKUP(O94,$AT$2:$AV$13,2,0),"")</f>
        <v/>
      </c>
      <c r="AU94" s="43" t="str">
        <f t="shared" ref="AU94:AU160" si="343">REPT(" ",AU$14-LEN(AT94))</f>
        <v xml:space="preserve">               </v>
      </c>
      <c r="AV94" s="62" t="str">
        <f t="shared" si="335"/>
        <v/>
      </c>
      <c r="AW94" s="43" t="str">
        <f>REPT(" ",$AW$14-LEN(AV94))</f>
        <v xml:space="preserve">                                                                 </v>
      </c>
      <c r="AX94" s="43" t="str">
        <f t="shared" si="341"/>
        <v/>
      </c>
      <c r="AY94" s="43" t="str">
        <f t="shared" si="341"/>
        <v/>
      </c>
      <c r="AZ94" s="43" t="str">
        <f t="shared" si="341"/>
        <v/>
      </c>
      <c r="BA94" s="43" t="str">
        <f t="shared" si="341"/>
        <v/>
      </c>
      <c r="BB94" s="43" t="str">
        <f t="shared" si="341"/>
        <v/>
      </c>
      <c r="BC94" s="43" t="str">
        <f t="shared" si="341"/>
        <v/>
      </c>
      <c r="BD94" s="43" t="str">
        <f t="shared" si="342"/>
        <v xml:space="preserve">_x000D_
                                                                                </v>
      </c>
      <c r="BE94" s="43" t="str">
        <f t="shared" si="188"/>
        <v/>
      </c>
      <c r="BF94" s="43" t="str">
        <f t="shared" si="189"/>
        <v/>
      </c>
      <c r="BG94" s="43" t="str">
        <f t="shared" si="190"/>
        <v/>
      </c>
      <c r="BH94" s="43" t="str">
        <f t="shared" si="191"/>
        <v/>
      </c>
      <c r="BI94" s="43" t="str">
        <f t="shared" si="192"/>
        <v/>
      </c>
      <c r="BJ94" s="43" t="str">
        <f t="shared" si="193"/>
        <v/>
      </c>
      <c r="BM94" s="43" t="str">
        <f>Q94</f>
        <v>CFMRatio</v>
      </c>
      <c r="BO94" s="43">
        <v>1</v>
      </c>
      <c r="BR94" s="43">
        <v>0</v>
      </c>
      <c r="BU94" s="147">
        <f>$V94+$W94*BO94+$X94*BO94^2</f>
        <v>1.0000149999999999</v>
      </c>
      <c r="BV94" s="147"/>
      <c r="BW94" s="147">
        <f>$V94+$W94*BR94+$X94*BR94^2</f>
        <v>1.1833</v>
      </c>
    </row>
    <row r="95" spans="1:80" hidden="1" outlineLevel="1" x14ac:dyDescent="0.25">
      <c r="A95" s="58"/>
      <c r="B95" s="20"/>
      <c r="C95" s="20"/>
      <c r="D95" s="59"/>
      <c r="E95" s="20" t="s">
        <v>305</v>
      </c>
      <c r="F95" s="20"/>
      <c r="G95" s="45" t="s">
        <v>59</v>
      </c>
      <c r="H95" s="43" t="s">
        <v>630</v>
      </c>
      <c r="I95" s="20"/>
      <c r="J95" s="43" t="s">
        <v>273</v>
      </c>
      <c r="L95" s="20"/>
      <c r="M95" s="20"/>
      <c r="N95" s="43" t="str">
        <f t="shared" si="334"/>
        <v>EvapClrIndirectEffRatio_fCFMRatio</v>
      </c>
      <c r="O95" s="20" t="s">
        <v>162</v>
      </c>
      <c r="P95" s="20" t="s">
        <v>365</v>
      </c>
      <c r="Q95" s="43" t="s">
        <v>120</v>
      </c>
      <c r="V95" s="61">
        <v>1.097</v>
      </c>
      <c r="W95" s="61">
        <v>-0.16506000000000001</v>
      </c>
      <c r="X95" s="61">
        <v>6.8069000000000005E-2</v>
      </c>
      <c r="Y95" s="61"/>
      <c r="Z95" s="61"/>
      <c r="AA95" s="61"/>
      <c r="AB95" s="20"/>
      <c r="AC95" s="20"/>
      <c r="AG95" s="158" t="str">
        <f t="shared" si="336"/>
        <v/>
      </c>
      <c r="AH95" s="158">
        <f t="shared" si="337"/>
        <v>1.1000000000000001</v>
      </c>
      <c r="AI95" s="158" t="str">
        <f t="shared" si="338"/>
        <v/>
      </c>
      <c r="AJ95" s="158" t="str">
        <f t="shared" si="270"/>
        <v/>
      </c>
      <c r="AK95" s="158" t="str">
        <f t="shared" si="339"/>
        <v/>
      </c>
      <c r="AL95" s="158" t="str">
        <f t="shared" si="340"/>
        <v/>
      </c>
      <c r="AO95" s="43">
        <v>0</v>
      </c>
      <c r="AP95" s="166" t="str">
        <f>IF(AO95=1,CONCATENATE(AQ95,AR95,AS95),"")</f>
        <v/>
      </c>
      <c r="AQ95" s="166" t="str">
        <f>IF(AO95=1,CONCATENATE(AT95,AU95,AV95,AW95,IF(AX95="-","",$AX$15&amp;AX95),IF(AY95="-","",$AY$15&amp;AY95),IF(AZ95="-","",$AZ$15&amp;AZ95),IF(BA95="-","",$BA$15&amp;BA95),IF(BB95="-","",$BB$15&amp;BB95),IF(BC95="-","",$BC$15&amp;BC95)),"")</f>
        <v/>
      </c>
      <c r="AR95" s="166" t="str">
        <f>IF(AO95=1,CONCATENATE(BD95,IF(BE95="-","",$BE$15&amp;BE95),IF(BF95="-","",$BF$15&amp;BF95),IF(BG95="-","",$BG$15&amp;BG95),IF(BH95="-","",$BH$15&amp;BH95),IF(BI95="-","",$BI$15&amp;BI95),IF(BJ95="-","",$BJ$15&amp;BJ95)),"")</f>
        <v/>
      </c>
      <c r="AS95" s="166" t="str">
        <f>IF(AO95=1,CHAR(13)&amp;CHAR(10)&amp;"..","")</f>
        <v/>
      </c>
      <c r="AT95" s="43" t="str">
        <f>IF(AO95=1,VLOOKUP(O95,$AT$2:$AV$13,2,0),"")</f>
        <v/>
      </c>
      <c r="AU95" s="43" t="str">
        <f t="shared" si="343"/>
        <v xml:space="preserve">               </v>
      </c>
      <c r="AV95" s="62" t="str">
        <f t="shared" si="335"/>
        <v/>
      </c>
      <c r="AW95" s="43" t="str">
        <f>REPT(" ",$AW$14-LEN(AV95))</f>
        <v xml:space="preserve">                                                                 </v>
      </c>
      <c r="AX95" s="43" t="str">
        <f t="shared" si="341"/>
        <v/>
      </c>
      <c r="AY95" s="43" t="str">
        <f t="shared" si="341"/>
        <v/>
      </c>
      <c r="AZ95" s="43" t="str">
        <f t="shared" si="341"/>
        <v/>
      </c>
      <c r="BA95" s="43" t="str">
        <f t="shared" si="341"/>
        <v/>
      </c>
      <c r="BB95" s="43" t="str">
        <f t="shared" si="341"/>
        <v/>
      </c>
      <c r="BC95" s="43" t="str">
        <f t="shared" si="341"/>
        <v/>
      </c>
      <c r="BD95" s="43" t="str">
        <f t="shared" si="342"/>
        <v xml:space="preserve">_x000D_
                                                                                </v>
      </c>
      <c r="BE95" s="43" t="str">
        <f t="shared" si="188"/>
        <v/>
      </c>
      <c r="BF95" s="43" t="str">
        <f t="shared" si="189"/>
        <v/>
      </c>
      <c r="BG95" s="43" t="str">
        <f t="shared" si="190"/>
        <v/>
      </c>
      <c r="BH95" s="43" t="str">
        <f t="shared" si="191"/>
        <v/>
      </c>
      <c r="BI95" s="43" t="str">
        <f t="shared" si="192"/>
        <v/>
      </c>
      <c r="BJ95" s="43" t="str">
        <f t="shared" si="193"/>
        <v/>
      </c>
      <c r="BM95" s="43" t="str">
        <f>Q95</f>
        <v>CFMRatio</v>
      </c>
      <c r="BO95" s="43">
        <v>1</v>
      </c>
      <c r="BR95" s="43">
        <v>0</v>
      </c>
      <c r="BU95" s="147">
        <f>$V95+$W95*BO95+$X95*BO95^2</f>
        <v>1.0000089999999999</v>
      </c>
      <c r="BV95" s="147"/>
      <c r="BW95" s="147">
        <f>$V95+$W95*BR95+$X95*BR95^2</f>
        <v>1.097</v>
      </c>
    </row>
    <row r="96" spans="1:80" collapsed="1" x14ac:dyDescent="0.25">
      <c r="A96" s="77" t="s">
        <v>363</v>
      </c>
      <c r="B96" s="78"/>
      <c r="C96" s="78"/>
      <c r="D96" s="79"/>
      <c r="E96" s="78"/>
      <c r="F96" s="78"/>
      <c r="G96" s="80"/>
      <c r="H96" s="78"/>
      <c r="I96" s="78"/>
      <c r="J96" s="78"/>
      <c r="K96" s="78"/>
      <c r="L96" s="78"/>
      <c r="M96" s="78"/>
      <c r="N96" s="43" t="str">
        <f t="shared" si="334"/>
        <v>-</v>
      </c>
      <c r="O96" s="78"/>
      <c r="P96" s="78"/>
      <c r="Q96" s="78"/>
      <c r="R96" s="78"/>
      <c r="S96" s="78"/>
      <c r="T96" s="78"/>
      <c r="U96" s="78"/>
      <c r="V96" s="61"/>
      <c r="W96" s="61"/>
      <c r="X96" s="61"/>
      <c r="Y96" s="61"/>
      <c r="Z96" s="61"/>
      <c r="AA96" s="61"/>
      <c r="AB96" s="20"/>
      <c r="AC96" s="20"/>
      <c r="AD96" s="78"/>
      <c r="AE96" s="78"/>
      <c r="AF96" s="78"/>
      <c r="AG96" s="158" t="str">
        <f t="shared" si="336"/>
        <v/>
      </c>
      <c r="AH96" s="158" t="str">
        <f t="shared" si="337"/>
        <v/>
      </c>
      <c r="AI96" s="158" t="str">
        <f t="shared" si="338"/>
        <v/>
      </c>
      <c r="AJ96" s="158" t="str">
        <f t="shared" si="270"/>
        <v/>
      </c>
      <c r="AK96" s="158" t="str">
        <f t="shared" si="339"/>
        <v/>
      </c>
      <c r="AL96" s="158" t="str">
        <f t="shared" si="340"/>
        <v/>
      </c>
      <c r="AM96" s="80"/>
      <c r="AN96" s="78"/>
      <c r="AO96" s="43" t="str">
        <f>IF(ISTEXT(A96),"",IF(I96="IP",0,1))</f>
        <v/>
      </c>
      <c r="AP96" s="166" t="str">
        <f t="shared" si="8"/>
        <v/>
      </c>
      <c r="AQ96" s="166" t="str">
        <f t="shared" si="272"/>
        <v/>
      </c>
      <c r="AR96" s="166" t="str">
        <f t="shared" si="175"/>
        <v/>
      </c>
      <c r="AS96" s="166" t="str">
        <f t="shared" si="23"/>
        <v/>
      </c>
      <c r="AT96" s="43" t="str">
        <f t="shared" ref="AT96:AT121" si="344">IF(AO96=1,VLOOKUP(O96,$AT$2:$AV$13,2,0),"")</f>
        <v/>
      </c>
      <c r="AU96" s="43" t="str">
        <f t="shared" si="343"/>
        <v xml:space="preserve">               </v>
      </c>
      <c r="AV96" s="62" t="str">
        <f t="shared" si="335"/>
        <v/>
      </c>
      <c r="AW96" s="43" t="str">
        <f t="shared" si="177"/>
        <v xml:space="preserve">                                                                 </v>
      </c>
      <c r="AX96" s="43" t="str">
        <f t="shared" si="121"/>
        <v/>
      </c>
      <c r="AY96" s="43" t="str">
        <f t="shared" si="122"/>
        <v/>
      </c>
      <c r="AZ96" s="43" t="str">
        <f t="shared" si="123"/>
        <v/>
      </c>
      <c r="BA96" s="43" t="str">
        <f t="shared" si="124"/>
        <v/>
      </c>
      <c r="BB96" s="43" t="str">
        <f t="shared" si="125"/>
        <v/>
      </c>
      <c r="BC96" s="43" t="str">
        <f t="shared" si="126"/>
        <v/>
      </c>
      <c r="BD96" s="43" t="str">
        <f t="shared" si="342"/>
        <v xml:space="preserve"> </v>
      </c>
      <c r="BE96" s="43" t="str">
        <f t="shared" si="188"/>
        <v/>
      </c>
      <c r="BF96" s="43" t="str">
        <f t="shared" si="189"/>
        <v/>
      </c>
      <c r="BG96" s="43" t="str">
        <f t="shared" si="190"/>
        <v/>
      </c>
      <c r="BH96" s="43" t="str">
        <f t="shared" si="191"/>
        <v/>
      </c>
      <c r="BI96" s="43" t="str">
        <f t="shared" si="192"/>
        <v/>
      </c>
      <c r="BJ96" s="43" t="str">
        <f t="shared" si="193"/>
        <v/>
      </c>
      <c r="BU96" s="147"/>
      <c r="BV96" s="147"/>
      <c r="BW96" s="147"/>
    </row>
    <row r="97" spans="1:84" hidden="1" outlineLevel="1" x14ac:dyDescent="0.25">
      <c r="A97" s="58"/>
      <c r="B97" s="20" t="s">
        <v>136</v>
      </c>
      <c r="C97" s="56" t="s">
        <v>138</v>
      </c>
      <c r="D97" s="59" t="s">
        <v>68</v>
      </c>
      <c r="E97" s="60" t="s">
        <v>364</v>
      </c>
      <c r="F97" s="60" t="s">
        <v>741</v>
      </c>
      <c r="G97" s="60" t="s">
        <v>681</v>
      </c>
      <c r="H97" s="20" t="s">
        <v>563</v>
      </c>
      <c r="I97" s="20" t="s">
        <v>659</v>
      </c>
      <c r="J97" s="20" t="s">
        <v>273</v>
      </c>
      <c r="K97" s="20" t="s">
        <v>628</v>
      </c>
      <c r="L97" s="20" t="s">
        <v>178</v>
      </c>
      <c r="M97" s="20" t="s">
        <v>237</v>
      </c>
      <c r="N97" s="43" t="str">
        <f t="shared" si="334"/>
        <v>BlrHWBlrFIRRatio_fQRatioIP</v>
      </c>
      <c r="O97" s="20" t="s">
        <v>162</v>
      </c>
      <c r="P97" s="20" t="s">
        <v>391</v>
      </c>
      <c r="Q97" s="20" t="s">
        <v>160</v>
      </c>
      <c r="R97" s="20"/>
      <c r="S97" s="20"/>
      <c r="T97" s="20"/>
      <c r="U97" s="20"/>
      <c r="V97" s="61">
        <v>8.2597000000000004E-2</v>
      </c>
      <c r="W97" s="61">
        <v>0.99676399999999998</v>
      </c>
      <c r="X97" s="61">
        <v>-7.9361000000000001E-2</v>
      </c>
      <c r="Y97" s="61"/>
      <c r="Z97" s="61"/>
      <c r="AA97" s="61"/>
      <c r="AB97" s="20"/>
      <c r="AC97" s="20"/>
      <c r="AD97" s="20"/>
      <c r="AE97" s="20"/>
      <c r="AF97" s="20"/>
      <c r="AG97" s="158" t="str">
        <f t="shared" si="336"/>
        <v/>
      </c>
      <c r="AH97" s="158">
        <f t="shared" si="337"/>
        <v>0.08</v>
      </c>
      <c r="AI97" s="158" t="str">
        <f t="shared" si="338"/>
        <v/>
      </c>
      <c r="AJ97" s="158" t="str">
        <f t="shared" si="270"/>
        <v/>
      </c>
      <c r="AK97" s="158" t="str">
        <f t="shared" si="339"/>
        <v/>
      </c>
      <c r="AL97" s="158" t="str">
        <f t="shared" si="340"/>
        <v/>
      </c>
      <c r="AM97" s="60"/>
      <c r="AN97" s="20"/>
      <c r="AO97" s="43">
        <v>0</v>
      </c>
      <c r="AP97" s="166" t="str">
        <f t="shared" si="8"/>
        <v/>
      </c>
      <c r="AQ97" s="166" t="str">
        <f t="shared" si="272"/>
        <v/>
      </c>
      <c r="AR97" s="166" t="str">
        <f t="shared" si="175"/>
        <v/>
      </c>
      <c r="AS97" s="166" t="str">
        <f t="shared" si="23"/>
        <v/>
      </c>
      <c r="AT97" s="43" t="str">
        <f t="shared" si="344"/>
        <v/>
      </c>
      <c r="AU97" s="43" t="str">
        <f t="shared" si="343"/>
        <v xml:space="preserve">               </v>
      </c>
      <c r="AV97" s="62" t="str">
        <f t="shared" si="335"/>
        <v/>
      </c>
      <c r="AW97" s="43" t="str">
        <f t="shared" si="177"/>
        <v xml:space="preserve">                                                                 </v>
      </c>
      <c r="AX97" s="43" t="str">
        <f t="shared" si="121"/>
        <v/>
      </c>
      <c r="AY97" s="43" t="str">
        <f t="shared" si="122"/>
        <v/>
      </c>
      <c r="AZ97" s="43" t="str">
        <f t="shared" si="123"/>
        <v/>
      </c>
      <c r="BA97" s="43" t="str">
        <f t="shared" si="124"/>
        <v/>
      </c>
      <c r="BB97" s="43" t="str">
        <f t="shared" si="125"/>
        <v/>
      </c>
      <c r="BC97" s="43" t="str">
        <f t="shared" si="126"/>
        <v/>
      </c>
      <c r="BD97" s="43" t="str">
        <f t="shared" si="342"/>
        <v xml:space="preserve">_x000D_
                                                                                </v>
      </c>
      <c r="BE97" s="43" t="str">
        <f t="shared" si="188"/>
        <v/>
      </c>
      <c r="BF97" s="43" t="str">
        <f t="shared" si="189"/>
        <v/>
      </c>
      <c r="BG97" s="43" t="str">
        <f t="shared" si="190"/>
        <v/>
      </c>
      <c r="BH97" s="43" t="str">
        <f t="shared" si="191"/>
        <v/>
      </c>
      <c r="BI97" s="43" t="str">
        <f t="shared" si="192"/>
        <v/>
      </c>
      <c r="BJ97" s="43" t="str">
        <f t="shared" si="193"/>
        <v/>
      </c>
      <c r="BM97" s="43" t="str">
        <f>Q97</f>
        <v>QRatio</v>
      </c>
      <c r="BO97" s="43">
        <v>1</v>
      </c>
      <c r="BR97" s="43">
        <v>0</v>
      </c>
      <c r="BU97" s="147">
        <f>$V97+$W97*BO97+$X97*BO97^2+$Y97*BO97^3</f>
        <v>1</v>
      </c>
      <c r="BV97" s="147"/>
      <c r="BW97" s="147">
        <f>$V97+$W97*BR97+$X97*BR97^2+$Y97*BR97^3</f>
        <v>8.2597000000000004E-2</v>
      </c>
    </row>
    <row r="98" spans="1:84" hidden="1" outlineLevel="1" x14ac:dyDescent="0.25">
      <c r="A98" s="58"/>
      <c r="B98" s="20"/>
      <c r="C98" s="56"/>
      <c r="D98" s="59"/>
      <c r="E98" s="60" t="s">
        <v>364</v>
      </c>
      <c r="F98" s="60" t="s">
        <v>409</v>
      </c>
      <c r="G98" s="60" t="s">
        <v>681</v>
      </c>
      <c r="H98" s="20" t="s">
        <v>563</v>
      </c>
      <c r="I98" s="20" t="s">
        <v>660</v>
      </c>
      <c r="J98" s="20" t="s">
        <v>144</v>
      </c>
      <c r="K98" s="20" t="s">
        <v>628</v>
      </c>
      <c r="L98" s="20" t="s">
        <v>178</v>
      </c>
      <c r="M98" s="20" t="s">
        <v>237</v>
      </c>
      <c r="N98" s="43" t="str">
        <f t="shared" si="334"/>
        <v>BlrHWBlrFIRRatio_fQRatioSI</v>
      </c>
      <c r="O98" s="20" t="s">
        <v>162</v>
      </c>
      <c r="P98" s="20" t="s">
        <v>391</v>
      </c>
      <c r="Q98" s="20" t="s">
        <v>160</v>
      </c>
      <c r="R98" s="20"/>
      <c r="S98" s="20"/>
      <c r="T98" s="20"/>
      <c r="U98" s="20"/>
      <c r="V98" s="61">
        <v>0.62670000000000003</v>
      </c>
      <c r="W98" s="61">
        <v>0.67400000000000004</v>
      </c>
      <c r="X98" s="61">
        <v>-0.30730000000000002</v>
      </c>
      <c r="Y98" s="61"/>
      <c r="Z98" s="61"/>
      <c r="AA98" s="61"/>
      <c r="AB98" s="20"/>
      <c r="AC98" s="20"/>
      <c r="AD98" s="20"/>
      <c r="AE98" s="20"/>
      <c r="AF98" s="20"/>
      <c r="AG98" s="158"/>
      <c r="AH98" s="158">
        <f t="shared" si="337"/>
        <v>0.75</v>
      </c>
      <c r="AI98" s="158"/>
      <c r="AJ98" s="158">
        <f t="shared" si="270"/>
        <v>0.2</v>
      </c>
      <c r="AK98" s="158"/>
      <c r="AL98" s="158"/>
      <c r="AM98" s="60"/>
      <c r="AN98" s="20"/>
      <c r="AO98" s="43">
        <f t="shared" ref="AO98:AO108" si="345">IF(ISTEXT(A98),"",IF(I98="IP",0,1))</f>
        <v>1</v>
      </c>
      <c r="AP98" s="166" t="str">
        <f t="shared" ref="AP98" si="346">IF(AO98=1,CONCATENATE(AQ98,AR98,AS98),"")</f>
        <v>CrvQuad        "BlrHWBlrFIRRatio_fQRatioSI"                                     Coef1 =  0.626700  Coef2 =  0.674000  Coef3 = -0.307300  _x000D_
                                                                                MinOut = 0.750   MinVar1 = 0.200   _x000D_
..</v>
      </c>
      <c r="AQ98" s="166" t="str">
        <f t="shared" ref="AQ98" si="347">IF(AO98=1,CONCATENATE(AT98,AU98,AV98,AW98,IF(AX98="-","",$AX$15&amp;AX98),IF(AY98="-","",$AY$15&amp;AY98),IF(AZ98="-","",$AZ$15&amp;AZ98),IF(BA98="-","",$BA$15&amp;BA98),IF(BB98="-","",$BB$15&amp;BB98),IF(BC98="-","",$BC$15&amp;BC98)),"")</f>
        <v xml:space="preserve">CrvQuad        "BlrHWBlrFIRRatio_fQRatioSI"                                     Coef1 =  0.626700  Coef2 =  0.674000  Coef3 = -0.307300  </v>
      </c>
      <c r="AR98" s="166" t="str">
        <f t="shared" ref="AR98" si="348">IF(AO98=1,CONCATENATE(BD98,IF(BE98="-","",$BE$15&amp;BE98),IF(BF98="-","",$BF$15&amp;BF98),IF(BG98="-","",$BG$15&amp;BG98),IF(BH98="-","",$BH$15&amp;BH98),IF(BI98="-","",$BI$15&amp;BI98),IF(BJ98="-","",$BJ$15&amp;BJ98)),"")</f>
        <v xml:space="preserve">_x000D_
                                                                                MinOut = 0.750   MinVar1 = 0.200   </v>
      </c>
      <c r="AS98" s="166" t="str">
        <f t="shared" ref="AS98" si="349">IF(AO98=1,CHAR(13)&amp;CHAR(10)&amp;"..","")</f>
        <v>_x000D_
..</v>
      </c>
      <c r="AT98" s="43" t="str">
        <f t="shared" ref="AT98" si="350">IF(AO98=1,VLOOKUP(O98,$AT$2:$AV$13,2,0),"")</f>
        <v>CrvQuad</v>
      </c>
      <c r="AU98" s="43" t="str">
        <f t="shared" ref="AU98" si="351">REPT(" ",AU$14-LEN(AT98))</f>
        <v xml:space="preserve">        </v>
      </c>
      <c r="AV98" s="62" t="str">
        <f t="shared" si="335"/>
        <v>"BlrHWBlrFIRRatio_fQRatioSI"</v>
      </c>
      <c r="AW98" s="43" t="str">
        <f t="shared" ref="AW98" si="352">REPT(" ",$AW$14-LEN(AV98))</f>
        <v xml:space="preserve">                                     </v>
      </c>
      <c r="AX98" s="43" t="str">
        <f t="shared" ref="AX98" si="353">IF($AO98=1,IF(ISBLANK(V98),"-",CONCATENATE(TEXT(V98," 0.000000;-0.000000"),"  ")),"")</f>
        <v xml:space="preserve"> 0.626700  </v>
      </c>
      <c r="AY98" s="43" t="str">
        <f t="shared" ref="AY98" si="354">IF($AO98=1,IF(ISBLANK(W98),"-",CONCATENATE(TEXT(W98," 0.000000;-0.000000"),"  ")),"")</f>
        <v xml:space="preserve"> 0.674000  </v>
      </c>
      <c r="AZ98" s="43" t="str">
        <f t="shared" ref="AZ98" si="355">IF($AO98=1,IF(ISBLANK(X98),"-",CONCATENATE(TEXT(X98," 0.000000;-0.000000"),"  ")),"")</f>
        <v xml:space="preserve">-0.307300  </v>
      </c>
      <c r="BA98" s="43" t="str">
        <f t="shared" ref="BA98" si="356">IF($AO98=1,IF(ISBLANK(Y98),"-",CONCATENATE(TEXT(Y98," 0.000000;-0.000000"),"  ")),"")</f>
        <v>-</v>
      </c>
      <c r="BB98" s="43" t="str">
        <f t="shared" ref="BB98" si="357">IF($AO98=1,IF(ISBLANK(Z98),"-",CONCATENATE(TEXT(Z98," 0.000000;-0.000000"),"  ")),"")</f>
        <v>-</v>
      </c>
      <c r="BC98" s="43" t="str">
        <f t="shared" ref="BC98" si="358">IF($AO98=1,IF(ISBLANK(AA98),"-",CONCATENATE(TEXT(AA98," 0.000000;-0.000000"),"  ")),"")</f>
        <v>-</v>
      </c>
      <c r="BD98" s="43" t="str">
        <f t="shared" ref="BD98" si="359">IF(MAX(AG98:AL98)=0,REPT(" ",1),CHAR(13)&amp;CHAR(10)&amp;REPT(" ",BD$14))</f>
        <v xml:space="preserve">_x000D_
                                                                                </v>
      </c>
      <c r="BE98" s="43" t="str">
        <f t="shared" ref="BE98" si="360">IF($AO98=1,IF(AG98="","-",CONCATENATE(TEXT(AG98,"0.000"),"   ")),"")</f>
        <v>-</v>
      </c>
      <c r="BF98" s="43" t="str">
        <f t="shared" ref="BF98" si="361">IF($AO98=1,IF(AH98="","-",CONCATENATE(TEXT(AH98,"0.000"),"   ")),"")</f>
        <v xml:space="preserve">0.750   </v>
      </c>
      <c r="BG98" s="43" t="str">
        <f t="shared" ref="BG98" si="362">IF($AO98=1,IF(AI98="","-",CONCATENATE(TEXT(AI98,"0.000"),"   ")),"")</f>
        <v>-</v>
      </c>
      <c r="BH98" s="43" t="str">
        <f t="shared" ref="BH98" si="363">IF($AO98=1,IF(AJ98="","-",CONCATENATE(TEXT(AJ98,"0.000"),"   ")),"")</f>
        <v xml:space="preserve">0.200   </v>
      </c>
      <c r="BI98" s="43" t="str">
        <f t="shared" ref="BI98" si="364">IF($AO98=1,IF(AK98="","-",CONCATENATE(TEXT(AK98,"0.000"),"   ")),"")</f>
        <v>-</v>
      </c>
      <c r="BJ98" s="43" t="str">
        <f t="shared" ref="BJ98" si="365">IF($AO98=1,IF(AL98="","-",CONCATENATE(TEXT(AL98,"0.000"),"   ")),"")</f>
        <v>-</v>
      </c>
      <c r="BM98" s="43" t="str">
        <f>Q98</f>
        <v>QRatio</v>
      </c>
      <c r="BO98" s="43">
        <v>1</v>
      </c>
      <c r="BQ98" s="43">
        <v>1</v>
      </c>
      <c r="BR98" s="43">
        <v>0.2</v>
      </c>
      <c r="BU98" s="147">
        <f>$V98+$W98*BO98+$X98*BO98^2+$Y98*BO98^3</f>
        <v>0.99339999999999995</v>
      </c>
      <c r="BV98" s="147"/>
      <c r="BW98" s="147">
        <f>$V98+$W98*BR98+$X98*BR98^2+$Y98*BR98^3</f>
        <v>0.7492080000000001</v>
      </c>
    </row>
    <row r="99" spans="1:84" hidden="1" outlineLevel="1" x14ac:dyDescent="0.25">
      <c r="A99" s="58"/>
      <c r="B99" s="20"/>
      <c r="C99" s="56"/>
      <c r="D99" s="59"/>
      <c r="E99" s="60" t="s">
        <v>364</v>
      </c>
      <c r="F99" s="60" t="s">
        <v>741</v>
      </c>
      <c r="G99" s="60" t="s">
        <v>682</v>
      </c>
      <c r="H99" s="20" t="s">
        <v>685</v>
      </c>
      <c r="I99" s="20" t="s">
        <v>659</v>
      </c>
      <c r="J99" s="20" t="s">
        <v>273</v>
      </c>
      <c r="K99" s="20" t="s">
        <v>684</v>
      </c>
      <c r="L99" s="20"/>
      <c r="M99" s="20"/>
      <c r="N99" s="43" t="str">
        <f t="shared" si="334"/>
        <v>BlrHWCondBlrFIRRatio_fQRatioTewtIP</v>
      </c>
      <c r="O99" s="20" t="s">
        <v>165</v>
      </c>
      <c r="P99" s="20" t="s">
        <v>391</v>
      </c>
      <c r="Q99" s="20" t="s">
        <v>160</v>
      </c>
      <c r="R99" s="20" t="s">
        <v>683</v>
      </c>
      <c r="S99" s="20"/>
      <c r="T99" s="20"/>
      <c r="U99" s="20"/>
      <c r="V99" s="61"/>
      <c r="W99" s="61"/>
      <c r="X99" s="61"/>
      <c r="Y99" s="61"/>
      <c r="Z99" s="61"/>
      <c r="AA99" s="61"/>
      <c r="AB99" s="20"/>
      <c r="AC99" s="20"/>
      <c r="AD99" s="20"/>
      <c r="AE99" s="20"/>
      <c r="AF99" s="20"/>
      <c r="AG99" s="158" t="str">
        <f t="shared" si="336"/>
        <v/>
      </c>
      <c r="AH99" s="158" t="str">
        <f t="shared" si="337"/>
        <v/>
      </c>
      <c r="AI99" s="158">
        <f t="shared" si="338"/>
        <v>1</v>
      </c>
      <c r="AJ99" s="158" t="str">
        <f t="shared" si="270"/>
        <v/>
      </c>
      <c r="AK99" s="158" t="str">
        <f t="shared" si="339"/>
        <v/>
      </c>
      <c r="AL99" s="158" t="str">
        <f t="shared" si="340"/>
        <v/>
      </c>
      <c r="AM99" s="60"/>
      <c r="AN99" s="20"/>
      <c r="AO99" s="43">
        <f t="shared" si="345"/>
        <v>0</v>
      </c>
      <c r="AP99" s="166" t="str">
        <f t="shared" ref="AP99" si="366">IF(AO99=1,CONCATENATE(AQ99,AR99,AS99),"")</f>
        <v/>
      </c>
      <c r="AQ99" s="166" t="str">
        <f t="shared" ref="AQ99" si="367">IF(AO99=1,CONCATENATE(AT99,AU99,AV99,AW99,IF(AX99="-","",$AX$15&amp;AX99),IF(AY99="-","",$AY$15&amp;AY99),IF(AZ99="-","",$AZ$15&amp;AZ99),IF(BA99="-","",$BA$15&amp;BA99),IF(BB99="-","",$BB$15&amp;BB99),IF(BC99="-","",$BC$15&amp;BC99)),"")</f>
        <v/>
      </c>
      <c r="AR99" s="166" t="str">
        <f t="shared" ref="AR99" si="368">IF(AO99=1,CONCATENATE(BD99,IF(BE99="-","",$BE$15&amp;BE99),IF(BF99="-","",$BF$15&amp;BF99),IF(BG99="-","",$BG$15&amp;BG99),IF(BH99="-","",$BH$15&amp;BH99),IF(BI99="-","",$BI$15&amp;BI99),IF(BJ99="-","",$BJ$15&amp;BJ99)),"")</f>
        <v/>
      </c>
      <c r="AS99" s="166" t="str">
        <f t="shared" ref="AS99" si="369">IF(AO99=1,CHAR(13)&amp;CHAR(10)&amp;"..","")</f>
        <v/>
      </c>
      <c r="AT99" s="43" t="str">
        <f t="shared" ref="AT99" si="370">IF(AO99=1,VLOOKUP(O99,$AT$2:$AV$13,2,0),"")</f>
        <v/>
      </c>
      <c r="AU99" s="43" t="str">
        <f t="shared" ref="AU99" si="371">REPT(" ",AU$14-LEN(AT99))</f>
        <v xml:space="preserve">               </v>
      </c>
      <c r="AV99" s="62" t="str">
        <f t="shared" si="335"/>
        <v/>
      </c>
      <c r="AW99" s="43" t="str">
        <f t="shared" ref="AW99" si="372">REPT(" ",$AW$14-LEN(AV99))</f>
        <v xml:space="preserve">                                                                 </v>
      </c>
      <c r="AX99" s="43" t="str">
        <f t="shared" ref="AX99" si="373">IF($AO99=1,IF(ISBLANK(V99),"-",CONCATENATE(TEXT(V99," 0.000000;-0.000000"),"  ")),"")</f>
        <v/>
      </c>
      <c r="AY99" s="43" t="str">
        <f t="shared" ref="AY99" si="374">IF($AO99=1,IF(ISBLANK(W99),"-",CONCATENATE(TEXT(W99," 0.000000;-0.000000"),"  ")),"")</f>
        <v/>
      </c>
      <c r="AZ99" s="43" t="str">
        <f t="shared" ref="AZ99" si="375">IF($AO99=1,IF(ISBLANK(X99),"-",CONCATENATE(TEXT(X99," 0.000000;-0.000000"),"  ")),"")</f>
        <v/>
      </c>
      <c r="BA99" s="43" t="str">
        <f t="shared" ref="BA99" si="376">IF($AO99=1,IF(ISBLANK(Y99),"-",CONCATENATE(TEXT(Y99," 0.000000;-0.000000"),"  ")),"")</f>
        <v/>
      </c>
      <c r="BB99" s="43" t="str">
        <f t="shared" ref="BB99" si="377">IF($AO99=1,IF(ISBLANK(Z99),"-",CONCATENATE(TEXT(Z99," 0.000000;-0.000000"),"  ")),"")</f>
        <v/>
      </c>
      <c r="BC99" s="43" t="str">
        <f t="shared" ref="BC99" si="378">IF($AO99=1,IF(ISBLANK(AA99),"-",CONCATENATE(TEXT(AA99," 0.000000;-0.000000"),"  ")),"")</f>
        <v/>
      </c>
      <c r="BD99" s="43" t="str">
        <f t="shared" ref="BD99" si="379">IF(MAX(AG99:AL99)=0,REPT(" ",1),CHAR(13)&amp;CHAR(10)&amp;REPT(" ",BD$14))</f>
        <v xml:space="preserve">_x000D_
                                                                                </v>
      </c>
      <c r="BE99" s="43" t="str">
        <f t="shared" si="188"/>
        <v/>
      </c>
      <c r="BF99" s="43" t="str">
        <f t="shared" si="189"/>
        <v/>
      </c>
      <c r="BG99" s="43" t="str">
        <f t="shared" si="190"/>
        <v/>
      </c>
      <c r="BH99" s="43" t="str">
        <f t="shared" si="191"/>
        <v/>
      </c>
      <c r="BI99" s="43" t="str">
        <f t="shared" si="192"/>
        <v/>
      </c>
      <c r="BJ99" s="43" t="str">
        <f t="shared" si="193"/>
        <v/>
      </c>
      <c r="BM99" s="43" t="str">
        <f>Q99</f>
        <v>QRatio</v>
      </c>
      <c r="BN99" s="43" t="str">
        <f>R99</f>
        <v>Tewt</v>
      </c>
      <c r="BO99" s="43">
        <v>1</v>
      </c>
      <c r="BQ99" s="43">
        <v>1</v>
      </c>
      <c r="BR99" s="43">
        <v>0</v>
      </c>
      <c r="BU99" s="147">
        <f>$V99+$W99*BO99+$X99*BO99^2+$Y99*BO99^3</f>
        <v>0</v>
      </c>
      <c r="BV99" s="147"/>
      <c r="BW99" s="147">
        <f>$V99+$W99*BR99+$X99*BR99^2+$Y99*BR99^3</f>
        <v>0</v>
      </c>
    </row>
    <row r="100" spans="1:84" ht="30" hidden="1" outlineLevel="1" x14ac:dyDescent="0.25">
      <c r="A100" s="58"/>
      <c r="B100" s="20"/>
      <c r="C100" s="56"/>
      <c r="D100" s="59"/>
      <c r="E100" s="60" t="s">
        <v>364</v>
      </c>
      <c r="F100" s="60" t="s">
        <v>742</v>
      </c>
      <c r="G100" s="60" t="s">
        <v>682</v>
      </c>
      <c r="H100" s="20" t="s">
        <v>685</v>
      </c>
      <c r="I100" s="20" t="s">
        <v>660</v>
      </c>
      <c r="J100" s="20" t="s">
        <v>144</v>
      </c>
      <c r="K100" s="20" t="s">
        <v>743</v>
      </c>
      <c r="L100" s="20" t="s">
        <v>178</v>
      </c>
      <c r="M100" s="20" t="s">
        <v>237</v>
      </c>
      <c r="N100" s="43" t="str">
        <f t="shared" si="334"/>
        <v>BlrHWCondBlrFIRRatio_fQRatioTewtSI</v>
      </c>
      <c r="O100" s="20" t="s">
        <v>165</v>
      </c>
      <c r="P100" s="20" t="s">
        <v>391</v>
      </c>
      <c r="Q100" s="20" t="s">
        <v>160</v>
      </c>
      <c r="R100" s="20" t="s">
        <v>683</v>
      </c>
      <c r="S100" s="20"/>
      <c r="T100" s="20"/>
      <c r="U100" s="20"/>
      <c r="V100" s="61">
        <v>1.19381</v>
      </c>
      <c r="W100" s="61">
        <v>-0.11082500000000001</v>
      </c>
      <c r="X100" s="61">
        <v>3.9514199999999999E-2</v>
      </c>
      <c r="Y100" s="61">
        <v>-6.3713700000000003E-3</v>
      </c>
      <c r="Z100" s="61">
        <v>3.8134599999999999E-5</v>
      </c>
      <c r="AA100" s="61">
        <v>8.3037900000000001E-4</v>
      </c>
      <c r="AB100" s="20"/>
      <c r="AC100" s="20"/>
      <c r="AD100" s="20"/>
      <c r="AE100" s="20"/>
      <c r="AF100" s="20"/>
      <c r="AG100" s="158">
        <f t="shared" si="336"/>
        <v>1.05</v>
      </c>
      <c r="AH100" s="158">
        <f t="shared" si="337"/>
        <v>0.93</v>
      </c>
      <c r="AI100" s="158">
        <f t="shared" si="338"/>
        <v>1</v>
      </c>
      <c r="AJ100" s="158">
        <f t="shared" si="270"/>
        <v>0.1</v>
      </c>
      <c r="AK100" s="158">
        <f t="shared" si="339"/>
        <v>71.099999999999994</v>
      </c>
      <c r="AL100" s="158">
        <f t="shared" si="340"/>
        <v>15.56</v>
      </c>
      <c r="AM100" s="60" t="s">
        <v>730</v>
      </c>
      <c r="AN100" s="20"/>
      <c r="AO100" s="43">
        <f t="shared" si="345"/>
        <v>1</v>
      </c>
      <c r="AP100" s="166" t="str">
        <f t="shared" ref="AP100" si="380">IF(AO100=1,CONCATENATE(AQ100,AR100,AS100),"")</f>
        <v>CrvDblQuad     "BlrHWCondBlrFIRRatio_fQRatioTewtSI"                             Coef1 =  1.193810  Coef2 = -0.110825  Coef3 =  0.039514  Coef4 = -0.006371  Coef5 =  0.000038  Coef6 =  0.000830  _x000D_
                                                                                MaxOut = 1.050   MinOut = 0.930   MaxVar1 = 1.000   MinVar1 = 0.100   MaxVar2 = 71.100   MinVar2 = 15.560   _x000D_
..</v>
      </c>
      <c r="AQ100" s="166" t="str">
        <f t="shared" ref="AQ100" si="381">IF(AO100=1,CONCATENATE(AT100,AU100,AV100,AW100,IF(AX100="-","",$AX$15&amp;AX100),IF(AY100="-","",$AY$15&amp;AY100),IF(AZ100="-","",$AZ$15&amp;AZ100),IF(BA100="-","",$BA$15&amp;BA100),IF(BB100="-","",$BB$15&amp;BB100),IF(BC100="-","",$BC$15&amp;BC100)),"")</f>
        <v xml:space="preserve">CrvDblQuad     "BlrHWCondBlrFIRRatio_fQRatioTewtSI"                             Coef1 =  1.193810  Coef2 = -0.110825  Coef3 =  0.039514  Coef4 = -0.006371  Coef5 =  0.000038  Coef6 =  0.000830  </v>
      </c>
      <c r="AR100" s="166" t="str">
        <f t="shared" ref="AR100" si="382">IF(AO100=1,CONCATENATE(BD100,IF(BE100="-","",$BE$15&amp;BE100),IF(BF100="-","",$BF$15&amp;BF100),IF(BG100="-","",$BG$15&amp;BG100),IF(BH100="-","",$BH$15&amp;BH100),IF(BI100="-","",$BI$15&amp;BI100),IF(BJ100="-","",$BJ$15&amp;BJ100)),"")</f>
        <v xml:space="preserve">_x000D_
                                                                                MaxOut = 1.050   MinOut = 0.930   MaxVar1 = 1.000   MinVar1 = 0.100   MaxVar2 = 71.100   MinVar2 = 15.560   </v>
      </c>
      <c r="AS100" s="166" t="str">
        <f t="shared" ref="AS100" si="383">IF(AO100=1,CHAR(13)&amp;CHAR(10)&amp;"..","")</f>
        <v>_x000D_
..</v>
      </c>
      <c r="AT100" s="43" t="str">
        <f t="shared" ref="AT100" si="384">IF(AO100=1,VLOOKUP(O100,$AT$2:$AV$13,2,0),"")</f>
        <v>CrvDblQuad</v>
      </c>
      <c r="AU100" s="43" t="str">
        <f t="shared" ref="AU100" si="385">REPT(" ",AU$14-LEN(AT100))</f>
        <v xml:space="preserve">     </v>
      </c>
      <c r="AV100" s="62" t="str">
        <f t="shared" si="335"/>
        <v>"BlrHWCondBlrFIRRatio_fQRatioTewtSI"</v>
      </c>
      <c r="AW100" s="43" t="str">
        <f t="shared" ref="AW100" si="386">REPT(" ",$AW$14-LEN(AV100))</f>
        <v xml:space="preserve">                             </v>
      </c>
      <c r="AX100" s="43" t="str">
        <f t="shared" ref="AX100" si="387">IF($AO100=1,IF(ISBLANK(V100),"-",CONCATENATE(TEXT(V100," 0.000000;-0.000000"),"  ")),"")</f>
        <v xml:space="preserve"> 1.193810  </v>
      </c>
      <c r="AY100" s="43" t="str">
        <f t="shared" ref="AY100" si="388">IF($AO100=1,IF(ISBLANK(W100),"-",CONCATENATE(TEXT(W100," 0.000000;-0.000000"),"  ")),"")</f>
        <v xml:space="preserve">-0.110825  </v>
      </c>
      <c r="AZ100" s="43" t="str">
        <f t="shared" ref="AZ100" si="389">IF($AO100=1,IF(ISBLANK(X100),"-",CONCATENATE(TEXT(X100," 0.000000;-0.000000"),"  ")),"")</f>
        <v xml:space="preserve"> 0.039514  </v>
      </c>
      <c r="BA100" s="43" t="str">
        <f t="shared" ref="BA100" si="390">IF($AO100=1,IF(ISBLANK(Y100),"-",CONCATENATE(TEXT(Y100," 0.000000;-0.000000"),"  ")),"")</f>
        <v xml:space="preserve">-0.006371  </v>
      </c>
      <c r="BB100" s="43" t="str">
        <f t="shared" ref="BB100" si="391">IF($AO100=1,IF(ISBLANK(Z100),"-",CONCATENATE(TEXT(Z100," 0.000000;-0.000000"),"  ")),"")</f>
        <v xml:space="preserve"> 0.000038  </v>
      </c>
      <c r="BC100" s="43" t="str">
        <f t="shared" ref="BC100" si="392">IF($AO100=1,IF(ISBLANK(AA100),"-",CONCATENATE(TEXT(AA100," 0.000000;-0.000000"),"  ")),"")</f>
        <v xml:space="preserve"> 0.000830  </v>
      </c>
      <c r="BD100" s="43" t="str">
        <f t="shared" ref="BD100" si="393">IF(MAX(AG100:AL100)=0,REPT(" ",1),CHAR(13)&amp;CHAR(10)&amp;REPT(" ",BD$14))</f>
        <v xml:space="preserve">_x000D_
                                                                                </v>
      </c>
      <c r="BE100" s="43" t="str">
        <f t="shared" si="188"/>
        <v xml:space="preserve">1.050   </v>
      </c>
      <c r="BF100" s="43" t="str">
        <f t="shared" si="189"/>
        <v xml:space="preserve">0.930   </v>
      </c>
      <c r="BG100" s="43" t="str">
        <f t="shared" si="190"/>
        <v xml:space="preserve">1.000   </v>
      </c>
      <c r="BH100" s="43" t="str">
        <f t="shared" si="191"/>
        <v xml:space="preserve">0.100   </v>
      </c>
      <c r="BI100" s="43" t="str">
        <f t="shared" si="192"/>
        <v xml:space="preserve">71.100   </v>
      </c>
      <c r="BJ100" s="43" t="str">
        <f t="shared" si="193"/>
        <v xml:space="preserve">15.560   </v>
      </c>
      <c r="BM100" s="43" t="str">
        <f>Q100</f>
        <v>QRatio</v>
      </c>
      <c r="BN100" s="43" t="str">
        <f>R100</f>
        <v>Tewt</v>
      </c>
      <c r="BO100" s="43">
        <v>1</v>
      </c>
      <c r="BP100" s="43">
        <v>26.7</v>
      </c>
      <c r="BQ100" s="43">
        <v>1</v>
      </c>
      <c r="BR100" s="43">
        <v>0.1</v>
      </c>
      <c r="BS100" s="43">
        <v>71.099999999999994</v>
      </c>
      <c r="BT100" s="164">
        <f>(60-32)/1.8</f>
        <v>15.555555555555555</v>
      </c>
      <c r="BU100" s="147">
        <f>$V100+$W100*BO100+$X100*BO100^2+$Y100*BP100+$Z100*BP100^2+$AA100*BO100*BP100</f>
        <v>1.001740515294</v>
      </c>
      <c r="BV100" s="147">
        <f>$V100+$W100*BQ100+$X100*BQ100^2+$Y100*BT100+$Z100*BT100^2+$AA100*BQ100*BT100</f>
        <v>1.0455336382716049</v>
      </c>
      <c r="BW100" s="147">
        <f>$V100+$W100*BR100+$X100*BR100^2+$Y100*BS100+$Z100*BS100^2+$AA100*BR100*BS100</f>
        <v>0.92880064095599979</v>
      </c>
      <c r="CB100" s="43" t="s">
        <v>731</v>
      </c>
      <c r="CC100" s="43">
        <v>0.95</v>
      </c>
      <c r="CD100" s="138">
        <f>CC100*BV100</f>
        <v>0.99325695635802469</v>
      </c>
      <c r="CE100" s="138">
        <f>CC100*BW100</f>
        <v>0.88236060890819978</v>
      </c>
      <c r="CF100" s="43" t="s">
        <v>738</v>
      </c>
    </row>
    <row r="101" spans="1:84" collapsed="1" x14ac:dyDescent="0.25">
      <c r="A101" s="58" t="s">
        <v>380</v>
      </c>
      <c r="B101" s="20"/>
      <c r="C101" s="56"/>
      <c r="D101" s="59"/>
      <c r="E101" s="60"/>
      <c r="F101" s="60"/>
      <c r="G101" s="60"/>
      <c r="H101" s="20"/>
      <c r="I101" s="20"/>
      <c r="J101" s="20"/>
      <c r="K101" s="20"/>
      <c r="L101" s="20"/>
      <c r="M101" s="20"/>
      <c r="N101" s="43" t="str">
        <f t="shared" si="334"/>
        <v>-</v>
      </c>
      <c r="O101" s="20"/>
      <c r="P101" s="20"/>
      <c r="Q101" s="20"/>
      <c r="R101" s="20"/>
      <c r="S101" s="20"/>
      <c r="T101" s="20"/>
      <c r="U101" s="20"/>
      <c r="V101" s="61"/>
      <c r="W101" s="61"/>
      <c r="X101" s="61"/>
      <c r="Y101" s="61"/>
      <c r="Z101" s="61"/>
      <c r="AA101" s="61"/>
      <c r="AB101" s="20"/>
      <c r="AC101" s="20"/>
      <c r="AD101" s="20"/>
      <c r="AE101" s="20"/>
      <c r="AF101" s="20"/>
      <c r="AG101" s="158" t="str">
        <f>IF(BV101&gt;0,ROUND(BV101,2),"")</f>
        <v/>
      </c>
      <c r="AH101" s="158" t="str">
        <f>IF(BW101&gt;0,ROUND(BW101,2),"")</f>
        <v/>
      </c>
      <c r="AI101" s="158" t="str">
        <f t="shared" ref="AI101:AI146" si="394">IF(BQ101&gt;0,ROUND(BQ101,2),"")</f>
        <v/>
      </c>
      <c r="AJ101" s="158" t="str">
        <f t="shared" si="270"/>
        <v/>
      </c>
      <c r="AK101" s="158" t="str">
        <f t="shared" ref="AK101:AK146" si="395">IF(BS101&gt;0,ROUND(BS101,2),"")</f>
        <v/>
      </c>
      <c r="AL101" s="158" t="str">
        <f t="shared" ref="AL101:AL146" si="396">IF(BT101&gt;0,ROUND(BT101,2),"")</f>
        <v/>
      </c>
      <c r="AM101" s="60"/>
      <c r="AN101" s="20"/>
      <c r="AO101" s="43" t="str">
        <f t="shared" si="345"/>
        <v/>
      </c>
      <c r="AP101" s="166" t="str">
        <f t="shared" si="8"/>
        <v/>
      </c>
      <c r="AQ101" s="166" t="str">
        <f t="shared" si="272"/>
        <v/>
      </c>
      <c r="AR101" s="166" t="str">
        <f t="shared" si="175"/>
        <v/>
      </c>
      <c r="AS101" s="166" t="str">
        <f t="shared" si="23"/>
        <v/>
      </c>
      <c r="AT101" s="43" t="str">
        <f t="shared" si="344"/>
        <v/>
      </c>
      <c r="AU101" s="43" t="str">
        <f t="shared" si="343"/>
        <v xml:space="preserve">               </v>
      </c>
      <c r="AV101" s="62" t="str">
        <f t="shared" si="335"/>
        <v/>
      </c>
      <c r="AW101" s="43" t="str">
        <f t="shared" si="177"/>
        <v xml:space="preserve">                                                                 </v>
      </c>
      <c r="AX101" s="43" t="str">
        <f t="shared" si="121"/>
        <v/>
      </c>
      <c r="AY101" s="43" t="str">
        <f t="shared" si="122"/>
        <v/>
      </c>
      <c r="AZ101" s="43" t="str">
        <f t="shared" si="123"/>
        <v/>
      </c>
      <c r="BA101" s="43" t="str">
        <f t="shared" si="124"/>
        <v/>
      </c>
      <c r="BB101" s="43" t="str">
        <f t="shared" si="125"/>
        <v/>
      </c>
      <c r="BC101" s="43" t="str">
        <f t="shared" si="126"/>
        <v/>
      </c>
      <c r="BD101" s="43" t="str">
        <f t="shared" si="342"/>
        <v xml:space="preserve"> </v>
      </c>
      <c r="BE101" s="43" t="str">
        <f t="shared" si="188"/>
        <v/>
      </c>
      <c r="BF101" s="43" t="str">
        <f t="shared" si="189"/>
        <v/>
      </c>
      <c r="BG101" s="43" t="str">
        <f t="shared" si="190"/>
        <v/>
      </c>
      <c r="BH101" s="43" t="str">
        <f t="shared" si="191"/>
        <v/>
      </c>
      <c r="BI101" s="43" t="str">
        <f t="shared" si="192"/>
        <v/>
      </c>
      <c r="BJ101" s="43" t="str">
        <f t="shared" si="193"/>
        <v/>
      </c>
      <c r="BU101" s="147"/>
      <c r="BV101" s="147"/>
      <c r="BW101" s="147"/>
    </row>
    <row r="102" spans="1:84" hidden="1" outlineLevel="1" x14ac:dyDescent="0.25">
      <c r="A102" s="58"/>
      <c r="B102" s="20" t="s">
        <v>137</v>
      </c>
      <c r="C102" s="56" t="s">
        <v>150</v>
      </c>
      <c r="D102" s="59" t="s">
        <v>67</v>
      </c>
      <c r="E102" s="60" t="s">
        <v>369</v>
      </c>
      <c r="F102" s="60" t="s">
        <v>403</v>
      </c>
      <c r="G102" s="60" t="s">
        <v>70</v>
      </c>
      <c r="H102" s="20" t="s">
        <v>372</v>
      </c>
      <c r="I102" s="20" t="s">
        <v>659</v>
      </c>
      <c r="J102" s="20" t="s">
        <v>273</v>
      </c>
      <c r="K102" s="20" t="s">
        <v>13</v>
      </c>
      <c r="L102" s="60"/>
      <c r="M102" s="20"/>
      <c r="N102" s="43" t="str">
        <f t="shared" si="334"/>
        <v>ChlrAirScrollQRatio_fTchwsToadbIP</v>
      </c>
      <c r="O102" s="20" t="s">
        <v>165</v>
      </c>
      <c r="P102" s="20" t="s">
        <v>160</v>
      </c>
      <c r="Q102" s="20" t="s">
        <v>139</v>
      </c>
      <c r="R102" s="20" t="s">
        <v>460</v>
      </c>
      <c r="S102" s="20"/>
      <c r="T102" s="20"/>
      <c r="U102" s="20"/>
      <c r="V102" s="61">
        <v>0.40070684000000001</v>
      </c>
      <c r="W102" s="61">
        <v>1.861548E-2</v>
      </c>
      <c r="X102" s="61">
        <v>7.1989999999999993E-5</v>
      </c>
      <c r="Y102" s="61">
        <v>1.7729600000000001E-3</v>
      </c>
      <c r="Z102" s="61">
        <v>-2.014E-5</v>
      </c>
      <c r="AA102" s="61">
        <v>-8.2730000000000002E-5</v>
      </c>
      <c r="AB102" s="20"/>
      <c r="AC102" s="20"/>
      <c r="AD102" s="20"/>
      <c r="AE102" s="20"/>
      <c r="AF102" s="20"/>
      <c r="AG102" s="158">
        <f t="shared" ref="AG102:AG115" si="397">IF(BV102&gt;0,ROUND(BV102,2),"")</f>
        <v>1.3</v>
      </c>
      <c r="AH102" s="158">
        <f t="shared" ref="AH102:AH115" si="398">IF(BW102&gt;0,ROUND(BW102,2),"")</f>
        <v>0.82</v>
      </c>
      <c r="AI102" s="158">
        <f t="shared" si="394"/>
        <v>54</v>
      </c>
      <c r="AJ102" s="158">
        <f t="shared" si="270"/>
        <v>40</v>
      </c>
      <c r="AK102" s="158">
        <f t="shared" si="395"/>
        <v>115</v>
      </c>
      <c r="AL102" s="158">
        <f t="shared" si="396"/>
        <v>75</v>
      </c>
      <c r="AM102" s="60"/>
      <c r="AN102" s="20"/>
      <c r="AO102" s="43">
        <f t="shared" si="345"/>
        <v>0</v>
      </c>
      <c r="AP102" s="166" t="str">
        <f t="shared" si="8"/>
        <v/>
      </c>
      <c r="AQ102" s="166" t="str">
        <f t="shared" si="272"/>
        <v/>
      </c>
      <c r="AR102" s="166" t="str">
        <f t="shared" si="175"/>
        <v/>
      </c>
      <c r="AS102" s="166" t="str">
        <f t="shared" si="23"/>
        <v/>
      </c>
      <c r="AT102" s="43" t="str">
        <f t="shared" si="344"/>
        <v/>
      </c>
      <c r="AU102" s="43" t="str">
        <f t="shared" si="343"/>
        <v xml:space="preserve">               </v>
      </c>
      <c r="AV102" s="62" t="str">
        <f t="shared" si="335"/>
        <v/>
      </c>
      <c r="AW102" s="43" t="str">
        <f t="shared" si="177"/>
        <v xml:space="preserve">                                                                 </v>
      </c>
      <c r="AX102" s="43" t="str">
        <f t="shared" si="121"/>
        <v/>
      </c>
      <c r="AY102" s="43" t="str">
        <f t="shared" si="122"/>
        <v/>
      </c>
      <c r="AZ102" s="43" t="str">
        <f t="shared" si="123"/>
        <v/>
      </c>
      <c r="BA102" s="43" t="str">
        <f t="shared" si="124"/>
        <v/>
      </c>
      <c r="BB102" s="43" t="str">
        <f t="shared" si="125"/>
        <v/>
      </c>
      <c r="BC102" s="43" t="str">
        <f t="shared" si="126"/>
        <v/>
      </c>
      <c r="BD102" s="43" t="str">
        <f t="shared" si="342"/>
        <v xml:space="preserve">_x000D_
                                                                                </v>
      </c>
      <c r="BE102" s="43" t="str">
        <f t="shared" si="188"/>
        <v/>
      </c>
      <c r="BF102" s="43" t="str">
        <f t="shared" si="189"/>
        <v/>
      </c>
      <c r="BG102" s="43" t="str">
        <f t="shared" si="190"/>
        <v/>
      </c>
      <c r="BH102" s="43" t="str">
        <f t="shared" si="191"/>
        <v/>
      </c>
      <c r="BI102" s="43" t="str">
        <f t="shared" si="192"/>
        <v/>
      </c>
      <c r="BJ102" s="43" t="str">
        <f t="shared" si="193"/>
        <v/>
      </c>
      <c r="BM102" s="43" t="str">
        <f>Q102</f>
        <v>Tchws</v>
      </c>
      <c r="BN102" s="43" t="str">
        <f>R102</f>
        <v>Toadb</v>
      </c>
      <c r="BO102" s="43">
        <v>44</v>
      </c>
      <c r="BP102" s="43">
        <v>95</v>
      </c>
      <c r="BQ102" s="43">
        <v>54</v>
      </c>
      <c r="BR102" s="43">
        <v>40</v>
      </c>
      <c r="BS102" s="43">
        <v>115</v>
      </c>
      <c r="BT102" s="43">
        <v>75</v>
      </c>
      <c r="BU102" s="147">
        <f t="shared" ref="BU102:BU107" si="399">$V102+$W102*BO102+$X102*BO102^2+$Y102*BP102+$Z102*BP102^2+$AA102*BO102*BP102</f>
        <v>1.0000169000000003</v>
      </c>
      <c r="BV102" s="147">
        <f>$V102+$W102*BQ102+$X102*BQ102^2+$Y102*BT102+$Z102*BT102^2+$AA102*BQ102*BT102</f>
        <v>1.3004936000000002</v>
      </c>
      <c r="BW102" s="147">
        <f>$V102+$W102*BR102+$X102*BR102^2+$Y102*BS102+$Z102*BS102^2+$AA102*BR102*BS102</f>
        <v>0.81749093999999989</v>
      </c>
      <c r="BX102" s="43" t="s">
        <v>729</v>
      </c>
    </row>
    <row r="103" spans="1:84" hidden="1" outlineLevel="1" x14ac:dyDescent="0.25">
      <c r="A103" s="58"/>
      <c r="B103" s="20"/>
      <c r="C103" s="56"/>
      <c r="D103" s="59"/>
      <c r="E103" s="60" t="s">
        <v>369</v>
      </c>
      <c r="F103" s="60" t="s">
        <v>403</v>
      </c>
      <c r="G103" s="60" t="s">
        <v>70</v>
      </c>
      <c r="H103" s="20" t="s">
        <v>372</v>
      </c>
      <c r="I103" s="20" t="s">
        <v>660</v>
      </c>
      <c r="J103" s="20" t="s">
        <v>144</v>
      </c>
      <c r="K103" s="20"/>
      <c r="L103" s="60" t="s">
        <v>202</v>
      </c>
      <c r="M103" s="20" t="s">
        <v>248</v>
      </c>
      <c r="N103" s="43" t="str">
        <f t="shared" si="334"/>
        <v>ChlrAirScrollQRatio_fTchwsToadbSI</v>
      </c>
      <c r="O103" s="20" t="s">
        <v>165</v>
      </c>
      <c r="P103" s="20" t="s">
        <v>160</v>
      </c>
      <c r="Q103" s="20" t="s">
        <v>139</v>
      </c>
      <c r="R103" s="20" t="s">
        <v>460</v>
      </c>
      <c r="S103" s="20"/>
      <c r="T103" s="20"/>
      <c r="U103" s="20"/>
      <c r="V103" s="61">
        <v>1.02138</v>
      </c>
      <c r="W103" s="61">
        <v>3.7020600000000001E-2</v>
      </c>
      <c r="X103" s="61">
        <v>2.3327999999999999E-4</v>
      </c>
      <c r="Y103" s="61">
        <v>-3.8934E-3</v>
      </c>
      <c r="Z103" s="61">
        <v>-6.4800000000000003E-5</v>
      </c>
      <c r="AA103" s="61">
        <v>-2.6892000000000002E-4</v>
      </c>
      <c r="AB103" s="20"/>
      <c r="AC103" s="20"/>
      <c r="AD103" s="20"/>
      <c r="AE103" s="20"/>
      <c r="AF103" s="20"/>
      <c r="AG103" s="158">
        <f t="shared" si="397"/>
        <v>1.3</v>
      </c>
      <c r="AH103" s="158">
        <f t="shared" si="398"/>
        <v>0.82</v>
      </c>
      <c r="AI103" s="158">
        <f t="shared" si="394"/>
        <v>12.22</v>
      </c>
      <c r="AJ103" s="158">
        <f t="shared" si="270"/>
        <v>4.4400000000000004</v>
      </c>
      <c r="AK103" s="158">
        <f t="shared" si="395"/>
        <v>46.11</v>
      </c>
      <c r="AL103" s="158">
        <f t="shared" si="396"/>
        <v>23.89</v>
      </c>
      <c r="AM103" s="60"/>
      <c r="AN103" s="20"/>
      <c r="AO103" s="43">
        <f t="shared" si="345"/>
        <v>1</v>
      </c>
      <c r="AP103" s="166" t="str">
        <f t="shared" ref="AP103" si="400">IF(AO103=1,CONCATENATE(AQ103,AR103,AS103),"")</f>
        <v>CrvDblQuad     "ChlrAirScrollQRatio_fTchwsToadbSI"                              Coef1 =  1.021380  Coef2 =  0.037021  Coef3 =  0.000233  Coef4 = -0.003893  Coef5 = -0.000065  Coef6 = -0.000269  _x000D_
                                                                                MaxOut = 1.300   MinOut = 0.820   MaxVar1 = 12.220   MinVar1 = 4.440   MaxVar2 = 46.110   MinVar2 = 23.890   _x000D_
..</v>
      </c>
      <c r="AQ103" s="166" t="str">
        <f t="shared" ref="AQ103" si="401">IF(AO103=1,CONCATENATE(AT103,AU103,AV103,AW103,IF(AX103="-","",$AX$15&amp;AX103),IF(AY103="-","",$AY$15&amp;AY103),IF(AZ103="-","",$AZ$15&amp;AZ103),IF(BA103="-","",$BA$15&amp;BA103),IF(BB103="-","",$BB$15&amp;BB103),IF(BC103="-","",$BC$15&amp;BC103)),"")</f>
        <v xml:space="preserve">CrvDblQuad     "ChlrAirScrollQRatio_fTchwsToadbSI"                              Coef1 =  1.021380  Coef2 =  0.037021  Coef3 =  0.000233  Coef4 = -0.003893  Coef5 = -0.000065  Coef6 = -0.000269  </v>
      </c>
      <c r="AR103" s="166" t="str">
        <f t="shared" ref="AR103" si="402">IF(AO103=1,CONCATENATE(BD103,IF(BE103="-","",$BE$15&amp;BE103),IF(BF103="-","",$BF$15&amp;BF103),IF(BG103="-","",$BG$15&amp;BG103),IF(BH103="-","",$BH$15&amp;BH103),IF(BI103="-","",$BI$15&amp;BI103),IF(BJ103="-","",$BJ$15&amp;BJ103)),"")</f>
        <v xml:space="preserve">_x000D_
                                                                                MaxOut = 1.300   MinOut = 0.820   MaxVar1 = 12.220   MinVar1 = 4.440   MaxVar2 = 46.110   MinVar2 = 23.890   </v>
      </c>
      <c r="AS103" s="166" t="str">
        <f t="shared" ref="AS103" si="403">IF(AO103=1,CHAR(13)&amp;CHAR(10)&amp;"..","")</f>
        <v>_x000D_
..</v>
      </c>
      <c r="AT103" s="43" t="str">
        <f t="shared" ref="AT103" si="404">IF(AO103=1,VLOOKUP(O103,$AT$2:$AV$13,2,0),"")</f>
        <v>CrvDblQuad</v>
      </c>
      <c r="AU103" s="43" t="str">
        <f t="shared" si="343"/>
        <v xml:space="preserve">     </v>
      </c>
      <c r="AV103" s="62" t="str">
        <f t="shared" si="335"/>
        <v>"ChlrAirScrollQRatio_fTchwsToadbSI"</v>
      </c>
      <c r="AW103" s="43" t="str">
        <f t="shared" ref="AW103" si="405">REPT(" ",$AW$14-LEN(AV103))</f>
        <v xml:space="preserve">                              </v>
      </c>
      <c r="AX103" s="43" t="str">
        <f t="shared" ref="AX103" si="406">IF($AO103=1,IF(ISBLANK(V103),"-",CONCATENATE(TEXT(V103," 0.000000;-0.000000"),"  ")),"")</f>
        <v xml:space="preserve"> 1.021380  </v>
      </c>
      <c r="AY103" s="43" t="str">
        <f t="shared" ref="AY103" si="407">IF($AO103=1,IF(ISBLANK(W103),"-",CONCATENATE(TEXT(W103," 0.000000;-0.000000"),"  ")),"")</f>
        <v xml:space="preserve"> 0.037021  </v>
      </c>
      <c r="AZ103" s="43" t="str">
        <f t="shared" ref="AZ103" si="408">IF($AO103=1,IF(ISBLANK(X103),"-",CONCATENATE(TEXT(X103," 0.000000;-0.000000"),"  ")),"")</f>
        <v xml:space="preserve"> 0.000233  </v>
      </c>
      <c r="BA103" s="43" t="str">
        <f t="shared" ref="BA103" si="409">IF($AO103=1,IF(ISBLANK(Y103),"-",CONCATENATE(TEXT(Y103," 0.000000;-0.000000"),"  ")),"")</f>
        <v xml:space="preserve">-0.003893  </v>
      </c>
      <c r="BB103" s="43" t="str">
        <f t="shared" ref="BB103" si="410">IF($AO103=1,IF(ISBLANK(Z103),"-",CONCATENATE(TEXT(Z103," 0.000000;-0.000000"),"  ")),"")</f>
        <v xml:space="preserve">-0.000065  </v>
      </c>
      <c r="BC103" s="43" t="str">
        <f t="shared" ref="BC103" si="411">IF($AO103=1,IF(ISBLANK(AA103),"-",CONCATENATE(TEXT(AA103," 0.000000;-0.000000"),"  ")),"")</f>
        <v xml:space="preserve">-0.000269  </v>
      </c>
      <c r="BD103" s="43" t="str">
        <f t="shared" si="342"/>
        <v xml:space="preserve">_x000D_
                                                                                </v>
      </c>
      <c r="BE103" s="43" t="str">
        <f t="shared" si="188"/>
        <v xml:space="preserve">1.300   </v>
      </c>
      <c r="BF103" s="43" t="str">
        <f t="shared" si="189"/>
        <v xml:space="preserve">0.820   </v>
      </c>
      <c r="BG103" s="43" t="str">
        <f t="shared" si="190"/>
        <v xml:space="preserve">12.220   </v>
      </c>
      <c r="BH103" s="43" t="str">
        <f t="shared" si="191"/>
        <v xml:space="preserve">4.440   </v>
      </c>
      <c r="BI103" s="43" t="str">
        <f t="shared" si="192"/>
        <v xml:space="preserve">46.110   </v>
      </c>
      <c r="BJ103" s="43" t="str">
        <f t="shared" si="193"/>
        <v xml:space="preserve">23.890   </v>
      </c>
      <c r="BO103" s="164">
        <f>(BO102-32)/1.8</f>
        <v>6.6666666666666661</v>
      </c>
      <c r="BP103" s="164">
        <f>(BP102-32)/1.8</f>
        <v>35</v>
      </c>
      <c r="BQ103" s="164">
        <f t="shared" ref="BQ103" si="412">(BQ102-32)/1.8</f>
        <v>12.222222222222221</v>
      </c>
      <c r="BR103" s="164">
        <f t="shared" ref="BR103" si="413">(BR102-32)/1.8</f>
        <v>4.4444444444444446</v>
      </c>
      <c r="BS103" s="164">
        <f t="shared" ref="BS103" si="414">(BS102-32)/1.8</f>
        <v>46.111111111111107</v>
      </c>
      <c r="BT103" s="164">
        <f t="shared" ref="BT103" si="415">(BT102-32)/1.8</f>
        <v>23.888888888888889</v>
      </c>
      <c r="BU103" s="147">
        <f t="shared" si="399"/>
        <v>1.0001549999999999</v>
      </c>
      <c r="BV103" s="147">
        <f t="shared" ref="BV103:BV107" si="416">$V103+$W103*BQ103+$X103*BQ103^2+$Y103*BT103+$Z103*BT103^2+$AA103*BQ103*BT103</f>
        <v>1.300195</v>
      </c>
      <c r="BW103" s="147">
        <f t="shared" ref="BW103:BW107" si="417">$V103+$W103*BR103+$X103*BR103^2+$Y103*BS103+$Z103*BS103^2+$AA103*BR103*BS103</f>
        <v>0.8181029999999998</v>
      </c>
      <c r="BX103" s="43" t="s">
        <v>729</v>
      </c>
    </row>
    <row r="104" spans="1:84" hidden="1" outlineLevel="1" x14ac:dyDescent="0.25">
      <c r="A104" s="58"/>
      <c r="B104" s="20"/>
      <c r="C104" s="20"/>
      <c r="D104" s="59"/>
      <c r="E104" s="60" t="s">
        <v>369</v>
      </c>
      <c r="F104" s="60" t="s">
        <v>403</v>
      </c>
      <c r="G104" s="60" t="s">
        <v>71</v>
      </c>
      <c r="H104" s="20" t="s">
        <v>373</v>
      </c>
      <c r="I104" s="20" t="s">
        <v>659</v>
      </c>
      <c r="J104" s="20" t="s">
        <v>273</v>
      </c>
      <c r="K104" s="20" t="s">
        <v>13</v>
      </c>
      <c r="L104" s="20"/>
      <c r="M104" s="20"/>
      <c r="N104" s="43" t="str">
        <f t="shared" si="334"/>
        <v>ChlrAirRecipQRatio_fTchwsToadbIP</v>
      </c>
      <c r="O104" s="20" t="s">
        <v>165</v>
      </c>
      <c r="P104" s="20" t="s">
        <v>160</v>
      </c>
      <c r="Q104" s="20" t="s">
        <v>139</v>
      </c>
      <c r="R104" s="20" t="s">
        <v>460</v>
      </c>
      <c r="S104" s="20"/>
      <c r="T104" s="20"/>
      <c r="U104" s="20"/>
      <c r="V104" s="61">
        <v>0.57617295000000002</v>
      </c>
      <c r="W104" s="61">
        <v>2.063133E-2</v>
      </c>
      <c r="X104" s="61">
        <v>7.7689999999999996E-5</v>
      </c>
      <c r="Y104" s="61">
        <v>-3.5118300000000001E-3</v>
      </c>
      <c r="Z104" s="61">
        <v>3.1200000000000002E-6</v>
      </c>
      <c r="AA104" s="61">
        <v>-7.8650000000000001E-5</v>
      </c>
      <c r="AB104" s="20"/>
      <c r="AC104" s="20"/>
      <c r="AD104" s="20"/>
      <c r="AE104" s="20"/>
      <c r="AF104" s="20"/>
      <c r="AG104" s="158">
        <f t="shared" si="397"/>
        <v>1.35</v>
      </c>
      <c r="AH104" s="158">
        <f t="shared" si="398"/>
        <v>0.8</v>
      </c>
      <c r="AI104" s="158">
        <f t="shared" si="394"/>
        <v>54</v>
      </c>
      <c r="AJ104" s="158">
        <f t="shared" ref="AJ104:AJ135" si="418">IF(BR104&gt;0,ROUND(BR104,2),"")</f>
        <v>40</v>
      </c>
      <c r="AK104" s="158">
        <f t="shared" si="395"/>
        <v>115</v>
      </c>
      <c r="AL104" s="158">
        <f t="shared" si="396"/>
        <v>75</v>
      </c>
      <c r="AM104" s="60"/>
      <c r="AN104" s="20"/>
      <c r="AO104" s="43">
        <f t="shared" si="345"/>
        <v>0</v>
      </c>
      <c r="AP104" s="166" t="str">
        <f t="shared" si="8"/>
        <v/>
      </c>
      <c r="AQ104" s="166" t="str">
        <f t="shared" si="272"/>
        <v/>
      </c>
      <c r="AR104" s="166" t="str">
        <f t="shared" si="175"/>
        <v/>
      </c>
      <c r="AS104" s="166" t="str">
        <f t="shared" ref="AS104:AS183" si="419">IF(AO104=1,CHAR(13)&amp;CHAR(10)&amp;"..","")</f>
        <v/>
      </c>
      <c r="AT104" s="43" t="str">
        <f t="shared" si="344"/>
        <v/>
      </c>
      <c r="AU104" s="43" t="str">
        <f t="shared" si="343"/>
        <v xml:space="preserve">               </v>
      </c>
      <c r="AV104" s="62" t="str">
        <f t="shared" si="335"/>
        <v/>
      </c>
      <c r="AW104" s="43" t="str">
        <f t="shared" si="177"/>
        <v xml:space="preserve">                                                                 </v>
      </c>
      <c r="AX104" s="43" t="str">
        <f t="shared" si="121"/>
        <v/>
      </c>
      <c r="AY104" s="43" t="str">
        <f t="shared" si="122"/>
        <v/>
      </c>
      <c r="AZ104" s="43" t="str">
        <f t="shared" si="123"/>
        <v/>
      </c>
      <c r="BA104" s="43" t="str">
        <f t="shared" si="124"/>
        <v/>
      </c>
      <c r="BB104" s="43" t="str">
        <f t="shared" si="125"/>
        <v/>
      </c>
      <c r="BC104" s="43" t="str">
        <f t="shared" si="126"/>
        <v/>
      </c>
      <c r="BD104" s="43" t="str">
        <f t="shared" si="342"/>
        <v xml:space="preserve">_x000D_
                                                                                </v>
      </c>
      <c r="BE104" s="43" t="str">
        <f t="shared" si="188"/>
        <v/>
      </c>
      <c r="BF104" s="43" t="str">
        <f t="shared" si="189"/>
        <v/>
      </c>
      <c r="BG104" s="43" t="str">
        <f t="shared" si="190"/>
        <v/>
      </c>
      <c r="BH104" s="43" t="str">
        <f t="shared" si="191"/>
        <v/>
      </c>
      <c r="BI104" s="43" t="str">
        <f t="shared" si="192"/>
        <v/>
      </c>
      <c r="BJ104" s="43" t="str">
        <f t="shared" si="193"/>
        <v/>
      </c>
      <c r="BO104" s="43">
        <v>44</v>
      </c>
      <c r="BP104" s="43">
        <v>95</v>
      </c>
      <c r="BQ104" s="43">
        <v>54</v>
      </c>
      <c r="BR104" s="43">
        <v>40</v>
      </c>
      <c r="BS104" s="43">
        <v>115</v>
      </c>
      <c r="BT104" s="43">
        <v>75</v>
      </c>
      <c r="BU104" s="147">
        <f t="shared" si="399"/>
        <v>1.00013646</v>
      </c>
      <c r="BV104" s="147">
        <f t="shared" si="416"/>
        <v>1.35243906</v>
      </c>
      <c r="BW104" s="147">
        <f t="shared" si="417"/>
        <v>0.80134169999999982</v>
      </c>
      <c r="BX104" s="43" t="s">
        <v>729</v>
      </c>
    </row>
    <row r="105" spans="1:84" hidden="1" outlineLevel="1" x14ac:dyDescent="0.25">
      <c r="A105" s="58"/>
      <c r="B105" s="20"/>
      <c r="C105" s="20"/>
      <c r="D105" s="59"/>
      <c r="E105" s="60" t="s">
        <v>369</v>
      </c>
      <c r="F105" s="60" t="s">
        <v>403</v>
      </c>
      <c r="G105" s="60" t="s">
        <v>71</v>
      </c>
      <c r="H105" s="20" t="s">
        <v>373</v>
      </c>
      <c r="I105" s="20" t="s">
        <v>660</v>
      </c>
      <c r="J105" s="20" t="s">
        <v>144</v>
      </c>
      <c r="K105" s="20"/>
      <c r="L105" s="60" t="s">
        <v>202</v>
      </c>
      <c r="M105" s="20" t="s">
        <v>248</v>
      </c>
      <c r="N105" s="43" t="str">
        <f t="shared" si="334"/>
        <v>ChlrAirRecipQRatio_fTchwsToadbSI</v>
      </c>
      <c r="O105" s="20" t="s">
        <v>165</v>
      </c>
      <c r="P105" s="20" t="s">
        <v>160</v>
      </c>
      <c r="Q105" s="20" t="s">
        <v>139</v>
      </c>
      <c r="R105" s="20" t="s">
        <v>460</v>
      </c>
      <c r="S105" s="20"/>
      <c r="T105" s="20"/>
      <c r="U105" s="20"/>
      <c r="V105" s="61">
        <v>1.1260300000000001</v>
      </c>
      <c r="W105" s="61">
        <v>4.1570999999999997E-2</v>
      </c>
      <c r="X105" s="61">
        <v>2.5272000000000001E-4</v>
      </c>
      <c r="Y105" s="61">
        <v>-1.05264E-2</v>
      </c>
      <c r="Z105" s="61">
        <v>9.7200000000000001E-6</v>
      </c>
      <c r="AA105" s="61">
        <v>-2.5596000000000001E-4</v>
      </c>
      <c r="AB105" s="20"/>
      <c r="AC105" s="20"/>
      <c r="AD105" s="20"/>
      <c r="AE105" s="20"/>
      <c r="AF105" s="20"/>
      <c r="AG105" s="158">
        <f t="shared" si="397"/>
        <v>1.35</v>
      </c>
      <c r="AH105" s="158">
        <f t="shared" si="398"/>
        <v>0.8</v>
      </c>
      <c r="AI105" s="158">
        <f t="shared" si="394"/>
        <v>12.22</v>
      </c>
      <c r="AJ105" s="158">
        <f t="shared" si="418"/>
        <v>4.4400000000000004</v>
      </c>
      <c r="AK105" s="158">
        <f t="shared" si="395"/>
        <v>46.11</v>
      </c>
      <c r="AL105" s="158">
        <f t="shared" si="396"/>
        <v>23.89</v>
      </c>
      <c r="AM105" s="60"/>
      <c r="AN105" s="20"/>
      <c r="AO105" s="43">
        <f t="shared" si="345"/>
        <v>1</v>
      </c>
      <c r="AP105" s="166" t="str">
        <f t="shared" ref="AP105" si="420">IF(AO105=1,CONCATENATE(AQ105,AR105,AS105),"")</f>
        <v>CrvDblQuad     "ChlrAirRecipQRatio_fTchwsToadbSI"                               Coef1 =  1.126030  Coef2 =  0.041571  Coef3 =  0.000253  Coef4 = -0.010526  Coef5 =  0.000010  Coef6 = -0.000256  _x000D_
                                                                                MaxOut = 1.350   MinOut = 0.800   MaxVar1 = 12.220   MinVar1 = 4.440   MaxVar2 = 46.110   MinVar2 = 23.890   _x000D_
..</v>
      </c>
      <c r="AQ105" s="166" t="str">
        <f t="shared" ref="AQ105" si="421">IF(AO105=1,CONCATENATE(AT105,AU105,AV105,AW105,IF(AX105="-","",$AX$15&amp;AX105),IF(AY105="-","",$AY$15&amp;AY105),IF(AZ105="-","",$AZ$15&amp;AZ105),IF(BA105="-","",$BA$15&amp;BA105),IF(BB105="-","",$BB$15&amp;BB105),IF(BC105="-","",$BC$15&amp;BC105)),"")</f>
        <v xml:space="preserve">CrvDblQuad     "ChlrAirRecipQRatio_fTchwsToadbSI"                               Coef1 =  1.126030  Coef2 =  0.041571  Coef3 =  0.000253  Coef4 = -0.010526  Coef5 =  0.000010  Coef6 = -0.000256  </v>
      </c>
      <c r="AR105" s="166" t="str">
        <f t="shared" ref="AR105" si="422">IF(AO105=1,CONCATENATE(BD105,IF(BE105="-","",$BE$15&amp;BE105),IF(BF105="-","",$BF$15&amp;BF105),IF(BG105="-","",$BG$15&amp;BG105),IF(BH105="-","",$BH$15&amp;BH105),IF(BI105="-","",$BI$15&amp;BI105),IF(BJ105="-","",$BJ$15&amp;BJ105)),"")</f>
        <v xml:space="preserve">_x000D_
                                                                                MaxOut = 1.350   MinOut = 0.800   MaxVar1 = 12.220   MinVar1 = 4.440   MaxVar2 = 46.110   MinVar2 = 23.890   </v>
      </c>
      <c r="AS105" s="166" t="str">
        <f t="shared" ref="AS105" si="423">IF(AO105=1,CHAR(13)&amp;CHAR(10)&amp;"..","")</f>
        <v>_x000D_
..</v>
      </c>
      <c r="AT105" s="43" t="str">
        <f t="shared" ref="AT105" si="424">IF(AO105=1,VLOOKUP(O105,$AT$2:$AV$13,2,0),"")</f>
        <v>CrvDblQuad</v>
      </c>
      <c r="AU105" s="43" t="str">
        <f t="shared" si="343"/>
        <v xml:space="preserve">     </v>
      </c>
      <c r="AV105" s="62" t="str">
        <f t="shared" si="335"/>
        <v>"ChlrAirRecipQRatio_fTchwsToadbSI"</v>
      </c>
      <c r="AW105" s="43" t="str">
        <f t="shared" ref="AW105" si="425">REPT(" ",$AW$14-LEN(AV105))</f>
        <v xml:space="preserve">                               </v>
      </c>
      <c r="AX105" s="43" t="str">
        <f t="shared" ref="AX105" si="426">IF($AO105=1,IF(ISBLANK(V105),"-",CONCATENATE(TEXT(V105," 0.000000;-0.000000"),"  ")),"")</f>
        <v xml:space="preserve"> 1.126030  </v>
      </c>
      <c r="AY105" s="43" t="str">
        <f t="shared" ref="AY105" si="427">IF($AO105=1,IF(ISBLANK(W105),"-",CONCATENATE(TEXT(W105," 0.000000;-0.000000"),"  ")),"")</f>
        <v xml:space="preserve"> 0.041571  </v>
      </c>
      <c r="AZ105" s="43" t="str">
        <f t="shared" ref="AZ105" si="428">IF($AO105=1,IF(ISBLANK(X105),"-",CONCATENATE(TEXT(X105," 0.000000;-0.000000"),"  ")),"")</f>
        <v xml:space="preserve"> 0.000253  </v>
      </c>
      <c r="BA105" s="43" t="str">
        <f t="shared" ref="BA105" si="429">IF($AO105=1,IF(ISBLANK(Y105),"-",CONCATENATE(TEXT(Y105," 0.000000;-0.000000"),"  ")),"")</f>
        <v xml:space="preserve">-0.010526  </v>
      </c>
      <c r="BB105" s="43" t="str">
        <f t="shared" ref="BB105" si="430">IF($AO105=1,IF(ISBLANK(Z105),"-",CONCATENATE(TEXT(Z105," 0.000000;-0.000000"),"  ")),"")</f>
        <v xml:space="preserve"> 0.000010  </v>
      </c>
      <c r="BC105" s="43" t="str">
        <f t="shared" ref="BC105" si="431">IF($AO105=1,IF(ISBLANK(AA105),"-",CONCATENATE(TEXT(AA105," 0.000000;-0.000000"),"  ")),"")</f>
        <v xml:space="preserve">-0.000256  </v>
      </c>
      <c r="BD105" s="43" t="str">
        <f t="shared" si="342"/>
        <v xml:space="preserve">_x000D_
                                                                                </v>
      </c>
      <c r="BE105" s="43" t="str">
        <f t="shared" si="188"/>
        <v xml:space="preserve">1.350   </v>
      </c>
      <c r="BF105" s="43" t="str">
        <f t="shared" si="189"/>
        <v xml:space="preserve">0.800   </v>
      </c>
      <c r="BG105" s="43" t="str">
        <f t="shared" si="190"/>
        <v xml:space="preserve">12.220   </v>
      </c>
      <c r="BH105" s="43" t="str">
        <f t="shared" si="191"/>
        <v xml:space="preserve">4.440   </v>
      </c>
      <c r="BI105" s="43" t="str">
        <f t="shared" si="192"/>
        <v xml:space="preserve">46.110   </v>
      </c>
      <c r="BJ105" s="43" t="str">
        <f t="shared" si="193"/>
        <v xml:space="preserve">23.890   </v>
      </c>
      <c r="BM105" s="43" t="str">
        <f t="shared" ref="BM105:BN110" si="432">Q105</f>
        <v>Tchws</v>
      </c>
      <c r="BN105" s="43" t="str">
        <f t="shared" si="432"/>
        <v>Toadb</v>
      </c>
      <c r="BO105" s="164">
        <f>(BO104-32)/1.8</f>
        <v>6.6666666666666661</v>
      </c>
      <c r="BP105" s="164">
        <f>(BP104-32)/1.8</f>
        <v>35</v>
      </c>
      <c r="BQ105" s="164">
        <f t="shared" ref="BQ105" si="433">(BQ104-32)/1.8</f>
        <v>12.222222222222221</v>
      </c>
      <c r="BR105" s="164">
        <f t="shared" ref="BR105" si="434">(BR104-32)/1.8</f>
        <v>4.4444444444444446</v>
      </c>
      <c r="BS105" s="164">
        <f t="shared" ref="BS105" si="435">(BS104-32)/1.8</f>
        <v>46.111111111111107</v>
      </c>
      <c r="BT105" s="164">
        <f t="shared" ref="BT105" si="436">(BT104-32)/1.8</f>
        <v>23.888888888888889</v>
      </c>
      <c r="BU105" s="147">
        <f t="shared" si="399"/>
        <v>0.99816099999999974</v>
      </c>
      <c r="BV105" s="147">
        <f t="shared" si="416"/>
        <v>1.351221</v>
      </c>
      <c r="BW105" s="147">
        <f t="shared" si="417"/>
        <v>0.79860900000000012</v>
      </c>
      <c r="BX105" s="43" t="s">
        <v>729</v>
      </c>
    </row>
    <row r="106" spans="1:84" hidden="1" outlineLevel="1" x14ac:dyDescent="0.25">
      <c r="A106" s="58"/>
      <c r="B106" s="20"/>
      <c r="C106" s="20"/>
      <c r="D106" s="59"/>
      <c r="E106" s="60" t="s">
        <v>369</v>
      </c>
      <c r="F106" s="60" t="s">
        <v>403</v>
      </c>
      <c r="G106" s="60" t="s">
        <v>72</v>
      </c>
      <c r="H106" s="20" t="s">
        <v>374</v>
      </c>
      <c r="I106" s="20" t="s">
        <v>659</v>
      </c>
      <c r="J106" s="20" t="s">
        <v>273</v>
      </c>
      <c r="K106" s="20" t="s">
        <v>13</v>
      </c>
      <c r="L106" s="20"/>
      <c r="M106" s="20"/>
      <c r="N106" s="43" t="str">
        <f t="shared" si="334"/>
        <v>ChlrAirScrewQRatio_fTchwsToadbIP</v>
      </c>
      <c r="O106" s="20" t="s">
        <v>165</v>
      </c>
      <c r="P106" s="20" t="s">
        <v>160</v>
      </c>
      <c r="Q106" s="20" t="s">
        <v>139</v>
      </c>
      <c r="R106" s="20" t="s">
        <v>460</v>
      </c>
      <c r="S106" s="20"/>
      <c r="T106" s="20"/>
      <c r="U106" s="20"/>
      <c r="V106" s="61">
        <v>-9.4648990000000002E-2</v>
      </c>
      <c r="W106" s="61">
        <v>3.8340699999999998E-2</v>
      </c>
      <c r="X106" s="61">
        <v>-9.2050000000000001E-5</v>
      </c>
      <c r="Y106" s="61">
        <v>3.78007E-3</v>
      </c>
      <c r="Z106" s="61">
        <v>-1.375E-5</v>
      </c>
      <c r="AA106" s="61">
        <v>-1.5464E-4</v>
      </c>
      <c r="AB106" s="20"/>
      <c r="AC106" s="20"/>
      <c r="AD106" s="20"/>
      <c r="AE106" s="20"/>
      <c r="AF106" s="20"/>
      <c r="AG106" s="158">
        <f t="shared" si="397"/>
        <v>1.29</v>
      </c>
      <c r="AH106" s="158">
        <f t="shared" si="398"/>
        <v>0.83</v>
      </c>
      <c r="AI106" s="158">
        <f t="shared" si="394"/>
        <v>54</v>
      </c>
      <c r="AJ106" s="158">
        <f t="shared" si="418"/>
        <v>40</v>
      </c>
      <c r="AK106" s="158">
        <f t="shared" si="395"/>
        <v>115</v>
      </c>
      <c r="AL106" s="158">
        <f t="shared" si="396"/>
        <v>75</v>
      </c>
      <c r="AM106" s="60"/>
      <c r="AN106" s="20"/>
      <c r="AO106" s="43">
        <f t="shared" si="345"/>
        <v>0</v>
      </c>
      <c r="AP106" s="166" t="str">
        <f t="shared" si="8"/>
        <v/>
      </c>
      <c r="AQ106" s="166" t="str">
        <f t="shared" si="272"/>
        <v/>
      </c>
      <c r="AR106" s="166" t="str">
        <f t="shared" si="175"/>
        <v/>
      </c>
      <c r="AS106" s="166" t="str">
        <f t="shared" si="419"/>
        <v/>
      </c>
      <c r="AT106" s="43" t="str">
        <f t="shared" si="344"/>
        <v/>
      </c>
      <c r="AU106" s="43" t="str">
        <f t="shared" si="343"/>
        <v xml:space="preserve">               </v>
      </c>
      <c r="AV106" s="62" t="str">
        <f t="shared" si="335"/>
        <v/>
      </c>
      <c r="AW106" s="43" t="str">
        <f t="shared" si="177"/>
        <v xml:space="preserve">                                                                 </v>
      </c>
      <c r="AX106" s="43" t="str">
        <f t="shared" si="121"/>
        <v/>
      </c>
      <c r="AY106" s="43" t="str">
        <f t="shared" si="122"/>
        <v/>
      </c>
      <c r="AZ106" s="43" t="str">
        <f t="shared" si="123"/>
        <v/>
      </c>
      <c r="BA106" s="43" t="str">
        <f t="shared" si="124"/>
        <v/>
      </c>
      <c r="BB106" s="43" t="str">
        <f t="shared" si="125"/>
        <v/>
      </c>
      <c r="BC106" s="43" t="str">
        <f t="shared" si="126"/>
        <v/>
      </c>
      <c r="BD106" s="43" t="str">
        <f t="shared" si="342"/>
        <v xml:space="preserve">_x000D_
                                                                                </v>
      </c>
      <c r="BE106" s="43" t="str">
        <f t="shared" si="188"/>
        <v/>
      </c>
      <c r="BF106" s="43" t="str">
        <f t="shared" si="189"/>
        <v/>
      </c>
      <c r="BG106" s="43" t="str">
        <f t="shared" si="190"/>
        <v/>
      </c>
      <c r="BH106" s="43" t="str">
        <f t="shared" si="191"/>
        <v/>
      </c>
      <c r="BI106" s="43" t="str">
        <f t="shared" si="192"/>
        <v/>
      </c>
      <c r="BJ106" s="43" t="str">
        <f t="shared" si="193"/>
        <v/>
      </c>
      <c r="BM106" s="43" t="str">
        <f t="shared" si="432"/>
        <v>Tchws</v>
      </c>
      <c r="BN106" s="43" t="str">
        <f t="shared" si="432"/>
        <v>Toadb</v>
      </c>
      <c r="BO106" s="43">
        <v>44</v>
      </c>
      <c r="BP106" s="43">
        <v>95</v>
      </c>
      <c r="BQ106" s="43">
        <v>54</v>
      </c>
      <c r="BR106" s="43">
        <v>40</v>
      </c>
      <c r="BS106" s="43">
        <v>115</v>
      </c>
      <c r="BT106" s="43">
        <v>75</v>
      </c>
      <c r="BU106" s="147">
        <f t="shared" si="399"/>
        <v>1.0027507099999999</v>
      </c>
      <c r="BV106" s="147">
        <f t="shared" si="416"/>
        <v>1.2872005099999999</v>
      </c>
      <c r="BW106" s="147">
        <f t="shared" si="417"/>
        <v>0.83321930999999982</v>
      </c>
      <c r="BX106" s="43" t="s">
        <v>729</v>
      </c>
    </row>
    <row r="107" spans="1:84" hidden="1" outlineLevel="1" x14ac:dyDescent="0.25">
      <c r="A107" s="58"/>
      <c r="B107" s="20"/>
      <c r="C107" s="20"/>
      <c r="D107" s="59"/>
      <c r="E107" s="60" t="s">
        <v>369</v>
      </c>
      <c r="F107" s="60" t="s">
        <v>403</v>
      </c>
      <c r="G107" s="60" t="s">
        <v>72</v>
      </c>
      <c r="H107" s="20" t="s">
        <v>374</v>
      </c>
      <c r="I107" s="20" t="s">
        <v>660</v>
      </c>
      <c r="J107" s="20" t="s">
        <v>144</v>
      </c>
      <c r="K107" s="20"/>
      <c r="L107" s="60" t="s">
        <v>202</v>
      </c>
      <c r="M107" s="20" t="s">
        <v>248</v>
      </c>
      <c r="N107" s="43" t="str">
        <f t="shared" si="334"/>
        <v>ChlrAirScrewQRatio_fTchwsToadbSI</v>
      </c>
      <c r="O107" s="20" t="s">
        <v>165</v>
      </c>
      <c r="P107" s="20" t="s">
        <v>160</v>
      </c>
      <c r="Q107" s="20" t="s">
        <v>139</v>
      </c>
      <c r="R107" s="20" t="s">
        <v>460</v>
      </c>
      <c r="S107" s="20"/>
      <c r="T107" s="20"/>
      <c r="U107" s="20"/>
      <c r="V107" s="61">
        <v>0.98595900000000003</v>
      </c>
      <c r="W107" s="61">
        <v>4.9487400000000001E-2</v>
      </c>
      <c r="X107" s="61">
        <v>-2.9807999999999999E-4</v>
      </c>
      <c r="Y107" s="61">
        <v>-3.7368000000000002E-3</v>
      </c>
      <c r="Z107" s="61">
        <v>-4.5359999999999999E-5</v>
      </c>
      <c r="AA107" s="61">
        <v>-5.0219999999999996E-4</v>
      </c>
      <c r="AB107" s="20"/>
      <c r="AC107" s="20"/>
      <c r="AD107" s="20"/>
      <c r="AE107" s="20"/>
      <c r="AF107" s="20"/>
      <c r="AG107" s="158">
        <f t="shared" si="397"/>
        <v>1.28</v>
      </c>
      <c r="AH107" s="158">
        <f t="shared" si="398"/>
        <v>0.83</v>
      </c>
      <c r="AI107" s="158">
        <f t="shared" si="394"/>
        <v>12.22</v>
      </c>
      <c r="AJ107" s="158">
        <f t="shared" si="418"/>
        <v>4.4400000000000004</v>
      </c>
      <c r="AK107" s="158">
        <f t="shared" si="395"/>
        <v>46.11</v>
      </c>
      <c r="AL107" s="158">
        <f t="shared" si="396"/>
        <v>23.89</v>
      </c>
      <c r="AM107" s="60"/>
      <c r="AN107" s="20"/>
      <c r="AO107" s="43">
        <f t="shared" si="345"/>
        <v>1</v>
      </c>
      <c r="AP107" s="166" t="str">
        <f t="shared" ref="AP107" si="437">IF(AO107=1,CONCATENATE(AQ107,AR107,AS107),"")</f>
        <v>CrvDblQuad     "ChlrAirScrewQRatio_fTchwsToadbSI"                               Coef1 =  0.985959  Coef2 =  0.049487  Coef3 = -0.000298  Coef4 = -0.003737  Coef5 = -0.000045  Coef6 = -0.000502  _x000D_
                                                                                MaxOut = 1.280   MinOut = 0.830   MaxVar1 = 12.220   MinVar1 = 4.440   MaxVar2 = 46.110   MinVar2 = 23.890   _x000D_
..</v>
      </c>
      <c r="AQ107" s="166" t="str">
        <f t="shared" ref="AQ107" si="438">IF(AO107=1,CONCATENATE(AT107,AU107,AV107,AW107,IF(AX107="-","",$AX$15&amp;AX107),IF(AY107="-","",$AY$15&amp;AY107),IF(AZ107="-","",$AZ$15&amp;AZ107),IF(BA107="-","",$BA$15&amp;BA107),IF(BB107="-","",$BB$15&amp;BB107),IF(BC107="-","",$BC$15&amp;BC107)),"")</f>
        <v xml:space="preserve">CrvDblQuad     "ChlrAirScrewQRatio_fTchwsToadbSI"                               Coef1 =  0.985959  Coef2 =  0.049487  Coef3 = -0.000298  Coef4 = -0.003737  Coef5 = -0.000045  Coef6 = -0.000502  </v>
      </c>
      <c r="AR107" s="166" t="str">
        <f t="shared" ref="AR107" si="439">IF(AO107=1,CONCATENATE(BD107,IF(BE107="-","",$BE$15&amp;BE107),IF(BF107="-","",$BF$15&amp;BF107),IF(BG107="-","",$BG$15&amp;BG107),IF(BH107="-","",$BH$15&amp;BH107),IF(BI107="-","",$BI$15&amp;BI107),IF(BJ107="-","",$BJ$15&amp;BJ107)),"")</f>
        <v xml:space="preserve">_x000D_
                                                                                MaxOut = 1.280   MinOut = 0.830   MaxVar1 = 12.220   MinVar1 = 4.440   MaxVar2 = 46.110   MinVar2 = 23.890   </v>
      </c>
      <c r="AS107" s="166" t="str">
        <f t="shared" ref="AS107" si="440">IF(AO107=1,CHAR(13)&amp;CHAR(10)&amp;"..","")</f>
        <v>_x000D_
..</v>
      </c>
      <c r="AT107" s="43" t="str">
        <f t="shared" ref="AT107" si="441">IF(AO107=1,VLOOKUP(O107,$AT$2:$AV$13,2,0),"")</f>
        <v>CrvDblQuad</v>
      </c>
      <c r="AU107" s="43" t="str">
        <f t="shared" si="343"/>
        <v xml:space="preserve">     </v>
      </c>
      <c r="AV107" s="62" t="str">
        <f t="shared" si="335"/>
        <v>"ChlrAirScrewQRatio_fTchwsToadbSI"</v>
      </c>
      <c r="AW107" s="43" t="str">
        <f t="shared" ref="AW107" si="442">REPT(" ",$AW$14-LEN(AV107))</f>
        <v xml:space="preserve">                               </v>
      </c>
      <c r="AX107" s="43" t="str">
        <f t="shared" ref="AX107" si="443">IF($AO107=1,IF(ISBLANK(V107),"-",CONCATENATE(TEXT(V107," 0.000000;-0.000000"),"  ")),"")</f>
        <v xml:space="preserve"> 0.985959  </v>
      </c>
      <c r="AY107" s="43" t="str">
        <f t="shared" ref="AY107" si="444">IF($AO107=1,IF(ISBLANK(W107),"-",CONCATENATE(TEXT(W107," 0.000000;-0.000000"),"  ")),"")</f>
        <v xml:space="preserve"> 0.049487  </v>
      </c>
      <c r="AZ107" s="43" t="str">
        <f t="shared" ref="AZ107" si="445">IF($AO107=1,IF(ISBLANK(X107),"-",CONCATENATE(TEXT(X107," 0.000000;-0.000000"),"  ")),"")</f>
        <v xml:space="preserve">-0.000298  </v>
      </c>
      <c r="BA107" s="43" t="str">
        <f t="shared" ref="BA107" si="446">IF($AO107=1,IF(ISBLANK(Y107),"-",CONCATENATE(TEXT(Y107," 0.000000;-0.000000"),"  ")),"")</f>
        <v xml:space="preserve">-0.003737  </v>
      </c>
      <c r="BB107" s="43" t="str">
        <f t="shared" ref="BB107" si="447">IF($AO107=1,IF(ISBLANK(Z107),"-",CONCATENATE(TEXT(Z107," 0.000000;-0.000000"),"  ")),"")</f>
        <v xml:space="preserve">-0.000045  </v>
      </c>
      <c r="BC107" s="43" t="str">
        <f t="shared" ref="BC107" si="448">IF($AO107=1,IF(ISBLANK(AA107),"-",CONCATENATE(TEXT(AA107," 0.000000;-0.000000"),"  ")),"")</f>
        <v xml:space="preserve">-0.000502  </v>
      </c>
      <c r="BD107" s="43" t="str">
        <f t="shared" si="342"/>
        <v xml:space="preserve">_x000D_
                                                                                </v>
      </c>
      <c r="BE107" s="43" t="str">
        <f t="shared" si="188"/>
        <v xml:space="preserve">1.280   </v>
      </c>
      <c r="BF107" s="43" t="str">
        <f t="shared" si="189"/>
        <v xml:space="preserve">0.830   </v>
      </c>
      <c r="BG107" s="43" t="str">
        <f t="shared" si="190"/>
        <v xml:space="preserve">12.220   </v>
      </c>
      <c r="BH107" s="43" t="str">
        <f t="shared" si="191"/>
        <v xml:space="preserve">4.440   </v>
      </c>
      <c r="BI107" s="43" t="str">
        <f t="shared" si="192"/>
        <v xml:space="preserve">46.110   </v>
      </c>
      <c r="BJ107" s="43" t="str">
        <f t="shared" si="193"/>
        <v xml:space="preserve">23.890   </v>
      </c>
      <c r="BM107" s="43" t="str">
        <f t="shared" si="432"/>
        <v>Tchws</v>
      </c>
      <c r="BN107" s="43" t="str">
        <f t="shared" si="432"/>
        <v>Toadb</v>
      </c>
      <c r="BO107" s="164">
        <f>(BO106-32)/1.8</f>
        <v>6.6666666666666661</v>
      </c>
      <c r="BP107" s="164">
        <f>(BP106-32)/1.8</f>
        <v>35</v>
      </c>
      <c r="BQ107" s="164">
        <f t="shared" ref="BQ107" si="449">(BQ106-32)/1.8</f>
        <v>12.222222222222221</v>
      </c>
      <c r="BR107" s="164">
        <f t="shared" ref="BR107" si="450">(BR106-32)/1.8</f>
        <v>4.4444444444444446</v>
      </c>
      <c r="BS107" s="164">
        <f t="shared" ref="BS107" si="451">(BS106-32)/1.8</f>
        <v>46.111111111111107</v>
      </c>
      <c r="BT107" s="164">
        <f t="shared" ref="BT107" si="452">(BT106-32)/1.8</f>
        <v>23.888888888888889</v>
      </c>
      <c r="BU107" s="147">
        <f t="shared" si="399"/>
        <v>0.99909300000000034</v>
      </c>
      <c r="BV107" s="147">
        <f t="shared" si="416"/>
        <v>1.2844930000000001</v>
      </c>
      <c r="BW107" s="147">
        <f t="shared" si="417"/>
        <v>0.8283410000000001</v>
      </c>
      <c r="BX107" s="43" t="s">
        <v>729</v>
      </c>
    </row>
    <row r="108" spans="1:84" hidden="1" outlineLevel="1" x14ac:dyDescent="0.25">
      <c r="A108" s="58"/>
      <c r="B108" s="20"/>
      <c r="C108" s="20"/>
      <c r="D108" s="59"/>
      <c r="E108" s="60" t="s">
        <v>369</v>
      </c>
      <c r="F108" s="60" t="s">
        <v>403</v>
      </c>
      <c r="G108" s="60" t="s">
        <v>73</v>
      </c>
      <c r="H108" s="20" t="s">
        <v>375</v>
      </c>
      <c r="I108" s="20" t="s">
        <v>659</v>
      </c>
      <c r="J108" s="20" t="s">
        <v>273</v>
      </c>
      <c r="K108" s="20" t="s">
        <v>13</v>
      </c>
      <c r="L108" s="20"/>
      <c r="M108" s="20"/>
      <c r="N108" s="43" t="str">
        <f t="shared" si="334"/>
        <v>ChlrAirCentQRatio_fTchwsToadbIP</v>
      </c>
      <c r="O108" s="20" t="s">
        <v>165</v>
      </c>
      <c r="P108" s="20" t="s">
        <v>160</v>
      </c>
      <c r="Q108" s="20" t="s">
        <v>139</v>
      </c>
      <c r="R108" s="20" t="s">
        <v>460</v>
      </c>
      <c r="S108" s="20"/>
      <c r="T108" s="20"/>
      <c r="U108" s="20"/>
      <c r="V108" s="61" t="s">
        <v>64</v>
      </c>
      <c r="W108" s="61" t="s">
        <v>64</v>
      </c>
      <c r="X108" s="61" t="s">
        <v>64</v>
      </c>
      <c r="Y108" s="61" t="s">
        <v>64</v>
      </c>
      <c r="Z108" s="61" t="s">
        <v>64</v>
      </c>
      <c r="AA108" s="61" t="s">
        <v>64</v>
      </c>
      <c r="AB108" s="20"/>
      <c r="AC108" s="20"/>
      <c r="AD108" s="20"/>
      <c r="AE108" s="20"/>
      <c r="AF108" s="20"/>
      <c r="AG108" s="158" t="str">
        <f t="shared" si="397"/>
        <v/>
      </c>
      <c r="AH108" s="158" t="str">
        <f t="shared" si="398"/>
        <v/>
      </c>
      <c r="AI108" s="158" t="str">
        <f t="shared" si="394"/>
        <v/>
      </c>
      <c r="AJ108" s="158" t="str">
        <f t="shared" si="418"/>
        <v/>
      </c>
      <c r="AK108" s="158" t="str">
        <f t="shared" si="395"/>
        <v/>
      </c>
      <c r="AL108" s="158" t="str">
        <f t="shared" si="396"/>
        <v/>
      </c>
      <c r="AM108" s="60"/>
      <c r="AN108" s="20"/>
      <c r="AO108" s="43">
        <f t="shared" si="345"/>
        <v>0</v>
      </c>
      <c r="AP108" s="166" t="str">
        <f t="shared" si="8"/>
        <v/>
      </c>
      <c r="AQ108" s="166" t="str">
        <f t="shared" si="272"/>
        <v/>
      </c>
      <c r="AR108" s="166" t="str">
        <f t="shared" si="175"/>
        <v/>
      </c>
      <c r="AS108" s="166" t="str">
        <f t="shared" si="419"/>
        <v/>
      </c>
      <c r="AT108" s="43" t="str">
        <f t="shared" si="344"/>
        <v/>
      </c>
      <c r="AU108" s="43" t="str">
        <f t="shared" si="343"/>
        <v xml:space="preserve">               </v>
      </c>
      <c r="AV108" s="62" t="str">
        <f t="shared" si="335"/>
        <v/>
      </c>
      <c r="AW108" s="43" t="str">
        <f t="shared" si="177"/>
        <v xml:space="preserve">                                                                 </v>
      </c>
      <c r="AX108" s="43" t="str">
        <f t="shared" si="121"/>
        <v/>
      </c>
      <c r="AY108" s="43" t="str">
        <f t="shared" si="122"/>
        <v/>
      </c>
      <c r="AZ108" s="43" t="str">
        <f t="shared" si="123"/>
        <v/>
      </c>
      <c r="BA108" s="43" t="str">
        <f t="shared" si="124"/>
        <v/>
      </c>
      <c r="BB108" s="43" t="str">
        <f t="shared" si="125"/>
        <v/>
      </c>
      <c r="BC108" s="43" t="str">
        <f t="shared" si="126"/>
        <v/>
      </c>
      <c r="BD108" s="43" t="str">
        <f t="shared" si="342"/>
        <v xml:space="preserve"> </v>
      </c>
      <c r="BE108" s="43" t="str">
        <f t="shared" si="188"/>
        <v/>
      </c>
      <c r="BF108" s="43" t="str">
        <f t="shared" si="189"/>
        <v/>
      </c>
      <c r="BG108" s="43" t="str">
        <f t="shared" si="190"/>
        <v/>
      </c>
      <c r="BH108" s="43" t="str">
        <f t="shared" si="191"/>
        <v/>
      </c>
      <c r="BI108" s="43" t="str">
        <f t="shared" si="192"/>
        <v/>
      </c>
      <c r="BJ108" s="43" t="str">
        <f t="shared" si="193"/>
        <v/>
      </c>
      <c r="BM108" s="43" t="str">
        <f t="shared" si="432"/>
        <v>Tchws</v>
      </c>
      <c r="BN108" s="43" t="str">
        <f t="shared" si="432"/>
        <v>Toadb</v>
      </c>
      <c r="BU108" s="147"/>
      <c r="BV108" s="147"/>
      <c r="BW108" s="147"/>
    </row>
    <row r="109" spans="1:84" hidden="1" outlineLevel="1" x14ac:dyDescent="0.25">
      <c r="A109" s="58"/>
      <c r="B109" s="20"/>
      <c r="C109" s="20"/>
      <c r="D109" s="59"/>
      <c r="E109" s="60" t="s">
        <v>369</v>
      </c>
      <c r="F109" s="60" t="s">
        <v>403</v>
      </c>
      <c r="G109" s="60" t="s">
        <v>73</v>
      </c>
      <c r="H109" s="20" t="s">
        <v>375</v>
      </c>
      <c r="I109" s="20" t="s">
        <v>660</v>
      </c>
      <c r="J109" s="20" t="s">
        <v>144</v>
      </c>
      <c r="K109" s="20"/>
      <c r="L109" s="60" t="s">
        <v>202</v>
      </c>
      <c r="M109" s="20" t="s">
        <v>248</v>
      </c>
      <c r="N109" s="43" t="str">
        <f t="shared" si="334"/>
        <v>ChlrAirCentQRatio_fTchwsToadbSI</v>
      </c>
      <c r="O109" s="20" t="s">
        <v>165</v>
      </c>
      <c r="P109" s="20" t="s">
        <v>160</v>
      </c>
      <c r="Q109" s="20" t="s">
        <v>139</v>
      </c>
      <c r="R109" s="20" t="s">
        <v>460</v>
      </c>
      <c r="S109" s="20"/>
      <c r="T109" s="20"/>
      <c r="U109" s="20"/>
      <c r="V109" s="61" t="s">
        <v>64</v>
      </c>
      <c r="W109" s="61" t="s">
        <v>64</v>
      </c>
      <c r="X109" s="61" t="s">
        <v>64</v>
      </c>
      <c r="Y109" s="61" t="s">
        <v>64</v>
      </c>
      <c r="Z109" s="61" t="s">
        <v>64</v>
      </c>
      <c r="AA109" s="61" t="s">
        <v>64</v>
      </c>
      <c r="AB109" s="20"/>
      <c r="AC109" s="20"/>
      <c r="AD109" s="20"/>
      <c r="AE109" s="20"/>
      <c r="AF109" s="20"/>
      <c r="AG109" s="158" t="str">
        <f t="shared" si="397"/>
        <v/>
      </c>
      <c r="AH109" s="158" t="str">
        <f t="shared" si="398"/>
        <v/>
      </c>
      <c r="AI109" s="158" t="str">
        <f t="shared" si="394"/>
        <v/>
      </c>
      <c r="AJ109" s="158" t="str">
        <f t="shared" si="418"/>
        <v/>
      </c>
      <c r="AK109" s="158" t="str">
        <f t="shared" si="395"/>
        <v/>
      </c>
      <c r="AL109" s="158" t="str">
        <f t="shared" si="396"/>
        <v/>
      </c>
      <c r="AM109" s="60"/>
      <c r="AN109" s="20"/>
      <c r="AO109" s="43">
        <v>0</v>
      </c>
      <c r="AP109" s="166" t="str">
        <f t="shared" ref="AP109" si="453">IF(AO109=1,CONCATENATE(AQ109,AR109,AS109),"")</f>
        <v/>
      </c>
      <c r="AQ109" s="166" t="str">
        <f t="shared" ref="AQ109" si="454">IF(AO109=1,CONCATENATE(AT109,AU109,AV109,AW109,IF(AX109="-","",$AX$15&amp;AX109),IF(AY109="-","",$AY$15&amp;AY109),IF(AZ109="-","",$AZ$15&amp;AZ109),IF(BA109="-","",$BA$15&amp;BA109),IF(BB109="-","",$BB$15&amp;BB109),IF(BC109="-","",$BC$15&amp;BC109)),"")</f>
        <v/>
      </c>
      <c r="AR109" s="166" t="str">
        <f t="shared" ref="AR109" si="455">IF(AO109=1,CONCATENATE(BD109,IF(BE109="-","",$BE$15&amp;BE109),IF(BF109="-","",$BF$15&amp;BF109),IF(BG109="-","",$BG$15&amp;BG109),IF(BH109="-","",$BH$15&amp;BH109),IF(BI109="-","",$BI$15&amp;BI109),IF(BJ109="-","",$BJ$15&amp;BJ109)),"")</f>
        <v/>
      </c>
      <c r="AS109" s="166" t="str">
        <f t="shared" ref="AS109" si="456">IF(AO109=1,CHAR(13)&amp;CHAR(10)&amp;"..","")</f>
        <v/>
      </c>
      <c r="AT109" s="43" t="str">
        <f t="shared" ref="AT109" si="457">IF(AO109=1,VLOOKUP(O109,$AT$2:$AV$13,2,0),"")</f>
        <v/>
      </c>
      <c r="AU109" s="43" t="str">
        <f t="shared" si="343"/>
        <v xml:space="preserve">               </v>
      </c>
      <c r="AV109" s="62" t="str">
        <f t="shared" si="335"/>
        <v/>
      </c>
      <c r="AW109" s="43" t="str">
        <f t="shared" ref="AW109" si="458">REPT(" ",$AW$14-LEN(AV109))</f>
        <v xml:space="preserve">                                                                 </v>
      </c>
      <c r="AX109" s="43" t="str">
        <f t="shared" ref="AX109" si="459">IF($AO109=1,IF(ISBLANK(V109),"-",CONCATENATE(TEXT(V109," 0.000000;-0.000000"),"  ")),"")</f>
        <v/>
      </c>
      <c r="AY109" s="43" t="str">
        <f t="shared" ref="AY109" si="460">IF($AO109=1,IF(ISBLANK(W109),"-",CONCATENATE(TEXT(W109," 0.000000;-0.000000"),"  ")),"")</f>
        <v/>
      </c>
      <c r="AZ109" s="43" t="str">
        <f t="shared" ref="AZ109" si="461">IF($AO109=1,IF(ISBLANK(X109),"-",CONCATENATE(TEXT(X109," 0.000000;-0.000000"),"  ")),"")</f>
        <v/>
      </c>
      <c r="BA109" s="43" t="str">
        <f t="shared" ref="BA109" si="462">IF($AO109=1,IF(ISBLANK(Y109),"-",CONCATENATE(TEXT(Y109," 0.000000;-0.000000"),"  ")),"")</f>
        <v/>
      </c>
      <c r="BB109" s="43" t="str">
        <f t="shared" ref="BB109" si="463">IF($AO109=1,IF(ISBLANK(Z109),"-",CONCATENATE(TEXT(Z109," 0.000000;-0.000000"),"  ")),"")</f>
        <v/>
      </c>
      <c r="BC109" s="43" t="str">
        <f t="shared" ref="BC109" si="464">IF($AO109=1,IF(ISBLANK(AA109),"-",CONCATENATE(TEXT(AA109," 0.000000;-0.000000"),"  ")),"")</f>
        <v/>
      </c>
      <c r="BD109" s="43" t="str">
        <f t="shared" si="342"/>
        <v xml:space="preserve"> </v>
      </c>
      <c r="BE109" s="43" t="str">
        <f t="shared" si="188"/>
        <v/>
      </c>
      <c r="BF109" s="43" t="str">
        <f t="shared" si="189"/>
        <v/>
      </c>
      <c r="BG109" s="43" t="str">
        <f t="shared" si="190"/>
        <v/>
      </c>
      <c r="BH109" s="43" t="str">
        <f t="shared" si="191"/>
        <v/>
      </c>
      <c r="BI109" s="43" t="str">
        <f t="shared" si="192"/>
        <v/>
      </c>
      <c r="BJ109" s="43" t="str">
        <f t="shared" si="193"/>
        <v/>
      </c>
      <c r="BM109" s="43" t="str">
        <f t="shared" si="432"/>
        <v>Tchws</v>
      </c>
      <c r="BN109" s="43" t="str">
        <f t="shared" si="432"/>
        <v>Toadb</v>
      </c>
      <c r="BU109" s="147"/>
      <c r="BV109" s="147"/>
      <c r="BW109" s="147"/>
    </row>
    <row r="110" spans="1:84" ht="30" hidden="1" outlineLevel="1" x14ac:dyDescent="0.25">
      <c r="A110" s="58"/>
      <c r="B110" s="20"/>
      <c r="C110" s="20" t="s">
        <v>392</v>
      </c>
      <c r="D110" s="60" t="s">
        <v>371</v>
      </c>
      <c r="E110" s="60" t="s">
        <v>369</v>
      </c>
      <c r="F110" s="60" t="s">
        <v>411</v>
      </c>
      <c r="G110" s="60" t="s">
        <v>70</v>
      </c>
      <c r="H110" s="20" t="s">
        <v>372</v>
      </c>
      <c r="I110" s="20" t="s">
        <v>659</v>
      </c>
      <c r="J110" s="20" t="s">
        <v>273</v>
      </c>
      <c r="K110" s="20" t="s">
        <v>14</v>
      </c>
      <c r="L110" s="60"/>
      <c r="M110" s="20"/>
      <c r="N110" s="43" t="str">
        <f t="shared" si="334"/>
        <v>ChlrAirScrollEIRRatio_fTchwsToadbIP</v>
      </c>
      <c r="O110" s="20" t="s">
        <v>165</v>
      </c>
      <c r="P110" s="20" t="s">
        <v>288</v>
      </c>
      <c r="Q110" s="20" t="s">
        <v>139</v>
      </c>
      <c r="R110" s="20" t="s">
        <v>460</v>
      </c>
      <c r="S110" s="20"/>
      <c r="T110" s="20"/>
      <c r="U110" s="20"/>
      <c r="V110" s="61">
        <v>0.99006552999999997</v>
      </c>
      <c r="W110" s="61">
        <v>-5.8414399999999998E-3</v>
      </c>
      <c r="X110" s="61">
        <v>1.6453999999999999E-4</v>
      </c>
      <c r="Y110" s="61">
        <v>-6.6113600000000002E-3</v>
      </c>
      <c r="Z110" s="61">
        <v>1.6808E-4</v>
      </c>
      <c r="AA110" s="61">
        <v>-2.2500999999999999E-4</v>
      </c>
      <c r="AB110" s="20"/>
      <c r="AC110" s="20"/>
      <c r="AD110" s="20"/>
      <c r="AE110" s="20"/>
      <c r="AF110" s="20"/>
      <c r="AG110" s="158">
        <f t="shared" si="397"/>
        <v>1.45</v>
      </c>
      <c r="AH110" s="158">
        <f t="shared" si="398"/>
        <v>0.69</v>
      </c>
      <c r="AI110" s="158">
        <f t="shared" si="394"/>
        <v>54</v>
      </c>
      <c r="AJ110" s="158">
        <f t="shared" si="418"/>
        <v>40</v>
      </c>
      <c r="AK110" s="158">
        <f t="shared" si="395"/>
        <v>115</v>
      </c>
      <c r="AL110" s="158">
        <f t="shared" si="396"/>
        <v>75</v>
      </c>
      <c r="AM110" s="60"/>
      <c r="AN110" s="20"/>
      <c r="AO110" s="43">
        <f t="shared" ref="AO110:AO116" si="465">IF(ISTEXT(A110),"",IF(I110="IP",0,1))</f>
        <v>0</v>
      </c>
      <c r="AP110" s="166" t="str">
        <f t="shared" ref="AP110:AP187" si="466">IF(AO110=1,CONCATENATE(AQ110,AR110,AS110),"")</f>
        <v/>
      </c>
      <c r="AQ110" s="166" t="str">
        <f t="shared" si="272"/>
        <v/>
      </c>
      <c r="AR110" s="166" t="str">
        <f t="shared" ref="AR110:AR188" si="467">IF(AO110=1,CONCATENATE(BD110,IF(BE110="-","",$BE$15&amp;BE110),IF(BF110="-","",$BF$15&amp;BF110),IF(BG110="-","",$BG$15&amp;BG110),IF(BH110="-","",$BH$15&amp;BH110),IF(BI110="-","",$BI$15&amp;BI110),IF(BJ110="-","",$BJ$15&amp;BJ110)),"")</f>
        <v/>
      </c>
      <c r="AS110" s="166" t="str">
        <f t="shared" si="419"/>
        <v/>
      </c>
      <c r="AT110" s="43" t="str">
        <f t="shared" si="344"/>
        <v/>
      </c>
      <c r="AU110" s="43" t="str">
        <f t="shared" si="343"/>
        <v xml:space="preserve">               </v>
      </c>
      <c r="AV110" s="62" t="str">
        <f t="shared" si="335"/>
        <v/>
      </c>
      <c r="AW110" s="43" t="str">
        <f t="shared" si="177"/>
        <v xml:space="preserve">                                                                 </v>
      </c>
      <c r="AX110" s="43" t="str">
        <f t="shared" si="121"/>
        <v/>
      </c>
      <c r="AY110" s="43" t="str">
        <f t="shared" si="122"/>
        <v/>
      </c>
      <c r="AZ110" s="43" t="str">
        <f t="shared" si="123"/>
        <v/>
      </c>
      <c r="BA110" s="43" t="str">
        <f t="shared" si="124"/>
        <v/>
      </c>
      <c r="BB110" s="43" t="str">
        <f t="shared" si="125"/>
        <v/>
      </c>
      <c r="BC110" s="43" t="str">
        <f t="shared" si="126"/>
        <v/>
      </c>
      <c r="BD110" s="43" t="str">
        <f t="shared" si="342"/>
        <v xml:space="preserve">_x000D_
                                                                                </v>
      </c>
      <c r="BE110" s="43" t="str">
        <f t="shared" si="188"/>
        <v/>
      </c>
      <c r="BF110" s="43" t="str">
        <f t="shared" si="189"/>
        <v/>
      </c>
      <c r="BG110" s="43" t="str">
        <f t="shared" si="190"/>
        <v/>
      </c>
      <c r="BH110" s="43" t="str">
        <f t="shared" si="191"/>
        <v/>
      </c>
      <c r="BI110" s="43" t="str">
        <f t="shared" si="192"/>
        <v/>
      </c>
      <c r="BJ110" s="43" t="str">
        <f t="shared" si="193"/>
        <v/>
      </c>
      <c r="BM110" s="43" t="str">
        <f t="shared" si="432"/>
        <v>Tchws</v>
      </c>
      <c r="BN110" s="43" t="str">
        <f t="shared" si="432"/>
        <v>Toadb</v>
      </c>
      <c r="BO110" s="43">
        <v>44</v>
      </c>
      <c r="BP110" s="43">
        <v>95</v>
      </c>
      <c r="BQ110" s="43">
        <v>54</v>
      </c>
      <c r="BR110" s="43">
        <v>40</v>
      </c>
      <c r="BS110" s="43">
        <v>115</v>
      </c>
      <c r="BT110" s="43">
        <v>75</v>
      </c>
      <c r="BU110" s="147">
        <f t="shared" ref="BU110:BU115" si="468">$V110+$W110*BO110+$X110*BO110^2+$Y110*BP110+$Z110*BP110^2+$AA110*BO110*BP110</f>
        <v>0.99989260999999996</v>
      </c>
      <c r="BV110" s="147">
        <f>$V110+$W110*BR110+$X110*BR110^2+$Y110*BS110+$Z110*BS110^2+$AA110*BR110*BS110</f>
        <v>1.4471775299999998</v>
      </c>
      <c r="BW110" s="147">
        <f>$V110+$W110*BQ110+$X110*BQ110^2+$Y110*BT110+$Z110*BT110^2+$AA110*BQ110*BT110</f>
        <v>0.69273391000000006</v>
      </c>
      <c r="BX110" s="43" t="s">
        <v>729</v>
      </c>
    </row>
    <row r="111" spans="1:84" hidden="1" outlineLevel="1" x14ac:dyDescent="0.25">
      <c r="A111" s="58"/>
      <c r="B111" s="20"/>
      <c r="C111" s="20"/>
      <c r="D111" s="60"/>
      <c r="E111" s="60" t="s">
        <v>369</v>
      </c>
      <c r="F111" s="60" t="s">
        <v>411</v>
      </c>
      <c r="G111" s="60" t="s">
        <v>70</v>
      </c>
      <c r="H111" s="20" t="s">
        <v>372</v>
      </c>
      <c r="I111" s="20" t="s">
        <v>660</v>
      </c>
      <c r="J111" s="20" t="s">
        <v>144</v>
      </c>
      <c r="K111" s="20"/>
      <c r="L111" s="60" t="s">
        <v>202</v>
      </c>
      <c r="M111" s="20" t="s">
        <v>249</v>
      </c>
      <c r="N111" s="43" t="str">
        <f t="shared" si="334"/>
        <v>ChlrAirScrollEIRRatio_fTchwsToadbSI</v>
      </c>
      <c r="O111" s="20" t="s">
        <v>165</v>
      </c>
      <c r="P111" s="20" t="s">
        <v>288</v>
      </c>
      <c r="Q111" s="20" t="s">
        <v>139</v>
      </c>
      <c r="R111" s="20" t="s">
        <v>460</v>
      </c>
      <c r="S111" s="20"/>
      <c r="T111" s="20"/>
      <c r="U111" s="20"/>
      <c r="V111" s="61">
        <v>0.70219399999999998</v>
      </c>
      <c r="W111" s="61">
        <v>-4.4657999999999998E-3</v>
      </c>
      <c r="X111" s="61">
        <v>5.3459999999999998E-4</v>
      </c>
      <c r="Y111" s="61">
        <v>-5.5062000000000002E-3</v>
      </c>
      <c r="Z111" s="61">
        <v>5.4432000000000005E-4</v>
      </c>
      <c r="AA111" s="61">
        <v>-7.2900000000000005E-4</v>
      </c>
      <c r="AB111" s="20"/>
      <c r="AC111" s="20"/>
      <c r="AD111" s="20"/>
      <c r="AE111" s="20"/>
      <c r="AF111" s="20"/>
      <c r="AG111" s="158">
        <f t="shared" si="397"/>
        <v>1.45</v>
      </c>
      <c r="AH111" s="158">
        <f t="shared" si="398"/>
        <v>0.69</v>
      </c>
      <c r="AI111" s="158">
        <f t="shared" si="394"/>
        <v>12.22</v>
      </c>
      <c r="AJ111" s="158">
        <f t="shared" si="418"/>
        <v>4.4400000000000004</v>
      </c>
      <c r="AK111" s="158">
        <f t="shared" si="395"/>
        <v>46.11</v>
      </c>
      <c r="AL111" s="158">
        <f t="shared" si="396"/>
        <v>23.89</v>
      </c>
      <c r="AM111" s="60"/>
      <c r="AN111" s="20"/>
      <c r="AO111" s="43">
        <f t="shared" si="465"/>
        <v>1</v>
      </c>
      <c r="AP111" s="166" t="str">
        <f t="shared" ref="AP111" si="469">IF(AO111=1,CONCATENATE(AQ111,AR111,AS111),"")</f>
        <v>CrvDblQuad     "ChlrAirScrollEIRRatio_fTchwsToadbSI"                            Coef1 =  0.702194  Coef2 = -0.004466  Coef3 =  0.000535  Coef4 = -0.005506  Coef5 =  0.000544  Coef6 = -0.000729  _x000D_
                                                                                MaxOut = 1.450   MinOut = 0.690   MaxVar1 = 12.220   MinVar1 = 4.440   MaxVar2 = 46.110   MinVar2 = 23.890   _x000D_
..</v>
      </c>
      <c r="AQ111" s="166" t="str">
        <f t="shared" ref="AQ111" si="470">IF(AO111=1,CONCATENATE(AT111,AU111,AV111,AW111,IF(AX111="-","",$AX$15&amp;AX111),IF(AY111="-","",$AY$15&amp;AY111),IF(AZ111="-","",$AZ$15&amp;AZ111),IF(BA111="-","",$BA$15&amp;BA111),IF(BB111="-","",$BB$15&amp;BB111),IF(BC111="-","",$BC$15&amp;BC111)),"")</f>
        <v xml:space="preserve">CrvDblQuad     "ChlrAirScrollEIRRatio_fTchwsToadbSI"                            Coef1 =  0.702194  Coef2 = -0.004466  Coef3 =  0.000535  Coef4 = -0.005506  Coef5 =  0.000544  Coef6 = -0.000729  </v>
      </c>
      <c r="AR111" s="166" t="str">
        <f t="shared" ref="AR111" si="471">IF(AO111=1,CONCATENATE(BD111,IF(BE111="-","",$BE$15&amp;BE111),IF(BF111="-","",$BF$15&amp;BF111),IF(BG111="-","",$BG$15&amp;BG111),IF(BH111="-","",$BH$15&amp;BH111),IF(BI111="-","",$BI$15&amp;BI111),IF(BJ111="-","",$BJ$15&amp;BJ111)),"")</f>
        <v xml:space="preserve">_x000D_
                                                                                MaxOut = 1.450   MinOut = 0.690   MaxVar1 = 12.220   MinVar1 = 4.440   MaxVar2 = 46.110   MinVar2 = 23.890   </v>
      </c>
      <c r="AS111" s="166" t="str">
        <f t="shared" ref="AS111" si="472">IF(AO111=1,CHAR(13)&amp;CHAR(10)&amp;"..","")</f>
        <v>_x000D_
..</v>
      </c>
      <c r="AT111" s="43" t="str">
        <f t="shared" ref="AT111" si="473">IF(AO111=1,VLOOKUP(O111,$AT$2:$AV$13,2,0),"")</f>
        <v>CrvDblQuad</v>
      </c>
      <c r="AU111" s="43" t="str">
        <f t="shared" si="343"/>
        <v xml:space="preserve">     </v>
      </c>
      <c r="AV111" s="62" t="str">
        <f t="shared" si="335"/>
        <v>"ChlrAirScrollEIRRatio_fTchwsToadbSI"</v>
      </c>
      <c r="AW111" s="43" t="str">
        <f t="shared" ref="AW111" si="474">REPT(" ",$AW$14-LEN(AV111))</f>
        <v xml:space="preserve">                            </v>
      </c>
      <c r="AX111" s="43" t="str">
        <f t="shared" ref="AX111" si="475">IF($AO111=1,IF(ISBLANK(V111),"-",CONCATENATE(TEXT(V111," 0.000000;-0.000000"),"  ")),"")</f>
        <v xml:space="preserve"> 0.702194  </v>
      </c>
      <c r="AY111" s="43" t="str">
        <f t="shared" ref="AY111" si="476">IF($AO111=1,IF(ISBLANK(W111),"-",CONCATENATE(TEXT(W111," 0.000000;-0.000000"),"  ")),"")</f>
        <v xml:space="preserve">-0.004466  </v>
      </c>
      <c r="AZ111" s="43" t="str">
        <f t="shared" ref="AZ111" si="477">IF($AO111=1,IF(ISBLANK(X111),"-",CONCATENATE(TEXT(X111," 0.000000;-0.000000"),"  ")),"")</f>
        <v xml:space="preserve"> 0.000535  </v>
      </c>
      <c r="BA111" s="43" t="str">
        <f t="shared" ref="BA111" si="478">IF($AO111=1,IF(ISBLANK(Y111),"-",CONCATENATE(TEXT(Y111," 0.000000;-0.000000"),"  ")),"")</f>
        <v xml:space="preserve">-0.005506  </v>
      </c>
      <c r="BB111" s="43" t="str">
        <f t="shared" ref="BB111" si="479">IF($AO111=1,IF(ISBLANK(Z111),"-",CONCATENATE(TEXT(Z111," 0.000000;-0.000000"),"  ")),"")</f>
        <v xml:space="preserve"> 0.000544  </v>
      </c>
      <c r="BC111" s="43" t="str">
        <f t="shared" ref="BC111" si="480">IF($AO111=1,IF(ISBLANK(AA111),"-",CONCATENATE(TEXT(AA111," 0.000000;-0.000000"),"  ")),"")</f>
        <v xml:space="preserve">-0.000729  </v>
      </c>
      <c r="BD111" s="43" t="str">
        <f t="shared" si="342"/>
        <v xml:space="preserve">_x000D_
                                                                                </v>
      </c>
      <c r="BE111" s="43" t="str">
        <f t="shared" si="188"/>
        <v xml:space="preserve">1.450   </v>
      </c>
      <c r="BF111" s="43" t="str">
        <f t="shared" si="189"/>
        <v xml:space="preserve">0.690   </v>
      </c>
      <c r="BG111" s="43" t="str">
        <f t="shared" si="190"/>
        <v xml:space="preserve">12.220   </v>
      </c>
      <c r="BH111" s="43" t="str">
        <f t="shared" si="191"/>
        <v xml:space="preserve">4.440   </v>
      </c>
      <c r="BI111" s="43" t="str">
        <f t="shared" si="192"/>
        <v xml:space="preserve">46.110   </v>
      </c>
      <c r="BJ111" s="43" t="str">
        <f t="shared" si="193"/>
        <v xml:space="preserve">23.890   </v>
      </c>
      <c r="BM111" s="43" t="str">
        <f t="shared" ref="BM111:BM121" si="481">Q111</f>
        <v>Tchws</v>
      </c>
      <c r="BN111" s="43" t="str">
        <f t="shared" ref="BN111:BN117" si="482">R111</f>
        <v>Toadb</v>
      </c>
      <c r="BO111" s="164">
        <f>(BO110-32)/1.8</f>
        <v>6.6666666666666661</v>
      </c>
      <c r="BP111" s="164">
        <f>(BP110-32)/1.8</f>
        <v>35</v>
      </c>
      <c r="BQ111" s="164">
        <f t="shared" ref="BQ111" si="483">(BQ110-32)/1.8</f>
        <v>12.222222222222221</v>
      </c>
      <c r="BR111" s="164">
        <f t="shared" ref="BR111" si="484">(BR110-32)/1.8</f>
        <v>4.4444444444444446</v>
      </c>
      <c r="BS111" s="164">
        <f t="shared" ref="BS111" si="485">(BS110-32)/1.8</f>
        <v>46.111111111111107</v>
      </c>
      <c r="BT111" s="164">
        <f t="shared" ref="BT111" si="486">(BT110-32)/1.8</f>
        <v>23.888888888888889</v>
      </c>
      <c r="BU111" s="147">
        <f t="shared" si="468"/>
        <v>1.000157</v>
      </c>
      <c r="BV111" s="147">
        <f t="shared" ref="BV111:BV115" si="487">$V111+$W111*BR111+$X111*BR111^2+$Y111*BS111+$Z111*BS111^2+$AA111*BR111*BS111</f>
        <v>1.4469609999999999</v>
      </c>
      <c r="BW111" s="147">
        <f t="shared" ref="BW111:BW115" si="488">$V111+$W111*BQ111+$X111*BQ111^2+$Y111*BT111+$Z111*BT111^2+$AA111*BQ111*BT111</f>
        <v>0.69371699999999992</v>
      </c>
      <c r="BX111" s="43" t="s">
        <v>729</v>
      </c>
    </row>
    <row r="112" spans="1:84" hidden="1" outlineLevel="1" x14ac:dyDescent="0.25">
      <c r="A112" s="58"/>
      <c r="B112" s="20"/>
      <c r="C112" s="20"/>
      <c r="D112" s="59"/>
      <c r="E112" s="60" t="s">
        <v>369</v>
      </c>
      <c r="F112" s="60" t="s">
        <v>411</v>
      </c>
      <c r="G112" s="60" t="s">
        <v>71</v>
      </c>
      <c r="H112" s="20" t="s">
        <v>373</v>
      </c>
      <c r="I112" s="20" t="s">
        <v>659</v>
      </c>
      <c r="J112" s="20" t="s">
        <v>273</v>
      </c>
      <c r="K112" s="20" t="s">
        <v>14</v>
      </c>
      <c r="L112" s="20"/>
      <c r="M112" s="20"/>
      <c r="N112" s="43" t="str">
        <f t="shared" si="334"/>
        <v>ChlrAirRecipEIRRatio_fTchwsToadbIP</v>
      </c>
      <c r="O112" s="20" t="s">
        <v>165</v>
      </c>
      <c r="P112" s="20" t="s">
        <v>288</v>
      </c>
      <c r="Q112" s="20" t="s">
        <v>139</v>
      </c>
      <c r="R112" s="20" t="s">
        <v>460</v>
      </c>
      <c r="S112" s="20"/>
      <c r="T112" s="20"/>
      <c r="U112" s="20"/>
      <c r="V112" s="61">
        <v>0.66534402999999998</v>
      </c>
      <c r="W112" s="61">
        <v>-1.383821E-2</v>
      </c>
      <c r="X112" s="61">
        <v>1.4736E-4</v>
      </c>
      <c r="Y112" s="61">
        <v>7.1280800000000002E-3</v>
      </c>
      <c r="Z112" s="61">
        <v>4.5710000000000001E-5</v>
      </c>
      <c r="AA112" s="61">
        <v>-1.0326E-4</v>
      </c>
      <c r="AB112" s="20"/>
      <c r="AC112" s="20"/>
      <c r="AD112" s="20"/>
      <c r="AE112" s="20"/>
      <c r="AF112" s="20"/>
      <c r="AG112" s="158">
        <f t="shared" si="397"/>
        <v>1.3</v>
      </c>
      <c r="AH112" s="158">
        <f t="shared" si="398"/>
        <v>0.72</v>
      </c>
      <c r="AI112" s="158">
        <f t="shared" si="394"/>
        <v>54</v>
      </c>
      <c r="AJ112" s="158">
        <f t="shared" si="418"/>
        <v>40</v>
      </c>
      <c r="AK112" s="158">
        <f t="shared" si="395"/>
        <v>115</v>
      </c>
      <c r="AL112" s="158">
        <f t="shared" si="396"/>
        <v>75</v>
      </c>
      <c r="AM112" s="60"/>
      <c r="AN112" s="20"/>
      <c r="AO112" s="43">
        <f t="shared" si="465"/>
        <v>0</v>
      </c>
      <c r="AP112" s="166" t="str">
        <f t="shared" si="466"/>
        <v/>
      </c>
      <c r="AQ112" s="166" t="str">
        <f t="shared" ref="AQ112:AQ121" si="489">IF(AO112=1,CONCATENATE(AT112,AU112,AV112,AW112,IF(AX112="-","",$AX$15&amp;AX112),IF(AY112="-","",$AY$15&amp;AY112),IF(AZ112="-","",$AZ$15&amp;AZ112),IF(BA112="-","",$BA$15&amp;BA112),IF(BB112="-","",$BB$15&amp;BB112),IF(BC112="-","",$BC$15&amp;BC112)),"")</f>
        <v/>
      </c>
      <c r="AR112" s="166" t="str">
        <f t="shared" si="467"/>
        <v/>
      </c>
      <c r="AS112" s="166" t="str">
        <f t="shared" si="419"/>
        <v/>
      </c>
      <c r="AT112" s="43" t="str">
        <f t="shared" si="344"/>
        <v/>
      </c>
      <c r="AU112" s="43" t="str">
        <f t="shared" si="343"/>
        <v xml:space="preserve">               </v>
      </c>
      <c r="AV112" s="62" t="str">
        <f t="shared" si="335"/>
        <v/>
      </c>
      <c r="AW112" s="43" t="str">
        <f t="shared" si="177"/>
        <v xml:space="preserve">                                                                 </v>
      </c>
      <c r="AX112" s="43" t="str">
        <f t="shared" si="121"/>
        <v/>
      </c>
      <c r="AY112" s="43" t="str">
        <f t="shared" si="122"/>
        <v/>
      </c>
      <c r="AZ112" s="43" t="str">
        <f t="shared" si="123"/>
        <v/>
      </c>
      <c r="BA112" s="43" t="str">
        <f t="shared" si="124"/>
        <v/>
      </c>
      <c r="BB112" s="43" t="str">
        <f t="shared" si="125"/>
        <v/>
      </c>
      <c r="BC112" s="43" t="str">
        <f t="shared" si="126"/>
        <v/>
      </c>
      <c r="BD112" s="43" t="str">
        <f t="shared" si="342"/>
        <v xml:space="preserve">_x000D_
                                                                                </v>
      </c>
      <c r="BE112" s="43" t="str">
        <f t="shared" si="188"/>
        <v/>
      </c>
      <c r="BF112" s="43" t="str">
        <f t="shared" si="189"/>
        <v/>
      </c>
      <c r="BG112" s="43" t="str">
        <f t="shared" si="190"/>
        <v/>
      </c>
      <c r="BH112" s="43" t="str">
        <f t="shared" si="191"/>
        <v/>
      </c>
      <c r="BI112" s="43" t="str">
        <f t="shared" si="192"/>
        <v/>
      </c>
      <c r="BJ112" s="43" t="str">
        <f t="shared" si="193"/>
        <v/>
      </c>
      <c r="BM112" s="43" t="str">
        <f t="shared" si="481"/>
        <v>Tchws</v>
      </c>
      <c r="BN112" s="43" t="str">
        <f t="shared" si="482"/>
        <v>Toadb</v>
      </c>
      <c r="BO112" s="43">
        <v>44</v>
      </c>
      <c r="BP112" s="43">
        <v>95</v>
      </c>
      <c r="BQ112" s="43">
        <v>54</v>
      </c>
      <c r="BR112" s="43">
        <v>40</v>
      </c>
      <c r="BS112" s="43">
        <v>115</v>
      </c>
      <c r="BT112" s="43">
        <v>75</v>
      </c>
      <c r="BU112" s="147">
        <f t="shared" si="468"/>
        <v>0.99982529999999992</v>
      </c>
      <c r="BV112" s="147">
        <f t="shared" si="487"/>
        <v>1.2968395799999999</v>
      </c>
      <c r="BW112" s="147">
        <f t="shared" si="488"/>
        <v>0.72130419999999995</v>
      </c>
      <c r="BX112" s="43" t="s">
        <v>729</v>
      </c>
    </row>
    <row r="113" spans="1:80" hidden="1" outlineLevel="1" x14ac:dyDescent="0.25">
      <c r="A113" s="58"/>
      <c r="B113" s="20"/>
      <c r="C113" s="20"/>
      <c r="D113" s="59"/>
      <c r="E113" s="60" t="s">
        <v>369</v>
      </c>
      <c r="F113" s="60" t="s">
        <v>411</v>
      </c>
      <c r="G113" s="60" t="s">
        <v>71</v>
      </c>
      <c r="H113" s="20" t="s">
        <v>373</v>
      </c>
      <c r="I113" s="20" t="s">
        <v>660</v>
      </c>
      <c r="J113" s="20" t="s">
        <v>144</v>
      </c>
      <c r="K113" s="20"/>
      <c r="L113" s="60" t="s">
        <v>202</v>
      </c>
      <c r="M113" s="20" t="s">
        <v>249</v>
      </c>
      <c r="N113" s="43" t="str">
        <f t="shared" si="334"/>
        <v>ChlrAirRecipEIRRatio_fTchwsToadbSI</v>
      </c>
      <c r="O113" s="20" t="s">
        <v>165</v>
      </c>
      <c r="P113" s="20" t="s">
        <v>288</v>
      </c>
      <c r="Q113" s="20" t="s">
        <v>139</v>
      </c>
      <c r="R113" s="20" t="s">
        <v>460</v>
      </c>
      <c r="S113" s="20"/>
      <c r="T113" s="20"/>
      <c r="U113" s="20"/>
      <c r="V113" s="61">
        <v>0.54278400000000004</v>
      </c>
      <c r="W113" s="61">
        <v>-1.39068E-2</v>
      </c>
      <c r="X113" s="61">
        <v>4.7627999999999999E-4</v>
      </c>
      <c r="Y113" s="61">
        <v>1.2196800000000001E-2</v>
      </c>
      <c r="Z113" s="61">
        <v>1.4904E-4</v>
      </c>
      <c r="AA113" s="61">
        <v>-3.3372000000000002E-4</v>
      </c>
      <c r="AB113" s="20"/>
      <c r="AC113" s="20"/>
      <c r="AD113" s="20"/>
      <c r="AE113" s="20"/>
      <c r="AF113" s="20"/>
      <c r="AG113" s="158">
        <f t="shared" si="397"/>
        <v>1.3</v>
      </c>
      <c r="AH113" s="158">
        <f t="shared" si="398"/>
        <v>0.72</v>
      </c>
      <c r="AI113" s="158">
        <f t="shared" si="394"/>
        <v>12.22</v>
      </c>
      <c r="AJ113" s="158">
        <f t="shared" si="418"/>
        <v>4.4400000000000004</v>
      </c>
      <c r="AK113" s="158">
        <f t="shared" si="395"/>
        <v>46.11</v>
      </c>
      <c r="AL113" s="158">
        <f t="shared" si="396"/>
        <v>23.89</v>
      </c>
      <c r="AM113" s="60"/>
      <c r="AN113" s="20"/>
      <c r="AO113" s="43">
        <f t="shared" si="465"/>
        <v>1</v>
      </c>
      <c r="AP113" s="166" t="str">
        <f t="shared" ref="AP113" si="490">IF(AO113=1,CONCATENATE(AQ113,AR113,AS113),"")</f>
        <v>CrvDblQuad     "ChlrAirRecipEIRRatio_fTchwsToadbSI"                             Coef1 =  0.542784  Coef2 = -0.013907  Coef3 =  0.000476  Coef4 =  0.012197  Coef5 =  0.000149  Coef6 = -0.000334  _x000D_
                                                                                MaxOut = 1.300   MinOut = 0.720   MaxVar1 = 12.220   MinVar1 = 4.440   MaxVar2 = 46.110   MinVar2 = 23.890   _x000D_
..</v>
      </c>
      <c r="AQ113" s="166" t="str">
        <f t="shared" ref="AQ113" si="491">IF(AO113=1,CONCATENATE(AT113,AU113,AV113,AW113,IF(AX113="-","",$AX$15&amp;AX113),IF(AY113="-","",$AY$15&amp;AY113),IF(AZ113="-","",$AZ$15&amp;AZ113),IF(BA113="-","",$BA$15&amp;BA113),IF(BB113="-","",$BB$15&amp;BB113),IF(BC113="-","",$BC$15&amp;BC113)),"")</f>
        <v xml:space="preserve">CrvDblQuad     "ChlrAirRecipEIRRatio_fTchwsToadbSI"                             Coef1 =  0.542784  Coef2 = -0.013907  Coef3 =  0.000476  Coef4 =  0.012197  Coef5 =  0.000149  Coef6 = -0.000334  </v>
      </c>
      <c r="AR113" s="166" t="str">
        <f t="shared" ref="AR113" si="492">IF(AO113=1,CONCATENATE(BD113,IF(BE113="-","",$BE$15&amp;BE113),IF(BF113="-","",$BF$15&amp;BF113),IF(BG113="-","",$BG$15&amp;BG113),IF(BH113="-","",$BH$15&amp;BH113),IF(BI113="-","",$BI$15&amp;BI113),IF(BJ113="-","",$BJ$15&amp;BJ113)),"")</f>
        <v xml:space="preserve">_x000D_
                                                                                MaxOut = 1.300   MinOut = 0.720   MaxVar1 = 12.220   MinVar1 = 4.440   MaxVar2 = 46.110   MinVar2 = 23.890   </v>
      </c>
      <c r="AS113" s="166" t="str">
        <f t="shared" ref="AS113" si="493">IF(AO113=1,CHAR(13)&amp;CHAR(10)&amp;"..","")</f>
        <v>_x000D_
..</v>
      </c>
      <c r="AT113" s="43" t="str">
        <f t="shared" ref="AT113" si="494">IF(AO113=1,VLOOKUP(O113,$AT$2:$AV$13,2,0),"")</f>
        <v>CrvDblQuad</v>
      </c>
      <c r="AU113" s="43" t="str">
        <f t="shared" si="343"/>
        <v xml:space="preserve">     </v>
      </c>
      <c r="AV113" s="62" t="str">
        <f t="shared" si="335"/>
        <v>"ChlrAirRecipEIRRatio_fTchwsToadbSI"</v>
      </c>
      <c r="AW113" s="43" t="str">
        <f t="shared" ref="AW113" si="495">REPT(" ",$AW$14-LEN(AV113))</f>
        <v xml:space="preserve">                             </v>
      </c>
      <c r="AX113" s="43" t="str">
        <f t="shared" ref="AX113" si="496">IF($AO113=1,IF(ISBLANK(V113),"-",CONCATENATE(TEXT(V113," 0.000000;-0.000000"),"  ")),"")</f>
        <v xml:space="preserve"> 0.542784  </v>
      </c>
      <c r="AY113" s="43" t="str">
        <f t="shared" ref="AY113" si="497">IF($AO113=1,IF(ISBLANK(W113),"-",CONCATENATE(TEXT(W113," 0.000000;-0.000000"),"  ")),"")</f>
        <v xml:space="preserve">-0.013907  </v>
      </c>
      <c r="AZ113" s="43" t="str">
        <f t="shared" ref="AZ113" si="498">IF($AO113=1,IF(ISBLANK(X113),"-",CONCATENATE(TEXT(X113," 0.000000;-0.000000"),"  ")),"")</f>
        <v xml:space="preserve"> 0.000476  </v>
      </c>
      <c r="BA113" s="43" t="str">
        <f t="shared" ref="BA113" si="499">IF($AO113=1,IF(ISBLANK(Y113),"-",CONCATENATE(TEXT(Y113," 0.000000;-0.000000"),"  ")),"")</f>
        <v xml:space="preserve"> 0.012197  </v>
      </c>
      <c r="BB113" s="43" t="str">
        <f t="shared" ref="BB113" si="500">IF($AO113=1,IF(ISBLANK(Z113),"-",CONCATENATE(TEXT(Z113," 0.000000;-0.000000"),"  ")),"")</f>
        <v xml:space="preserve"> 0.000149  </v>
      </c>
      <c r="BC113" s="43" t="str">
        <f t="shared" ref="BC113" si="501">IF($AO113=1,IF(ISBLANK(AA113),"-",CONCATENATE(TEXT(AA113," 0.000000;-0.000000"),"  ")),"")</f>
        <v xml:space="preserve">-0.000334  </v>
      </c>
      <c r="BD113" s="43" t="str">
        <f t="shared" si="342"/>
        <v xml:space="preserve">_x000D_
                                                                                </v>
      </c>
      <c r="BE113" s="43" t="str">
        <f t="shared" si="188"/>
        <v xml:space="preserve">1.300   </v>
      </c>
      <c r="BF113" s="43" t="str">
        <f t="shared" si="189"/>
        <v xml:space="preserve">0.720   </v>
      </c>
      <c r="BG113" s="43" t="str">
        <f t="shared" si="190"/>
        <v xml:space="preserve">12.220   </v>
      </c>
      <c r="BH113" s="43" t="str">
        <f t="shared" si="191"/>
        <v xml:space="preserve">4.440   </v>
      </c>
      <c r="BI113" s="43" t="str">
        <f t="shared" si="192"/>
        <v xml:space="preserve">46.110   </v>
      </c>
      <c r="BJ113" s="43" t="str">
        <f t="shared" si="193"/>
        <v xml:space="preserve">23.890   </v>
      </c>
      <c r="BM113" s="43" t="str">
        <f t="shared" si="481"/>
        <v>Tchws</v>
      </c>
      <c r="BN113" s="43" t="str">
        <f t="shared" si="482"/>
        <v>Toadb</v>
      </c>
      <c r="BO113" s="164">
        <f>(BO112-32)/1.8</f>
        <v>6.6666666666666661</v>
      </c>
      <c r="BP113" s="164">
        <f>(BP112-32)/1.8</f>
        <v>35</v>
      </c>
      <c r="BQ113" s="164">
        <f t="shared" ref="BQ113" si="502">(BQ112-32)/1.8</f>
        <v>12.222222222222221</v>
      </c>
      <c r="BR113" s="164">
        <f t="shared" ref="BR113" si="503">(BR112-32)/1.8</f>
        <v>4.4444444444444446</v>
      </c>
      <c r="BS113" s="164">
        <f t="shared" ref="BS113" si="504">(BS112-32)/1.8</f>
        <v>46.111111111111107</v>
      </c>
      <c r="BT113" s="164">
        <f t="shared" ref="BT113" si="505">(BT112-32)/1.8</f>
        <v>23.888888888888889</v>
      </c>
      <c r="BU113" s="147">
        <f t="shared" si="468"/>
        <v>1.002834</v>
      </c>
      <c r="BV113" s="147">
        <f t="shared" si="487"/>
        <v>1.3012940000000002</v>
      </c>
      <c r="BW113" s="147">
        <f t="shared" si="488"/>
        <v>0.72294399999999992</v>
      </c>
      <c r="BX113" s="43" t="s">
        <v>729</v>
      </c>
    </row>
    <row r="114" spans="1:80" hidden="1" outlineLevel="1" x14ac:dyDescent="0.25">
      <c r="A114" s="58"/>
      <c r="B114" s="20"/>
      <c r="C114" s="20"/>
      <c r="D114" s="59"/>
      <c r="E114" s="60" t="s">
        <v>369</v>
      </c>
      <c r="F114" s="60" t="s">
        <v>411</v>
      </c>
      <c r="G114" s="60" t="s">
        <v>72</v>
      </c>
      <c r="H114" s="20" t="s">
        <v>374</v>
      </c>
      <c r="I114" s="20" t="s">
        <v>659</v>
      </c>
      <c r="J114" s="20" t="s">
        <v>273</v>
      </c>
      <c r="K114" s="20" t="s">
        <v>14</v>
      </c>
      <c r="L114" s="20"/>
      <c r="M114" s="20"/>
      <c r="N114" s="43" t="str">
        <f t="shared" si="334"/>
        <v>ChlrAirScrewEIRRatio_fTchwsToadbIP</v>
      </c>
      <c r="O114" s="20" t="s">
        <v>165</v>
      </c>
      <c r="P114" s="20" t="s">
        <v>288</v>
      </c>
      <c r="Q114" s="20" t="s">
        <v>139</v>
      </c>
      <c r="R114" s="20" t="s">
        <v>460</v>
      </c>
      <c r="S114" s="20"/>
      <c r="T114" s="20"/>
      <c r="U114" s="20"/>
      <c r="V114" s="61">
        <v>0.13545636</v>
      </c>
      <c r="W114" s="61">
        <v>2.2929459999999999E-2</v>
      </c>
      <c r="X114" s="61">
        <v>-1.6107E-4</v>
      </c>
      <c r="Y114" s="61">
        <v>-2.35396E-3</v>
      </c>
      <c r="Z114" s="61">
        <v>1.2991000000000001E-4</v>
      </c>
      <c r="AA114" s="61">
        <v>-1.8684999999999999E-4</v>
      </c>
      <c r="AB114" s="20"/>
      <c r="AC114" s="20"/>
      <c r="AD114" s="20"/>
      <c r="AE114" s="20"/>
      <c r="AF114" s="20"/>
      <c r="AG114" s="158">
        <f t="shared" si="397"/>
        <v>1.38</v>
      </c>
      <c r="AH114" s="158">
        <f t="shared" si="398"/>
        <v>0.7</v>
      </c>
      <c r="AI114" s="158">
        <f t="shared" si="394"/>
        <v>54</v>
      </c>
      <c r="AJ114" s="158">
        <f t="shared" si="418"/>
        <v>40</v>
      </c>
      <c r="AK114" s="158">
        <f t="shared" si="395"/>
        <v>115</v>
      </c>
      <c r="AL114" s="158">
        <f t="shared" si="396"/>
        <v>75</v>
      </c>
      <c r="AM114" s="60"/>
      <c r="AN114" s="20"/>
      <c r="AO114" s="43">
        <f t="shared" si="465"/>
        <v>0</v>
      </c>
      <c r="AP114" s="166" t="str">
        <f t="shared" si="466"/>
        <v/>
      </c>
      <c r="AQ114" s="166" t="str">
        <f t="shared" si="489"/>
        <v/>
      </c>
      <c r="AR114" s="166" t="str">
        <f t="shared" si="467"/>
        <v/>
      </c>
      <c r="AS114" s="166" t="str">
        <f t="shared" si="419"/>
        <v/>
      </c>
      <c r="AT114" s="43" t="str">
        <f t="shared" si="344"/>
        <v/>
      </c>
      <c r="AU114" s="43" t="str">
        <f t="shared" si="343"/>
        <v xml:space="preserve">               </v>
      </c>
      <c r="AV114" s="62" t="str">
        <f t="shared" si="335"/>
        <v/>
      </c>
      <c r="AW114" s="43" t="str">
        <f t="shared" si="177"/>
        <v xml:space="preserve">                                                                 </v>
      </c>
      <c r="AX114" s="43" t="str">
        <f t="shared" si="121"/>
        <v/>
      </c>
      <c r="AY114" s="43" t="str">
        <f t="shared" si="122"/>
        <v/>
      </c>
      <c r="AZ114" s="43" t="str">
        <f t="shared" si="123"/>
        <v/>
      </c>
      <c r="BA114" s="43" t="str">
        <f t="shared" si="124"/>
        <v/>
      </c>
      <c r="BB114" s="43" t="str">
        <f t="shared" si="125"/>
        <v/>
      </c>
      <c r="BC114" s="43" t="str">
        <f t="shared" si="126"/>
        <v/>
      </c>
      <c r="BD114" s="43" t="str">
        <f t="shared" si="342"/>
        <v xml:space="preserve">_x000D_
                                                                                </v>
      </c>
      <c r="BE114" s="43" t="str">
        <f t="shared" si="188"/>
        <v/>
      </c>
      <c r="BF114" s="43" t="str">
        <f t="shared" si="189"/>
        <v/>
      </c>
      <c r="BG114" s="43" t="str">
        <f t="shared" si="190"/>
        <v/>
      </c>
      <c r="BH114" s="43" t="str">
        <f t="shared" si="191"/>
        <v/>
      </c>
      <c r="BI114" s="43" t="str">
        <f t="shared" si="192"/>
        <v/>
      </c>
      <c r="BJ114" s="43" t="str">
        <f t="shared" si="193"/>
        <v/>
      </c>
      <c r="BM114" s="43" t="str">
        <f t="shared" si="481"/>
        <v>Tchws</v>
      </c>
      <c r="BN114" s="43" t="str">
        <f t="shared" si="482"/>
        <v>Toadb</v>
      </c>
      <c r="BO114" s="43">
        <v>44</v>
      </c>
      <c r="BP114" s="43">
        <v>95</v>
      </c>
      <c r="BQ114" s="43">
        <v>54</v>
      </c>
      <c r="BR114" s="43">
        <v>40</v>
      </c>
      <c r="BS114" s="43">
        <v>115</v>
      </c>
      <c r="BT114" s="43">
        <v>75</v>
      </c>
      <c r="BU114" s="147">
        <f t="shared" si="468"/>
        <v>1.0002996300000002</v>
      </c>
      <c r="BV114" s="147">
        <f t="shared" si="487"/>
        <v>1.3827671099999999</v>
      </c>
      <c r="BW114" s="147">
        <f t="shared" si="488"/>
        <v>0.70142133000000007</v>
      </c>
      <c r="BX114" s="43" t="s">
        <v>729</v>
      </c>
    </row>
    <row r="115" spans="1:80" hidden="1" outlineLevel="1" x14ac:dyDescent="0.25">
      <c r="A115" s="58"/>
      <c r="B115" s="20"/>
      <c r="C115" s="20"/>
      <c r="D115" s="59"/>
      <c r="E115" s="60" t="s">
        <v>369</v>
      </c>
      <c r="F115" s="60" t="s">
        <v>411</v>
      </c>
      <c r="G115" s="60" t="s">
        <v>72</v>
      </c>
      <c r="H115" s="20" t="s">
        <v>374</v>
      </c>
      <c r="I115" s="20" t="s">
        <v>660</v>
      </c>
      <c r="J115" s="20" t="s">
        <v>144</v>
      </c>
      <c r="K115" s="20"/>
      <c r="L115" s="60" t="s">
        <v>202</v>
      </c>
      <c r="M115" s="20" t="s">
        <v>249</v>
      </c>
      <c r="N115" s="43" t="str">
        <f t="shared" si="334"/>
        <v>ChlrAirScrewEIRRatio_fTchwsToadbSI</v>
      </c>
      <c r="O115" s="20" t="s">
        <v>165</v>
      </c>
      <c r="P115" s="20" t="s">
        <v>288</v>
      </c>
      <c r="Q115" s="20" t="s">
        <v>139</v>
      </c>
      <c r="R115" s="20" t="s">
        <v>460</v>
      </c>
      <c r="S115" s="20"/>
      <c r="T115" s="20"/>
      <c r="U115" s="20"/>
      <c r="V115" s="61">
        <v>0.57062400000000002</v>
      </c>
      <c r="W115" s="61">
        <v>1.1953800000000001E-2</v>
      </c>
      <c r="X115" s="61">
        <v>-5.2163999999999997E-4</v>
      </c>
      <c r="Y115" s="61">
        <v>-3.2400000000000001E-5</v>
      </c>
      <c r="Z115" s="61">
        <v>4.2119999999999999E-4</v>
      </c>
      <c r="AA115" s="61">
        <v>-6.0588000000000005E-4</v>
      </c>
      <c r="AB115" s="20"/>
      <c r="AC115" s="20"/>
      <c r="AD115" s="20"/>
      <c r="AE115" s="20"/>
      <c r="AF115" s="20"/>
      <c r="AG115" s="158">
        <f t="shared" si="397"/>
        <v>1.38</v>
      </c>
      <c r="AH115" s="158">
        <f t="shared" si="398"/>
        <v>0.7</v>
      </c>
      <c r="AI115" s="158">
        <f t="shared" si="394"/>
        <v>12.22</v>
      </c>
      <c r="AJ115" s="158">
        <f t="shared" si="418"/>
        <v>4.4400000000000004</v>
      </c>
      <c r="AK115" s="158">
        <f t="shared" si="395"/>
        <v>46.11</v>
      </c>
      <c r="AL115" s="158">
        <f t="shared" si="396"/>
        <v>23.89</v>
      </c>
      <c r="AM115" s="60"/>
      <c r="AN115" s="20"/>
      <c r="AO115" s="43">
        <f t="shared" si="465"/>
        <v>1</v>
      </c>
      <c r="AP115" s="166" t="str">
        <f t="shared" ref="AP115" si="506">IF(AO115=1,CONCATENATE(AQ115,AR115,AS115),"")</f>
        <v>CrvDblQuad     "ChlrAirScrewEIRRatio_fTchwsToadbSI"                             Coef1 =  0.570624  Coef2 =  0.011954  Coef3 = -0.000522  Coef4 = -0.000032  Coef5 =  0.000421  Coef6 = -0.000606  _x000D_
                                                                                MaxOut = 1.380   MinOut = 0.700   MaxVar1 = 12.220   MinVar1 = 4.440   MaxVar2 = 46.110   MinVar2 = 23.890   _x000D_
..</v>
      </c>
      <c r="AQ115" s="166" t="str">
        <f t="shared" ref="AQ115" si="507">IF(AO115=1,CONCATENATE(AT115,AU115,AV115,AW115,IF(AX115="-","",$AX$15&amp;AX115),IF(AY115="-","",$AY$15&amp;AY115),IF(AZ115="-","",$AZ$15&amp;AZ115),IF(BA115="-","",$BA$15&amp;BA115),IF(BB115="-","",$BB$15&amp;BB115),IF(BC115="-","",$BC$15&amp;BC115)),"")</f>
        <v xml:space="preserve">CrvDblQuad     "ChlrAirScrewEIRRatio_fTchwsToadbSI"                             Coef1 =  0.570624  Coef2 =  0.011954  Coef3 = -0.000522  Coef4 = -0.000032  Coef5 =  0.000421  Coef6 = -0.000606  </v>
      </c>
      <c r="AR115" s="166" t="str">
        <f t="shared" ref="AR115" si="508">IF(AO115=1,CONCATENATE(BD115,IF(BE115="-","",$BE$15&amp;BE115),IF(BF115="-","",$BF$15&amp;BF115),IF(BG115="-","",$BG$15&amp;BG115),IF(BH115="-","",$BH$15&amp;BH115),IF(BI115="-","",$BI$15&amp;BI115),IF(BJ115="-","",$BJ$15&amp;BJ115)),"")</f>
        <v xml:space="preserve">_x000D_
                                                                                MaxOut = 1.380   MinOut = 0.700   MaxVar1 = 12.220   MinVar1 = 4.440   MaxVar2 = 46.110   MinVar2 = 23.890   </v>
      </c>
      <c r="AS115" s="166" t="str">
        <f t="shared" ref="AS115" si="509">IF(AO115=1,CHAR(13)&amp;CHAR(10)&amp;"..","")</f>
        <v>_x000D_
..</v>
      </c>
      <c r="AT115" s="43" t="str">
        <f t="shared" ref="AT115" si="510">IF(AO115=1,VLOOKUP(O115,$AT$2:$AV$13,2,0),"")</f>
        <v>CrvDblQuad</v>
      </c>
      <c r="AU115" s="43" t="str">
        <f t="shared" si="343"/>
        <v xml:space="preserve">     </v>
      </c>
      <c r="AV115" s="62" t="str">
        <f t="shared" si="335"/>
        <v>"ChlrAirScrewEIRRatio_fTchwsToadbSI"</v>
      </c>
      <c r="AW115" s="43" t="str">
        <f t="shared" ref="AW115" si="511">REPT(" ",$AW$14-LEN(AV115))</f>
        <v xml:space="preserve">                             </v>
      </c>
      <c r="AX115" s="43" t="str">
        <f t="shared" ref="AX115" si="512">IF($AO115=1,IF(ISBLANK(V115),"-",CONCATENATE(TEXT(V115," 0.000000;-0.000000"),"  ")),"")</f>
        <v xml:space="preserve"> 0.570624  </v>
      </c>
      <c r="AY115" s="43" t="str">
        <f t="shared" ref="AY115" si="513">IF($AO115=1,IF(ISBLANK(W115),"-",CONCATENATE(TEXT(W115," 0.000000;-0.000000"),"  ")),"")</f>
        <v xml:space="preserve"> 0.011954  </v>
      </c>
      <c r="AZ115" s="43" t="str">
        <f t="shared" ref="AZ115" si="514">IF($AO115=1,IF(ISBLANK(X115),"-",CONCATENATE(TEXT(X115," 0.000000;-0.000000"),"  ")),"")</f>
        <v xml:space="preserve">-0.000522  </v>
      </c>
      <c r="BA115" s="43" t="str">
        <f t="shared" ref="BA115" si="515">IF($AO115=1,IF(ISBLANK(Y115),"-",CONCATENATE(TEXT(Y115," 0.000000;-0.000000"),"  ")),"")</f>
        <v xml:space="preserve">-0.000032  </v>
      </c>
      <c r="BB115" s="43" t="str">
        <f t="shared" ref="BB115" si="516">IF($AO115=1,IF(ISBLANK(Z115),"-",CONCATENATE(TEXT(Z115," 0.000000;-0.000000"),"  ")),"")</f>
        <v xml:space="preserve"> 0.000421  </v>
      </c>
      <c r="BC115" s="43" t="str">
        <f t="shared" ref="BC115" si="517">IF($AO115=1,IF(ISBLANK(AA115),"-",CONCATENATE(TEXT(AA115," 0.000000;-0.000000"),"  ")),"")</f>
        <v xml:space="preserve">-0.000606  </v>
      </c>
      <c r="BD115" s="43" t="str">
        <f t="shared" si="342"/>
        <v xml:space="preserve">_x000D_
                                                                                </v>
      </c>
      <c r="BE115" s="43" t="str">
        <f t="shared" si="188"/>
        <v xml:space="preserve">1.380   </v>
      </c>
      <c r="BF115" s="43" t="str">
        <f t="shared" si="189"/>
        <v xml:space="preserve">0.700   </v>
      </c>
      <c r="BG115" s="43" t="str">
        <f t="shared" si="190"/>
        <v xml:space="preserve">12.220   </v>
      </c>
      <c r="BH115" s="43" t="str">
        <f t="shared" si="191"/>
        <v xml:space="preserve">4.440   </v>
      </c>
      <c r="BI115" s="43" t="str">
        <f t="shared" si="192"/>
        <v xml:space="preserve">46.110   </v>
      </c>
      <c r="BJ115" s="43" t="str">
        <f t="shared" si="193"/>
        <v xml:space="preserve">23.890   </v>
      </c>
      <c r="BM115" s="43" t="str">
        <f t="shared" si="481"/>
        <v>Tchws</v>
      </c>
      <c r="BN115" s="43" t="str">
        <f t="shared" si="482"/>
        <v>Toadb</v>
      </c>
      <c r="BO115" s="164">
        <f>(BO114-32)/1.8</f>
        <v>6.6666666666666661</v>
      </c>
      <c r="BP115" s="164">
        <f>(BP114-32)/1.8</f>
        <v>35</v>
      </c>
      <c r="BQ115" s="164">
        <f t="shared" ref="BQ115" si="518">(BQ114-32)/1.8</f>
        <v>12.222222222222221</v>
      </c>
      <c r="BR115" s="164">
        <f t="shared" ref="BR115" si="519">(BR114-32)/1.8</f>
        <v>4.4444444444444446</v>
      </c>
      <c r="BS115" s="164">
        <f t="shared" ref="BS115" si="520">(BS114-32)/1.8</f>
        <v>46.111111111111107</v>
      </c>
      <c r="BT115" s="164">
        <f t="shared" ref="BT115" si="521">(BT114-32)/1.8</f>
        <v>23.888888888888889</v>
      </c>
      <c r="BU115" s="147">
        <f t="shared" si="468"/>
        <v>1.000596</v>
      </c>
      <c r="BV115" s="147">
        <f t="shared" si="487"/>
        <v>1.3833559999999998</v>
      </c>
      <c r="BW115" s="147">
        <f t="shared" si="488"/>
        <v>0.7014959999999999</v>
      </c>
      <c r="BX115" s="43" t="s">
        <v>729</v>
      </c>
    </row>
    <row r="116" spans="1:80" hidden="1" outlineLevel="1" x14ac:dyDescent="0.25">
      <c r="A116" s="58"/>
      <c r="B116" s="20"/>
      <c r="C116" s="20"/>
      <c r="D116" s="59"/>
      <c r="E116" s="60" t="s">
        <v>369</v>
      </c>
      <c r="F116" s="60" t="s">
        <v>411</v>
      </c>
      <c r="G116" s="60" t="s">
        <v>73</v>
      </c>
      <c r="H116" s="20" t="s">
        <v>375</v>
      </c>
      <c r="I116" s="20" t="s">
        <v>659</v>
      </c>
      <c r="J116" s="20" t="s">
        <v>273</v>
      </c>
      <c r="K116" s="20" t="s">
        <v>14</v>
      </c>
      <c r="L116" s="20"/>
      <c r="M116" s="20"/>
      <c r="N116" s="43" t="str">
        <f t="shared" si="334"/>
        <v>ChlrAirCentEIRRatio_fTchwsToadbIP</v>
      </c>
      <c r="O116" s="20" t="s">
        <v>165</v>
      </c>
      <c r="P116" s="20" t="s">
        <v>288</v>
      </c>
      <c r="Q116" s="20" t="s">
        <v>139</v>
      </c>
      <c r="R116" s="20" t="s">
        <v>460</v>
      </c>
      <c r="S116" s="20"/>
      <c r="T116" s="20"/>
      <c r="U116" s="20"/>
      <c r="V116" s="61" t="s">
        <v>64</v>
      </c>
      <c r="W116" s="61" t="s">
        <v>64</v>
      </c>
      <c r="X116" s="61" t="s">
        <v>64</v>
      </c>
      <c r="Y116" s="61" t="s">
        <v>64</v>
      </c>
      <c r="Z116" s="61" t="s">
        <v>64</v>
      </c>
      <c r="AA116" s="61" t="s">
        <v>64</v>
      </c>
      <c r="AB116" s="20"/>
      <c r="AC116" s="20"/>
      <c r="AD116" s="20"/>
      <c r="AE116" s="20"/>
      <c r="AF116" s="20"/>
      <c r="AG116" s="158"/>
      <c r="AH116" s="158"/>
      <c r="AI116" s="158" t="str">
        <f t="shared" si="394"/>
        <v/>
      </c>
      <c r="AJ116" s="158" t="str">
        <f t="shared" si="418"/>
        <v/>
      </c>
      <c r="AK116" s="158" t="str">
        <f t="shared" si="395"/>
        <v/>
      </c>
      <c r="AL116" s="158" t="str">
        <f t="shared" si="396"/>
        <v/>
      </c>
      <c r="AM116" s="60"/>
      <c r="AN116" s="20"/>
      <c r="AO116" s="43">
        <f t="shared" si="465"/>
        <v>0</v>
      </c>
      <c r="AP116" s="166" t="str">
        <f t="shared" si="466"/>
        <v/>
      </c>
      <c r="AQ116" s="166" t="str">
        <f t="shared" si="489"/>
        <v/>
      </c>
      <c r="AR116" s="166" t="str">
        <f t="shared" si="467"/>
        <v/>
      </c>
      <c r="AS116" s="166" t="str">
        <f t="shared" si="419"/>
        <v/>
      </c>
      <c r="AT116" s="43" t="str">
        <f t="shared" si="344"/>
        <v/>
      </c>
      <c r="AU116" s="43" t="str">
        <f t="shared" si="343"/>
        <v xml:space="preserve">               </v>
      </c>
      <c r="AV116" s="62" t="str">
        <f t="shared" si="335"/>
        <v/>
      </c>
      <c r="AW116" s="43" t="str">
        <f t="shared" si="177"/>
        <v xml:space="preserve">                                                                 </v>
      </c>
      <c r="AX116" s="43" t="str">
        <f t="shared" ref="AX116:AX192" si="522">IF($AO116=1,IF(ISBLANK(V116),"-",CONCATENATE(TEXT(V116," 0.000000;-0.000000"),"  ")),"")</f>
        <v/>
      </c>
      <c r="AY116" s="43" t="str">
        <f t="shared" ref="AY116:AY192" si="523">IF($AO116=1,IF(ISBLANK(W116),"-",CONCATENATE(TEXT(W116," 0.000000;-0.000000"),"  ")),"")</f>
        <v/>
      </c>
      <c r="AZ116" s="43" t="str">
        <f t="shared" ref="AZ116:AZ192" si="524">IF($AO116=1,IF(ISBLANK(X116),"-",CONCATENATE(TEXT(X116," 0.000000;-0.000000"),"  ")),"")</f>
        <v/>
      </c>
      <c r="BA116" s="43" t="str">
        <f t="shared" ref="BA116:BA192" si="525">IF($AO116=1,IF(ISBLANK(Y116),"-",CONCATENATE(TEXT(Y116," 0.000000;-0.000000"),"  ")),"")</f>
        <v/>
      </c>
      <c r="BB116" s="43" t="str">
        <f t="shared" ref="BB116:BB192" si="526">IF($AO116=1,IF(ISBLANK(Z116),"-",CONCATENATE(TEXT(Z116," 0.000000;-0.000000"),"  ")),"")</f>
        <v/>
      </c>
      <c r="BC116" s="43" t="str">
        <f t="shared" ref="BC116:BC192" si="527">IF($AO116=1,IF(ISBLANK(AA116),"-",CONCATENATE(TEXT(AA116," 0.000000;-0.000000"),"  ")),"")</f>
        <v/>
      </c>
      <c r="BD116" s="43" t="str">
        <f t="shared" si="342"/>
        <v xml:space="preserve"> </v>
      </c>
      <c r="BE116" s="43" t="str">
        <f t="shared" si="188"/>
        <v/>
      </c>
      <c r="BF116" s="43" t="str">
        <f t="shared" si="189"/>
        <v/>
      </c>
      <c r="BG116" s="43" t="str">
        <f t="shared" si="190"/>
        <v/>
      </c>
      <c r="BH116" s="43" t="str">
        <f t="shared" si="191"/>
        <v/>
      </c>
      <c r="BI116" s="43" t="str">
        <f t="shared" si="192"/>
        <v/>
      </c>
      <c r="BJ116" s="43" t="str">
        <f t="shared" si="193"/>
        <v/>
      </c>
      <c r="BM116" s="43" t="str">
        <f t="shared" si="481"/>
        <v>Tchws</v>
      </c>
      <c r="BN116" s="43" t="str">
        <f t="shared" si="482"/>
        <v>Toadb</v>
      </c>
      <c r="BU116" s="147"/>
      <c r="BV116" s="147"/>
      <c r="BW116" s="147"/>
    </row>
    <row r="117" spans="1:80" hidden="1" outlineLevel="1" x14ac:dyDescent="0.25">
      <c r="A117" s="58"/>
      <c r="B117" s="20"/>
      <c r="C117" s="20"/>
      <c r="D117" s="59"/>
      <c r="E117" s="60" t="s">
        <v>369</v>
      </c>
      <c r="F117" s="60" t="s">
        <v>411</v>
      </c>
      <c r="G117" s="60" t="s">
        <v>73</v>
      </c>
      <c r="H117" s="20" t="s">
        <v>375</v>
      </c>
      <c r="I117" s="20" t="s">
        <v>660</v>
      </c>
      <c r="J117" s="20" t="s">
        <v>144</v>
      </c>
      <c r="K117" s="20"/>
      <c r="L117" s="60" t="s">
        <v>202</v>
      </c>
      <c r="M117" s="20" t="s">
        <v>249</v>
      </c>
      <c r="N117" s="43" t="str">
        <f t="shared" si="334"/>
        <v>ChlrAirCentEIRRatio_fTchwsToadbSI</v>
      </c>
      <c r="O117" s="20" t="s">
        <v>165</v>
      </c>
      <c r="P117" s="20" t="s">
        <v>288</v>
      </c>
      <c r="Q117" s="20" t="s">
        <v>139</v>
      </c>
      <c r="R117" s="20" t="s">
        <v>460</v>
      </c>
      <c r="S117" s="20"/>
      <c r="T117" s="20"/>
      <c r="U117" s="20"/>
      <c r="V117" s="61" t="s">
        <v>64</v>
      </c>
      <c r="W117" s="61" t="s">
        <v>64</v>
      </c>
      <c r="X117" s="61" t="s">
        <v>64</v>
      </c>
      <c r="Y117" s="61" t="s">
        <v>64</v>
      </c>
      <c r="Z117" s="61" t="s">
        <v>64</v>
      </c>
      <c r="AA117" s="61" t="s">
        <v>64</v>
      </c>
      <c r="AB117" s="20"/>
      <c r="AC117" s="20"/>
      <c r="AD117" s="20"/>
      <c r="AE117" s="20"/>
      <c r="AF117" s="20"/>
      <c r="AG117" s="158"/>
      <c r="AH117" s="158"/>
      <c r="AI117" s="158" t="str">
        <f t="shared" si="394"/>
        <v/>
      </c>
      <c r="AJ117" s="158" t="str">
        <f t="shared" si="418"/>
        <v/>
      </c>
      <c r="AK117" s="158" t="str">
        <f t="shared" si="395"/>
        <v/>
      </c>
      <c r="AL117" s="158" t="str">
        <f t="shared" si="396"/>
        <v/>
      </c>
      <c r="AM117" s="60"/>
      <c r="AN117" s="20"/>
      <c r="AO117" s="43">
        <v>0</v>
      </c>
      <c r="AP117" s="166" t="str">
        <f t="shared" ref="AP117" si="528">IF(AO117=1,CONCATENATE(AQ117,AR117,AS117),"")</f>
        <v/>
      </c>
      <c r="AQ117" s="166" t="str">
        <f t="shared" ref="AQ117" si="529">IF(AO117=1,CONCATENATE(AT117,AU117,AV117,AW117,IF(AX117="-","",$AX$15&amp;AX117),IF(AY117="-","",$AY$15&amp;AY117),IF(AZ117="-","",$AZ$15&amp;AZ117),IF(BA117="-","",$BA$15&amp;BA117),IF(BB117="-","",$BB$15&amp;BB117),IF(BC117="-","",$BC$15&amp;BC117)),"")</f>
        <v/>
      </c>
      <c r="AR117" s="166" t="str">
        <f t="shared" ref="AR117" si="530">IF(AO117=1,CONCATENATE(BD117,IF(BE117="-","",$BE$15&amp;BE117),IF(BF117="-","",$BF$15&amp;BF117),IF(BG117="-","",$BG$15&amp;BG117),IF(BH117="-","",$BH$15&amp;BH117),IF(BI117="-","",$BI$15&amp;BI117),IF(BJ117="-","",$BJ$15&amp;BJ117)),"")</f>
        <v/>
      </c>
      <c r="AS117" s="166" t="str">
        <f t="shared" ref="AS117" si="531">IF(AO117=1,CHAR(13)&amp;CHAR(10)&amp;"..","")</f>
        <v/>
      </c>
      <c r="AT117" s="43" t="str">
        <f t="shared" ref="AT117" si="532">IF(AO117=1,VLOOKUP(O117,$AT$2:$AV$13,2,0),"")</f>
        <v/>
      </c>
      <c r="AU117" s="43" t="str">
        <f t="shared" si="343"/>
        <v xml:space="preserve">               </v>
      </c>
      <c r="AV117" s="62" t="str">
        <f t="shared" si="335"/>
        <v/>
      </c>
      <c r="AW117" s="43" t="str">
        <f t="shared" ref="AW117" si="533">REPT(" ",$AW$14-LEN(AV117))</f>
        <v xml:space="preserve">                                                                 </v>
      </c>
      <c r="AX117" s="43" t="str">
        <f t="shared" ref="AX117" si="534">IF($AO117=1,IF(ISBLANK(V117),"-",CONCATENATE(TEXT(V117," 0.000000;-0.000000"),"  ")),"")</f>
        <v/>
      </c>
      <c r="AY117" s="43" t="str">
        <f t="shared" ref="AY117" si="535">IF($AO117=1,IF(ISBLANK(W117),"-",CONCATENATE(TEXT(W117," 0.000000;-0.000000"),"  ")),"")</f>
        <v/>
      </c>
      <c r="AZ117" s="43" t="str">
        <f t="shared" ref="AZ117" si="536">IF($AO117=1,IF(ISBLANK(X117),"-",CONCATENATE(TEXT(X117," 0.000000;-0.000000"),"  ")),"")</f>
        <v/>
      </c>
      <c r="BA117" s="43" t="str">
        <f t="shared" ref="BA117" si="537">IF($AO117=1,IF(ISBLANK(Y117),"-",CONCATENATE(TEXT(Y117," 0.000000;-0.000000"),"  ")),"")</f>
        <v/>
      </c>
      <c r="BB117" s="43" t="str">
        <f t="shared" ref="BB117" si="538">IF($AO117=1,IF(ISBLANK(Z117),"-",CONCATENATE(TEXT(Z117," 0.000000;-0.000000"),"  ")),"")</f>
        <v/>
      </c>
      <c r="BC117" s="43" t="str">
        <f t="shared" ref="BC117" si="539">IF($AO117=1,IF(ISBLANK(AA117),"-",CONCATENATE(TEXT(AA117," 0.000000;-0.000000"),"  ")),"")</f>
        <v/>
      </c>
      <c r="BD117" s="43" t="str">
        <f t="shared" si="342"/>
        <v xml:space="preserve"> </v>
      </c>
      <c r="BE117" s="43" t="str">
        <f t="shared" si="188"/>
        <v/>
      </c>
      <c r="BF117" s="43" t="str">
        <f t="shared" si="189"/>
        <v/>
      </c>
      <c r="BG117" s="43" t="str">
        <f t="shared" si="190"/>
        <v/>
      </c>
      <c r="BH117" s="43" t="str">
        <f t="shared" si="191"/>
        <v/>
      </c>
      <c r="BI117" s="43" t="str">
        <f t="shared" si="192"/>
        <v/>
      </c>
      <c r="BJ117" s="43" t="str">
        <f t="shared" si="193"/>
        <v/>
      </c>
      <c r="BM117" s="43" t="str">
        <f t="shared" si="481"/>
        <v>Tchws</v>
      </c>
      <c r="BN117" s="43" t="str">
        <f t="shared" si="482"/>
        <v>Toadb</v>
      </c>
      <c r="BU117" s="147"/>
      <c r="BV117" s="147"/>
      <c r="BW117" s="147"/>
    </row>
    <row r="118" spans="1:80" ht="30" hidden="1" outlineLevel="1" x14ac:dyDescent="0.25">
      <c r="A118" s="58"/>
      <c r="B118" s="20"/>
      <c r="C118" s="20" t="s">
        <v>392</v>
      </c>
      <c r="D118" s="60" t="s">
        <v>371</v>
      </c>
      <c r="E118" s="60" t="s">
        <v>369</v>
      </c>
      <c r="F118" s="60" t="s">
        <v>410</v>
      </c>
      <c r="G118" s="60" t="s">
        <v>70</v>
      </c>
      <c r="H118" s="20" t="s">
        <v>372</v>
      </c>
      <c r="I118" s="20"/>
      <c r="J118" s="20" t="s">
        <v>272</v>
      </c>
      <c r="K118" s="20" t="s">
        <v>15</v>
      </c>
      <c r="L118" s="60" t="s">
        <v>202</v>
      </c>
      <c r="M118" s="20" t="s">
        <v>250</v>
      </c>
      <c r="N118" s="43" t="str">
        <f t="shared" si="334"/>
        <v>ChlrAirScrollEIRRatio_fQRatio</v>
      </c>
      <c r="O118" s="20" t="s">
        <v>162</v>
      </c>
      <c r="P118" s="20" t="s">
        <v>288</v>
      </c>
      <c r="Q118" s="20" t="s">
        <v>160</v>
      </c>
      <c r="R118" s="20"/>
      <c r="S118" s="20"/>
      <c r="T118" s="20"/>
      <c r="U118" s="20"/>
      <c r="V118" s="61">
        <v>6.3691189999999995E-2</v>
      </c>
      <c r="W118" s="61">
        <v>0.58488832000000002</v>
      </c>
      <c r="X118" s="61">
        <v>0.35280274</v>
      </c>
      <c r="Y118" s="61"/>
      <c r="Z118" s="61"/>
      <c r="AA118" s="61"/>
      <c r="AB118" s="20"/>
      <c r="AC118" s="20"/>
      <c r="AD118" s="20"/>
      <c r="AE118" s="20"/>
      <c r="AF118" s="20"/>
      <c r="AG118" s="158" t="str">
        <f t="shared" ref="AG118:AG146" si="540">IF(BV118&gt;0,ROUND(BV118,2),"")</f>
        <v/>
      </c>
      <c r="AH118" s="158">
        <f t="shared" ref="AH118:AH146" si="541">IF(BW118&gt;0,ROUND(BW118,2),"")</f>
        <v>0.06</v>
      </c>
      <c r="AI118" s="158" t="str">
        <f t="shared" si="394"/>
        <v/>
      </c>
      <c r="AJ118" s="158" t="str">
        <f t="shared" si="418"/>
        <v/>
      </c>
      <c r="AK118" s="158" t="str">
        <f t="shared" si="395"/>
        <v/>
      </c>
      <c r="AL118" s="158" t="str">
        <f t="shared" si="396"/>
        <v/>
      </c>
      <c r="AM118" s="60"/>
      <c r="AN118" s="20"/>
      <c r="AO118" s="43">
        <f>IF(ISTEXT(A118),"",IF(I118="IP",0,1))</f>
        <v>1</v>
      </c>
      <c r="AP118" s="166" t="str">
        <f t="shared" si="466"/>
        <v>CrvQuad        "ChlrAirScrollEIRRatio_fQRatio"                                  Coef1 =  0.063691  Coef2 =  0.584888  Coef3 =  0.352803  _x000D_
                                                                                MinOut = 0.060   _x000D_
..</v>
      </c>
      <c r="AQ118" s="166" t="str">
        <f t="shared" si="489"/>
        <v xml:space="preserve">CrvQuad        "ChlrAirScrollEIRRatio_fQRatio"                                  Coef1 =  0.063691  Coef2 =  0.584888  Coef3 =  0.352803  </v>
      </c>
      <c r="AR118" s="166" t="str">
        <f t="shared" si="467"/>
        <v xml:space="preserve">_x000D_
                                                                                MinOut = 0.060   </v>
      </c>
      <c r="AS118" s="166" t="str">
        <f t="shared" si="419"/>
        <v>_x000D_
..</v>
      </c>
      <c r="AT118" s="43" t="str">
        <f t="shared" si="344"/>
        <v>CrvQuad</v>
      </c>
      <c r="AU118" s="43" t="str">
        <f t="shared" si="343"/>
        <v xml:space="preserve">        </v>
      </c>
      <c r="AV118" s="62" t="str">
        <f t="shared" si="335"/>
        <v>"ChlrAirScrollEIRRatio_fQRatio"</v>
      </c>
      <c r="AW118" s="43" t="str">
        <f t="shared" ref="AW118:AW193" si="542">REPT(" ",$AW$14-LEN(AV118))</f>
        <v xml:space="preserve">                                  </v>
      </c>
      <c r="AX118" s="43" t="str">
        <f t="shared" si="522"/>
        <v xml:space="preserve"> 0.063691  </v>
      </c>
      <c r="AY118" s="43" t="str">
        <f t="shared" si="523"/>
        <v xml:space="preserve"> 0.584888  </v>
      </c>
      <c r="AZ118" s="43" t="str">
        <f t="shared" si="524"/>
        <v xml:space="preserve"> 0.352803  </v>
      </c>
      <c r="BA118" s="43" t="str">
        <f t="shared" si="525"/>
        <v>-</v>
      </c>
      <c r="BB118" s="43" t="str">
        <f t="shared" si="526"/>
        <v>-</v>
      </c>
      <c r="BC118" s="43" t="str">
        <f t="shared" si="527"/>
        <v>-</v>
      </c>
      <c r="BD118" s="43" t="str">
        <f t="shared" si="342"/>
        <v xml:space="preserve">_x000D_
                                                                                </v>
      </c>
      <c r="BE118" s="43" t="str">
        <f t="shared" si="188"/>
        <v>-</v>
      </c>
      <c r="BF118" s="43" t="str">
        <f t="shared" si="189"/>
        <v xml:space="preserve">0.060   </v>
      </c>
      <c r="BG118" s="43" t="str">
        <f t="shared" si="190"/>
        <v>-</v>
      </c>
      <c r="BH118" s="43" t="str">
        <f t="shared" si="191"/>
        <v>-</v>
      </c>
      <c r="BI118" s="43" t="str">
        <f t="shared" si="192"/>
        <v>-</v>
      </c>
      <c r="BJ118" s="43" t="str">
        <f t="shared" si="193"/>
        <v>-</v>
      </c>
      <c r="BM118" s="43" t="str">
        <f t="shared" si="481"/>
        <v>QRatio</v>
      </c>
      <c r="BO118" s="43">
        <v>1</v>
      </c>
      <c r="BR118" s="43">
        <v>0</v>
      </c>
      <c r="BU118" s="147">
        <f>$V118+$W118*BO118+$X118*BO118^2+$Y118*BO118^3</f>
        <v>1.00138225</v>
      </c>
      <c r="BV118" s="147"/>
      <c r="BW118" s="147">
        <f>$V118+$W118*BR118+$X118*BR118^2+$Y118*BR118^3</f>
        <v>6.3691189999999995E-2</v>
      </c>
      <c r="BY118" s="20"/>
      <c r="BZ118" s="20"/>
      <c r="CA118" s="20"/>
      <c r="CB118" s="20"/>
    </row>
    <row r="119" spans="1:80" hidden="1" outlineLevel="1" x14ac:dyDescent="0.25">
      <c r="A119" s="58"/>
      <c r="B119" s="20"/>
      <c r="C119" s="20"/>
      <c r="D119" s="59"/>
      <c r="E119" s="60" t="s">
        <v>369</v>
      </c>
      <c r="F119" s="60" t="s">
        <v>410</v>
      </c>
      <c r="G119" s="60" t="s">
        <v>71</v>
      </c>
      <c r="H119" s="20" t="s">
        <v>373</v>
      </c>
      <c r="I119" s="20"/>
      <c r="J119" s="20" t="s">
        <v>272</v>
      </c>
      <c r="K119" s="20" t="s">
        <v>15</v>
      </c>
      <c r="L119" s="60" t="s">
        <v>202</v>
      </c>
      <c r="M119" s="20" t="s">
        <v>250</v>
      </c>
      <c r="N119" s="43" t="str">
        <f t="shared" si="334"/>
        <v>ChlrAirRecipEIRRatio_fQRatio</v>
      </c>
      <c r="O119" s="20" t="s">
        <v>162</v>
      </c>
      <c r="P119" s="20" t="s">
        <v>288</v>
      </c>
      <c r="Q119" s="20" t="s">
        <v>160</v>
      </c>
      <c r="R119" s="20"/>
      <c r="S119" s="20"/>
      <c r="T119" s="20"/>
      <c r="U119" s="20"/>
      <c r="V119" s="61">
        <v>0.11443742</v>
      </c>
      <c r="W119" s="61">
        <v>0.54593340000000001</v>
      </c>
      <c r="X119" s="61">
        <v>0.34229861</v>
      </c>
      <c r="Y119" s="61"/>
      <c r="Z119" s="61"/>
      <c r="AA119" s="61"/>
      <c r="AB119" s="20"/>
      <c r="AC119" s="20"/>
      <c r="AD119" s="20"/>
      <c r="AE119" s="20"/>
      <c r="AF119" s="20"/>
      <c r="AG119" s="158" t="str">
        <f t="shared" si="540"/>
        <v/>
      </c>
      <c r="AH119" s="158">
        <f t="shared" si="541"/>
        <v>0.11</v>
      </c>
      <c r="AI119" s="158" t="str">
        <f t="shared" si="394"/>
        <v/>
      </c>
      <c r="AJ119" s="158" t="str">
        <f t="shared" si="418"/>
        <v/>
      </c>
      <c r="AK119" s="158" t="str">
        <f t="shared" si="395"/>
        <v/>
      </c>
      <c r="AL119" s="158" t="str">
        <f t="shared" si="396"/>
        <v/>
      </c>
      <c r="AM119" s="60"/>
      <c r="AN119" s="20"/>
      <c r="AO119" s="43">
        <f>IF(ISTEXT(A119),"",IF(I119="IP",0,1))</f>
        <v>1</v>
      </c>
      <c r="AP119" s="166" t="str">
        <f t="shared" si="466"/>
        <v>CrvQuad        "ChlrAirRecipEIRRatio_fQRatio"                                   Coef1 =  0.114437  Coef2 =  0.545933  Coef3 =  0.342299  _x000D_
                                                                                MinOut = 0.110   _x000D_
..</v>
      </c>
      <c r="AQ119" s="166" t="str">
        <f t="shared" si="489"/>
        <v xml:space="preserve">CrvQuad        "ChlrAirRecipEIRRatio_fQRatio"                                   Coef1 =  0.114437  Coef2 =  0.545933  Coef3 =  0.342299  </v>
      </c>
      <c r="AR119" s="166" t="str">
        <f t="shared" si="467"/>
        <v xml:space="preserve">_x000D_
                                                                                MinOut = 0.110   </v>
      </c>
      <c r="AS119" s="166" t="str">
        <f t="shared" si="419"/>
        <v>_x000D_
..</v>
      </c>
      <c r="AT119" s="43" t="str">
        <f t="shared" si="344"/>
        <v>CrvQuad</v>
      </c>
      <c r="AU119" s="43" t="str">
        <f t="shared" si="343"/>
        <v xml:space="preserve">        </v>
      </c>
      <c r="AV119" s="62" t="str">
        <f t="shared" si="335"/>
        <v>"ChlrAirRecipEIRRatio_fQRatio"</v>
      </c>
      <c r="AW119" s="43" t="str">
        <f t="shared" si="542"/>
        <v xml:space="preserve">                                   </v>
      </c>
      <c r="AX119" s="43" t="str">
        <f t="shared" si="522"/>
        <v xml:space="preserve"> 0.114437  </v>
      </c>
      <c r="AY119" s="43" t="str">
        <f t="shared" si="523"/>
        <v xml:space="preserve"> 0.545933  </v>
      </c>
      <c r="AZ119" s="43" t="str">
        <f t="shared" si="524"/>
        <v xml:space="preserve"> 0.342299  </v>
      </c>
      <c r="BA119" s="43" t="str">
        <f t="shared" si="525"/>
        <v>-</v>
      </c>
      <c r="BB119" s="43" t="str">
        <f t="shared" si="526"/>
        <v>-</v>
      </c>
      <c r="BC119" s="43" t="str">
        <f t="shared" si="527"/>
        <v>-</v>
      </c>
      <c r="BD119" s="43" t="str">
        <f t="shared" si="342"/>
        <v xml:space="preserve">_x000D_
                                                                                </v>
      </c>
      <c r="BE119" s="43" t="str">
        <f t="shared" ref="BE119:BE189" si="543">IF($AO119=1,IF(AG119="","-",CONCATENATE(TEXT(AG119,"0.000"),"   ")),"")</f>
        <v>-</v>
      </c>
      <c r="BF119" s="43" t="str">
        <f t="shared" ref="BF119:BF189" si="544">IF($AO119=1,IF(AH119="","-",CONCATENATE(TEXT(AH119,"0.000"),"   ")),"")</f>
        <v xml:space="preserve">0.110   </v>
      </c>
      <c r="BG119" s="43" t="str">
        <f t="shared" ref="BG119:BG189" si="545">IF($AO119=1,IF(AI119="","-",CONCATENATE(TEXT(AI119,"0.000"),"   ")),"")</f>
        <v>-</v>
      </c>
      <c r="BH119" s="43" t="str">
        <f t="shared" ref="BH119:BH189" si="546">IF($AO119=1,IF(AJ119="","-",CONCATENATE(TEXT(AJ119,"0.000"),"   ")),"")</f>
        <v>-</v>
      </c>
      <c r="BI119" s="43" t="str">
        <f t="shared" ref="BI119:BI189" si="547">IF($AO119=1,IF(AK119="","-",CONCATENATE(TEXT(AK119,"0.000"),"   ")),"")</f>
        <v>-</v>
      </c>
      <c r="BJ119" s="43" t="str">
        <f t="shared" ref="BJ119:BJ189" si="548">IF($AO119=1,IF(AL119="","-",CONCATENATE(TEXT(AL119,"0.000"),"   ")),"")</f>
        <v>-</v>
      </c>
      <c r="BM119" s="43" t="str">
        <f t="shared" si="481"/>
        <v>QRatio</v>
      </c>
      <c r="BO119" s="43">
        <v>1</v>
      </c>
      <c r="BR119" s="43">
        <v>0</v>
      </c>
      <c r="BU119" s="147">
        <f>$V119+$W119*BO119+$X119*BO119^2+$Y119*BO119^3</f>
        <v>1.0026694300000001</v>
      </c>
      <c r="BV119" s="147"/>
      <c r="BW119" s="147">
        <f>$V119+$W119*BR119+$X119*BR119^2+$Y119*BR119^3</f>
        <v>0.11443742</v>
      </c>
      <c r="BY119" s="20"/>
      <c r="BZ119" s="20"/>
      <c r="CA119" s="20"/>
      <c r="CB119" s="20"/>
    </row>
    <row r="120" spans="1:80" hidden="1" outlineLevel="1" x14ac:dyDescent="0.25">
      <c r="A120" s="58"/>
      <c r="B120" s="20"/>
      <c r="C120" s="20"/>
      <c r="D120" s="59"/>
      <c r="E120" s="60" t="s">
        <v>369</v>
      </c>
      <c r="F120" s="60" t="s">
        <v>410</v>
      </c>
      <c r="G120" s="60" t="s">
        <v>72</v>
      </c>
      <c r="H120" s="20" t="s">
        <v>374</v>
      </c>
      <c r="I120" s="20"/>
      <c r="J120" s="20" t="s">
        <v>272</v>
      </c>
      <c r="K120" s="20" t="s">
        <v>15</v>
      </c>
      <c r="L120" s="60" t="s">
        <v>202</v>
      </c>
      <c r="M120" s="20" t="s">
        <v>250</v>
      </c>
      <c r="N120" s="43" t="str">
        <f t="shared" ref="N120:N151" si="549">IF(ISBLANK(E120),"-",E120&amp;H120&amp;P120&amp;"_f"&amp;Q120&amp;R120&amp;S120&amp;T120&amp;U120&amp;I120)</f>
        <v>ChlrAirScrewEIRRatio_fQRatio</v>
      </c>
      <c r="O120" s="20" t="s">
        <v>162</v>
      </c>
      <c r="P120" s="20" t="s">
        <v>288</v>
      </c>
      <c r="Q120" s="20" t="s">
        <v>160</v>
      </c>
      <c r="R120" s="20"/>
      <c r="S120" s="20"/>
      <c r="T120" s="20"/>
      <c r="U120" s="20"/>
      <c r="V120" s="61">
        <v>3.6487220000000001E-2</v>
      </c>
      <c r="W120" s="61">
        <v>0.73474298000000005</v>
      </c>
      <c r="X120" s="61">
        <v>0.21994748</v>
      </c>
      <c r="Y120" s="61"/>
      <c r="Z120" s="61"/>
      <c r="AA120" s="61"/>
      <c r="AB120" s="20"/>
      <c r="AC120" s="20"/>
      <c r="AD120" s="20"/>
      <c r="AE120" s="20"/>
      <c r="AF120" s="20"/>
      <c r="AG120" s="158" t="str">
        <f t="shared" si="540"/>
        <v/>
      </c>
      <c r="AH120" s="158">
        <f t="shared" si="541"/>
        <v>0.04</v>
      </c>
      <c r="AI120" s="158" t="str">
        <f t="shared" si="394"/>
        <v/>
      </c>
      <c r="AJ120" s="158" t="str">
        <f t="shared" si="418"/>
        <v/>
      </c>
      <c r="AK120" s="158" t="str">
        <f t="shared" si="395"/>
        <v/>
      </c>
      <c r="AL120" s="158" t="str">
        <f t="shared" si="396"/>
        <v/>
      </c>
      <c r="AM120" s="60"/>
      <c r="AN120" s="20"/>
      <c r="AO120" s="43">
        <f>IF(ISTEXT(A120),"",IF(I120="IP",0,1))</f>
        <v>1</v>
      </c>
      <c r="AP120" s="166" t="str">
        <f t="shared" si="466"/>
        <v>CrvQuad        "ChlrAirScrewEIRRatio_fQRatio"                                   Coef1 =  0.036487  Coef2 =  0.734743  Coef3 =  0.219947  _x000D_
                                                                                MinOut = 0.040   _x000D_
..</v>
      </c>
      <c r="AQ120" s="166" t="str">
        <f t="shared" si="489"/>
        <v xml:space="preserve">CrvQuad        "ChlrAirScrewEIRRatio_fQRatio"                                   Coef1 =  0.036487  Coef2 =  0.734743  Coef3 =  0.219947  </v>
      </c>
      <c r="AR120" s="166" t="str">
        <f t="shared" si="467"/>
        <v xml:space="preserve">_x000D_
                                                                                MinOut = 0.040   </v>
      </c>
      <c r="AS120" s="166" t="str">
        <f t="shared" si="419"/>
        <v>_x000D_
..</v>
      </c>
      <c r="AT120" s="43" t="str">
        <f t="shared" si="344"/>
        <v>CrvQuad</v>
      </c>
      <c r="AU120" s="43" t="str">
        <f t="shared" si="343"/>
        <v xml:space="preserve">        </v>
      </c>
      <c r="AV120" s="62" t="str">
        <f t="shared" ref="AV120:AV151" si="550">IF(AO120=1,CONCATENATE("""",N120,""""),"")</f>
        <v>"ChlrAirScrewEIRRatio_fQRatio"</v>
      </c>
      <c r="AW120" s="43" t="str">
        <f t="shared" si="542"/>
        <v xml:space="preserve">                                   </v>
      </c>
      <c r="AX120" s="43" t="str">
        <f t="shared" si="522"/>
        <v xml:space="preserve"> 0.036487  </v>
      </c>
      <c r="AY120" s="43" t="str">
        <f t="shared" si="523"/>
        <v xml:space="preserve"> 0.734743  </v>
      </c>
      <c r="AZ120" s="43" t="str">
        <f t="shared" si="524"/>
        <v xml:space="preserve"> 0.219947  </v>
      </c>
      <c r="BA120" s="43" t="str">
        <f t="shared" si="525"/>
        <v>-</v>
      </c>
      <c r="BB120" s="43" t="str">
        <f t="shared" si="526"/>
        <v>-</v>
      </c>
      <c r="BC120" s="43" t="str">
        <f t="shared" si="527"/>
        <v>-</v>
      </c>
      <c r="BD120" s="43" t="str">
        <f t="shared" si="342"/>
        <v xml:space="preserve">_x000D_
                                                                                </v>
      </c>
      <c r="BE120" s="43" t="str">
        <f t="shared" si="543"/>
        <v>-</v>
      </c>
      <c r="BF120" s="43" t="str">
        <f t="shared" si="544"/>
        <v xml:space="preserve">0.040   </v>
      </c>
      <c r="BG120" s="43" t="str">
        <f t="shared" si="545"/>
        <v>-</v>
      </c>
      <c r="BH120" s="43" t="str">
        <f t="shared" si="546"/>
        <v>-</v>
      </c>
      <c r="BI120" s="43" t="str">
        <f t="shared" si="547"/>
        <v>-</v>
      </c>
      <c r="BJ120" s="43" t="str">
        <f t="shared" si="548"/>
        <v>-</v>
      </c>
      <c r="BM120" s="43" t="str">
        <f t="shared" si="481"/>
        <v>QRatio</v>
      </c>
      <c r="BO120" s="43">
        <v>1</v>
      </c>
      <c r="BR120" s="43">
        <v>0</v>
      </c>
      <c r="BU120" s="147">
        <f>$V120+$W120*BO120+$X120*BO120^2+$Y120*BO120^3</f>
        <v>0.99117768000000006</v>
      </c>
      <c r="BV120" s="147"/>
      <c r="BW120" s="147">
        <f>$V120+$W120*BR120+$X120*BR120^2+$Y120*BR120^3</f>
        <v>3.6487220000000001E-2</v>
      </c>
      <c r="BY120" s="20"/>
      <c r="BZ120" s="20"/>
      <c r="CA120" s="20"/>
      <c r="CB120" s="20"/>
    </row>
    <row r="121" spans="1:80" hidden="1" outlineLevel="1" x14ac:dyDescent="0.25">
      <c r="A121" s="58"/>
      <c r="B121" s="20"/>
      <c r="C121" s="20"/>
      <c r="D121" s="59"/>
      <c r="E121" s="60" t="s">
        <v>369</v>
      </c>
      <c r="F121" s="60" t="s">
        <v>410</v>
      </c>
      <c r="G121" s="60" t="s">
        <v>73</v>
      </c>
      <c r="H121" s="20" t="s">
        <v>375</v>
      </c>
      <c r="I121" s="20"/>
      <c r="J121" s="20" t="s">
        <v>272</v>
      </c>
      <c r="K121" s="20" t="s">
        <v>15</v>
      </c>
      <c r="L121" s="60" t="s">
        <v>202</v>
      </c>
      <c r="M121" s="20" t="s">
        <v>250</v>
      </c>
      <c r="N121" s="43" t="str">
        <f t="shared" si="549"/>
        <v>ChlrAirCentEIRRatio_fQRatio</v>
      </c>
      <c r="O121" s="20" t="s">
        <v>162</v>
      </c>
      <c r="P121" s="20" t="s">
        <v>288</v>
      </c>
      <c r="Q121" s="20" t="s">
        <v>160</v>
      </c>
      <c r="R121" s="20"/>
      <c r="S121" s="20"/>
      <c r="T121" s="20"/>
      <c r="U121" s="20"/>
      <c r="V121" s="61" t="s">
        <v>64</v>
      </c>
      <c r="W121" s="61" t="s">
        <v>64</v>
      </c>
      <c r="X121" s="61" t="s">
        <v>64</v>
      </c>
      <c r="Y121" s="61"/>
      <c r="Z121" s="61"/>
      <c r="AA121" s="61"/>
      <c r="AB121" s="20"/>
      <c r="AC121" s="20"/>
      <c r="AD121" s="20"/>
      <c r="AE121" s="20"/>
      <c r="AF121" s="20"/>
      <c r="AG121" s="158" t="str">
        <f t="shared" si="540"/>
        <v/>
      </c>
      <c r="AH121" s="158" t="str">
        <f t="shared" si="541"/>
        <v/>
      </c>
      <c r="AI121" s="158" t="str">
        <f t="shared" si="394"/>
        <v/>
      </c>
      <c r="AJ121" s="158" t="str">
        <f t="shared" si="418"/>
        <v/>
      </c>
      <c r="AK121" s="158" t="str">
        <f t="shared" si="395"/>
        <v/>
      </c>
      <c r="AL121" s="158" t="str">
        <f t="shared" si="396"/>
        <v/>
      </c>
      <c r="AM121" s="60"/>
      <c r="AN121" s="20"/>
      <c r="AO121" s="43">
        <v>0</v>
      </c>
      <c r="AP121" s="166" t="str">
        <f t="shared" si="466"/>
        <v/>
      </c>
      <c r="AQ121" s="166" t="str">
        <f t="shared" si="489"/>
        <v/>
      </c>
      <c r="AR121" s="166" t="str">
        <f t="shared" si="467"/>
        <v/>
      </c>
      <c r="AS121" s="166" t="str">
        <f t="shared" si="419"/>
        <v/>
      </c>
      <c r="AT121" s="43" t="str">
        <f t="shared" si="344"/>
        <v/>
      </c>
      <c r="AU121" s="43" t="str">
        <f t="shared" si="343"/>
        <v xml:space="preserve">               </v>
      </c>
      <c r="AV121" s="62" t="str">
        <f t="shared" si="550"/>
        <v/>
      </c>
      <c r="AW121" s="43" t="str">
        <f t="shared" si="542"/>
        <v xml:space="preserve">                                                                 </v>
      </c>
      <c r="AX121" s="43" t="str">
        <f t="shared" si="522"/>
        <v/>
      </c>
      <c r="AY121" s="43" t="str">
        <f t="shared" si="523"/>
        <v/>
      </c>
      <c r="AZ121" s="43" t="str">
        <f t="shared" si="524"/>
        <v/>
      </c>
      <c r="BA121" s="43" t="str">
        <f t="shared" si="525"/>
        <v/>
      </c>
      <c r="BB121" s="43" t="str">
        <f t="shared" si="526"/>
        <v/>
      </c>
      <c r="BC121" s="43" t="str">
        <f t="shared" si="527"/>
        <v/>
      </c>
      <c r="BD121" s="43" t="str">
        <f t="shared" si="342"/>
        <v xml:space="preserve"> </v>
      </c>
      <c r="BE121" s="43" t="str">
        <f t="shared" si="543"/>
        <v/>
      </c>
      <c r="BF121" s="43" t="str">
        <f t="shared" si="544"/>
        <v/>
      </c>
      <c r="BG121" s="43" t="str">
        <f t="shared" si="545"/>
        <v/>
      </c>
      <c r="BH121" s="43" t="str">
        <f t="shared" si="546"/>
        <v/>
      </c>
      <c r="BI121" s="43" t="str">
        <f t="shared" si="547"/>
        <v/>
      </c>
      <c r="BJ121" s="43" t="str">
        <f t="shared" si="548"/>
        <v/>
      </c>
      <c r="BM121" s="43" t="str">
        <f t="shared" si="481"/>
        <v>QRatio</v>
      </c>
      <c r="BU121" s="147"/>
      <c r="BV121" s="147"/>
      <c r="BW121" s="147"/>
      <c r="BY121" s="20"/>
      <c r="BZ121" s="20"/>
      <c r="CA121" s="20"/>
      <c r="CB121" s="20"/>
    </row>
    <row r="122" spans="1:80" collapsed="1" x14ac:dyDescent="0.25">
      <c r="A122" s="58" t="s">
        <v>570</v>
      </c>
      <c r="B122" s="20"/>
      <c r="C122" s="56"/>
      <c r="D122" s="59"/>
      <c r="E122" s="78"/>
      <c r="F122" s="78"/>
      <c r="G122" s="60"/>
      <c r="H122" s="20"/>
      <c r="I122" s="20"/>
      <c r="J122" s="78"/>
      <c r="K122" s="20"/>
      <c r="L122" s="20"/>
      <c r="M122" s="20"/>
      <c r="N122" s="43" t="str">
        <f t="shared" si="549"/>
        <v>-</v>
      </c>
      <c r="O122" s="78"/>
      <c r="P122" s="78"/>
      <c r="Q122" s="78"/>
      <c r="R122" s="20"/>
      <c r="S122" s="20"/>
      <c r="T122" s="20"/>
      <c r="U122" s="20"/>
      <c r="V122" s="61"/>
      <c r="W122" s="61"/>
      <c r="X122" s="61"/>
      <c r="Y122" s="61"/>
      <c r="Z122" s="61"/>
      <c r="AA122" s="61"/>
      <c r="AB122" s="20"/>
      <c r="AC122" s="20"/>
      <c r="AD122" s="20"/>
      <c r="AE122" s="20"/>
      <c r="AF122" s="20"/>
      <c r="AG122" s="158" t="str">
        <f t="shared" si="540"/>
        <v/>
      </c>
      <c r="AH122" s="158" t="str">
        <f t="shared" si="541"/>
        <v/>
      </c>
      <c r="AI122" s="158" t="str">
        <f t="shared" si="394"/>
        <v/>
      </c>
      <c r="AJ122" s="158" t="str">
        <f t="shared" si="418"/>
        <v/>
      </c>
      <c r="AK122" s="158" t="str">
        <f t="shared" si="395"/>
        <v/>
      </c>
      <c r="AL122" s="158" t="str">
        <f t="shared" si="396"/>
        <v/>
      </c>
      <c r="AM122" s="60"/>
      <c r="AN122" s="20"/>
      <c r="AO122" s="43" t="str">
        <f t="shared" ref="AO122:AO160" si="551">IF(ISTEXT(A122),"",IF(I122="IP",0,1))</f>
        <v/>
      </c>
      <c r="AP122" s="166" t="str">
        <f t="shared" si="466"/>
        <v/>
      </c>
      <c r="AQ122" s="166"/>
      <c r="AR122" s="166" t="str">
        <f t="shared" si="467"/>
        <v/>
      </c>
      <c r="AS122" s="166" t="str">
        <f t="shared" si="419"/>
        <v/>
      </c>
      <c r="AU122" s="43" t="str">
        <f t="shared" si="343"/>
        <v xml:space="preserve">               </v>
      </c>
      <c r="AV122" s="62" t="str">
        <f t="shared" si="550"/>
        <v/>
      </c>
      <c r="AW122" s="43" t="str">
        <f t="shared" si="542"/>
        <v xml:space="preserve">                                                                 </v>
      </c>
      <c r="AX122" s="43" t="str">
        <f t="shared" si="522"/>
        <v/>
      </c>
      <c r="AY122" s="43" t="str">
        <f t="shared" si="523"/>
        <v/>
      </c>
      <c r="AZ122" s="43" t="str">
        <f t="shared" si="524"/>
        <v/>
      </c>
      <c r="BA122" s="43" t="str">
        <f t="shared" si="525"/>
        <v/>
      </c>
      <c r="BB122" s="43" t="str">
        <f t="shared" si="526"/>
        <v/>
      </c>
      <c r="BC122" s="43" t="str">
        <f t="shared" si="527"/>
        <v/>
      </c>
      <c r="BD122" s="43" t="str">
        <f t="shared" si="342"/>
        <v xml:space="preserve"> </v>
      </c>
      <c r="BE122" s="43" t="str">
        <f t="shared" si="543"/>
        <v/>
      </c>
      <c r="BF122" s="43" t="str">
        <f t="shared" si="544"/>
        <v/>
      </c>
      <c r="BG122" s="43" t="str">
        <f t="shared" si="545"/>
        <v/>
      </c>
      <c r="BH122" s="43" t="str">
        <f t="shared" si="546"/>
        <v/>
      </c>
      <c r="BI122" s="43" t="str">
        <f t="shared" si="547"/>
        <v/>
      </c>
      <c r="BJ122" s="43" t="str">
        <f t="shared" si="548"/>
        <v/>
      </c>
      <c r="BU122" s="147"/>
      <c r="BV122" s="147"/>
      <c r="BW122" s="147"/>
      <c r="BY122" s="20"/>
      <c r="BZ122" s="20"/>
      <c r="CA122" s="20"/>
      <c r="CB122" s="20"/>
    </row>
    <row r="123" spans="1:80" s="20" customFormat="1" ht="30" hidden="1" outlineLevel="1" x14ac:dyDescent="0.25">
      <c r="A123" s="58"/>
      <c r="D123" s="59" t="s">
        <v>67</v>
      </c>
      <c r="E123" s="20" t="s">
        <v>369</v>
      </c>
      <c r="F123" s="60" t="s">
        <v>403</v>
      </c>
      <c r="G123" s="60" t="s">
        <v>573</v>
      </c>
      <c r="H123" s="20" t="s">
        <v>571</v>
      </c>
      <c r="I123" s="20" t="s">
        <v>659</v>
      </c>
      <c r="J123" s="20" t="s">
        <v>273</v>
      </c>
      <c r="K123" s="20" t="s">
        <v>156</v>
      </c>
      <c r="L123" s="60"/>
      <c r="N123" s="43" t="str">
        <f t="shared" si="549"/>
        <v>ChlrWtrPosDispPathAAllQRatio_fTchwsTcwsIP</v>
      </c>
      <c r="O123" s="20" t="s">
        <v>165</v>
      </c>
      <c r="P123" s="20" t="s">
        <v>160</v>
      </c>
      <c r="Q123" s="20" t="s">
        <v>139</v>
      </c>
      <c r="R123" s="20" t="s">
        <v>140</v>
      </c>
      <c r="V123" s="61">
        <v>0.44679690988242099</v>
      </c>
      <c r="W123" s="61">
        <v>1.47419271662777E-2</v>
      </c>
      <c r="X123" s="61">
        <v>1.3391357374503501E-4</v>
      </c>
      <c r="Y123" s="61">
        <v>4.4024253465903702E-4</v>
      </c>
      <c r="Z123" s="61">
        <v>-1.52139492098685E-5</v>
      </c>
      <c r="AA123" s="61">
        <v>-8.4706546324958497E-5</v>
      </c>
      <c r="AG123" s="158">
        <f t="shared" si="540"/>
        <v>1.33</v>
      </c>
      <c r="AH123" s="158">
        <f t="shared" si="541"/>
        <v>0.89</v>
      </c>
      <c r="AI123" s="158">
        <f t="shared" si="394"/>
        <v>54</v>
      </c>
      <c r="AJ123" s="158">
        <f t="shared" si="418"/>
        <v>40</v>
      </c>
      <c r="AK123" s="158">
        <f t="shared" si="395"/>
        <v>85</v>
      </c>
      <c r="AL123" s="158">
        <f t="shared" si="396"/>
        <v>60</v>
      </c>
      <c r="AM123" s="60"/>
      <c r="AO123" s="43">
        <f t="shared" si="551"/>
        <v>0</v>
      </c>
      <c r="AP123" s="166" t="str">
        <f t="shared" ref="AP123:AP133" si="552">IF(AO123=1,CONCATENATE(AQ123,AR123,AS123),"")</f>
        <v/>
      </c>
      <c r="AQ123" s="167" t="str">
        <f t="shared" ref="AQ123:AQ148" si="553">IF(AO123=1,CONCATENATE(AT123,AU123,AV123,AW123,IF(AX123="-","",$AX$15&amp;AX123),IF(AY123="-","",$AY$15&amp;AY123),IF(AZ123="-","",$AZ$15&amp;AZ123),IF(BA123="-","",$BA$15&amp;BA123),IF(BB123="-","",$BB$15&amp;BB123),IF(BC123="-","",$BC$15&amp;BC123)),"")</f>
        <v/>
      </c>
      <c r="AR123" s="166" t="str">
        <f t="shared" ref="AR123:AR133" si="554">IF(AO123=1,CONCATENATE(BD123,IF(BE123="-","",$BE$15&amp;BE123),IF(BF123="-","",$BF$15&amp;BF123),IF(BG123="-","",$BG$15&amp;BG123),IF(BH123="-","",$BH$15&amp;BH123),IF(BI123="-","",$BI$15&amp;BI123),IF(BJ123="-","",$BJ$15&amp;BJ123)),"")</f>
        <v/>
      </c>
      <c r="AS123" s="166" t="str">
        <f t="shared" ref="AS123:AS133" si="555">IF(AO123=1,CHAR(13)&amp;CHAR(10)&amp;"..","")</f>
        <v/>
      </c>
      <c r="AT123" s="20" t="str">
        <f t="shared" ref="AT123:AT133" si="556">IF(AO123=1,VLOOKUP(O123,$AT$2:$AV$13,2,0),"")</f>
        <v/>
      </c>
      <c r="AU123" s="43" t="str">
        <f t="shared" si="343"/>
        <v xml:space="preserve">               </v>
      </c>
      <c r="AV123" s="62" t="str">
        <f t="shared" si="550"/>
        <v/>
      </c>
      <c r="AW123" s="20" t="str">
        <f t="shared" ref="AW123:AW133" si="557">REPT(" ",$AW$14-LEN(AV123))</f>
        <v xml:space="preserve">                                                                 </v>
      </c>
      <c r="AX123" s="43" t="str">
        <f t="shared" ref="AX123:BC133" si="558">IF($AO123=1,IF(ISBLANK(V123),"-",CONCATENATE(TEXT(V123," 0.000000;-0.000000"),"  ")),"")</f>
        <v/>
      </c>
      <c r="AY123" s="43" t="str">
        <f t="shared" si="558"/>
        <v/>
      </c>
      <c r="AZ123" s="43" t="str">
        <f t="shared" si="558"/>
        <v/>
      </c>
      <c r="BA123" s="43" t="str">
        <f t="shared" si="558"/>
        <v/>
      </c>
      <c r="BB123" s="43" t="str">
        <f t="shared" si="558"/>
        <v/>
      </c>
      <c r="BC123" s="43" t="str">
        <f t="shared" si="558"/>
        <v/>
      </c>
      <c r="BD123" s="43" t="str">
        <f t="shared" si="342"/>
        <v xml:space="preserve">_x000D_
                                                                                </v>
      </c>
      <c r="BE123" s="20" t="str">
        <f t="shared" si="543"/>
        <v/>
      </c>
      <c r="BF123" s="20" t="str">
        <f t="shared" si="544"/>
        <v/>
      </c>
      <c r="BG123" s="20" t="str">
        <f t="shared" si="545"/>
        <v/>
      </c>
      <c r="BH123" s="20" t="str">
        <f t="shared" si="546"/>
        <v/>
      </c>
      <c r="BI123" s="20" t="str">
        <f t="shared" si="547"/>
        <v/>
      </c>
      <c r="BJ123" s="20" t="str">
        <f t="shared" si="548"/>
        <v/>
      </c>
      <c r="BM123" s="43" t="str">
        <f t="shared" ref="BM123:BM141" si="559">Q123</f>
        <v>Tchws</v>
      </c>
      <c r="BN123" s="43" t="str">
        <f t="shared" ref="BN123:BN141" si="560">R123</f>
        <v>Tcws</v>
      </c>
      <c r="BO123" s="43">
        <v>44</v>
      </c>
      <c r="BP123" s="43">
        <v>85</v>
      </c>
      <c r="BQ123" s="43">
        <v>54</v>
      </c>
      <c r="BR123" s="43">
        <v>40</v>
      </c>
      <c r="BS123" s="43">
        <v>85</v>
      </c>
      <c r="BT123" s="43">
        <v>60</v>
      </c>
      <c r="BU123" s="162">
        <f t="shared" ref="BU123:BU146" si="561">$V123+$W123*BO123+$X123*BO123^2+$Y123*BP123+$Z123*BP123^2+$AA123*BO123*BP123</f>
        <v>0.96539573311840121</v>
      </c>
      <c r="BV123" s="147">
        <f>$V123+$W123*BQ123+$X123*BQ123^2+$Y123*BT123+$Z123*BT123^2+$AA123*BQ123*BT123</f>
        <v>1.3305480827330889</v>
      </c>
      <c r="BW123" s="147">
        <f>$V123+$W123*BR123+$X123*BR123^2+$Y123*BS123+$Z123*BS123^2+$AA123*BR123*BS123</f>
        <v>0.89023328942544455</v>
      </c>
      <c r="BX123" s="43" t="s">
        <v>729</v>
      </c>
    </row>
    <row r="124" spans="1:80" s="20" customFormat="1" ht="30" hidden="1" outlineLevel="1" x14ac:dyDescent="0.25">
      <c r="A124" s="58"/>
      <c r="D124" s="59"/>
      <c r="E124" s="20" t="s">
        <v>369</v>
      </c>
      <c r="F124" s="60" t="s">
        <v>403</v>
      </c>
      <c r="G124" s="60" t="s">
        <v>573</v>
      </c>
      <c r="H124" s="20" t="s">
        <v>571</v>
      </c>
      <c r="I124" s="20" t="s">
        <v>660</v>
      </c>
      <c r="J124" s="20" t="s">
        <v>144</v>
      </c>
      <c r="L124" s="60" t="s">
        <v>202</v>
      </c>
      <c r="M124" s="20" t="s">
        <v>248</v>
      </c>
      <c r="N124" s="43" t="str">
        <f t="shared" si="549"/>
        <v>ChlrWtrPosDispPathAAllQRatio_fTchwsTcwsSI</v>
      </c>
      <c r="O124" s="20" t="s">
        <v>165</v>
      </c>
      <c r="P124" s="20" t="s">
        <v>160</v>
      </c>
      <c r="Q124" s="20" t="s">
        <v>139</v>
      </c>
      <c r="R124" s="20" t="s">
        <v>140</v>
      </c>
      <c r="V124" s="61">
        <v>0.96743999999999997</v>
      </c>
      <c r="W124" s="61">
        <v>3.7081999999999997E-2</v>
      </c>
      <c r="X124" s="61">
        <v>4.33836E-4</v>
      </c>
      <c r="Y124" s="61">
        <v>-5.8374000000000004E-3</v>
      </c>
      <c r="Z124" s="61">
        <v>-4.9248E-5</v>
      </c>
      <c r="AA124" s="61">
        <v>-2.7442800000000001E-4</v>
      </c>
      <c r="AG124" s="158">
        <f t="shared" si="540"/>
        <v>1.33</v>
      </c>
      <c r="AH124" s="158">
        <f t="shared" si="541"/>
        <v>0.89</v>
      </c>
      <c r="AI124" s="158">
        <f t="shared" si="394"/>
        <v>12.22</v>
      </c>
      <c r="AJ124" s="158">
        <f t="shared" si="418"/>
        <v>4.4400000000000004</v>
      </c>
      <c r="AK124" s="158">
        <f t="shared" si="395"/>
        <v>29.44</v>
      </c>
      <c r="AL124" s="158">
        <f t="shared" si="396"/>
        <v>15.56</v>
      </c>
      <c r="AM124" s="60"/>
      <c r="AO124" s="43">
        <f t="shared" si="551"/>
        <v>1</v>
      </c>
      <c r="AP124" s="166" t="str">
        <f t="shared" ref="AP124" si="562">IF(AO124=1,CONCATENATE(AQ124,AR124,AS124),"")</f>
        <v>CrvDblQuad     "ChlrWtrPosDispPathAAllQRatio_fTchwsTcwsSI"                      Coef1 =  0.967440  Coef2 =  0.037082  Coef3 =  0.000434  Coef4 = -0.005837  Coef5 = -0.000049  Coef6 = -0.000274  _x000D_
                                                                                MaxOut = 1.330   MinOut = 0.890   MaxVar1 = 12.220   MinVar1 = 4.440   MaxVar2 = 29.440   MinVar2 = 15.560   _x000D_
..</v>
      </c>
      <c r="AQ124" s="167" t="str">
        <f t="shared" ref="AQ124" si="563">IF(AO124=1,CONCATENATE(AT124,AU124,AV124,AW124,IF(AX124="-","",$AX$15&amp;AX124),IF(AY124="-","",$AY$15&amp;AY124),IF(AZ124="-","",$AZ$15&amp;AZ124),IF(BA124="-","",$BA$15&amp;BA124),IF(BB124="-","",$BB$15&amp;BB124),IF(BC124="-","",$BC$15&amp;BC124)),"")</f>
        <v xml:space="preserve">CrvDblQuad     "ChlrWtrPosDispPathAAllQRatio_fTchwsTcwsSI"                      Coef1 =  0.967440  Coef2 =  0.037082  Coef3 =  0.000434  Coef4 = -0.005837  Coef5 = -0.000049  Coef6 = -0.000274  </v>
      </c>
      <c r="AR124" s="166" t="str">
        <f t="shared" ref="AR124" si="564">IF(AO124=1,CONCATENATE(BD124,IF(BE124="-","",$BE$15&amp;BE124),IF(BF124="-","",$BF$15&amp;BF124),IF(BG124="-","",$BG$15&amp;BG124),IF(BH124="-","",$BH$15&amp;BH124),IF(BI124="-","",$BI$15&amp;BI124),IF(BJ124="-","",$BJ$15&amp;BJ124)),"")</f>
        <v xml:space="preserve">_x000D_
                                                                                MaxOut = 1.330   MinOut = 0.890   MaxVar1 = 12.220   MinVar1 = 4.440   MaxVar2 = 29.440   MinVar2 = 15.560   </v>
      </c>
      <c r="AS124" s="166" t="str">
        <f t="shared" ref="AS124" si="565">IF(AO124=1,CHAR(13)&amp;CHAR(10)&amp;"..","")</f>
        <v>_x000D_
..</v>
      </c>
      <c r="AT124" s="20" t="str">
        <f t="shared" ref="AT124" si="566">IF(AO124=1,VLOOKUP(O124,$AT$2:$AV$13,2,0),"")</f>
        <v>CrvDblQuad</v>
      </c>
      <c r="AU124" s="43" t="str">
        <f t="shared" si="343"/>
        <v xml:space="preserve">     </v>
      </c>
      <c r="AV124" s="62" t="str">
        <f t="shared" si="550"/>
        <v>"ChlrWtrPosDispPathAAllQRatio_fTchwsTcwsSI"</v>
      </c>
      <c r="AW124" s="20" t="str">
        <f t="shared" ref="AW124" si="567">REPT(" ",$AW$14-LEN(AV124))</f>
        <v xml:space="preserve">                      </v>
      </c>
      <c r="AX124" s="43" t="str">
        <f t="shared" ref="AX124" si="568">IF($AO124=1,IF(ISBLANK(V124),"-",CONCATENATE(TEXT(V124," 0.000000;-0.000000"),"  ")),"")</f>
        <v xml:space="preserve"> 0.967440  </v>
      </c>
      <c r="AY124" s="43" t="str">
        <f t="shared" ref="AY124" si="569">IF($AO124=1,IF(ISBLANK(W124),"-",CONCATENATE(TEXT(W124," 0.000000;-0.000000"),"  ")),"")</f>
        <v xml:space="preserve"> 0.037082  </v>
      </c>
      <c r="AZ124" s="43" t="str">
        <f t="shared" ref="AZ124" si="570">IF($AO124=1,IF(ISBLANK(X124),"-",CONCATENATE(TEXT(X124," 0.000000;-0.000000"),"  ")),"")</f>
        <v xml:space="preserve"> 0.000434  </v>
      </c>
      <c r="BA124" s="43" t="str">
        <f t="shared" ref="BA124" si="571">IF($AO124=1,IF(ISBLANK(Y124),"-",CONCATENATE(TEXT(Y124," 0.000000;-0.000000"),"  ")),"")</f>
        <v xml:space="preserve">-0.005837  </v>
      </c>
      <c r="BB124" s="43" t="str">
        <f t="shared" ref="BB124" si="572">IF($AO124=1,IF(ISBLANK(Z124),"-",CONCATENATE(TEXT(Z124," 0.000000;-0.000000"),"  ")),"")</f>
        <v xml:space="preserve">-0.000049  </v>
      </c>
      <c r="BC124" s="43" t="str">
        <f t="shared" ref="BC124" si="573">IF($AO124=1,IF(ISBLANK(AA124),"-",CONCATENATE(TEXT(AA124," 0.000000;-0.000000"),"  ")),"")</f>
        <v xml:space="preserve">-0.000274  </v>
      </c>
      <c r="BD124" s="43" t="str">
        <f t="shared" si="342"/>
        <v xml:space="preserve">_x000D_
                                                                                </v>
      </c>
      <c r="BE124" s="20" t="str">
        <f t="shared" si="543"/>
        <v xml:space="preserve">1.330   </v>
      </c>
      <c r="BF124" s="20" t="str">
        <f t="shared" si="544"/>
        <v xml:space="preserve">0.890   </v>
      </c>
      <c r="BG124" s="20" t="str">
        <f t="shared" si="545"/>
        <v xml:space="preserve">12.220   </v>
      </c>
      <c r="BH124" s="20" t="str">
        <f t="shared" si="546"/>
        <v xml:space="preserve">4.440   </v>
      </c>
      <c r="BI124" s="20" t="str">
        <f t="shared" si="547"/>
        <v xml:space="preserve">29.440   </v>
      </c>
      <c r="BJ124" s="20" t="str">
        <f t="shared" si="548"/>
        <v xml:space="preserve">15.560   </v>
      </c>
      <c r="BM124" s="43" t="str">
        <f t="shared" si="559"/>
        <v>Tchws</v>
      </c>
      <c r="BN124" s="43" t="str">
        <f t="shared" si="560"/>
        <v>Tcws</v>
      </c>
      <c r="BO124" s="164">
        <f>(BO123-32)/1.8</f>
        <v>6.6666666666666661</v>
      </c>
      <c r="BP124" s="164">
        <f>(BP123-32)/1.8</f>
        <v>29.444444444444443</v>
      </c>
      <c r="BQ124" s="164">
        <f t="shared" ref="BQ124" si="574">(BQ123-32)/1.8</f>
        <v>12.222222222222221</v>
      </c>
      <c r="BR124" s="164">
        <f t="shared" ref="BR124" si="575">(BR123-32)/1.8</f>
        <v>4.4444444444444446</v>
      </c>
      <c r="BS124" s="164">
        <f t="shared" ref="BS124" si="576">(BS123-32)/1.8</f>
        <v>29.444444444444443</v>
      </c>
      <c r="BT124" s="164">
        <f t="shared" ref="BT124" si="577">(BT123-32)/1.8</f>
        <v>15.555555555555555</v>
      </c>
      <c r="BU124" s="162">
        <f t="shared" si="561"/>
        <v>0.96548993333333322</v>
      </c>
      <c r="BV124" s="147">
        <f t="shared" ref="BV124:BV134" si="578">$V124+$W124*BQ124+$X124*BQ124^2+$Y124*BT124+$Z124*BT124^2+$AA124*BQ124*BT124</f>
        <v>1.3305760444444441</v>
      </c>
      <c r="BW124" s="147">
        <f t="shared" ref="BW124:BW134" si="579">$V124+$W124*BR124+$X124*BR124^2+$Y124*BS124+$Z124*BS124^2+$AA124*BR124*BS124</f>
        <v>0.89032988888888887</v>
      </c>
      <c r="BX124" s="43" t="s">
        <v>729</v>
      </c>
    </row>
    <row r="125" spans="1:80" s="20" customFormat="1" ht="30" hidden="1" outlineLevel="1" x14ac:dyDescent="0.25">
      <c r="A125" s="58"/>
      <c r="D125" s="59"/>
      <c r="E125" s="20" t="s">
        <v>369</v>
      </c>
      <c r="F125" s="60" t="s">
        <v>403</v>
      </c>
      <c r="G125" s="60" t="s">
        <v>574</v>
      </c>
      <c r="H125" s="20" t="s">
        <v>572</v>
      </c>
      <c r="I125" s="20" t="s">
        <v>659</v>
      </c>
      <c r="J125" s="20" t="s">
        <v>273</v>
      </c>
      <c r="K125" s="20" t="s">
        <v>156</v>
      </c>
      <c r="L125" s="60"/>
      <c r="N125" s="43" t="str">
        <f t="shared" si="549"/>
        <v>ChlrWtrCentPathAAllQRatio_fTchwsTcwsIP</v>
      </c>
      <c r="O125" s="20" t="s">
        <v>165</v>
      </c>
      <c r="P125" s="20" t="s">
        <v>160</v>
      </c>
      <c r="Q125" s="20" t="s">
        <v>139</v>
      </c>
      <c r="R125" s="20" t="s">
        <v>140</v>
      </c>
      <c r="V125" s="61">
        <v>-0.49737319000000002</v>
      </c>
      <c r="W125" s="61">
        <v>-9.5607299999999999E-3</v>
      </c>
      <c r="X125" s="61">
        <v>-5.9561E-4</v>
      </c>
      <c r="Y125" s="61">
        <v>4.3520990000000002E-2</v>
      </c>
      <c r="Z125" s="61">
        <v>-5.8394000000000002E-4</v>
      </c>
      <c r="AA125" s="61">
        <v>9.6007000000000004E-4</v>
      </c>
      <c r="AG125" s="158">
        <f t="shared" si="540"/>
        <v>0.87</v>
      </c>
      <c r="AH125" s="158">
        <f t="shared" si="541"/>
        <v>0.91</v>
      </c>
      <c r="AI125" s="158">
        <f t="shared" si="394"/>
        <v>54</v>
      </c>
      <c r="AJ125" s="158">
        <f t="shared" si="418"/>
        <v>40</v>
      </c>
      <c r="AK125" s="158">
        <f t="shared" si="395"/>
        <v>85</v>
      </c>
      <c r="AL125" s="158">
        <f t="shared" si="396"/>
        <v>60</v>
      </c>
      <c r="AM125" s="60"/>
      <c r="AO125" s="43">
        <f t="shared" si="551"/>
        <v>0</v>
      </c>
      <c r="AP125" s="166" t="str">
        <f t="shared" si="552"/>
        <v/>
      </c>
      <c r="AQ125" s="167" t="str">
        <f t="shared" si="553"/>
        <v/>
      </c>
      <c r="AR125" s="166" t="str">
        <f t="shared" si="554"/>
        <v/>
      </c>
      <c r="AS125" s="166" t="str">
        <f t="shared" si="555"/>
        <v/>
      </c>
      <c r="AT125" s="20" t="str">
        <f t="shared" si="556"/>
        <v/>
      </c>
      <c r="AU125" s="43" t="str">
        <f t="shared" si="343"/>
        <v xml:space="preserve">               </v>
      </c>
      <c r="AV125" s="62" t="str">
        <f t="shared" si="550"/>
        <v/>
      </c>
      <c r="AW125" s="20" t="str">
        <f t="shared" si="557"/>
        <v xml:space="preserve">                                                                 </v>
      </c>
      <c r="AX125" s="43" t="str">
        <f t="shared" si="558"/>
        <v/>
      </c>
      <c r="AY125" s="43" t="str">
        <f t="shared" si="558"/>
        <v/>
      </c>
      <c r="AZ125" s="43" t="str">
        <f t="shared" si="558"/>
        <v/>
      </c>
      <c r="BA125" s="43" t="str">
        <f t="shared" si="558"/>
        <v/>
      </c>
      <c r="BB125" s="43" t="str">
        <f t="shared" si="558"/>
        <v/>
      </c>
      <c r="BC125" s="43" t="str">
        <f t="shared" si="558"/>
        <v/>
      </c>
      <c r="BD125" s="43" t="str">
        <f t="shared" si="342"/>
        <v xml:space="preserve">_x000D_
                                                                                </v>
      </c>
      <c r="BE125" s="20" t="str">
        <f t="shared" si="543"/>
        <v/>
      </c>
      <c r="BF125" s="20" t="str">
        <f t="shared" si="544"/>
        <v/>
      </c>
      <c r="BG125" s="20" t="str">
        <f t="shared" si="545"/>
        <v/>
      </c>
      <c r="BH125" s="20" t="str">
        <f t="shared" si="546"/>
        <v/>
      </c>
      <c r="BI125" s="20" t="str">
        <f t="shared" si="547"/>
        <v/>
      </c>
      <c r="BJ125" s="20" t="str">
        <f t="shared" si="548"/>
        <v/>
      </c>
      <c r="BM125" s="43" t="str">
        <f t="shared" si="559"/>
        <v>Tchws</v>
      </c>
      <c r="BN125" s="43" t="str">
        <f t="shared" si="560"/>
        <v>Tcws</v>
      </c>
      <c r="BO125" s="43">
        <v>44</v>
      </c>
      <c r="BP125" s="43">
        <v>85</v>
      </c>
      <c r="BQ125" s="43">
        <v>54</v>
      </c>
      <c r="BR125" s="43">
        <v>40</v>
      </c>
      <c r="BS125" s="43">
        <v>85</v>
      </c>
      <c r="BT125" s="43">
        <v>60</v>
      </c>
      <c r="BU125" s="147">
        <f t="shared" si="561"/>
        <v>0.99983317999999999</v>
      </c>
      <c r="BV125" s="147">
        <f t="shared" si="578"/>
        <v>0.86925082999999992</v>
      </c>
      <c r="BW125" s="147">
        <f t="shared" si="579"/>
        <v>0.91177725999999959</v>
      </c>
      <c r="BX125" s="43" t="s">
        <v>729</v>
      </c>
    </row>
    <row r="126" spans="1:80" s="20" customFormat="1" ht="30" hidden="1" outlineLevel="1" x14ac:dyDescent="0.25">
      <c r="A126" s="58"/>
      <c r="D126" s="59"/>
      <c r="E126" s="20" t="s">
        <v>369</v>
      </c>
      <c r="F126" s="60" t="s">
        <v>403</v>
      </c>
      <c r="G126" s="60" t="s">
        <v>574</v>
      </c>
      <c r="H126" s="20" t="s">
        <v>572</v>
      </c>
      <c r="I126" s="20" t="s">
        <v>660</v>
      </c>
      <c r="J126" s="20" t="s">
        <v>144</v>
      </c>
      <c r="L126" s="60" t="s">
        <v>202</v>
      </c>
      <c r="M126" s="20" t="s">
        <v>248</v>
      </c>
      <c r="N126" s="43" t="str">
        <f t="shared" si="549"/>
        <v>ChlrWtrCentPathAAllQRatio_fTchwsTcwsSI</v>
      </c>
      <c r="O126" s="20" t="s">
        <v>165</v>
      </c>
      <c r="P126" s="20" t="s">
        <v>160</v>
      </c>
      <c r="Q126" s="20" t="s">
        <v>139</v>
      </c>
      <c r="R126" s="20" t="s">
        <v>140</v>
      </c>
      <c r="V126" s="61">
        <v>0.36469099999999999</v>
      </c>
      <c r="W126" s="61">
        <v>-3.0520599999999998E-2</v>
      </c>
      <c r="X126" s="61">
        <v>-1.9297400000000001E-3</v>
      </c>
      <c r="Y126" s="61">
        <v>6.6374299999999997E-2</v>
      </c>
      <c r="Z126" s="61">
        <v>-1.8918400000000001E-3</v>
      </c>
      <c r="AA126" s="61">
        <v>3.11072E-3</v>
      </c>
      <c r="AG126" s="158">
        <f t="shared" si="540"/>
        <v>0.87</v>
      </c>
      <c r="AH126" s="158">
        <f t="shared" si="541"/>
        <v>0.91</v>
      </c>
      <c r="AI126" s="158">
        <f t="shared" si="394"/>
        <v>12.22</v>
      </c>
      <c r="AJ126" s="158">
        <f t="shared" si="418"/>
        <v>4.4400000000000004</v>
      </c>
      <c r="AK126" s="158">
        <f t="shared" si="395"/>
        <v>29.44</v>
      </c>
      <c r="AL126" s="158">
        <f t="shared" si="396"/>
        <v>15.56</v>
      </c>
      <c r="AM126" s="60"/>
      <c r="AO126" s="43">
        <f t="shared" si="551"/>
        <v>1</v>
      </c>
      <c r="AP126" s="166" t="str">
        <f t="shared" ref="AP126" si="580">IF(AO126=1,CONCATENATE(AQ126,AR126,AS126),"")</f>
        <v>CrvDblQuad     "ChlrWtrCentPathAAllQRatio_fTchwsTcwsSI"                         Coef1 =  0.364691  Coef2 = -0.030521  Coef3 = -0.001930  Coef4 =  0.066374  Coef5 = -0.001892  Coef6 =  0.003111  _x000D_
                                                                                MaxOut = 0.870   MinOut = 0.910   MaxVar1 = 12.220   MinVar1 = 4.440   MaxVar2 = 29.440   MinVar2 = 15.560   _x000D_
..</v>
      </c>
      <c r="AQ126" s="167" t="str">
        <f t="shared" ref="AQ126" si="581">IF(AO126=1,CONCATENATE(AT126,AU126,AV126,AW126,IF(AX126="-","",$AX$15&amp;AX126),IF(AY126="-","",$AY$15&amp;AY126),IF(AZ126="-","",$AZ$15&amp;AZ126),IF(BA126="-","",$BA$15&amp;BA126),IF(BB126="-","",$BB$15&amp;BB126),IF(BC126="-","",$BC$15&amp;BC126)),"")</f>
        <v xml:space="preserve">CrvDblQuad     "ChlrWtrCentPathAAllQRatio_fTchwsTcwsSI"                         Coef1 =  0.364691  Coef2 = -0.030521  Coef3 = -0.001930  Coef4 =  0.066374  Coef5 = -0.001892  Coef6 =  0.003111  </v>
      </c>
      <c r="AR126" s="166" t="str">
        <f t="shared" ref="AR126" si="582">IF(AO126=1,CONCATENATE(BD126,IF(BE126="-","",$BE$15&amp;BE126),IF(BF126="-","",$BF$15&amp;BF126),IF(BG126="-","",$BG$15&amp;BG126),IF(BH126="-","",$BH$15&amp;BH126),IF(BI126="-","",$BI$15&amp;BI126),IF(BJ126="-","",$BJ$15&amp;BJ126)),"")</f>
        <v xml:space="preserve">_x000D_
                                                                                MaxOut = 0.870   MinOut = 0.910   MaxVar1 = 12.220   MinVar1 = 4.440   MaxVar2 = 29.440   MinVar2 = 15.560   </v>
      </c>
      <c r="AS126" s="166" t="str">
        <f t="shared" ref="AS126" si="583">IF(AO126=1,CHAR(13)&amp;CHAR(10)&amp;"..","")</f>
        <v>_x000D_
..</v>
      </c>
      <c r="AT126" s="20" t="str">
        <f t="shared" ref="AT126" si="584">IF(AO126=1,VLOOKUP(O126,$AT$2:$AV$13,2,0),"")</f>
        <v>CrvDblQuad</v>
      </c>
      <c r="AU126" s="43" t="str">
        <f t="shared" si="343"/>
        <v xml:space="preserve">     </v>
      </c>
      <c r="AV126" s="62" t="str">
        <f t="shared" si="550"/>
        <v>"ChlrWtrCentPathAAllQRatio_fTchwsTcwsSI"</v>
      </c>
      <c r="AW126" s="20" t="str">
        <f t="shared" ref="AW126" si="585">REPT(" ",$AW$14-LEN(AV126))</f>
        <v xml:space="preserve">                         </v>
      </c>
      <c r="AX126" s="43" t="str">
        <f t="shared" ref="AX126" si="586">IF($AO126=1,IF(ISBLANK(V126),"-",CONCATENATE(TEXT(V126," 0.000000;-0.000000"),"  ")),"")</f>
        <v xml:space="preserve"> 0.364691  </v>
      </c>
      <c r="AY126" s="43" t="str">
        <f t="shared" ref="AY126" si="587">IF($AO126=1,IF(ISBLANK(W126),"-",CONCATENATE(TEXT(W126," 0.000000;-0.000000"),"  ")),"")</f>
        <v xml:space="preserve">-0.030521  </v>
      </c>
      <c r="AZ126" s="43" t="str">
        <f t="shared" ref="AZ126" si="588">IF($AO126=1,IF(ISBLANK(X126),"-",CONCATENATE(TEXT(X126," 0.000000;-0.000000"),"  ")),"")</f>
        <v xml:space="preserve">-0.001930  </v>
      </c>
      <c r="BA126" s="43" t="str">
        <f t="shared" ref="BA126" si="589">IF($AO126=1,IF(ISBLANK(Y126),"-",CONCATENATE(TEXT(Y126," 0.000000;-0.000000"),"  ")),"")</f>
        <v xml:space="preserve"> 0.066374  </v>
      </c>
      <c r="BB126" s="43" t="str">
        <f t="shared" ref="BB126" si="590">IF($AO126=1,IF(ISBLANK(Z126),"-",CONCATENATE(TEXT(Z126," 0.000000;-0.000000"),"  ")),"")</f>
        <v xml:space="preserve">-0.001892  </v>
      </c>
      <c r="BC126" s="43" t="str">
        <f t="shared" ref="BC126" si="591">IF($AO126=1,IF(ISBLANK(AA126),"-",CONCATENATE(TEXT(AA126," 0.000000;-0.000000"),"  ")),"")</f>
        <v xml:space="preserve"> 0.003111  </v>
      </c>
      <c r="BD126" s="43" t="str">
        <f t="shared" si="342"/>
        <v xml:space="preserve">_x000D_
                                                                                </v>
      </c>
      <c r="BE126" s="20" t="str">
        <f t="shared" si="543"/>
        <v xml:space="preserve">0.870   </v>
      </c>
      <c r="BF126" s="20" t="str">
        <f t="shared" si="544"/>
        <v xml:space="preserve">0.910   </v>
      </c>
      <c r="BG126" s="20" t="str">
        <f t="shared" si="545"/>
        <v xml:space="preserve">12.220   </v>
      </c>
      <c r="BH126" s="20" t="str">
        <f t="shared" si="546"/>
        <v xml:space="preserve">4.440   </v>
      </c>
      <c r="BI126" s="20" t="str">
        <f t="shared" si="547"/>
        <v xml:space="preserve">29.440   </v>
      </c>
      <c r="BJ126" s="20" t="str">
        <f t="shared" si="548"/>
        <v xml:space="preserve">15.560   </v>
      </c>
      <c r="BM126" s="43" t="str">
        <f t="shared" si="559"/>
        <v>Tchws</v>
      </c>
      <c r="BN126" s="43" t="str">
        <f t="shared" si="560"/>
        <v>Tcws</v>
      </c>
      <c r="BO126" s="164">
        <f>(BO125-32)/1.8</f>
        <v>6.6666666666666661</v>
      </c>
      <c r="BP126" s="164">
        <f>(BP125-32)/1.8</f>
        <v>29.444444444444443</v>
      </c>
      <c r="BQ126" s="164">
        <f t="shared" ref="BQ126" si="592">(BQ125-32)/1.8</f>
        <v>12.222222222222221</v>
      </c>
      <c r="BR126" s="164">
        <f t="shared" ref="BR126" si="593">(BR125-32)/1.8</f>
        <v>4.4444444444444446</v>
      </c>
      <c r="BS126" s="164">
        <f t="shared" ref="BS126" si="594">(BS125-32)/1.8</f>
        <v>29.444444444444443</v>
      </c>
      <c r="BT126" s="164">
        <f t="shared" ref="BT126" si="595">(BT125-32)/1.8</f>
        <v>15.555555555555555</v>
      </c>
      <c r="BU126" s="147">
        <f t="shared" si="561"/>
        <v>1.0002527469135805</v>
      </c>
      <c r="BV126" s="147">
        <f t="shared" si="578"/>
        <v>0.86952302469135789</v>
      </c>
      <c r="BW126" s="147">
        <f t="shared" si="579"/>
        <v>0.91218326543209893</v>
      </c>
      <c r="BX126" s="43" t="s">
        <v>729</v>
      </c>
    </row>
    <row r="127" spans="1:80" s="20" customFormat="1" ht="30" hidden="1" outlineLevel="1" x14ac:dyDescent="0.25">
      <c r="A127" s="58"/>
      <c r="D127" s="59"/>
      <c r="E127" s="20" t="s">
        <v>369</v>
      </c>
      <c r="F127" s="60" t="s">
        <v>403</v>
      </c>
      <c r="G127" s="60" t="s">
        <v>578</v>
      </c>
      <c r="H127" s="20" t="s">
        <v>577</v>
      </c>
      <c r="I127" s="20" t="s">
        <v>659</v>
      </c>
      <c r="J127" s="20" t="s">
        <v>273</v>
      </c>
      <c r="K127" s="20" t="s">
        <v>156</v>
      </c>
      <c r="L127" s="60"/>
      <c r="N127" s="43" t="str">
        <f t="shared" si="549"/>
        <v>ChlrWtrPosDispPathBAllQRatio_fTchwsTcwsIP</v>
      </c>
      <c r="O127" s="20" t="s">
        <v>165</v>
      </c>
      <c r="P127" s="20" t="s">
        <v>160</v>
      </c>
      <c r="Q127" s="20" t="s">
        <v>139</v>
      </c>
      <c r="R127" s="20" t="s">
        <v>140</v>
      </c>
      <c r="V127" s="61">
        <v>0.33412772176434502</v>
      </c>
      <c r="W127" s="61">
        <v>2.1014608424837773E-2</v>
      </c>
      <c r="X127" s="61">
        <v>-1.023994952908939E-4</v>
      </c>
      <c r="Y127" s="61">
        <v>-1.4070405108950496E-3</v>
      </c>
      <c r="Z127" s="61">
        <v>-2.8515679949124031E-5</v>
      </c>
      <c r="AA127" s="61">
        <v>7.0706471984457265E-5</v>
      </c>
      <c r="AG127" s="158">
        <f t="shared" si="540"/>
        <v>1.21</v>
      </c>
      <c r="AH127" s="158">
        <f t="shared" si="541"/>
        <v>0.93</v>
      </c>
      <c r="AI127" s="158">
        <f t="shared" si="394"/>
        <v>54</v>
      </c>
      <c r="AJ127" s="158">
        <f t="shared" si="418"/>
        <v>40</v>
      </c>
      <c r="AK127" s="158">
        <f t="shared" si="395"/>
        <v>85</v>
      </c>
      <c r="AL127" s="158">
        <f t="shared" si="396"/>
        <v>60</v>
      </c>
      <c r="AM127" s="60"/>
      <c r="AO127" s="43">
        <f t="shared" si="551"/>
        <v>0</v>
      </c>
      <c r="AP127" s="166" t="str">
        <f t="shared" si="552"/>
        <v/>
      </c>
      <c r="AQ127" s="167" t="str">
        <f t="shared" si="553"/>
        <v/>
      </c>
      <c r="AR127" s="166" t="str">
        <f t="shared" si="554"/>
        <v/>
      </c>
      <c r="AS127" s="166" t="str">
        <f t="shared" si="555"/>
        <v/>
      </c>
      <c r="AT127" s="20" t="str">
        <f t="shared" si="556"/>
        <v/>
      </c>
      <c r="AU127" s="43" t="str">
        <f t="shared" si="343"/>
        <v xml:space="preserve">               </v>
      </c>
      <c r="AV127" s="62" t="str">
        <f t="shared" si="550"/>
        <v/>
      </c>
      <c r="AW127" s="20" t="str">
        <f t="shared" si="557"/>
        <v xml:space="preserve">                                                                 </v>
      </c>
      <c r="AX127" s="43" t="str">
        <f t="shared" si="558"/>
        <v/>
      </c>
      <c r="AY127" s="43" t="str">
        <f t="shared" si="558"/>
        <v/>
      </c>
      <c r="AZ127" s="43" t="str">
        <f t="shared" si="558"/>
        <v/>
      </c>
      <c r="BA127" s="43" t="str">
        <f t="shared" si="558"/>
        <v/>
      </c>
      <c r="BB127" s="43" t="str">
        <f t="shared" si="558"/>
        <v/>
      </c>
      <c r="BC127" s="43" t="str">
        <f t="shared" si="558"/>
        <v/>
      </c>
      <c r="BD127" s="43" t="str">
        <f t="shared" si="342"/>
        <v xml:space="preserve">_x000D_
                                                                                </v>
      </c>
      <c r="BE127" s="20" t="str">
        <f t="shared" si="543"/>
        <v/>
      </c>
      <c r="BF127" s="20" t="str">
        <f t="shared" si="544"/>
        <v/>
      </c>
      <c r="BG127" s="20" t="str">
        <f t="shared" si="545"/>
        <v/>
      </c>
      <c r="BH127" s="20" t="str">
        <f t="shared" si="546"/>
        <v/>
      </c>
      <c r="BI127" s="20" t="str">
        <f t="shared" si="547"/>
        <v/>
      </c>
      <c r="BJ127" s="20" t="str">
        <f t="shared" si="548"/>
        <v/>
      </c>
      <c r="BM127" s="43" t="str">
        <f t="shared" si="559"/>
        <v>Tchws</v>
      </c>
      <c r="BN127" s="43" t="str">
        <f t="shared" si="560"/>
        <v>Tcws</v>
      </c>
      <c r="BO127" s="43">
        <v>44</v>
      </c>
      <c r="BP127" s="43">
        <v>85</v>
      </c>
      <c r="BQ127" s="43">
        <v>54</v>
      </c>
      <c r="BR127" s="43">
        <v>40</v>
      </c>
      <c r="BS127" s="43">
        <v>85</v>
      </c>
      <c r="BT127" s="43">
        <v>60</v>
      </c>
      <c r="BU127" s="147">
        <f t="shared" si="561"/>
        <v>0.99934304373740646</v>
      </c>
      <c r="BV127" s="147">
        <f t="shared" si="578"/>
        <v>1.2123297391964303</v>
      </c>
      <c r="BW127" s="147">
        <f t="shared" si="579"/>
        <v>0.92565063998107999</v>
      </c>
      <c r="BX127" s="43" t="s">
        <v>729</v>
      </c>
    </row>
    <row r="128" spans="1:80" s="20" customFormat="1" ht="30" hidden="1" outlineLevel="1" x14ac:dyDescent="0.25">
      <c r="A128" s="58"/>
      <c r="D128" s="59"/>
      <c r="E128" s="20" t="s">
        <v>369</v>
      </c>
      <c r="F128" s="60" t="s">
        <v>403</v>
      </c>
      <c r="G128" s="60" t="s">
        <v>578</v>
      </c>
      <c r="H128" s="20" t="s">
        <v>577</v>
      </c>
      <c r="I128" s="20" t="s">
        <v>660</v>
      </c>
      <c r="J128" s="20" t="s">
        <v>144</v>
      </c>
      <c r="L128" s="60" t="s">
        <v>202</v>
      </c>
      <c r="M128" s="20" t="s">
        <v>248</v>
      </c>
      <c r="N128" s="43" t="str">
        <f t="shared" si="549"/>
        <v>ChlrWtrPosDispPathBAllQRatio_fTchwsTcwsSI</v>
      </c>
      <c r="O128" s="20" t="s">
        <v>165</v>
      </c>
      <c r="P128" s="20" t="s">
        <v>160</v>
      </c>
      <c r="Q128" s="20" t="s">
        <v>139</v>
      </c>
      <c r="R128" s="20" t="s">
        <v>140</v>
      </c>
      <c r="V128" s="61">
        <v>0.899926</v>
      </c>
      <c r="W128" s="61">
        <v>3.01021E-2</v>
      </c>
      <c r="X128" s="61">
        <v>-3.3177599999999999E-4</v>
      </c>
      <c r="Y128" s="61">
        <v>-1.7434799999999999E-3</v>
      </c>
      <c r="Z128" s="61">
        <v>-9.234E-5</v>
      </c>
      <c r="AA128" s="61">
        <v>2.29068E-4</v>
      </c>
      <c r="AG128" s="158">
        <f t="shared" si="540"/>
        <v>1.21</v>
      </c>
      <c r="AH128" s="158">
        <f t="shared" si="541"/>
        <v>0.93</v>
      </c>
      <c r="AI128" s="158">
        <f t="shared" si="394"/>
        <v>12.22</v>
      </c>
      <c r="AJ128" s="158">
        <f t="shared" si="418"/>
        <v>4.4400000000000004</v>
      </c>
      <c r="AK128" s="158">
        <f t="shared" si="395"/>
        <v>29.44</v>
      </c>
      <c r="AL128" s="158">
        <f t="shared" si="396"/>
        <v>15.56</v>
      </c>
      <c r="AM128" s="60"/>
      <c r="AO128" s="43">
        <f t="shared" si="551"/>
        <v>1</v>
      </c>
      <c r="AP128" s="166" t="str">
        <f t="shared" ref="AP128" si="596">IF(AO128=1,CONCATENATE(AQ128,AR128,AS128),"")</f>
        <v>CrvDblQuad     "ChlrWtrPosDispPathBAllQRatio_fTchwsTcwsSI"                      Coef1 =  0.899926  Coef2 =  0.030102  Coef3 = -0.000332  Coef4 = -0.001743  Coef5 = -0.000092  Coef6 =  0.000229  _x000D_
                                                                                MaxOut = 1.210   MinOut = 0.930   MaxVar1 = 12.220   MinVar1 = 4.440   MaxVar2 = 29.440   MinVar2 = 15.560   _x000D_
..</v>
      </c>
      <c r="AQ128" s="167" t="str">
        <f t="shared" ref="AQ128" si="597">IF(AO128=1,CONCATENATE(AT128,AU128,AV128,AW128,IF(AX128="-","",$AX$15&amp;AX128),IF(AY128="-","",$AY$15&amp;AY128),IF(AZ128="-","",$AZ$15&amp;AZ128),IF(BA128="-","",$BA$15&amp;BA128),IF(BB128="-","",$BB$15&amp;BB128),IF(BC128="-","",$BC$15&amp;BC128)),"")</f>
        <v xml:space="preserve">CrvDblQuad     "ChlrWtrPosDispPathBAllQRatio_fTchwsTcwsSI"                      Coef1 =  0.899926  Coef2 =  0.030102  Coef3 = -0.000332  Coef4 = -0.001743  Coef5 = -0.000092  Coef6 =  0.000229  </v>
      </c>
      <c r="AR128" s="166" t="str">
        <f t="shared" ref="AR128" si="598">IF(AO128=1,CONCATENATE(BD128,IF(BE128="-","",$BE$15&amp;BE128),IF(BF128="-","",$BF$15&amp;BF128),IF(BG128="-","",$BG$15&amp;BG128),IF(BH128="-","",$BH$15&amp;BH128),IF(BI128="-","",$BI$15&amp;BI128),IF(BJ128="-","",$BJ$15&amp;BJ128)),"")</f>
        <v xml:space="preserve">_x000D_
                                                                                MaxOut = 1.210   MinOut = 0.930   MaxVar1 = 12.220   MinVar1 = 4.440   MaxVar2 = 29.440   MinVar2 = 15.560   </v>
      </c>
      <c r="AS128" s="166" t="str">
        <f t="shared" ref="AS128" si="599">IF(AO128=1,CHAR(13)&amp;CHAR(10)&amp;"..","")</f>
        <v>_x000D_
..</v>
      </c>
      <c r="AT128" s="20" t="str">
        <f t="shared" ref="AT128" si="600">IF(AO128=1,VLOOKUP(O128,$AT$2:$AV$13,2,0),"")</f>
        <v>CrvDblQuad</v>
      </c>
      <c r="AU128" s="43" t="str">
        <f t="shared" si="343"/>
        <v xml:space="preserve">     </v>
      </c>
      <c r="AV128" s="62" t="str">
        <f t="shared" si="550"/>
        <v>"ChlrWtrPosDispPathBAllQRatio_fTchwsTcwsSI"</v>
      </c>
      <c r="AW128" s="20" t="str">
        <f t="shared" ref="AW128" si="601">REPT(" ",$AW$14-LEN(AV128))</f>
        <v xml:space="preserve">                      </v>
      </c>
      <c r="AX128" s="43" t="str">
        <f t="shared" ref="AX128" si="602">IF($AO128=1,IF(ISBLANK(V128),"-",CONCATENATE(TEXT(V128," 0.000000;-0.000000"),"  ")),"")</f>
        <v xml:space="preserve"> 0.899926  </v>
      </c>
      <c r="AY128" s="43" t="str">
        <f t="shared" ref="AY128" si="603">IF($AO128=1,IF(ISBLANK(W128),"-",CONCATENATE(TEXT(W128," 0.000000;-0.000000"),"  ")),"")</f>
        <v xml:space="preserve"> 0.030102  </v>
      </c>
      <c r="AZ128" s="43" t="str">
        <f t="shared" ref="AZ128" si="604">IF($AO128=1,IF(ISBLANK(X128),"-",CONCATENATE(TEXT(X128," 0.000000;-0.000000"),"  ")),"")</f>
        <v xml:space="preserve">-0.000332  </v>
      </c>
      <c r="BA128" s="43" t="str">
        <f t="shared" ref="BA128" si="605">IF($AO128=1,IF(ISBLANK(Y128),"-",CONCATENATE(TEXT(Y128," 0.000000;-0.000000"),"  ")),"")</f>
        <v xml:space="preserve">-0.001743  </v>
      </c>
      <c r="BB128" s="43" t="str">
        <f t="shared" ref="BB128" si="606">IF($AO128=1,IF(ISBLANK(Z128),"-",CONCATENATE(TEXT(Z128," 0.000000;-0.000000"),"  ")),"")</f>
        <v xml:space="preserve">-0.000092  </v>
      </c>
      <c r="BC128" s="43" t="str">
        <f t="shared" ref="BC128" si="607">IF($AO128=1,IF(ISBLANK(AA128),"-",CONCATENATE(TEXT(AA128," 0.000000;-0.000000"),"  ")),"")</f>
        <v xml:space="preserve"> 0.000229  </v>
      </c>
      <c r="BD128" s="43" t="str">
        <f t="shared" si="342"/>
        <v xml:space="preserve">_x000D_
                                                                                </v>
      </c>
      <c r="BE128" s="20" t="str">
        <f t="shared" si="543"/>
        <v xml:space="preserve">1.210   </v>
      </c>
      <c r="BF128" s="20" t="str">
        <f t="shared" si="544"/>
        <v xml:space="preserve">0.930   </v>
      </c>
      <c r="BG128" s="20" t="str">
        <f t="shared" si="545"/>
        <v xml:space="preserve">12.220   </v>
      </c>
      <c r="BH128" s="20" t="str">
        <f t="shared" si="546"/>
        <v xml:space="preserve">4.440   </v>
      </c>
      <c r="BI128" s="20" t="str">
        <f t="shared" si="547"/>
        <v xml:space="preserve">29.440   </v>
      </c>
      <c r="BJ128" s="20" t="str">
        <f t="shared" si="548"/>
        <v xml:space="preserve">15.560   </v>
      </c>
      <c r="BM128" s="43" t="str">
        <f t="shared" si="559"/>
        <v>Tchws</v>
      </c>
      <c r="BN128" s="43" t="str">
        <f t="shared" si="560"/>
        <v>Tcws</v>
      </c>
      <c r="BO128" s="164">
        <f>(BO127-32)/1.8</f>
        <v>6.6666666666666661</v>
      </c>
      <c r="BP128" s="164">
        <f>(BP127-32)/1.8</f>
        <v>29.444444444444443</v>
      </c>
      <c r="BQ128" s="164">
        <f t="shared" ref="BQ128" si="608">(BQ127-32)/1.8</f>
        <v>12.222222222222221</v>
      </c>
      <c r="BR128" s="164">
        <f t="shared" ref="BR128" si="609">(BR127-32)/1.8</f>
        <v>4.4444444444444446</v>
      </c>
      <c r="BS128" s="164">
        <f t="shared" ref="BS128" si="610">(BS127-32)/1.8</f>
        <v>29.444444444444443</v>
      </c>
      <c r="BT128" s="164">
        <f t="shared" ref="BT128" si="611">(BT127-32)/1.8</f>
        <v>15.555555555555555</v>
      </c>
      <c r="BU128" s="147">
        <f t="shared" si="561"/>
        <v>0.99943396666666695</v>
      </c>
      <c r="BV128" s="147">
        <f t="shared" si="578"/>
        <v>1.2123653555555554</v>
      </c>
      <c r="BW128" s="147">
        <f t="shared" si="579"/>
        <v>0.92574401111111115</v>
      </c>
      <c r="BX128" s="43" t="s">
        <v>729</v>
      </c>
    </row>
    <row r="129" spans="1:76" s="20" customFormat="1" ht="30" hidden="1" outlineLevel="1" x14ac:dyDescent="0.25">
      <c r="A129" s="58"/>
      <c r="D129" s="59"/>
      <c r="E129" s="20" t="s">
        <v>369</v>
      </c>
      <c r="F129" s="60" t="s">
        <v>403</v>
      </c>
      <c r="G129" s="60" t="s">
        <v>575</v>
      </c>
      <c r="H129" s="20" t="s">
        <v>579</v>
      </c>
      <c r="I129" s="20" t="s">
        <v>659</v>
      </c>
      <c r="J129" s="20" t="s">
        <v>273</v>
      </c>
      <c r="K129" s="20" t="s">
        <v>156</v>
      </c>
      <c r="L129" s="60"/>
      <c r="N129" s="43" t="str">
        <f t="shared" si="549"/>
        <v>ChlrWtrCentPathBLt300tonQRatio_fTchwsTcwsIP</v>
      </c>
      <c r="O129" s="20" t="s">
        <v>165</v>
      </c>
      <c r="P129" s="20" t="s">
        <v>160</v>
      </c>
      <c r="Q129" s="20" t="s">
        <v>139</v>
      </c>
      <c r="R129" s="20" t="s">
        <v>140</v>
      </c>
      <c r="V129" s="169">
        <v>0.180980075767812</v>
      </c>
      <c r="W129" s="169">
        <v>3.1844233813172598E-2</v>
      </c>
      <c r="X129" s="169">
        <v>-1.54148946419477E-4</v>
      </c>
      <c r="Y129" s="169">
        <v>9.5659058164194507E-3</v>
      </c>
      <c r="Z129" s="169">
        <v>-1.3547016191585101E-4</v>
      </c>
      <c r="AA129" s="169">
        <v>-5.3197437829929998E-5</v>
      </c>
      <c r="AG129" s="158">
        <f t="shared" si="540"/>
        <v>1.36</v>
      </c>
      <c r="AH129" s="158">
        <f t="shared" si="541"/>
        <v>0.86</v>
      </c>
      <c r="AI129" s="158">
        <f t="shared" si="394"/>
        <v>54</v>
      </c>
      <c r="AJ129" s="158">
        <f t="shared" si="418"/>
        <v>40</v>
      </c>
      <c r="AK129" s="158">
        <f t="shared" si="395"/>
        <v>85</v>
      </c>
      <c r="AL129" s="158">
        <f t="shared" si="396"/>
        <v>60</v>
      </c>
      <c r="AM129" s="60"/>
      <c r="AO129" s="43">
        <f t="shared" si="551"/>
        <v>0</v>
      </c>
      <c r="AP129" s="166" t="str">
        <f t="shared" si="552"/>
        <v/>
      </c>
      <c r="AQ129" s="167" t="str">
        <f t="shared" si="553"/>
        <v/>
      </c>
      <c r="AR129" s="166" t="str">
        <f t="shared" si="554"/>
        <v/>
      </c>
      <c r="AS129" s="166" t="str">
        <f t="shared" si="555"/>
        <v/>
      </c>
      <c r="AT129" s="20" t="str">
        <f t="shared" si="556"/>
        <v/>
      </c>
      <c r="AU129" s="43" t="str">
        <f t="shared" si="343"/>
        <v xml:space="preserve">               </v>
      </c>
      <c r="AV129" s="62" t="str">
        <f t="shared" si="550"/>
        <v/>
      </c>
      <c r="AW129" s="20" t="str">
        <f t="shared" si="557"/>
        <v xml:space="preserve">                                                                 </v>
      </c>
      <c r="AX129" s="43" t="str">
        <f t="shared" si="558"/>
        <v/>
      </c>
      <c r="AY129" s="43" t="str">
        <f t="shared" si="558"/>
        <v/>
      </c>
      <c r="AZ129" s="43" t="str">
        <f t="shared" si="558"/>
        <v/>
      </c>
      <c r="BA129" s="43" t="str">
        <f t="shared" si="558"/>
        <v/>
      </c>
      <c r="BB129" s="43" t="str">
        <f t="shared" si="558"/>
        <v/>
      </c>
      <c r="BC129" s="43" t="str">
        <f t="shared" si="558"/>
        <v/>
      </c>
      <c r="BD129" s="43" t="str">
        <f t="shared" si="342"/>
        <v xml:space="preserve">_x000D_
                                                                                </v>
      </c>
      <c r="BE129" s="20" t="str">
        <f t="shared" si="543"/>
        <v/>
      </c>
      <c r="BF129" s="20" t="str">
        <f t="shared" si="544"/>
        <v/>
      </c>
      <c r="BG129" s="20" t="str">
        <f t="shared" si="545"/>
        <v/>
      </c>
      <c r="BH129" s="20" t="str">
        <f t="shared" si="546"/>
        <v/>
      </c>
      <c r="BI129" s="20" t="str">
        <f t="shared" si="547"/>
        <v/>
      </c>
      <c r="BJ129" s="20" t="str">
        <f t="shared" si="548"/>
        <v/>
      </c>
      <c r="BM129" s="75" t="str">
        <f t="shared" si="559"/>
        <v>Tchws</v>
      </c>
      <c r="BN129" s="75" t="str">
        <f t="shared" si="560"/>
        <v>Tcws</v>
      </c>
      <c r="BO129" s="75">
        <v>44</v>
      </c>
      <c r="BP129" s="75">
        <v>85</v>
      </c>
      <c r="BQ129" s="75">
        <v>54</v>
      </c>
      <c r="BR129" s="75">
        <v>40</v>
      </c>
      <c r="BS129" s="75">
        <v>85</v>
      </c>
      <c r="BT129" s="75">
        <v>60</v>
      </c>
      <c r="BU129" s="162">
        <f t="shared" si="561"/>
        <v>0.91906566034899051</v>
      </c>
      <c r="BV129" s="162">
        <f t="shared" si="578"/>
        <v>1.3649724414390676</v>
      </c>
      <c r="BW129" s="162">
        <f t="shared" si="579"/>
        <v>0.86156989995542044</v>
      </c>
      <c r="BX129" s="43" t="s">
        <v>729</v>
      </c>
    </row>
    <row r="130" spans="1:76" s="20" customFormat="1" ht="30" hidden="1" outlineLevel="1" x14ac:dyDescent="0.25">
      <c r="A130" s="58"/>
      <c r="D130" s="59"/>
      <c r="E130" s="20" t="s">
        <v>369</v>
      </c>
      <c r="F130" s="60" t="s">
        <v>403</v>
      </c>
      <c r="G130" s="60" t="s">
        <v>575</v>
      </c>
      <c r="H130" s="20" t="s">
        <v>579</v>
      </c>
      <c r="I130" s="20" t="s">
        <v>660</v>
      </c>
      <c r="J130" s="20" t="s">
        <v>144</v>
      </c>
      <c r="L130" s="60" t="s">
        <v>202</v>
      </c>
      <c r="M130" s="20" t="s">
        <v>248</v>
      </c>
      <c r="N130" s="43" t="str">
        <f t="shared" si="549"/>
        <v>ChlrWtrCentPathBLt300tonQRatio_fTchwsTcwsSI</v>
      </c>
      <c r="O130" s="20" t="s">
        <v>165</v>
      </c>
      <c r="P130" s="20" t="s">
        <v>160</v>
      </c>
      <c r="Q130" s="20" t="s">
        <v>139</v>
      </c>
      <c r="R130" s="20" t="s">
        <v>140</v>
      </c>
      <c r="V130" s="169">
        <v>1.1550800000000001</v>
      </c>
      <c r="W130" s="169">
        <v>3.6502899999999998E-2</v>
      </c>
      <c r="X130" s="169">
        <v>-4.9928400000000001E-4</v>
      </c>
      <c r="Y130" s="169">
        <v>-1.4553000000000001E-3</v>
      </c>
      <c r="Z130" s="169">
        <v>-4.3901999999999998E-4</v>
      </c>
      <c r="AA130" s="169">
        <v>-1.72368E-4</v>
      </c>
      <c r="AG130" s="158">
        <f t="shared" si="540"/>
        <v>1.37</v>
      </c>
      <c r="AH130" s="158">
        <f t="shared" si="541"/>
        <v>0.86</v>
      </c>
      <c r="AI130" s="158">
        <f t="shared" si="394"/>
        <v>12.22</v>
      </c>
      <c r="AJ130" s="158">
        <f t="shared" si="418"/>
        <v>4.4400000000000004</v>
      </c>
      <c r="AK130" s="158">
        <f t="shared" si="395"/>
        <v>29.44</v>
      </c>
      <c r="AL130" s="158">
        <f t="shared" si="396"/>
        <v>15.56</v>
      </c>
      <c r="AM130" s="60"/>
      <c r="AO130" s="43">
        <f t="shared" si="551"/>
        <v>1</v>
      </c>
      <c r="AP130" s="166" t="str">
        <f t="shared" ref="AP130" si="612">IF(AO130=1,CONCATENATE(AQ130,AR130,AS130),"")</f>
        <v>CrvDblQuad     "ChlrWtrCentPathBLt300tonQRatio_fTchwsTcwsSI"                    Coef1 =  1.155080  Coef2 =  0.036503  Coef3 = -0.000499  Coef4 = -0.001455  Coef5 = -0.000439  Coef6 = -0.000172  _x000D_
                                                                                MaxOut = 1.370   MinOut = 0.860   MaxVar1 = 12.220   MinVar1 = 4.440   MaxVar2 = 29.440   MinVar2 = 15.560   _x000D_
..</v>
      </c>
      <c r="AQ130" s="167" t="str">
        <f t="shared" ref="AQ130" si="613">IF(AO130=1,CONCATENATE(AT130,AU130,AV130,AW130,IF(AX130="-","",$AX$15&amp;AX130),IF(AY130="-","",$AY$15&amp;AY130),IF(AZ130="-","",$AZ$15&amp;AZ130),IF(BA130="-","",$BA$15&amp;BA130),IF(BB130="-","",$BB$15&amp;BB130),IF(BC130="-","",$BC$15&amp;BC130)),"")</f>
        <v xml:space="preserve">CrvDblQuad     "ChlrWtrCentPathBLt300tonQRatio_fTchwsTcwsSI"                    Coef1 =  1.155080  Coef2 =  0.036503  Coef3 = -0.000499  Coef4 = -0.001455  Coef5 = -0.000439  Coef6 = -0.000172  </v>
      </c>
      <c r="AR130" s="166" t="str">
        <f t="shared" ref="AR130" si="614">IF(AO130=1,CONCATENATE(BD130,IF(BE130="-","",$BE$15&amp;BE130),IF(BF130="-","",$BF$15&amp;BF130),IF(BG130="-","",$BG$15&amp;BG130),IF(BH130="-","",$BH$15&amp;BH130),IF(BI130="-","",$BI$15&amp;BI130),IF(BJ130="-","",$BJ$15&amp;BJ130)),"")</f>
        <v xml:space="preserve">_x000D_
                                                                                MaxOut = 1.370   MinOut = 0.860   MaxVar1 = 12.220   MinVar1 = 4.440   MaxVar2 = 29.440   MinVar2 = 15.560   </v>
      </c>
      <c r="AS130" s="166" t="str">
        <f t="shared" ref="AS130" si="615">IF(AO130=1,CHAR(13)&amp;CHAR(10)&amp;"..","")</f>
        <v>_x000D_
..</v>
      </c>
      <c r="AT130" s="20" t="str">
        <f t="shared" ref="AT130" si="616">IF(AO130=1,VLOOKUP(O130,$AT$2:$AV$13,2,0),"")</f>
        <v>CrvDblQuad</v>
      </c>
      <c r="AU130" s="43" t="str">
        <f t="shared" si="343"/>
        <v xml:space="preserve">     </v>
      </c>
      <c r="AV130" s="62" t="str">
        <f t="shared" si="550"/>
        <v>"ChlrWtrCentPathBLt300tonQRatio_fTchwsTcwsSI"</v>
      </c>
      <c r="AW130" s="20" t="str">
        <f t="shared" ref="AW130" si="617">REPT(" ",$AW$14-LEN(AV130))</f>
        <v xml:space="preserve">                    </v>
      </c>
      <c r="AX130" s="43" t="str">
        <f t="shared" ref="AX130" si="618">IF($AO130=1,IF(ISBLANK(V130),"-",CONCATENATE(TEXT(V130," 0.000000;-0.000000"),"  ")),"")</f>
        <v xml:space="preserve"> 1.155080  </v>
      </c>
      <c r="AY130" s="43" t="str">
        <f t="shared" ref="AY130" si="619">IF($AO130=1,IF(ISBLANK(W130),"-",CONCATENATE(TEXT(W130," 0.000000;-0.000000"),"  ")),"")</f>
        <v xml:space="preserve"> 0.036503  </v>
      </c>
      <c r="AZ130" s="43" t="str">
        <f t="shared" ref="AZ130" si="620">IF($AO130=1,IF(ISBLANK(X130),"-",CONCATENATE(TEXT(X130," 0.000000;-0.000000"),"  ")),"")</f>
        <v xml:space="preserve">-0.000499  </v>
      </c>
      <c r="BA130" s="43" t="str">
        <f t="shared" ref="BA130" si="621">IF($AO130=1,IF(ISBLANK(Y130),"-",CONCATENATE(TEXT(Y130," 0.000000;-0.000000"),"  ")),"")</f>
        <v xml:space="preserve">-0.001455  </v>
      </c>
      <c r="BB130" s="43" t="str">
        <f t="shared" ref="BB130" si="622">IF($AO130=1,IF(ISBLANK(Z130),"-",CONCATENATE(TEXT(Z130," 0.000000;-0.000000"),"  ")),"")</f>
        <v xml:space="preserve">-0.000439  </v>
      </c>
      <c r="BC130" s="43" t="str">
        <f t="shared" ref="BC130" si="623">IF($AO130=1,IF(ISBLANK(AA130),"-",CONCATENATE(TEXT(AA130," 0.000000;-0.000000"),"  ")),"")</f>
        <v xml:space="preserve">-0.000172  </v>
      </c>
      <c r="BD130" s="43" t="str">
        <f t="shared" si="342"/>
        <v xml:space="preserve">_x000D_
                                                                                </v>
      </c>
      <c r="BE130" s="20" t="str">
        <f t="shared" si="543"/>
        <v xml:space="preserve">1.370   </v>
      </c>
      <c r="BF130" s="20" t="str">
        <f t="shared" si="544"/>
        <v xml:space="preserve">0.860   </v>
      </c>
      <c r="BG130" s="20" t="str">
        <f t="shared" si="545"/>
        <v xml:space="preserve">12.220   </v>
      </c>
      <c r="BH130" s="20" t="str">
        <f t="shared" si="546"/>
        <v xml:space="preserve">4.440   </v>
      </c>
      <c r="BI130" s="20" t="str">
        <f t="shared" si="547"/>
        <v xml:space="preserve">29.440   </v>
      </c>
      <c r="BJ130" s="20" t="str">
        <f t="shared" si="548"/>
        <v xml:space="preserve">15.560   </v>
      </c>
      <c r="BM130" s="75" t="str">
        <f t="shared" si="559"/>
        <v>Tchws</v>
      </c>
      <c r="BN130" s="75" t="str">
        <f t="shared" si="560"/>
        <v>Tcws</v>
      </c>
      <c r="BO130" s="165">
        <f>(BO129-32)/1.8</f>
        <v>6.6666666666666661</v>
      </c>
      <c r="BP130" s="165">
        <f>(BP129-32)/1.8</f>
        <v>29.444444444444443</v>
      </c>
      <c r="BQ130" s="165">
        <f t="shared" ref="BQ130" si="624">(BQ129-32)/1.8</f>
        <v>12.222222222222221</v>
      </c>
      <c r="BR130" s="165">
        <f t="shared" ref="BR130" si="625">(BR129-32)/1.8</f>
        <v>4.4444444444444446</v>
      </c>
      <c r="BS130" s="165">
        <f t="shared" ref="BS130" si="626">(BS129-32)/1.8</f>
        <v>29.444444444444443</v>
      </c>
      <c r="BT130" s="165">
        <f t="shared" ref="BT130" si="627">(BT129-32)/1.8</f>
        <v>15.555555555555555</v>
      </c>
      <c r="BU130" s="162">
        <f t="shared" si="561"/>
        <v>0.91893706666666697</v>
      </c>
      <c r="BV130" s="162">
        <f t="shared" si="578"/>
        <v>1.3650009555555558</v>
      </c>
      <c r="BW130" s="162">
        <f t="shared" si="579"/>
        <v>0.86142591111111133</v>
      </c>
      <c r="BX130" s="43" t="s">
        <v>729</v>
      </c>
    </row>
    <row r="131" spans="1:76" s="20" customFormat="1" ht="30" hidden="1" outlineLevel="1" x14ac:dyDescent="0.25">
      <c r="A131" s="58"/>
      <c r="D131" s="59"/>
      <c r="E131" s="20" t="s">
        <v>369</v>
      </c>
      <c r="F131" s="60" t="s">
        <v>403</v>
      </c>
      <c r="G131" s="60" t="s">
        <v>576</v>
      </c>
      <c r="H131" s="20" t="s">
        <v>581</v>
      </c>
      <c r="I131" s="20" t="s">
        <v>659</v>
      </c>
      <c r="J131" s="20" t="s">
        <v>273</v>
      </c>
      <c r="K131" s="20" t="s">
        <v>156</v>
      </c>
      <c r="L131" s="60"/>
      <c r="N131" s="43" t="str">
        <f t="shared" si="549"/>
        <v>ChlrWtrCentPathBGtEql300Lt600tonQRatio_fTchwsTcwsIP</v>
      </c>
      <c r="O131" s="20" t="s">
        <v>165</v>
      </c>
      <c r="P131" s="20" t="s">
        <v>160</v>
      </c>
      <c r="Q131" s="20" t="s">
        <v>139</v>
      </c>
      <c r="R131" s="20" t="s">
        <v>140</v>
      </c>
      <c r="V131" s="170">
        <v>0.36395821345515</v>
      </c>
      <c r="W131" s="170">
        <v>4.5022276165276799E-2</v>
      </c>
      <c r="X131" s="170">
        <v>-2.7421752147293801E-4</v>
      </c>
      <c r="Y131" s="170">
        <v>-2.0279774560278399E-3</v>
      </c>
      <c r="Z131" s="170">
        <v>-8.8275407892004397E-5</v>
      </c>
      <c r="AA131" s="170">
        <v>-1.2166494630908699E-5</v>
      </c>
      <c r="AG131" s="158">
        <f t="shared" si="540"/>
        <v>1.52</v>
      </c>
      <c r="AH131" s="158">
        <f t="shared" si="541"/>
        <v>0.87</v>
      </c>
      <c r="AI131" s="158">
        <f t="shared" si="394"/>
        <v>54</v>
      </c>
      <c r="AJ131" s="158">
        <f t="shared" si="418"/>
        <v>40</v>
      </c>
      <c r="AK131" s="158">
        <f t="shared" si="395"/>
        <v>85</v>
      </c>
      <c r="AL131" s="158">
        <f t="shared" si="396"/>
        <v>60</v>
      </c>
      <c r="AM131" s="60"/>
      <c r="AO131" s="43">
        <f t="shared" si="551"/>
        <v>0</v>
      </c>
      <c r="AP131" s="166" t="str">
        <f t="shared" si="552"/>
        <v/>
      </c>
      <c r="AQ131" s="167" t="str">
        <f t="shared" si="553"/>
        <v/>
      </c>
      <c r="AR131" s="166" t="str">
        <f t="shared" si="554"/>
        <v/>
      </c>
      <c r="AS131" s="166" t="str">
        <f t="shared" si="555"/>
        <v/>
      </c>
      <c r="AT131" s="20" t="str">
        <f t="shared" si="556"/>
        <v/>
      </c>
      <c r="AU131" s="43" t="str">
        <f t="shared" si="343"/>
        <v xml:space="preserve">               </v>
      </c>
      <c r="AV131" s="62" t="str">
        <f t="shared" si="550"/>
        <v/>
      </c>
      <c r="AW131" s="20" t="str">
        <f t="shared" si="557"/>
        <v xml:space="preserve">                                                                 </v>
      </c>
      <c r="AX131" s="43" t="str">
        <f t="shared" si="558"/>
        <v/>
      </c>
      <c r="AY131" s="43" t="str">
        <f t="shared" si="558"/>
        <v/>
      </c>
      <c r="AZ131" s="43" t="str">
        <f t="shared" si="558"/>
        <v/>
      </c>
      <c r="BA131" s="43" t="str">
        <f t="shared" si="558"/>
        <v/>
      </c>
      <c r="BB131" s="43" t="str">
        <f t="shared" si="558"/>
        <v/>
      </c>
      <c r="BC131" s="43" t="str">
        <f t="shared" si="558"/>
        <v/>
      </c>
      <c r="BD131" s="43" t="str">
        <f t="shared" si="342"/>
        <v xml:space="preserve">_x000D_
                                                                                </v>
      </c>
      <c r="BE131" s="20" t="str">
        <f t="shared" si="543"/>
        <v/>
      </c>
      <c r="BF131" s="20" t="str">
        <f t="shared" si="544"/>
        <v/>
      </c>
      <c r="BG131" s="20" t="str">
        <f t="shared" si="545"/>
        <v/>
      </c>
      <c r="BH131" s="20" t="str">
        <f t="shared" si="546"/>
        <v/>
      </c>
      <c r="BI131" s="20" t="str">
        <f t="shared" si="547"/>
        <v/>
      </c>
      <c r="BJ131" s="20" t="str">
        <f t="shared" si="548"/>
        <v/>
      </c>
      <c r="BM131" s="43" t="str">
        <f t="shared" si="559"/>
        <v>Tchws</v>
      </c>
      <c r="BN131" s="43" t="str">
        <f t="shared" si="560"/>
        <v>Tcws</v>
      </c>
      <c r="BO131" s="43">
        <v>44</v>
      </c>
      <c r="BP131" s="43">
        <v>85</v>
      </c>
      <c r="BQ131" s="43">
        <v>54</v>
      </c>
      <c r="BR131" s="43">
        <v>40</v>
      </c>
      <c r="BS131" s="43">
        <v>85</v>
      </c>
      <c r="BT131" s="43">
        <v>60</v>
      </c>
      <c r="BU131" s="147">
        <f t="shared" si="561"/>
        <v>0.95838264745402468</v>
      </c>
      <c r="BV131" s="147">
        <f t="shared" si="578"/>
        <v>1.5166532753879793</v>
      </c>
      <c r="BW131" s="147">
        <f t="shared" si="579"/>
        <v>0.87456723818233351</v>
      </c>
      <c r="BX131" s="43" t="s">
        <v>729</v>
      </c>
    </row>
    <row r="132" spans="1:76" s="20" customFormat="1" ht="30" hidden="1" outlineLevel="1" x14ac:dyDescent="0.25">
      <c r="A132" s="58"/>
      <c r="D132" s="59"/>
      <c r="E132" s="20" t="s">
        <v>369</v>
      </c>
      <c r="F132" s="60" t="s">
        <v>403</v>
      </c>
      <c r="G132" s="60" t="s">
        <v>576</v>
      </c>
      <c r="H132" s="20" t="s">
        <v>581</v>
      </c>
      <c r="I132" s="20" t="s">
        <v>660</v>
      </c>
      <c r="J132" s="20" t="s">
        <v>144</v>
      </c>
      <c r="L132" s="60" t="s">
        <v>202</v>
      </c>
      <c r="M132" s="20" t="s">
        <v>248</v>
      </c>
      <c r="N132" s="43" t="str">
        <f t="shared" si="549"/>
        <v>ChlrWtrCentPathBGtEql300Lt600tonQRatio_fTchwsTcwsSI</v>
      </c>
      <c r="O132" s="20" t="s">
        <v>165</v>
      </c>
      <c r="P132" s="20" t="s">
        <v>160</v>
      </c>
      <c r="Q132" s="20" t="s">
        <v>139</v>
      </c>
      <c r="R132" s="20" t="s">
        <v>140</v>
      </c>
      <c r="V132" s="170">
        <v>1.35608</v>
      </c>
      <c r="W132" s="170">
        <v>4.8749599999999997E-2</v>
      </c>
      <c r="X132" s="170">
        <v>-8.8840800000000004E-4</v>
      </c>
      <c r="Y132" s="170">
        <v>-1.45253E-2</v>
      </c>
      <c r="Z132" s="170">
        <v>-2.86092E-4</v>
      </c>
      <c r="AA132" s="170">
        <v>-3.9527999999999998E-5</v>
      </c>
      <c r="AG132" s="158">
        <f t="shared" si="540"/>
        <v>1.52</v>
      </c>
      <c r="AH132" s="158">
        <f t="shared" si="541"/>
        <v>0.87</v>
      </c>
      <c r="AI132" s="158">
        <f t="shared" si="394"/>
        <v>12.22</v>
      </c>
      <c r="AJ132" s="158">
        <f t="shared" si="418"/>
        <v>4.4400000000000004</v>
      </c>
      <c r="AK132" s="158">
        <f t="shared" si="395"/>
        <v>29.44</v>
      </c>
      <c r="AL132" s="158">
        <f t="shared" si="396"/>
        <v>15.56</v>
      </c>
      <c r="AM132" s="60"/>
      <c r="AO132" s="43">
        <f t="shared" si="551"/>
        <v>1</v>
      </c>
      <c r="AP132" s="166" t="str">
        <f t="shared" ref="AP132" si="628">IF(AO132=1,CONCATENATE(AQ132,AR132,AS132),"")</f>
        <v>CrvDblQuad     "ChlrWtrCentPathBGtEql300Lt600tonQRatio_fTchwsTcwsSI"            Coef1 =  1.356080  Coef2 =  0.048750  Coef3 = -0.000888  Coef4 = -0.014525  Coef5 = -0.000286  Coef6 = -0.000040  _x000D_
                                                                                MaxOut = 1.520   MinOut = 0.870   MaxVar1 = 12.220   MinVar1 = 4.440   MaxVar2 = 29.440   MinVar2 = 15.560   _x000D_
..</v>
      </c>
      <c r="AQ132" s="167" t="str">
        <f t="shared" ref="AQ132" si="629">IF(AO132=1,CONCATENATE(AT132,AU132,AV132,AW132,IF(AX132="-","",$AX$15&amp;AX132),IF(AY132="-","",$AY$15&amp;AY132),IF(AZ132="-","",$AZ$15&amp;AZ132),IF(BA132="-","",$BA$15&amp;BA132),IF(BB132="-","",$BB$15&amp;BB132),IF(BC132="-","",$BC$15&amp;BC132)),"")</f>
        <v xml:space="preserve">CrvDblQuad     "ChlrWtrCentPathBGtEql300Lt600tonQRatio_fTchwsTcwsSI"            Coef1 =  1.356080  Coef2 =  0.048750  Coef3 = -0.000888  Coef4 = -0.014525  Coef5 = -0.000286  Coef6 = -0.000040  </v>
      </c>
      <c r="AR132" s="166" t="str">
        <f t="shared" ref="AR132" si="630">IF(AO132=1,CONCATENATE(BD132,IF(BE132="-","",$BE$15&amp;BE132),IF(BF132="-","",$BF$15&amp;BF132),IF(BG132="-","",$BG$15&amp;BG132),IF(BH132="-","",$BH$15&amp;BH132),IF(BI132="-","",$BI$15&amp;BI132),IF(BJ132="-","",$BJ$15&amp;BJ132)),"")</f>
        <v xml:space="preserve">_x000D_
                                                                                MaxOut = 1.520   MinOut = 0.870   MaxVar1 = 12.220   MinVar1 = 4.440   MaxVar2 = 29.440   MinVar2 = 15.560   </v>
      </c>
      <c r="AS132" s="166" t="str">
        <f t="shared" ref="AS132" si="631">IF(AO132=1,CHAR(13)&amp;CHAR(10)&amp;"..","")</f>
        <v>_x000D_
..</v>
      </c>
      <c r="AT132" s="20" t="str">
        <f t="shared" ref="AT132" si="632">IF(AO132=1,VLOOKUP(O132,$AT$2:$AV$13,2,0),"")</f>
        <v>CrvDblQuad</v>
      </c>
      <c r="AU132" s="43" t="str">
        <f t="shared" si="343"/>
        <v xml:space="preserve">     </v>
      </c>
      <c r="AV132" s="62" t="str">
        <f t="shared" si="550"/>
        <v>"ChlrWtrCentPathBGtEql300Lt600tonQRatio_fTchwsTcwsSI"</v>
      </c>
      <c r="AW132" s="20" t="str">
        <f t="shared" ref="AW132" si="633">REPT(" ",$AW$14-LEN(AV132))</f>
        <v xml:space="preserve">            </v>
      </c>
      <c r="AX132" s="43" t="str">
        <f t="shared" ref="AX132" si="634">IF($AO132=1,IF(ISBLANK(V132),"-",CONCATENATE(TEXT(V132," 0.000000;-0.000000"),"  ")),"")</f>
        <v xml:space="preserve"> 1.356080  </v>
      </c>
      <c r="AY132" s="43" t="str">
        <f t="shared" ref="AY132" si="635">IF($AO132=1,IF(ISBLANK(W132),"-",CONCATENATE(TEXT(W132," 0.000000;-0.000000"),"  ")),"")</f>
        <v xml:space="preserve"> 0.048750  </v>
      </c>
      <c r="AZ132" s="43" t="str">
        <f t="shared" ref="AZ132" si="636">IF($AO132=1,IF(ISBLANK(X132),"-",CONCATENATE(TEXT(X132," 0.000000;-0.000000"),"  ")),"")</f>
        <v xml:space="preserve">-0.000888  </v>
      </c>
      <c r="BA132" s="43" t="str">
        <f t="shared" ref="BA132" si="637">IF($AO132=1,IF(ISBLANK(Y132),"-",CONCATENATE(TEXT(Y132," 0.000000;-0.000000"),"  ")),"")</f>
        <v xml:space="preserve">-0.014525  </v>
      </c>
      <c r="BB132" s="43" t="str">
        <f t="shared" ref="BB132" si="638">IF($AO132=1,IF(ISBLANK(Z132),"-",CONCATENATE(TEXT(Z132," 0.000000;-0.000000"),"  ")),"")</f>
        <v xml:space="preserve">-0.000286  </v>
      </c>
      <c r="BC132" s="43" t="str">
        <f t="shared" ref="BC132" si="639">IF($AO132=1,IF(ISBLANK(AA132),"-",CONCATENATE(TEXT(AA132," 0.000000;-0.000000"),"  ")),"")</f>
        <v xml:space="preserve">-0.000040  </v>
      </c>
      <c r="BD132" s="43" t="str">
        <f t="shared" si="342"/>
        <v xml:space="preserve">_x000D_
                                                                                </v>
      </c>
      <c r="BE132" s="20" t="str">
        <f t="shared" si="543"/>
        <v xml:space="preserve">1.520   </v>
      </c>
      <c r="BF132" s="20" t="str">
        <f t="shared" si="544"/>
        <v xml:space="preserve">0.870   </v>
      </c>
      <c r="BG132" s="20" t="str">
        <f t="shared" si="545"/>
        <v xml:space="preserve">12.220   </v>
      </c>
      <c r="BH132" s="20" t="str">
        <f t="shared" si="546"/>
        <v xml:space="preserve">4.440   </v>
      </c>
      <c r="BI132" s="20" t="str">
        <f t="shared" si="547"/>
        <v xml:space="preserve">29.440   </v>
      </c>
      <c r="BJ132" s="20" t="str">
        <f t="shared" si="548"/>
        <v xml:space="preserve">15.560   </v>
      </c>
      <c r="BM132" s="43" t="str">
        <f t="shared" si="559"/>
        <v>Tchws</v>
      </c>
      <c r="BN132" s="43" t="str">
        <f t="shared" si="560"/>
        <v>Tcws</v>
      </c>
      <c r="BO132" s="164">
        <f>(BO131-32)/1.8</f>
        <v>6.6666666666666661</v>
      </c>
      <c r="BP132" s="164">
        <f>(BP131-32)/1.8</f>
        <v>29.444444444444443</v>
      </c>
      <c r="BQ132" s="164">
        <f t="shared" ref="BQ132" si="640">(BQ131-32)/1.8</f>
        <v>12.222222222222221</v>
      </c>
      <c r="BR132" s="164">
        <f t="shared" ref="BR132" si="641">(BR131-32)/1.8</f>
        <v>4.4444444444444446</v>
      </c>
      <c r="BS132" s="164">
        <f t="shared" ref="BS132" si="642">(BS131-32)/1.8</f>
        <v>29.444444444444443</v>
      </c>
      <c r="BT132" s="164">
        <f t="shared" ref="BT132" si="643">(BT131-32)/1.8</f>
        <v>15.555555555555555</v>
      </c>
      <c r="BU132" s="147">
        <f t="shared" si="561"/>
        <v>0.95810924444444445</v>
      </c>
      <c r="BV132" s="147">
        <f t="shared" si="578"/>
        <v>1.5165041333333331</v>
      </c>
      <c r="BW132" s="147">
        <f t="shared" si="579"/>
        <v>0.87429920000000017</v>
      </c>
      <c r="BX132" s="43" t="s">
        <v>729</v>
      </c>
    </row>
    <row r="133" spans="1:76" s="20" customFormat="1" ht="30" hidden="1" outlineLevel="1" x14ac:dyDescent="0.25">
      <c r="A133" s="58"/>
      <c r="D133" s="59"/>
      <c r="E133" s="20" t="s">
        <v>369</v>
      </c>
      <c r="F133" s="60" t="s">
        <v>403</v>
      </c>
      <c r="G133" s="60" t="s">
        <v>606</v>
      </c>
      <c r="H133" s="20" t="s">
        <v>580</v>
      </c>
      <c r="I133" s="20" t="s">
        <v>659</v>
      </c>
      <c r="J133" s="20" t="s">
        <v>273</v>
      </c>
      <c r="K133" s="20" t="s">
        <v>156</v>
      </c>
      <c r="L133" s="60"/>
      <c r="N133" s="43" t="str">
        <f t="shared" si="549"/>
        <v>ChlrWtrCentPathBGtEql600tonQRatio_fTchwsTcwsIP</v>
      </c>
      <c r="O133" s="20" t="s">
        <v>165</v>
      </c>
      <c r="P133" s="20" t="s">
        <v>160</v>
      </c>
      <c r="Q133" s="20" t="s">
        <v>139</v>
      </c>
      <c r="R133" s="20" t="s">
        <v>140</v>
      </c>
      <c r="V133" s="61">
        <v>-0.45520399727053701</v>
      </c>
      <c r="W133" s="61">
        <v>3.1346921461632898E-2</v>
      </c>
      <c r="X133" s="61">
        <v>-5.7149639794407101E-5</v>
      </c>
      <c r="Y133" s="61">
        <v>2.0383058223711802E-2</v>
      </c>
      <c r="Z133" s="61">
        <v>-1.5341221966966699E-4</v>
      </c>
      <c r="AA133" s="61">
        <v>-1.2709301316402401E-4</v>
      </c>
      <c r="AG133" s="158">
        <f t="shared" si="540"/>
        <v>1.33</v>
      </c>
      <c r="AH133" s="158">
        <f t="shared" si="541"/>
        <v>0.9</v>
      </c>
      <c r="AI133" s="158">
        <f t="shared" si="394"/>
        <v>54</v>
      </c>
      <c r="AJ133" s="158">
        <f t="shared" si="418"/>
        <v>40</v>
      </c>
      <c r="AK133" s="158">
        <f t="shared" si="395"/>
        <v>85</v>
      </c>
      <c r="AL133" s="158">
        <f t="shared" si="396"/>
        <v>60</v>
      </c>
      <c r="AM133" s="60"/>
      <c r="AO133" s="43">
        <f t="shared" si="551"/>
        <v>0</v>
      </c>
      <c r="AP133" s="166" t="str">
        <f t="shared" si="552"/>
        <v/>
      </c>
      <c r="AQ133" s="167" t="str">
        <f t="shared" si="553"/>
        <v/>
      </c>
      <c r="AR133" s="166" t="str">
        <f t="shared" si="554"/>
        <v/>
      </c>
      <c r="AS133" s="166" t="str">
        <f t="shared" si="555"/>
        <v/>
      </c>
      <c r="AT133" s="20" t="str">
        <f t="shared" si="556"/>
        <v/>
      </c>
      <c r="AU133" s="43" t="str">
        <f t="shared" si="343"/>
        <v xml:space="preserve">               </v>
      </c>
      <c r="AV133" s="62" t="str">
        <f t="shared" si="550"/>
        <v/>
      </c>
      <c r="AW133" s="20" t="str">
        <f t="shared" si="557"/>
        <v xml:space="preserve">                                                                 </v>
      </c>
      <c r="AX133" s="43" t="str">
        <f t="shared" si="558"/>
        <v/>
      </c>
      <c r="AY133" s="43" t="str">
        <f t="shared" si="558"/>
        <v/>
      </c>
      <c r="AZ133" s="43" t="str">
        <f t="shared" si="558"/>
        <v/>
      </c>
      <c r="BA133" s="43" t="str">
        <f t="shared" si="558"/>
        <v/>
      </c>
      <c r="BB133" s="43" t="str">
        <f t="shared" si="558"/>
        <v/>
      </c>
      <c r="BC133" s="43" t="str">
        <f t="shared" si="558"/>
        <v/>
      </c>
      <c r="BD133" s="43" t="str">
        <f t="shared" si="342"/>
        <v xml:space="preserve">_x000D_
                                                                                </v>
      </c>
      <c r="BE133" s="20" t="str">
        <f t="shared" si="543"/>
        <v/>
      </c>
      <c r="BF133" s="20" t="str">
        <f t="shared" si="544"/>
        <v/>
      </c>
      <c r="BG133" s="20" t="str">
        <f t="shared" si="545"/>
        <v/>
      </c>
      <c r="BH133" s="20" t="str">
        <f t="shared" si="546"/>
        <v/>
      </c>
      <c r="BI133" s="20" t="str">
        <f t="shared" si="547"/>
        <v/>
      </c>
      <c r="BJ133" s="20" t="str">
        <f t="shared" si="548"/>
        <v/>
      </c>
      <c r="BM133" s="43" t="str">
        <f t="shared" si="559"/>
        <v>Tchws</v>
      </c>
      <c r="BN133" s="43" t="str">
        <f t="shared" si="560"/>
        <v>Tcws</v>
      </c>
      <c r="BO133" s="43">
        <v>44</v>
      </c>
      <c r="BP133" s="43">
        <v>85</v>
      </c>
      <c r="BQ133" s="43">
        <v>54</v>
      </c>
      <c r="BR133" s="43">
        <v>40</v>
      </c>
      <c r="BS133" s="43">
        <v>85</v>
      </c>
      <c r="BT133" s="43">
        <v>60</v>
      </c>
      <c r="BU133" s="147">
        <f t="shared" si="561"/>
        <v>0.9622476370680475</v>
      </c>
      <c r="BV133" s="147">
        <f t="shared" si="578"/>
        <v>1.3297995519776178</v>
      </c>
      <c r="BW133" s="147">
        <f t="shared" si="579"/>
        <v>0.89927385466820509</v>
      </c>
      <c r="BX133" s="43" t="s">
        <v>729</v>
      </c>
    </row>
    <row r="134" spans="1:76" s="20" customFormat="1" ht="30" hidden="1" outlineLevel="1" x14ac:dyDescent="0.25">
      <c r="A134" s="58"/>
      <c r="D134" s="59"/>
      <c r="E134" s="20" t="s">
        <v>369</v>
      </c>
      <c r="F134" s="60" t="s">
        <v>403</v>
      </c>
      <c r="G134" s="60" t="s">
        <v>606</v>
      </c>
      <c r="H134" s="20" t="s">
        <v>580</v>
      </c>
      <c r="I134" s="20" t="s">
        <v>660</v>
      </c>
      <c r="J134" s="20" t="s">
        <v>144</v>
      </c>
      <c r="L134" s="60" t="s">
        <v>202</v>
      </c>
      <c r="M134" s="20" t="s">
        <v>248</v>
      </c>
      <c r="N134" s="43" t="str">
        <f t="shared" si="549"/>
        <v>ChlrWtrCentPathBGtEql600tonQRatio_fTchwsTcwsSI</v>
      </c>
      <c r="O134" s="20" t="s">
        <v>165</v>
      </c>
      <c r="P134" s="20" t="s">
        <v>160</v>
      </c>
      <c r="Q134" s="20" t="s">
        <v>139</v>
      </c>
      <c r="R134" s="20" t="s">
        <v>140</v>
      </c>
      <c r="V134" s="61">
        <v>0.85445400000000005</v>
      </c>
      <c r="W134" s="61">
        <v>4.2525500000000001E-2</v>
      </c>
      <c r="X134" s="61">
        <v>-1.8500400000000001E-4</v>
      </c>
      <c r="Y134" s="61">
        <v>1.16969E-2</v>
      </c>
      <c r="Z134" s="61">
        <v>-4.9701599999999997E-4</v>
      </c>
      <c r="AA134" s="61">
        <v>-4.1180399999999999E-4</v>
      </c>
      <c r="AG134" s="158">
        <f t="shared" si="540"/>
        <v>1.33</v>
      </c>
      <c r="AH134" s="158">
        <f t="shared" si="541"/>
        <v>0.9</v>
      </c>
      <c r="AI134" s="158">
        <f t="shared" si="394"/>
        <v>12.22</v>
      </c>
      <c r="AJ134" s="158">
        <f t="shared" si="418"/>
        <v>4.4400000000000004</v>
      </c>
      <c r="AK134" s="158">
        <f t="shared" si="395"/>
        <v>29.44</v>
      </c>
      <c r="AL134" s="158">
        <f t="shared" si="396"/>
        <v>15.56</v>
      </c>
      <c r="AM134" s="60"/>
      <c r="AO134" s="43">
        <f t="shared" si="551"/>
        <v>1</v>
      </c>
      <c r="AP134" s="166" t="str">
        <f t="shared" ref="AP134" si="644">IF(AO134=1,CONCATENATE(AQ134,AR134,AS134),"")</f>
        <v>CrvDblQuad     "ChlrWtrCentPathBGtEql600tonQRatio_fTchwsTcwsSI"                 Coef1 =  0.854454  Coef2 =  0.042526  Coef3 = -0.000185  Coef4 =  0.011697  Coef5 = -0.000497  Coef6 = -0.000412  _x000D_
                                                                                MaxOut = 1.330   MinOut = 0.900   MaxVar1 = 12.220   MinVar1 = 4.440   MaxVar2 = 29.440   MinVar2 = 15.560   _x000D_
..</v>
      </c>
      <c r="AQ134" s="167" t="str">
        <f t="shared" ref="AQ134" si="645">IF(AO134=1,CONCATENATE(AT134,AU134,AV134,AW134,IF(AX134="-","",$AX$15&amp;AX134),IF(AY134="-","",$AY$15&amp;AY134),IF(AZ134="-","",$AZ$15&amp;AZ134),IF(BA134="-","",$BA$15&amp;BA134),IF(BB134="-","",$BB$15&amp;BB134),IF(BC134="-","",$BC$15&amp;BC134)),"")</f>
        <v xml:space="preserve">CrvDblQuad     "ChlrWtrCentPathBGtEql600tonQRatio_fTchwsTcwsSI"                 Coef1 =  0.854454  Coef2 =  0.042526  Coef3 = -0.000185  Coef4 =  0.011697  Coef5 = -0.000497  Coef6 = -0.000412  </v>
      </c>
      <c r="AR134" s="166" t="str">
        <f t="shared" ref="AR134" si="646">IF(AO134=1,CONCATENATE(BD134,IF(BE134="-","",$BE$15&amp;BE134),IF(BF134="-","",$BF$15&amp;BF134),IF(BG134="-","",$BG$15&amp;BG134),IF(BH134="-","",$BH$15&amp;BH134),IF(BI134="-","",$BI$15&amp;BI134),IF(BJ134="-","",$BJ$15&amp;BJ134)),"")</f>
        <v xml:space="preserve">_x000D_
                                                                                MaxOut = 1.330   MinOut = 0.900   MaxVar1 = 12.220   MinVar1 = 4.440   MaxVar2 = 29.440   MinVar2 = 15.560   </v>
      </c>
      <c r="AS134" s="166" t="str">
        <f t="shared" ref="AS134" si="647">IF(AO134=1,CHAR(13)&amp;CHAR(10)&amp;"..","")</f>
        <v>_x000D_
..</v>
      </c>
      <c r="AT134" s="20" t="str">
        <f t="shared" ref="AT134" si="648">IF(AO134=1,VLOOKUP(O134,$AT$2:$AV$13,2,0),"")</f>
        <v>CrvDblQuad</v>
      </c>
      <c r="AU134" s="43" t="str">
        <f t="shared" si="343"/>
        <v xml:space="preserve">     </v>
      </c>
      <c r="AV134" s="62" t="str">
        <f t="shared" si="550"/>
        <v>"ChlrWtrCentPathBGtEql600tonQRatio_fTchwsTcwsSI"</v>
      </c>
      <c r="AW134" s="20" t="str">
        <f t="shared" ref="AW134" si="649">REPT(" ",$AW$14-LEN(AV134))</f>
        <v xml:space="preserve">                 </v>
      </c>
      <c r="AX134" s="43" t="str">
        <f t="shared" ref="AX134" si="650">IF($AO134=1,IF(ISBLANK(V134),"-",CONCATENATE(TEXT(V134," 0.000000;-0.000000"),"  ")),"")</f>
        <v xml:space="preserve"> 0.854454  </v>
      </c>
      <c r="AY134" s="43" t="str">
        <f t="shared" ref="AY134" si="651">IF($AO134=1,IF(ISBLANK(W134),"-",CONCATENATE(TEXT(W134," 0.000000;-0.000000"),"  ")),"")</f>
        <v xml:space="preserve"> 0.042526  </v>
      </c>
      <c r="AZ134" s="43" t="str">
        <f t="shared" ref="AZ134" si="652">IF($AO134=1,IF(ISBLANK(X134),"-",CONCATENATE(TEXT(X134," 0.000000;-0.000000"),"  ")),"")</f>
        <v xml:space="preserve">-0.000185  </v>
      </c>
      <c r="BA134" s="43" t="str">
        <f t="shared" ref="BA134" si="653">IF($AO134=1,IF(ISBLANK(Y134),"-",CONCATENATE(TEXT(Y134," 0.000000;-0.000000"),"  ")),"")</f>
        <v xml:space="preserve"> 0.011697  </v>
      </c>
      <c r="BB134" s="43" t="str">
        <f t="shared" ref="BB134" si="654">IF($AO134=1,IF(ISBLANK(Z134),"-",CONCATENATE(TEXT(Z134," 0.000000;-0.000000"),"  ")),"")</f>
        <v xml:space="preserve">-0.000497  </v>
      </c>
      <c r="BC134" s="43" t="str">
        <f t="shared" ref="BC134" si="655">IF($AO134=1,IF(ISBLANK(AA134),"-",CONCATENATE(TEXT(AA134," 0.000000;-0.000000"),"  ")),"")</f>
        <v xml:space="preserve">-0.000412  </v>
      </c>
      <c r="BD134" s="43" t="str">
        <f t="shared" si="342"/>
        <v xml:space="preserve">_x000D_
                                                                                </v>
      </c>
      <c r="BE134" s="20" t="str">
        <f t="shared" si="543"/>
        <v xml:space="preserve">1.330   </v>
      </c>
      <c r="BF134" s="20" t="str">
        <f t="shared" si="544"/>
        <v xml:space="preserve">0.900   </v>
      </c>
      <c r="BG134" s="20" t="str">
        <f t="shared" si="545"/>
        <v xml:space="preserve">12.220   </v>
      </c>
      <c r="BH134" s="20" t="str">
        <f t="shared" si="546"/>
        <v xml:space="preserve">4.440   </v>
      </c>
      <c r="BI134" s="20" t="str">
        <f t="shared" si="547"/>
        <v xml:space="preserve">29.440   </v>
      </c>
      <c r="BJ134" s="20" t="str">
        <f t="shared" si="548"/>
        <v xml:space="preserve">15.560   </v>
      </c>
      <c r="BM134" s="43" t="str">
        <f t="shared" si="559"/>
        <v>Tchws</v>
      </c>
      <c r="BN134" s="43" t="str">
        <f t="shared" si="560"/>
        <v>Tcws</v>
      </c>
      <c r="BO134" s="164">
        <f>(BO133-32)/1.8</f>
        <v>6.6666666666666661</v>
      </c>
      <c r="BP134" s="164">
        <f>(BP133-32)/1.8</f>
        <v>29.444444444444443</v>
      </c>
      <c r="BQ134" s="164">
        <f t="shared" ref="BQ134" si="656">(BQ133-32)/1.8</f>
        <v>12.222222222222221</v>
      </c>
      <c r="BR134" s="164">
        <f t="shared" ref="BR134" si="657">(BR133-32)/1.8</f>
        <v>4.4444444444444446</v>
      </c>
      <c r="BS134" s="164">
        <f t="shared" ref="BS134" si="658">(BS133-32)/1.8</f>
        <v>29.444444444444443</v>
      </c>
      <c r="BT134" s="164">
        <f t="shared" ref="BT134" si="659">(BT133-32)/1.8</f>
        <v>15.555555555555555</v>
      </c>
      <c r="BU134" s="147">
        <f t="shared" si="561"/>
        <v>0.96240745555555585</v>
      </c>
      <c r="BV134" s="147">
        <f t="shared" si="578"/>
        <v>1.3299662888888888</v>
      </c>
      <c r="BW134" s="147">
        <f t="shared" si="579"/>
        <v>0.89941954444444461</v>
      </c>
      <c r="BX134" s="43" t="s">
        <v>729</v>
      </c>
    </row>
    <row r="135" spans="1:76" s="20" customFormat="1" ht="30" hidden="1" outlineLevel="1" x14ac:dyDescent="0.25">
      <c r="A135" s="58"/>
      <c r="D135" s="60" t="s">
        <v>371</v>
      </c>
      <c r="E135" s="20" t="s">
        <v>369</v>
      </c>
      <c r="F135" s="60" t="s">
        <v>411</v>
      </c>
      <c r="G135" s="60" t="s">
        <v>573</v>
      </c>
      <c r="H135" s="20" t="s">
        <v>571</v>
      </c>
      <c r="I135" s="20" t="s">
        <v>659</v>
      </c>
      <c r="J135" s="20" t="s">
        <v>273</v>
      </c>
      <c r="K135" s="20" t="s">
        <v>157</v>
      </c>
      <c r="L135" s="60"/>
      <c r="N135" s="43" t="str">
        <f t="shared" si="549"/>
        <v>ChlrWtrPosDispPathAAllEIRRatio_fTchwsTcwsIP</v>
      </c>
      <c r="O135" s="20" t="s">
        <v>165</v>
      </c>
      <c r="P135" s="20" t="s">
        <v>288</v>
      </c>
      <c r="Q135" s="20" t="s">
        <v>139</v>
      </c>
      <c r="R135" s="20" t="s">
        <v>140</v>
      </c>
      <c r="V135" s="169">
        <v>0.71399200212462999</v>
      </c>
      <c r="W135" s="169">
        <v>-6.1932559098847101E-3</v>
      </c>
      <c r="X135" s="169">
        <v>1.4909517640353701E-4</v>
      </c>
      <c r="Y135" s="169">
        <v>3.0655298715052399E-3</v>
      </c>
      <c r="Z135" s="169">
        <v>1.67869430612176E-4</v>
      </c>
      <c r="AA135" s="169">
        <v>-2.66796461498629E-4</v>
      </c>
      <c r="AG135" s="158">
        <f t="shared" si="540"/>
        <v>1.27</v>
      </c>
      <c r="AH135" s="158">
        <f t="shared" si="541"/>
        <v>0.74</v>
      </c>
      <c r="AI135" s="158">
        <f t="shared" si="394"/>
        <v>54</v>
      </c>
      <c r="AJ135" s="158">
        <f t="shared" si="418"/>
        <v>40</v>
      </c>
      <c r="AK135" s="158">
        <f t="shared" si="395"/>
        <v>85</v>
      </c>
      <c r="AL135" s="158">
        <f t="shared" si="396"/>
        <v>60</v>
      </c>
      <c r="AM135" s="60"/>
      <c r="AO135" s="43">
        <f t="shared" si="551"/>
        <v>0</v>
      </c>
      <c r="AP135" s="166" t="str">
        <f t="shared" ref="AP135:AP145" si="660">IF(AO135=1,CONCATENATE(AQ135,AR135,AS135),"")</f>
        <v/>
      </c>
      <c r="AQ135" s="167" t="str">
        <f t="shared" si="553"/>
        <v/>
      </c>
      <c r="AR135" s="166" t="str">
        <f t="shared" ref="AR135:AR145" si="661">IF(AO135=1,CONCATENATE(BD135,IF(BE135="-","",$BE$15&amp;BE135),IF(BF135="-","",$BF$15&amp;BF135),IF(BG135="-","",$BG$15&amp;BG135),IF(BH135="-","",$BH$15&amp;BH135),IF(BI135="-","",$BI$15&amp;BI135),IF(BJ135="-","",$BJ$15&amp;BJ135)),"")</f>
        <v/>
      </c>
      <c r="AS135" s="166" t="str">
        <f t="shared" ref="AS135:AS145" si="662">IF(AO135=1,CHAR(13)&amp;CHAR(10)&amp;"..","")</f>
        <v/>
      </c>
      <c r="AT135" s="20" t="str">
        <f t="shared" ref="AT135:AT145" si="663">IF(AO135=1,VLOOKUP(O135,$AT$2:$AV$13,2,0),"")</f>
        <v/>
      </c>
      <c r="AU135" s="43" t="str">
        <f t="shared" si="343"/>
        <v xml:space="preserve">               </v>
      </c>
      <c r="AV135" s="62" t="str">
        <f t="shared" si="550"/>
        <v/>
      </c>
      <c r="AW135" s="20" t="str">
        <f t="shared" ref="AW135:AW145" si="664">REPT(" ",$AW$14-LEN(AV135))</f>
        <v xml:space="preserve">                                                                 </v>
      </c>
      <c r="AX135" s="43" t="str">
        <f t="shared" ref="AX135:BC145" si="665">IF($AO135=1,IF(ISBLANK(V135),"-",CONCATENATE(TEXT(V135," 0.000000;-0.000000"),"  ")),"")</f>
        <v/>
      </c>
      <c r="AY135" s="43" t="str">
        <f t="shared" si="665"/>
        <v/>
      </c>
      <c r="AZ135" s="43" t="str">
        <f t="shared" si="665"/>
        <v/>
      </c>
      <c r="BA135" s="43" t="str">
        <f t="shared" si="665"/>
        <v/>
      </c>
      <c r="BB135" s="43" t="str">
        <f t="shared" si="665"/>
        <v/>
      </c>
      <c r="BC135" s="43" t="str">
        <f t="shared" si="665"/>
        <v/>
      </c>
      <c r="BD135" s="43" t="str">
        <f t="shared" si="342"/>
        <v xml:space="preserve">_x000D_
                                                                                </v>
      </c>
      <c r="BE135" s="20" t="str">
        <f t="shared" si="543"/>
        <v/>
      </c>
      <c r="BF135" s="20" t="str">
        <f t="shared" si="544"/>
        <v/>
      </c>
      <c r="BG135" s="20" t="str">
        <f t="shared" si="545"/>
        <v/>
      </c>
      <c r="BH135" s="20" t="str">
        <f t="shared" si="546"/>
        <v/>
      </c>
      <c r="BI135" s="20" t="str">
        <f t="shared" si="547"/>
        <v/>
      </c>
      <c r="BJ135" s="20" t="str">
        <f t="shared" si="548"/>
        <v/>
      </c>
      <c r="BM135" s="75" t="str">
        <f t="shared" si="559"/>
        <v>Tchws</v>
      </c>
      <c r="BN135" s="75" t="str">
        <f t="shared" si="560"/>
        <v>Tcws</v>
      </c>
      <c r="BO135" s="75">
        <v>44</v>
      </c>
      <c r="BP135" s="75">
        <v>85</v>
      </c>
      <c r="BQ135" s="75">
        <v>54</v>
      </c>
      <c r="BR135" s="75">
        <v>40</v>
      </c>
      <c r="BS135" s="75">
        <v>85</v>
      </c>
      <c r="BT135" s="75">
        <v>60</v>
      </c>
      <c r="BU135" s="162">
        <f t="shared" si="561"/>
        <v>1.2057449128529947</v>
      </c>
      <c r="BV135" s="162">
        <f>$V135+$W135*BR135+$X135*BR135^2+$Y135*BS135+$Z135*BS135^2+$AA135*BR135*BS135</f>
        <v>1.2711327541304791</v>
      </c>
      <c r="BW135" s="162">
        <f>$V135+$W135*BQ135+$X135*BQ135^2+$Y135*BT135+$Z135*BT135^2+$AA135*BQ135*BT135</f>
        <v>0.73815892462215971</v>
      </c>
      <c r="BX135" s="43" t="s">
        <v>729</v>
      </c>
    </row>
    <row r="136" spans="1:76" s="20" customFormat="1" ht="30" hidden="1" outlineLevel="1" x14ac:dyDescent="0.25">
      <c r="A136" s="58"/>
      <c r="D136" s="60"/>
      <c r="E136" s="20" t="s">
        <v>369</v>
      </c>
      <c r="F136" s="60" t="s">
        <v>411</v>
      </c>
      <c r="G136" s="60" t="s">
        <v>573</v>
      </c>
      <c r="H136" s="20" t="s">
        <v>571</v>
      </c>
      <c r="I136" s="20" t="s">
        <v>660</v>
      </c>
      <c r="J136" s="20" t="s">
        <v>144</v>
      </c>
      <c r="L136" s="60" t="s">
        <v>202</v>
      </c>
      <c r="M136" s="20" t="s">
        <v>249</v>
      </c>
      <c r="N136" s="43" t="str">
        <f t="shared" si="549"/>
        <v>ChlrWtrPosDispPathAAllEIRRatio_fTchwsTcwsSI</v>
      </c>
      <c r="O136" s="20" t="s">
        <v>165</v>
      </c>
      <c r="P136" s="20" t="s">
        <v>288</v>
      </c>
      <c r="Q136" s="20" t="s">
        <v>139</v>
      </c>
      <c r="R136" s="20" t="s">
        <v>140</v>
      </c>
      <c r="V136" s="169">
        <v>0.66530699999999998</v>
      </c>
      <c r="W136" s="169">
        <v>-9.3393E-3</v>
      </c>
      <c r="X136" s="169">
        <v>4.83084E-4</v>
      </c>
      <c r="Y136" s="169">
        <v>9.4923000000000004E-3</v>
      </c>
      <c r="Z136" s="169">
        <v>5.4399600000000004E-4</v>
      </c>
      <c r="AA136" s="169">
        <v>-8.6443200000000005E-4</v>
      </c>
      <c r="AG136" s="158">
        <f t="shared" si="540"/>
        <v>1.27</v>
      </c>
      <c r="AH136" s="158">
        <f t="shared" si="541"/>
        <v>0.74</v>
      </c>
      <c r="AI136" s="158">
        <f t="shared" si="394"/>
        <v>12.22</v>
      </c>
      <c r="AJ136" s="158">
        <f t="shared" ref="AJ136:AJ158" si="666">IF(BR136&gt;0,ROUND(BR136,2),"")</f>
        <v>4.4400000000000004</v>
      </c>
      <c r="AK136" s="158">
        <f t="shared" si="395"/>
        <v>29.44</v>
      </c>
      <c r="AL136" s="158">
        <f t="shared" si="396"/>
        <v>15.56</v>
      </c>
      <c r="AM136" s="60"/>
      <c r="AO136" s="43">
        <f t="shared" si="551"/>
        <v>1</v>
      </c>
      <c r="AP136" s="166" t="str">
        <f t="shared" ref="AP136" si="667">IF(AO136=1,CONCATENATE(AQ136,AR136,AS136),"")</f>
        <v>CrvDblQuad     "ChlrWtrPosDispPathAAllEIRRatio_fTchwsTcwsSI"                    Coef1 =  0.665307  Coef2 = -0.009339  Coef3 =  0.000483  Coef4 =  0.009492  Coef5 =  0.000544  Coef6 = -0.000864  _x000D_
                                                                                MaxOut = 1.270   MinOut = 0.740   MaxVar1 = 12.220   MinVar1 = 4.440   MaxVar2 = 29.440   MinVar2 = 15.560   _x000D_
..</v>
      </c>
      <c r="AQ136" s="167" t="str">
        <f t="shared" ref="AQ136" si="668">IF(AO136=1,CONCATENATE(AT136,AU136,AV136,AW136,IF(AX136="-","",$AX$15&amp;AX136),IF(AY136="-","",$AY$15&amp;AY136),IF(AZ136="-","",$AZ$15&amp;AZ136),IF(BA136="-","",$BA$15&amp;BA136),IF(BB136="-","",$BB$15&amp;BB136),IF(BC136="-","",$BC$15&amp;BC136)),"")</f>
        <v xml:space="preserve">CrvDblQuad     "ChlrWtrPosDispPathAAllEIRRatio_fTchwsTcwsSI"                    Coef1 =  0.665307  Coef2 = -0.009339  Coef3 =  0.000483  Coef4 =  0.009492  Coef5 =  0.000544  Coef6 = -0.000864  </v>
      </c>
      <c r="AR136" s="166" t="str">
        <f t="shared" ref="AR136" si="669">IF(AO136=1,CONCATENATE(BD136,IF(BE136="-","",$BE$15&amp;BE136),IF(BF136="-","",$BF$15&amp;BF136),IF(BG136="-","",$BG$15&amp;BG136),IF(BH136="-","",$BH$15&amp;BH136),IF(BI136="-","",$BI$15&amp;BI136),IF(BJ136="-","",$BJ$15&amp;BJ136)),"")</f>
        <v xml:space="preserve">_x000D_
                                                                                MaxOut = 1.270   MinOut = 0.740   MaxVar1 = 12.220   MinVar1 = 4.440   MaxVar2 = 29.440   MinVar2 = 15.560   </v>
      </c>
      <c r="AS136" s="166" t="str">
        <f t="shared" ref="AS136" si="670">IF(AO136=1,CHAR(13)&amp;CHAR(10)&amp;"..","")</f>
        <v>_x000D_
..</v>
      </c>
      <c r="AT136" s="20" t="str">
        <f t="shared" ref="AT136" si="671">IF(AO136=1,VLOOKUP(O136,$AT$2:$AV$13,2,0),"")</f>
        <v>CrvDblQuad</v>
      </c>
      <c r="AU136" s="43" t="str">
        <f t="shared" si="343"/>
        <v xml:space="preserve">     </v>
      </c>
      <c r="AV136" s="62" t="str">
        <f t="shared" si="550"/>
        <v>"ChlrWtrPosDispPathAAllEIRRatio_fTchwsTcwsSI"</v>
      </c>
      <c r="AW136" s="20" t="str">
        <f t="shared" ref="AW136" si="672">REPT(" ",$AW$14-LEN(AV136))</f>
        <v xml:space="preserve">                    </v>
      </c>
      <c r="AX136" s="43" t="str">
        <f t="shared" ref="AX136" si="673">IF($AO136=1,IF(ISBLANK(V136),"-",CONCATENATE(TEXT(V136," 0.000000;-0.000000"),"  ")),"")</f>
        <v xml:space="preserve"> 0.665307  </v>
      </c>
      <c r="AY136" s="43" t="str">
        <f t="shared" ref="AY136" si="674">IF($AO136=1,IF(ISBLANK(W136),"-",CONCATENATE(TEXT(W136," 0.000000;-0.000000"),"  ")),"")</f>
        <v xml:space="preserve">-0.009339  </v>
      </c>
      <c r="AZ136" s="43" t="str">
        <f t="shared" ref="AZ136" si="675">IF($AO136=1,IF(ISBLANK(X136),"-",CONCATENATE(TEXT(X136," 0.000000;-0.000000"),"  ")),"")</f>
        <v xml:space="preserve"> 0.000483  </v>
      </c>
      <c r="BA136" s="43" t="str">
        <f t="shared" ref="BA136" si="676">IF($AO136=1,IF(ISBLANK(Y136),"-",CONCATENATE(TEXT(Y136," 0.000000;-0.000000"),"  ")),"")</f>
        <v xml:space="preserve"> 0.009492  </v>
      </c>
      <c r="BB136" s="43" t="str">
        <f t="shared" ref="BB136" si="677">IF($AO136=1,IF(ISBLANK(Z136),"-",CONCATENATE(TEXT(Z136," 0.000000;-0.000000"),"  ")),"")</f>
        <v xml:space="preserve"> 0.000544  </v>
      </c>
      <c r="BC136" s="43" t="str">
        <f t="shared" ref="BC136" si="678">IF($AO136=1,IF(ISBLANK(AA136),"-",CONCATENATE(TEXT(AA136," 0.000000;-0.000000"),"  ")),"")</f>
        <v xml:space="preserve">-0.000864  </v>
      </c>
      <c r="BD136" s="43" t="str">
        <f t="shared" si="342"/>
        <v xml:space="preserve">_x000D_
                                                                                </v>
      </c>
      <c r="BE136" s="20" t="str">
        <f t="shared" si="543"/>
        <v xml:space="preserve">1.270   </v>
      </c>
      <c r="BF136" s="20" t="str">
        <f t="shared" si="544"/>
        <v xml:space="preserve">0.740   </v>
      </c>
      <c r="BG136" s="20" t="str">
        <f t="shared" si="545"/>
        <v xml:space="preserve">12.220   </v>
      </c>
      <c r="BH136" s="20" t="str">
        <f t="shared" si="546"/>
        <v xml:space="preserve">4.440   </v>
      </c>
      <c r="BI136" s="20" t="str">
        <f t="shared" si="547"/>
        <v xml:space="preserve">29.440   </v>
      </c>
      <c r="BJ136" s="20" t="str">
        <f t="shared" si="548"/>
        <v xml:space="preserve">15.560   </v>
      </c>
      <c r="BM136" s="75" t="str">
        <f t="shared" si="559"/>
        <v>Tchws</v>
      </c>
      <c r="BN136" s="75" t="str">
        <f t="shared" si="560"/>
        <v>Tcws</v>
      </c>
      <c r="BO136" s="165">
        <f>(BO135-32)/1.8</f>
        <v>6.6666666666666661</v>
      </c>
      <c r="BP136" s="165">
        <f>(BP135-32)/1.8</f>
        <v>29.444444444444443</v>
      </c>
      <c r="BQ136" s="165">
        <f t="shared" ref="BQ136" si="679">(BQ135-32)/1.8</f>
        <v>12.222222222222221</v>
      </c>
      <c r="BR136" s="165">
        <f t="shared" ref="BR136" si="680">(BR135-32)/1.8</f>
        <v>4.4444444444444446</v>
      </c>
      <c r="BS136" s="165">
        <f t="shared" ref="BS136" si="681">(BS135-32)/1.8</f>
        <v>29.444444444444443</v>
      </c>
      <c r="BT136" s="165">
        <f t="shared" ref="BT136" si="682">(BT135-32)/1.8</f>
        <v>15.555555555555555</v>
      </c>
      <c r="BU136" s="162">
        <f t="shared" si="561"/>
        <v>1.2059572000000001</v>
      </c>
      <c r="BV136" s="162">
        <f t="shared" ref="BV136:BV146" si="683">$V136+$W136*BR136+$X136*BR136^2+$Y136*BS136+$Z136*BS136^2+$AA136*BR136*BS136</f>
        <v>1.2713448000000001</v>
      </c>
      <c r="BW136" s="162">
        <f t="shared" ref="BW136:BW146" si="684">$V136+$W136*BQ136+$X136*BQ136^2+$Y136*BT136+$Z136*BT136^2+$AA136*BQ136*BT136</f>
        <v>0.73826720000000012</v>
      </c>
      <c r="BX136" s="43" t="s">
        <v>729</v>
      </c>
    </row>
    <row r="137" spans="1:76" s="20" customFormat="1" ht="30" hidden="1" outlineLevel="1" x14ac:dyDescent="0.25">
      <c r="A137" s="58"/>
      <c r="D137" s="60"/>
      <c r="E137" s="20" t="s">
        <v>369</v>
      </c>
      <c r="F137" s="60" t="s">
        <v>411</v>
      </c>
      <c r="G137" s="60" t="s">
        <v>574</v>
      </c>
      <c r="H137" s="20" t="s">
        <v>572</v>
      </c>
      <c r="I137" s="20" t="s">
        <v>659</v>
      </c>
      <c r="J137" s="20" t="s">
        <v>273</v>
      </c>
      <c r="K137" s="20" t="s">
        <v>157</v>
      </c>
      <c r="L137" s="60"/>
      <c r="N137" s="43" t="str">
        <f t="shared" si="549"/>
        <v>ChlrWtrCentPathAAllEIRRatio_fTchwsTcwsIP</v>
      </c>
      <c r="O137" s="20" t="s">
        <v>165</v>
      </c>
      <c r="P137" s="20" t="s">
        <v>288</v>
      </c>
      <c r="Q137" s="20" t="s">
        <v>139</v>
      </c>
      <c r="R137" s="20" t="s">
        <v>140</v>
      </c>
      <c r="V137" s="170">
        <v>1.1536154700000001</v>
      </c>
      <c r="W137" s="170">
        <v>-3.067901E-2</v>
      </c>
      <c r="X137" s="170">
        <v>3.0591E-4</v>
      </c>
      <c r="Y137" s="170">
        <v>6.7087400000000004E-3</v>
      </c>
      <c r="Z137" s="170">
        <v>5.2800000000000003E-5</v>
      </c>
      <c r="AA137" s="170">
        <v>-9.2969999999999999E-5</v>
      </c>
      <c r="AG137" s="158">
        <f t="shared" si="540"/>
        <v>1.05</v>
      </c>
      <c r="AH137" s="158">
        <f t="shared" si="541"/>
        <v>0.68</v>
      </c>
      <c r="AI137" s="158">
        <f t="shared" si="394"/>
        <v>54</v>
      </c>
      <c r="AJ137" s="158">
        <f t="shared" si="666"/>
        <v>40</v>
      </c>
      <c r="AK137" s="158">
        <f t="shared" si="395"/>
        <v>85</v>
      </c>
      <c r="AL137" s="158">
        <f t="shared" si="396"/>
        <v>60</v>
      </c>
      <c r="AM137" s="60"/>
      <c r="AO137" s="43">
        <f t="shared" si="551"/>
        <v>0</v>
      </c>
      <c r="AP137" s="166" t="str">
        <f t="shared" si="660"/>
        <v/>
      </c>
      <c r="AQ137" s="167" t="str">
        <f t="shared" si="553"/>
        <v/>
      </c>
      <c r="AR137" s="166" t="str">
        <f t="shared" si="661"/>
        <v/>
      </c>
      <c r="AS137" s="166" t="str">
        <f t="shared" si="662"/>
        <v/>
      </c>
      <c r="AT137" s="20" t="str">
        <f t="shared" si="663"/>
        <v/>
      </c>
      <c r="AU137" s="43" t="str">
        <f t="shared" si="343"/>
        <v xml:space="preserve">               </v>
      </c>
      <c r="AV137" s="62" t="str">
        <f t="shared" si="550"/>
        <v/>
      </c>
      <c r="AW137" s="20" t="str">
        <f t="shared" si="664"/>
        <v xml:space="preserve">                                                                 </v>
      </c>
      <c r="AX137" s="43" t="str">
        <f t="shared" si="665"/>
        <v/>
      </c>
      <c r="AY137" s="43" t="str">
        <f t="shared" si="665"/>
        <v/>
      </c>
      <c r="AZ137" s="43" t="str">
        <f t="shared" si="665"/>
        <v/>
      </c>
      <c r="BA137" s="43" t="str">
        <f t="shared" si="665"/>
        <v/>
      </c>
      <c r="BB137" s="43" t="str">
        <f t="shared" si="665"/>
        <v/>
      </c>
      <c r="BC137" s="43" t="str">
        <f t="shared" si="665"/>
        <v/>
      </c>
      <c r="BD137" s="43" t="str">
        <f t="shared" si="342"/>
        <v xml:space="preserve">_x000D_
                                                                                </v>
      </c>
      <c r="BE137" s="20" t="str">
        <f t="shared" si="543"/>
        <v/>
      </c>
      <c r="BF137" s="20" t="str">
        <f t="shared" si="544"/>
        <v/>
      </c>
      <c r="BG137" s="20" t="str">
        <f t="shared" si="545"/>
        <v/>
      </c>
      <c r="BH137" s="20" t="str">
        <f t="shared" si="546"/>
        <v/>
      </c>
      <c r="BI137" s="20" t="str">
        <f t="shared" si="547"/>
        <v/>
      </c>
      <c r="BJ137" s="20" t="str">
        <f t="shared" si="548"/>
        <v/>
      </c>
      <c r="BM137" s="43" t="str">
        <f t="shared" si="559"/>
        <v>Tchws</v>
      </c>
      <c r="BN137" s="43" t="str">
        <f t="shared" si="560"/>
        <v>Tcws</v>
      </c>
      <c r="BO137" s="43">
        <v>44</v>
      </c>
      <c r="BP137" s="43">
        <v>85</v>
      </c>
      <c r="BQ137" s="43">
        <v>54</v>
      </c>
      <c r="BR137" s="43">
        <v>40</v>
      </c>
      <c r="BS137" s="43">
        <v>85</v>
      </c>
      <c r="BT137" s="43">
        <v>60</v>
      </c>
      <c r="BU137" s="147">
        <f t="shared" si="561"/>
        <v>0.99999589000000011</v>
      </c>
      <c r="BV137" s="147">
        <f t="shared" si="683"/>
        <v>1.05153597</v>
      </c>
      <c r="BW137" s="147">
        <f t="shared" si="684"/>
        <v>0.68036409000000009</v>
      </c>
      <c r="BX137" s="43" t="s">
        <v>729</v>
      </c>
    </row>
    <row r="138" spans="1:76" s="20" customFormat="1" ht="30" hidden="1" outlineLevel="1" x14ac:dyDescent="0.25">
      <c r="A138" s="58"/>
      <c r="D138" s="60"/>
      <c r="E138" s="20" t="s">
        <v>369</v>
      </c>
      <c r="F138" s="60" t="s">
        <v>411</v>
      </c>
      <c r="G138" s="60" t="s">
        <v>574</v>
      </c>
      <c r="H138" s="20" t="s">
        <v>572</v>
      </c>
      <c r="I138" s="20" t="s">
        <v>660</v>
      </c>
      <c r="J138" s="20" t="s">
        <v>144</v>
      </c>
      <c r="L138" s="60" t="s">
        <v>202</v>
      </c>
      <c r="M138" s="20" t="s">
        <v>249</v>
      </c>
      <c r="N138" s="43" t="str">
        <f t="shared" si="549"/>
        <v>ChlrWtrCentPathAAllEIRRatio_fTchwsTcwsSI</v>
      </c>
      <c r="O138" s="20" t="s">
        <v>165</v>
      </c>
      <c r="P138" s="20" t="s">
        <v>288</v>
      </c>
      <c r="Q138" s="20" t="s">
        <v>139</v>
      </c>
      <c r="R138" s="20" t="s">
        <v>140</v>
      </c>
      <c r="V138" s="170">
        <v>0.65864299999999998</v>
      </c>
      <c r="W138" s="170">
        <v>-2.5339299999999999E-2</v>
      </c>
      <c r="X138" s="170">
        <v>9.91116E-4</v>
      </c>
      <c r="Y138" s="170">
        <v>1.2801399999999999E-2</v>
      </c>
      <c r="Z138" s="170">
        <v>1.71072E-4</v>
      </c>
      <c r="AA138" s="170">
        <v>-3.0131999999999999E-4</v>
      </c>
      <c r="AG138" s="158">
        <f t="shared" si="540"/>
        <v>1.05</v>
      </c>
      <c r="AH138" s="158">
        <f t="shared" si="541"/>
        <v>0.68</v>
      </c>
      <c r="AI138" s="158">
        <f t="shared" si="394"/>
        <v>12.22</v>
      </c>
      <c r="AJ138" s="158">
        <f t="shared" si="666"/>
        <v>4.4400000000000004</v>
      </c>
      <c r="AK138" s="158">
        <f t="shared" si="395"/>
        <v>29.44</v>
      </c>
      <c r="AL138" s="158">
        <f t="shared" si="396"/>
        <v>15.56</v>
      </c>
      <c r="AM138" s="60"/>
      <c r="AO138" s="43">
        <f t="shared" si="551"/>
        <v>1</v>
      </c>
      <c r="AP138" s="166" t="str">
        <f t="shared" ref="AP138" si="685">IF(AO138=1,CONCATENATE(AQ138,AR138,AS138),"")</f>
        <v>CrvDblQuad     "ChlrWtrCentPathAAllEIRRatio_fTchwsTcwsSI"                       Coef1 =  0.658643  Coef2 = -0.025339  Coef3 =  0.000991  Coef4 =  0.012801  Coef5 =  0.000171  Coef6 = -0.000301  _x000D_
                                                                                MaxOut = 1.050   MinOut = 0.680   MaxVar1 = 12.220   MinVar1 = 4.440   MaxVar2 = 29.440   MinVar2 = 15.560   _x000D_
..</v>
      </c>
      <c r="AQ138" s="167" t="str">
        <f t="shared" ref="AQ138" si="686">IF(AO138=1,CONCATENATE(AT138,AU138,AV138,AW138,IF(AX138="-","",$AX$15&amp;AX138),IF(AY138="-","",$AY$15&amp;AY138),IF(AZ138="-","",$AZ$15&amp;AZ138),IF(BA138="-","",$BA$15&amp;BA138),IF(BB138="-","",$BB$15&amp;BB138),IF(BC138="-","",$BC$15&amp;BC138)),"")</f>
        <v xml:space="preserve">CrvDblQuad     "ChlrWtrCentPathAAllEIRRatio_fTchwsTcwsSI"                       Coef1 =  0.658643  Coef2 = -0.025339  Coef3 =  0.000991  Coef4 =  0.012801  Coef5 =  0.000171  Coef6 = -0.000301  </v>
      </c>
      <c r="AR138" s="166" t="str">
        <f t="shared" ref="AR138" si="687">IF(AO138=1,CONCATENATE(BD138,IF(BE138="-","",$BE$15&amp;BE138),IF(BF138="-","",$BF$15&amp;BF138),IF(BG138="-","",$BG$15&amp;BG138),IF(BH138="-","",$BH$15&amp;BH138),IF(BI138="-","",$BI$15&amp;BI138),IF(BJ138="-","",$BJ$15&amp;BJ138)),"")</f>
        <v xml:space="preserve">_x000D_
                                                                                MaxOut = 1.050   MinOut = 0.680   MaxVar1 = 12.220   MinVar1 = 4.440   MaxVar2 = 29.440   MinVar2 = 15.560   </v>
      </c>
      <c r="AS138" s="166" t="str">
        <f t="shared" ref="AS138" si="688">IF(AO138=1,CHAR(13)&amp;CHAR(10)&amp;"..","")</f>
        <v>_x000D_
..</v>
      </c>
      <c r="AT138" s="20" t="str">
        <f t="shared" ref="AT138" si="689">IF(AO138=1,VLOOKUP(O138,$AT$2:$AV$13,2,0),"")</f>
        <v>CrvDblQuad</v>
      </c>
      <c r="AU138" s="43" t="str">
        <f t="shared" si="343"/>
        <v xml:space="preserve">     </v>
      </c>
      <c r="AV138" s="62" t="str">
        <f t="shared" si="550"/>
        <v>"ChlrWtrCentPathAAllEIRRatio_fTchwsTcwsSI"</v>
      </c>
      <c r="AW138" s="20" t="str">
        <f t="shared" ref="AW138" si="690">REPT(" ",$AW$14-LEN(AV138))</f>
        <v xml:space="preserve">                       </v>
      </c>
      <c r="AX138" s="43" t="str">
        <f t="shared" ref="AX138" si="691">IF($AO138=1,IF(ISBLANK(V138),"-",CONCATENATE(TEXT(V138," 0.000000;-0.000000"),"  ")),"")</f>
        <v xml:space="preserve"> 0.658643  </v>
      </c>
      <c r="AY138" s="43" t="str">
        <f t="shared" ref="AY138" si="692">IF($AO138=1,IF(ISBLANK(W138),"-",CONCATENATE(TEXT(W138," 0.000000;-0.000000"),"  ")),"")</f>
        <v xml:space="preserve">-0.025339  </v>
      </c>
      <c r="AZ138" s="43" t="str">
        <f t="shared" ref="AZ138" si="693">IF($AO138=1,IF(ISBLANK(X138),"-",CONCATENATE(TEXT(X138," 0.000000;-0.000000"),"  ")),"")</f>
        <v xml:space="preserve"> 0.000991  </v>
      </c>
      <c r="BA138" s="43" t="str">
        <f t="shared" ref="BA138" si="694">IF($AO138=1,IF(ISBLANK(Y138),"-",CONCATENATE(TEXT(Y138," 0.000000;-0.000000"),"  ")),"")</f>
        <v xml:space="preserve"> 0.012801  </v>
      </c>
      <c r="BB138" s="43" t="str">
        <f t="shared" ref="BB138" si="695">IF($AO138=1,IF(ISBLANK(Z138),"-",CONCATENATE(TEXT(Z138," 0.000000;-0.000000"),"  ")),"")</f>
        <v xml:space="preserve"> 0.000171  </v>
      </c>
      <c r="BC138" s="43" t="str">
        <f t="shared" ref="BC138" si="696">IF($AO138=1,IF(ISBLANK(AA138),"-",CONCATENATE(TEXT(AA138," 0.000000;-0.000000"),"  ")),"")</f>
        <v xml:space="preserve">-0.000301  </v>
      </c>
      <c r="BD138" s="43" t="str">
        <f t="shared" si="342"/>
        <v xml:space="preserve">_x000D_
                                                                                </v>
      </c>
      <c r="BE138" s="20" t="str">
        <f t="shared" si="543"/>
        <v xml:space="preserve">1.050   </v>
      </c>
      <c r="BF138" s="20" t="str">
        <f t="shared" si="544"/>
        <v xml:space="preserve">0.680   </v>
      </c>
      <c r="BG138" s="20" t="str">
        <f t="shared" si="545"/>
        <v xml:space="preserve">12.220   </v>
      </c>
      <c r="BH138" s="20" t="str">
        <f t="shared" si="546"/>
        <v xml:space="preserve">4.440   </v>
      </c>
      <c r="BI138" s="20" t="str">
        <f t="shared" si="547"/>
        <v xml:space="preserve">29.440   </v>
      </c>
      <c r="BJ138" s="20" t="str">
        <f t="shared" si="548"/>
        <v xml:space="preserve">15.560   </v>
      </c>
      <c r="BM138" s="43" t="str">
        <f t="shared" si="559"/>
        <v>Tchws</v>
      </c>
      <c r="BN138" s="43" t="str">
        <f t="shared" si="560"/>
        <v>Tcws</v>
      </c>
      <c r="BO138" s="164">
        <f>(BO137-32)/1.8</f>
        <v>6.6666666666666661</v>
      </c>
      <c r="BP138" s="164">
        <f>(BP137-32)/1.8</f>
        <v>29.444444444444443</v>
      </c>
      <c r="BQ138" s="164">
        <f t="shared" ref="BQ138" si="697">(BQ137-32)/1.8</f>
        <v>12.222222222222221</v>
      </c>
      <c r="BR138" s="164">
        <f t="shared" ref="BR138" si="698">(BR137-32)/1.8</f>
        <v>4.4444444444444446</v>
      </c>
      <c r="BS138" s="164">
        <f t="shared" ref="BS138" si="699">(BS137-32)/1.8</f>
        <v>29.444444444444443</v>
      </c>
      <c r="BT138" s="164">
        <f t="shared" ref="BT138" si="700">(BT137-32)/1.8</f>
        <v>15.555555555555555</v>
      </c>
      <c r="BU138" s="147">
        <f t="shared" si="561"/>
        <v>0.99986124444444435</v>
      </c>
      <c r="BV138" s="147">
        <f t="shared" si="683"/>
        <v>1.0514148000000001</v>
      </c>
      <c r="BW138" s="147">
        <f t="shared" si="684"/>
        <v>0.68023613333333333</v>
      </c>
      <c r="BX138" s="43" t="s">
        <v>729</v>
      </c>
    </row>
    <row r="139" spans="1:76" s="20" customFormat="1" ht="30" hidden="1" outlineLevel="1" x14ac:dyDescent="0.25">
      <c r="A139" s="58"/>
      <c r="D139" s="60"/>
      <c r="E139" s="20" t="s">
        <v>369</v>
      </c>
      <c r="F139" s="60" t="s">
        <v>411</v>
      </c>
      <c r="G139" s="60" t="s">
        <v>578</v>
      </c>
      <c r="H139" s="20" t="s">
        <v>577</v>
      </c>
      <c r="I139" s="20" t="s">
        <v>659</v>
      </c>
      <c r="J139" s="20" t="s">
        <v>273</v>
      </c>
      <c r="K139" s="20" t="s">
        <v>157</v>
      </c>
      <c r="L139" s="60"/>
      <c r="N139" s="43" t="str">
        <f t="shared" si="549"/>
        <v>ChlrWtrPosDispPathBAllEIRRatio_fTchwsTcwsIP</v>
      </c>
      <c r="O139" s="20" t="s">
        <v>165</v>
      </c>
      <c r="P139" s="20" t="s">
        <v>288</v>
      </c>
      <c r="Q139" s="20" t="s">
        <v>139</v>
      </c>
      <c r="R139" s="20" t="s">
        <v>140</v>
      </c>
      <c r="V139" s="61">
        <v>0.76680894421781154</v>
      </c>
      <c r="W139" s="61">
        <v>-2.4316835339511771E-2</v>
      </c>
      <c r="X139" s="61">
        <v>2.61965669323118E-4</v>
      </c>
      <c r="Y139" s="61">
        <v>7.4108876001356336E-3</v>
      </c>
      <c r="Z139" s="61">
        <v>1.1771518494669272E-4</v>
      </c>
      <c r="AA139" s="61">
        <v>-1.8202995620027876E-4</v>
      </c>
      <c r="AG139" s="158">
        <f t="shared" si="540"/>
        <v>1.07</v>
      </c>
      <c r="AH139" s="158">
        <f t="shared" si="541"/>
        <v>0.5</v>
      </c>
      <c r="AI139" s="158">
        <f t="shared" si="394"/>
        <v>54</v>
      </c>
      <c r="AJ139" s="158">
        <f t="shared" si="666"/>
        <v>40</v>
      </c>
      <c r="AK139" s="158">
        <f t="shared" si="395"/>
        <v>85</v>
      </c>
      <c r="AL139" s="158">
        <f t="shared" si="396"/>
        <v>60</v>
      </c>
      <c r="AM139" s="60"/>
      <c r="AO139" s="43">
        <f t="shared" si="551"/>
        <v>0</v>
      </c>
      <c r="AP139" s="166" t="str">
        <f t="shared" si="660"/>
        <v/>
      </c>
      <c r="AQ139" s="167" t="str">
        <f t="shared" si="553"/>
        <v/>
      </c>
      <c r="AR139" s="166" t="str">
        <f t="shared" si="661"/>
        <v/>
      </c>
      <c r="AS139" s="166" t="str">
        <f t="shared" si="662"/>
        <v/>
      </c>
      <c r="AT139" s="20" t="str">
        <f t="shared" si="663"/>
        <v/>
      </c>
      <c r="AU139" s="43" t="str">
        <f t="shared" si="343"/>
        <v xml:space="preserve">               </v>
      </c>
      <c r="AV139" s="62" t="str">
        <f t="shared" si="550"/>
        <v/>
      </c>
      <c r="AW139" s="20" t="str">
        <f t="shared" si="664"/>
        <v xml:space="preserve">                                                                 </v>
      </c>
      <c r="AX139" s="43" t="str">
        <f t="shared" si="665"/>
        <v/>
      </c>
      <c r="AY139" s="43" t="str">
        <f t="shared" si="665"/>
        <v/>
      </c>
      <c r="AZ139" s="43" t="str">
        <f t="shared" si="665"/>
        <v/>
      </c>
      <c r="BA139" s="43" t="str">
        <f t="shared" si="665"/>
        <v/>
      </c>
      <c r="BB139" s="43" t="str">
        <f t="shared" si="665"/>
        <v/>
      </c>
      <c r="BC139" s="43" t="str">
        <f t="shared" si="665"/>
        <v/>
      </c>
      <c r="BD139" s="43" t="str">
        <f t="shared" si="342"/>
        <v xml:space="preserve">_x000D_
                                                                                </v>
      </c>
      <c r="BE139" s="20" t="str">
        <f t="shared" si="543"/>
        <v/>
      </c>
      <c r="BF139" s="20" t="str">
        <f t="shared" si="544"/>
        <v/>
      </c>
      <c r="BG139" s="20" t="str">
        <f t="shared" si="545"/>
        <v/>
      </c>
      <c r="BH139" s="20" t="str">
        <f t="shared" si="546"/>
        <v/>
      </c>
      <c r="BI139" s="20" t="str">
        <f t="shared" si="547"/>
        <v/>
      </c>
      <c r="BJ139" s="20" t="str">
        <f t="shared" si="548"/>
        <v/>
      </c>
      <c r="BM139" s="43" t="str">
        <f t="shared" si="559"/>
        <v>Tchws</v>
      </c>
      <c r="BN139" s="43" t="str">
        <f t="shared" si="560"/>
        <v>Tcws</v>
      </c>
      <c r="BO139" s="43">
        <v>44</v>
      </c>
      <c r="BP139" s="43">
        <v>85</v>
      </c>
      <c r="BQ139" s="43">
        <v>54</v>
      </c>
      <c r="BR139" s="43">
        <v>40</v>
      </c>
      <c r="BS139" s="43">
        <v>85</v>
      </c>
      <c r="BT139" s="43">
        <v>60</v>
      </c>
      <c r="BU139" s="147">
        <f t="shared" si="561"/>
        <v>1.0036593461511911</v>
      </c>
      <c r="BV139" s="147">
        <f t="shared" si="683"/>
        <v>1.0747964077247654</v>
      </c>
      <c r="BW139" s="147">
        <f t="shared" si="684"/>
        <v>0.49624259135771642</v>
      </c>
      <c r="BX139" s="43" t="s">
        <v>729</v>
      </c>
    </row>
    <row r="140" spans="1:76" s="20" customFormat="1" ht="30" hidden="1" outlineLevel="1" x14ac:dyDescent="0.25">
      <c r="A140" s="58"/>
      <c r="D140" s="60"/>
      <c r="E140" s="20" t="s">
        <v>369</v>
      </c>
      <c r="F140" s="60" t="s">
        <v>411</v>
      </c>
      <c r="G140" s="60" t="s">
        <v>578</v>
      </c>
      <c r="H140" s="20" t="s">
        <v>577</v>
      </c>
      <c r="I140" s="20" t="s">
        <v>660</v>
      </c>
      <c r="J140" s="20" t="s">
        <v>144</v>
      </c>
      <c r="L140" s="60" t="s">
        <v>202</v>
      </c>
      <c r="M140" s="20" t="s">
        <v>249</v>
      </c>
      <c r="N140" s="43" t="str">
        <f t="shared" si="549"/>
        <v>ChlrWtrPosDispPathBAllEIRRatio_fTchwsTcwsSI</v>
      </c>
      <c r="O140" s="20" t="s">
        <v>165</v>
      </c>
      <c r="P140" s="20" t="s">
        <v>288</v>
      </c>
      <c r="Q140" s="20" t="s">
        <v>139</v>
      </c>
      <c r="R140" s="20" t="s">
        <v>140</v>
      </c>
      <c r="V140" s="61">
        <v>0.42826500000000001</v>
      </c>
      <c r="W140" s="61">
        <v>-2.4070999999999999E-2</v>
      </c>
      <c r="X140" s="61">
        <v>8.4887999999999999E-4</v>
      </c>
      <c r="Y140" s="61">
        <v>1.64155E-2</v>
      </c>
      <c r="Z140" s="61">
        <v>3.81348E-4</v>
      </c>
      <c r="AA140" s="61">
        <v>-5.8967999999999998E-4</v>
      </c>
      <c r="AG140" s="158">
        <f t="shared" si="540"/>
        <v>1.07</v>
      </c>
      <c r="AH140" s="158">
        <f t="shared" si="541"/>
        <v>0.5</v>
      </c>
      <c r="AI140" s="158">
        <f t="shared" si="394"/>
        <v>12.22</v>
      </c>
      <c r="AJ140" s="158">
        <f t="shared" si="666"/>
        <v>4.4400000000000004</v>
      </c>
      <c r="AK140" s="158">
        <f t="shared" si="395"/>
        <v>29.44</v>
      </c>
      <c r="AL140" s="158">
        <f t="shared" si="396"/>
        <v>15.56</v>
      </c>
      <c r="AM140" s="60"/>
      <c r="AO140" s="43">
        <f t="shared" si="551"/>
        <v>1</v>
      </c>
      <c r="AP140" s="166" t="str">
        <f t="shared" ref="AP140" si="701">IF(AO140=1,CONCATENATE(AQ140,AR140,AS140),"")</f>
        <v>CrvDblQuad     "ChlrWtrPosDispPathBAllEIRRatio_fTchwsTcwsSI"                    Coef1 =  0.428265  Coef2 = -0.024071  Coef3 =  0.000849  Coef4 =  0.016416  Coef5 =  0.000381  Coef6 = -0.000590  _x000D_
                                                                                MaxOut = 1.070   MinOut = 0.500   MaxVar1 = 12.220   MinVar1 = 4.440   MaxVar2 = 29.440   MinVar2 = 15.560   _x000D_
..</v>
      </c>
      <c r="AQ140" s="167" t="str">
        <f t="shared" ref="AQ140" si="702">IF(AO140=1,CONCATENATE(AT140,AU140,AV140,AW140,IF(AX140="-","",$AX$15&amp;AX140),IF(AY140="-","",$AY$15&amp;AY140),IF(AZ140="-","",$AZ$15&amp;AZ140),IF(BA140="-","",$BA$15&amp;BA140),IF(BB140="-","",$BB$15&amp;BB140),IF(BC140="-","",$BC$15&amp;BC140)),"")</f>
        <v xml:space="preserve">CrvDblQuad     "ChlrWtrPosDispPathBAllEIRRatio_fTchwsTcwsSI"                    Coef1 =  0.428265  Coef2 = -0.024071  Coef3 =  0.000849  Coef4 =  0.016416  Coef5 =  0.000381  Coef6 = -0.000590  </v>
      </c>
      <c r="AR140" s="166" t="str">
        <f t="shared" ref="AR140" si="703">IF(AO140=1,CONCATENATE(BD140,IF(BE140="-","",$BE$15&amp;BE140),IF(BF140="-","",$BF$15&amp;BF140),IF(BG140="-","",$BG$15&amp;BG140),IF(BH140="-","",$BH$15&amp;BH140),IF(BI140="-","",$BI$15&amp;BI140),IF(BJ140="-","",$BJ$15&amp;BJ140)),"")</f>
        <v xml:space="preserve">_x000D_
                                                                                MaxOut = 1.070   MinOut = 0.500   MaxVar1 = 12.220   MinVar1 = 4.440   MaxVar2 = 29.440   MinVar2 = 15.560   </v>
      </c>
      <c r="AS140" s="166" t="str">
        <f t="shared" ref="AS140" si="704">IF(AO140=1,CHAR(13)&amp;CHAR(10)&amp;"..","")</f>
        <v>_x000D_
..</v>
      </c>
      <c r="AT140" s="20" t="str">
        <f t="shared" ref="AT140" si="705">IF(AO140=1,VLOOKUP(O140,$AT$2:$AV$13,2,0),"")</f>
        <v>CrvDblQuad</v>
      </c>
      <c r="AU140" s="43" t="str">
        <f t="shared" si="343"/>
        <v xml:space="preserve">     </v>
      </c>
      <c r="AV140" s="62" t="str">
        <f t="shared" si="550"/>
        <v>"ChlrWtrPosDispPathBAllEIRRatio_fTchwsTcwsSI"</v>
      </c>
      <c r="AW140" s="20" t="str">
        <f t="shared" ref="AW140" si="706">REPT(" ",$AW$14-LEN(AV140))</f>
        <v xml:space="preserve">                    </v>
      </c>
      <c r="AX140" s="43" t="str">
        <f t="shared" ref="AX140" si="707">IF($AO140=1,IF(ISBLANK(V140),"-",CONCATENATE(TEXT(V140," 0.000000;-0.000000"),"  ")),"")</f>
        <v xml:space="preserve"> 0.428265  </v>
      </c>
      <c r="AY140" s="43" t="str">
        <f t="shared" ref="AY140" si="708">IF($AO140=1,IF(ISBLANK(W140),"-",CONCATENATE(TEXT(W140," 0.000000;-0.000000"),"  ")),"")</f>
        <v xml:space="preserve">-0.024071  </v>
      </c>
      <c r="AZ140" s="43" t="str">
        <f t="shared" ref="AZ140" si="709">IF($AO140=1,IF(ISBLANK(X140),"-",CONCATENATE(TEXT(X140," 0.000000;-0.000000"),"  ")),"")</f>
        <v xml:space="preserve"> 0.000849  </v>
      </c>
      <c r="BA140" s="43" t="str">
        <f t="shared" ref="BA140" si="710">IF($AO140=1,IF(ISBLANK(Y140),"-",CONCATENATE(TEXT(Y140," 0.000000;-0.000000"),"  ")),"")</f>
        <v xml:space="preserve"> 0.016416  </v>
      </c>
      <c r="BB140" s="43" t="str">
        <f t="shared" ref="BB140" si="711">IF($AO140=1,IF(ISBLANK(Z140),"-",CONCATENATE(TEXT(Z140," 0.000000;-0.000000"),"  ")),"")</f>
        <v xml:space="preserve"> 0.000381  </v>
      </c>
      <c r="BC140" s="43" t="str">
        <f t="shared" ref="BC140" si="712">IF($AO140=1,IF(ISBLANK(AA140),"-",CONCATENATE(TEXT(AA140," 0.000000;-0.000000"),"  ")),"")</f>
        <v xml:space="preserve">-0.000590  </v>
      </c>
      <c r="BD140" s="43" t="str">
        <f t="shared" si="342"/>
        <v xml:space="preserve">_x000D_
                                                                                </v>
      </c>
      <c r="BE140" s="20" t="str">
        <f t="shared" si="543"/>
        <v xml:space="preserve">1.070   </v>
      </c>
      <c r="BF140" s="20" t="str">
        <f t="shared" si="544"/>
        <v xml:space="preserve">0.500   </v>
      </c>
      <c r="BG140" s="20" t="str">
        <f t="shared" si="545"/>
        <v xml:space="preserve">12.220   </v>
      </c>
      <c r="BH140" s="20" t="str">
        <f t="shared" si="546"/>
        <v xml:space="preserve">4.440   </v>
      </c>
      <c r="BI140" s="20" t="str">
        <f t="shared" si="547"/>
        <v xml:space="preserve">29.440   </v>
      </c>
      <c r="BJ140" s="20" t="str">
        <f t="shared" si="548"/>
        <v xml:space="preserve">15.560   </v>
      </c>
      <c r="BM140" s="43" t="str">
        <f t="shared" si="559"/>
        <v>Tchws</v>
      </c>
      <c r="BN140" s="43" t="str">
        <f t="shared" si="560"/>
        <v>Tcws</v>
      </c>
      <c r="BO140" s="164">
        <f>(BO139-32)/1.8</f>
        <v>6.6666666666666661</v>
      </c>
      <c r="BP140" s="164">
        <f>(BP139-32)/1.8</f>
        <v>29.444444444444443</v>
      </c>
      <c r="BQ140" s="164">
        <f t="shared" ref="BQ140" si="713">(BQ139-32)/1.8</f>
        <v>12.222222222222221</v>
      </c>
      <c r="BR140" s="164">
        <f t="shared" ref="BR140" si="714">(BR139-32)/1.8</f>
        <v>4.4444444444444446</v>
      </c>
      <c r="BS140" s="164">
        <f t="shared" ref="BS140" si="715">(BS139-32)/1.8</f>
        <v>29.444444444444443</v>
      </c>
      <c r="BT140" s="164">
        <f t="shared" ref="BT140" si="716">(BT139-32)/1.8</f>
        <v>15.555555555555555</v>
      </c>
      <c r="BU140" s="147">
        <f t="shared" si="561"/>
        <v>1.0037322444444445</v>
      </c>
      <c r="BV140" s="147">
        <f t="shared" si="683"/>
        <v>1.0748473555555556</v>
      </c>
      <c r="BW140" s="147">
        <f t="shared" si="684"/>
        <v>0.49638891111111105</v>
      </c>
      <c r="BX140" s="43" t="s">
        <v>729</v>
      </c>
    </row>
    <row r="141" spans="1:76" s="20" customFormat="1" ht="30" hidden="1" outlineLevel="1" x14ac:dyDescent="0.25">
      <c r="A141" s="58"/>
      <c r="D141" s="60"/>
      <c r="E141" s="20" t="s">
        <v>369</v>
      </c>
      <c r="F141" s="60" t="s">
        <v>411</v>
      </c>
      <c r="G141" s="60" t="s">
        <v>575</v>
      </c>
      <c r="H141" s="20" t="s">
        <v>579</v>
      </c>
      <c r="I141" s="20" t="s">
        <v>659</v>
      </c>
      <c r="J141" s="20" t="s">
        <v>273</v>
      </c>
      <c r="K141" s="20" t="s">
        <v>157</v>
      </c>
      <c r="L141" s="60"/>
      <c r="N141" s="43" t="str">
        <f t="shared" si="549"/>
        <v>ChlrWtrCentPathBLt300tonEIRRatio_fTchwsTcwsIP</v>
      </c>
      <c r="O141" s="20" t="s">
        <v>165</v>
      </c>
      <c r="P141" s="20" t="s">
        <v>288</v>
      </c>
      <c r="Q141" s="20" t="s">
        <v>139</v>
      </c>
      <c r="R141" s="20" t="s">
        <v>140</v>
      </c>
      <c r="V141" s="61">
        <v>0.87311405327851699</v>
      </c>
      <c r="W141" s="61">
        <v>-2.5207557562157701E-2</v>
      </c>
      <c r="X141" s="61">
        <v>3.6861623771618403E-4</v>
      </c>
      <c r="Y141" s="61">
        <v>1.8292090581261401E-2</v>
      </c>
      <c r="Z141" s="61">
        <v>4.7034677075395002E-5</v>
      </c>
      <c r="AA141" s="61">
        <v>-3.5765587731861101E-4</v>
      </c>
      <c r="AG141" s="158">
        <f t="shared" si="540"/>
        <v>1.1299999999999999</v>
      </c>
      <c r="AH141" s="158">
        <f t="shared" si="541"/>
        <v>0.69</v>
      </c>
      <c r="AI141" s="158">
        <f t="shared" si="394"/>
        <v>54</v>
      </c>
      <c r="AJ141" s="158">
        <f t="shared" si="666"/>
        <v>40</v>
      </c>
      <c r="AK141" s="158">
        <f t="shared" si="395"/>
        <v>85</v>
      </c>
      <c r="AL141" s="158">
        <f t="shared" si="396"/>
        <v>60</v>
      </c>
      <c r="AM141" s="60"/>
      <c r="AO141" s="43">
        <f t="shared" si="551"/>
        <v>0</v>
      </c>
      <c r="AP141" s="166" t="str">
        <f t="shared" si="660"/>
        <v/>
      </c>
      <c r="AQ141" s="167" t="str">
        <f t="shared" si="553"/>
        <v/>
      </c>
      <c r="AR141" s="166" t="str">
        <f t="shared" si="661"/>
        <v/>
      </c>
      <c r="AS141" s="166" t="str">
        <f t="shared" si="662"/>
        <v/>
      </c>
      <c r="AT141" s="20" t="str">
        <f t="shared" si="663"/>
        <v/>
      </c>
      <c r="AU141" s="43" t="str">
        <f t="shared" si="343"/>
        <v xml:space="preserve">               </v>
      </c>
      <c r="AV141" s="62" t="str">
        <f t="shared" si="550"/>
        <v/>
      </c>
      <c r="AW141" s="20" t="str">
        <f t="shared" si="664"/>
        <v xml:space="preserve">                                                                 </v>
      </c>
      <c r="AX141" s="43" t="str">
        <f t="shared" si="665"/>
        <v/>
      </c>
      <c r="AY141" s="43" t="str">
        <f t="shared" si="665"/>
        <v/>
      </c>
      <c r="AZ141" s="43" t="str">
        <f t="shared" si="665"/>
        <v/>
      </c>
      <c r="BA141" s="43" t="str">
        <f t="shared" si="665"/>
        <v/>
      </c>
      <c r="BB141" s="43" t="str">
        <f t="shared" si="665"/>
        <v/>
      </c>
      <c r="BC141" s="43" t="str">
        <f t="shared" si="665"/>
        <v/>
      </c>
      <c r="BD141" s="43" t="str">
        <f t="shared" si="342"/>
        <v xml:space="preserve">_x000D_
                                                                                </v>
      </c>
      <c r="BE141" s="20" t="str">
        <f t="shared" si="543"/>
        <v/>
      </c>
      <c r="BF141" s="20" t="str">
        <f t="shared" si="544"/>
        <v/>
      </c>
      <c r="BG141" s="20" t="str">
        <f t="shared" si="545"/>
        <v/>
      </c>
      <c r="BH141" s="20" t="str">
        <f t="shared" si="546"/>
        <v/>
      </c>
      <c r="BI141" s="20" t="str">
        <f t="shared" si="547"/>
        <v/>
      </c>
      <c r="BJ141" s="20" t="str">
        <f t="shared" si="548"/>
        <v/>
      </c>
      <c r="BM141" s="43" t="str">
        <f t="shared" si="559"/>
        <v>Tchws</v>
      </c>
      <c r="BN141" s="43" t="str">
        <f t="shared" si="560"/>
        <v>Tcws</v>
      </c>
      <c r="BO141" s="43">
        <v>44</v>
      </c>
      <c r="BP141" s="43">
        <v>85</v>
      </c>
      <c r="BQ141" s="43">
        <v>54</v>
      </c>
      <c r="BR141" s="43">
        <v>40</v>
      </c>
      <c r="BS141" s="43">
        <v>85</v>
      </c>
      <c r="BT141" s="43">
        <v>60</v>
      </c>
      <c r="BU141" s="147">
        <f t="shared" si="561"/>
        <v>1.0346428168674529</v>
      </c>
      <c r="BV141" s="147">
        <f t="shared" si="683"/>
        <v>1.1332209895317737</v>
      </c>
      <c r="BW141" s="147">
        <f t="shared" si="684"/>
        <v>0.69483612393720029</v>
      </c>
      <c r="BX141" s="43" t="s">
        <v>729</v>
      </c>
    </row>
    <row r="142" spans="1:76" s="20" customFormat="1" ht="30" hidden="1" outlineLevel="1" x14ac:dyDescent="0.25">
      <c r="A142" s="58"/>
      <c r="D142" s="60"/>
      <c r="E142" s="20" t="s">
        <v>369</v>
      </c>
      <c r="F142" s="60" t="s">
        <v>411</v>
      </c>
      <c r="G142" s="60" t="s">
        <v>575</v>
      </c>
      <c r="H142" s="20" t="s">
        <v>579</v>
      </c>
      <c r="I142" s="20" t="s">
        <v>660</v>
      </c>
      <c r="J142" s="20" t="s">
        <v>144</v>
      </c>
      <c r="L142" s="60" t="s">
        <v>202</v>
      </c>
      <c r="M142" s="20" t="s">
        <v>249</v>
      </c>
      <c r="N142" s="43" t="str">
        <f t="shared" si="549"/>
        <v>ChlrWtrCentPathBLt300tonEIRRatio_fTchwsTcwsSI</v>
      </c>
      <c r="O142" s="20" t="s">
        <v>165</v>
      </c>
      <c r="P142" s="20" t="s">
        <v>288</v>
      </c>
      <c r="Q142" s="20" t="s">
        <v>139</v>
      </c>
      <c r="R142" s="20" t="s">
        <v>140</v>
      </c>
      <c r="V142" s="61">
        <v>0.71110799999999996</v>
      </c>
      <c r="W142" s="61">
        <v>-2.3514500000000001E-2</v>
      </c>
      <c r="X142" s="61">
        <v>1.1942599999999999E-3</v>
      </c>
      <c r="Y142" s="61">
        <v>1.7736700000000001E-2</v>
      </c>
      <c r="Z142" s="61">
        <v>1.5228E-4</v>
      </c>
      <c r="AA142" s="61">
        <v>-1.15895E-3</v>
      </c>
      <c r="AG142" s="158">
        <f t="shared" si="540"/>
        <v>1.1299999999999999</v>
      </c>
      <c r="AH142" s="158">
        <f t="shared" si="541"/>
        <v>0.69</v>
      </c>
      <c r="AI142" s="158">
        <f t="shared" si="394"/>
        <v>12.22</v>
      </c>
      <c r="AJ142" s="158">
        <f t="shared" si="666"/>
        <v>4.4400000000000004</v>
      </c>
      <c r="AK142" s="158">
        <f t="shared" si="395"/>
        <v>29.44</v>
      </c>
      <c r="AL142" s="158">
        <f t="shared" si="396"/>
        <v>15.56</v>
      </c>
      <c r="AM142" s="60"/>
      <c r="AO142" s="43">
        <f t="shared" si="551"/>
        <v>1</v>
      </c>
      <c r="AP142" s="166" t="str">
        <f t="shared" ref="AP142" si="717">IF(AO142=1,CONCATENATE(AQ142,AR142,AS142),"")</f>
        <v>CrvDblQuad     "ChlrWtrCentPathBLt300tonEIRRatio_fTchwsTcwsSI"                  Coef1 =  0.711108  Coef2 = -0.023515  Coef3 =  0.001194  Coef4 =  0.017737  Coef5 =  0.000152  Coef6 = -0.001159  _x000D_
                                                                                MaxOut = 1.130   MinOut = 0.690   MaxVar1 = 12.220   MinVar1 = 4.440   MaxVar2 = 29.440   MinVar2 = 15.560   _x000D_
..</v>
      </c>
      <c r="AQ142" s="167" t="str">
        <f t="shared" ref="AQ142" si="718">IF(AO142=1,CONCATENATE(AT142,AU142,AV142,AW142,IF(AX142="-","",$AX$15&amp;AX142),IF(AY142="-","",$AY$15&amp;AY142),IF(AZ142="-","",$AZ$15&amp;AZ142),IF(BA142="-","",$BA$15&amp;BA142),IF(BB142="-","",$BB$15&amp;BB142),IF(BC142="-","",$BC$15&amp;BC142)),"")</f>
        <v xml:space="preserve">CrvDblQuad     "ChlrWtrCentPathBLt300tonEIRRatio_fTchwsTcwsSI"                  Coef1 =  0.711108  Coef2 = -0.023515  Coef3 =  0.001194  Coef4 =  0.017737  Coef5 =  0.000152  Coef6 = -0.001159  </v>
      </c>
      <c r="AR142" s="166" t="str">
        <f t="shared" ref="AR142" si="719">IF(AO142=1,CONCATENATE(BD142,IF(BE142="-","",$BE$15&amp;BE142),IF(BF142="-","",$BF$15&amp;BF142),IF(BG142="-","",$BG$15&amp;BG142),IF(BH142="-","",$BH$15&amp;BH142),IF(BI142="-","",$BI$15&amp;BI142),IF(BJ142="-","",$BJ$15&amp;BJ142)),"")</f>
        <v xml:space="preserve">_x000D_
                                                                                MaxOut = 1.130   MinOut = 0.690   MaxVar1 = 12.220   MinVar1 = 4.440   MaxVar2 = 29.440   MinVar2 = 15.560   </v>
      </c>
      <c r="AS142" s="166" t="str">
        <f t="shared" ref="AS142" si="720">IF(AO142=1,CHAR(13)&amp;CHAR(10)&amp;"..","")</f>
        <v>_x000D_
..</v>
      </c>
      <c r="AT142" s="20" t="str">
        <f t="shared" ref="AT142" si="721">IF(AO142=1,VLOOKUP(O142,$AT$2:$AV$13,2,0),"")</f>
        <v>CrvDblQuad</v>
      </c>
      <c r="AU142" s="43" t="str">
        <f t="shared" si="343"/>
        <v xml:space="preserve">     </v>
      </c>
      <c r="AV142" s="62" t="str">
        <f t="shared" si="550"/>
        <v>"ChlrWtrCentPathBLt300tonEIRRatio_fTchwsTcwsSI"</v>
      </c>
      <c r="AW142" s="20" t="str">
        <f t="shared" ref="AW142" si="722">REPT(" ",$AW$14-LEN(AV142))</f>
        <v xml:space="preserve">                  </v>
      </c>
      <c r="AX142" s="43" t="str">
        <f t="shared" ref="AX142" si="723">IF($AO142=1,IF(ISBLANK(V142),"-",CONCATENATE(TEXT(V142," 0.000000;-0.000000"),"  ")),"")</f>
        <v xml:space="preserve"> 0.711108  </v>
      </c>
      <c r="AY142" s="43" t="str">
        <f t="shared" ref="AY142" si="724">IF($AO142=1,IF(ISBLANK(W142),"-",CONCATENATE(TEXT(W142," 0.000000;-0.000000"),"  ")),"")</f>
        <v xml:space="preserve">-0.023515  </v>
      </c>
      <c r="AZ142" s="43" t="str">
        <f t="shared" ref="AZ142" si="725">IF($AO142=1,IF(ISBLANK(X142),"-",CONCATENATE(TEXT(X142," 0.000000;-0.000000"),"  ")),"")</f>
        <v xml:space="preserve"> 0.001194  </v>
      </c>
      <c r="BA142" s="43" t="str">
        <f t="shared" ref="BA142" si="726">IF($AO142=1,IF(ISBLANK(Y142),"-",CONCATENATE(TEXT(Y142," 0.000000;-0.000000"),"  ")),"")</f>
        <v xml:space="preserve"> 0.017737  </v>
      </c>
      <c r="BB142" s="43" t="str">
        <f t="shared" ref="BB142" si="727">IF($AO142=1,IF(ISBLANK(Z142),"-",CONCATENATE(TEXT(Z142," 0.000000;-0.000000"),"  ")),"")</f>
        <v xml:space="preserve"> 0.000152  </v>
      </c>
      <c r="BC142" s="43" t="str">
        <f t="shared" ref="BC142" si="728">IF($AO142=1,IF(ISBLANK(AA142),"-",CONCATENATE(TEXT(AA142," 0.000000;-0.000000"),"  ")),"")</f>
        <v xml:space="preserve">-0.001159  </v>
      </c>
      <c r="BD142" s="43" t="str">
        <f t="shared" si="342"/>
        <v xml:space="preserve">_x000D_
                                                                                </v>
      </c>
      <c r="BE142" s="20" t="str">
        <f t="shared" si="543"/>
        <v xml:space="preserve">1.130   </v>
      </c>
      <c r="BF142" s="20" t="str">
        <f t="shared" si="544"/>
        <v xml:space="preserve">0.690   </v>
      </c>
      <c r="BG142" s="20" t="str">
        <f t="shared" si="545"/>
        <v xml:space="preserve">12.220   </v>
      </c>
      <c r="BH142" s="20" t="str">
        <f t="shared" si="546"/>
        <v xml:space="preserve">4.440   </v>
      </c>
      <c r="BI142" s="20" t="str">
        <f t="shared" si="547"/>
        <v xml:space="preserve">29.440   </v>
      </c>
      <c r="BJ142" s="20" t="str">
        <f t="shared" si="548"/>
        <v xml:space="preserve">15.560   </v>
      </c>
      <c r="BM142" s="43" t="str">
        <f t="shared" ref="BM142:BM195" si="729">Q142</f>
        <v>Tchws</v>
      </c>
      <c r="BN142" s="43" t="str">
        <f t="shared" ref="BN142:BN182" si="730">R142</f>
        <v>Tcws</v>
      </c>
      <c r="BO142" s="164">
        <f>(BO141-32)/1.8</f>
        <v>6.6666666666666661</v>
      </c>
      <c r="BP142" s="164">
        <f>(BP141-32)/1.8</f>
        <v>29.444444444444443</v>
      </c>
      <c r="BQ142" s="164">
        <f t="shared" ref="BQ142" si="731">(BQ141-32)/1.8</f>
        <v>12.222222222222221</v>
      </c>
      <c r="BR142" s="164">
        <f t="shared" ref="BR142" si="732">(BR141-32)/1.8</f>
        <v>4.4444444444444446</v>
      </c>
      <c r="BS142" s="164">
        <f t="shared" ref="BS142" si="733">(BS141-32)/1.8</f>
        <v>29.444444444444443</v>
      </c>
      <c r="BT142" s="164">
        <f t="shared" ref="BT142" si="734">(BT141-32)/1.8</f>
        <v>15.555555555555555</v>
      </c>
      <c r="BU142" s="147">
        <f t="shared" si="561"/>
        <v>1.034195574074074</v>
      </c>
      <c r="BV142" s="147">
        <f t="shared" si="683"/>
        <v>1.1327946481481481</v>
      </c>
      <c r="BW142" s="147">
        <f t="shared" si="684"/>
        <v>0.694519</v>
      </c>
      <c r="BX142" s="43" t="s">
        <v>729</v>
      </c>
    </row>
    <row r="143" spans="1:76" s="20" customFormat="1" ht="30" hidden="1" outlineLevel="1" x14ac:dyDescent="0.25">
      <c r="A143" s="58"/>
      <c r="D143" s="60"/>
      <c r="E143" s="20" t="s">
        <v>369</v>
      </c>
      <c r="F143" s="60" t="s">
        <v>411</v>
      </c>
      <c r="G143" s="60" t="s">
        <v>576</v>
      </c>
      <c r="H143" s="20" t="s">
        <v>581</v>
      </c>
      <c r="I143" s="20" t="s">
        <v>659</v>
      </c>
      <c r="J143" s="20" t="s">
        <v>273</v>
      </c>
      <c r="K143" s="20" t="s">
        <v>157</v>
      </c>
      <c r="L143" s="60"/>
      <c r="N143" s="43" t="str">
        <f t="shared" si="549"/>
        <v>ChlrWtrCentPathBGtEql300Lt600tonEIRRatio_fTchwsTcwsIP</v>
      </c>
      <c r="O143" s="20" t="s">
        <v>165</v>
      </c>
      <c r="P143" s="20" t="s">
        <v>288</v>
      </c>
      <c r="Q143" s="20" t="s">
        <v>139</v>
      </c>
      <c r="R143" s="20" t="s">
        <v>140</v>
      </c>
      <c r="V143" s="61">
        <v>0.97431846471939199</v>
      </c>
      <c r="W143" s="61">
        <v>-4.6316816288420196E-3</v>
      </c>
      <c r="X143" s="61">
        <v>4.8004325319213303E-5</v>
      </c>
      <c r="Y143" s="61">
        <v>-2.0126259716637101E-3</v>
      </c>
      <c r="Z143" s="61">
        <v>1.58754924199956E-4</v>
      </c>
      <c r="AA143" s="61">
        <v>-2.11990512234556E-4</v>
      </c>
      <c r="AG143" s="158">
        <f t="shared" si="540"/>
        <v>1.1200000000000001</v>
      </c>
      <c r="AH143" s="158">
        <f t="shared" si="541"/>
        <v>0.63</v>
      </c>
      <c r="AI143" s="158">
        <f t="shared" si="394"/>
        <v>54</v>
      </c>
      <c r="AJ143" s="158">
        <f t="shared" si="666"/>
        <v>40</v>
      </c>
      <c r="AK143" s="158">
        <f t="shared" si="395"/>
        <v>85</v>
      </c>
      <c r="AL143" s="158">
        <f t="shared" si="396"/>
        <v>60</v>
      </c>
      <c r="AM143" s="60"/>
      <c r="AO143" s="43">
        <f t="shared" si="551"/>
        <v>0</v>
      </c>
      <c r="AP143" s="166" t="str">
        <f t="shared" si="660"/>
        <v/>
      </c>
      <c r="AQ143" s="167" t="str">
        <f t="shared" si="553"/>
        <v/>
      </c>
      <c r="AR143" s="166" t="str">
        <f t="shared" si="661"/>
        <v/>
      </c>
      <c r="AS143" s="166" t="str">
        <f t="shared" si="662"/>
        <v/>
      </c>
      <c r="AT143" s="20" t="str">
        <f t="shared" si="663"/>
        <v/>
      </c>
      <c r="AU143" s="43" t="str">
        <f t="shared" si="343"/>
        <v xml:space="preserve">               </v>
      </c>
      <c r="AV143" s="62" t="str">
        <f t="shared" si="550"/>
        <v/>
      </c>
      <c r="AW143" s="20" t="str">
        <f t="shared" si="664"/>
        <v xml:space="preserve">                                                                 </v>
      </c>
      <c r="AX143" s="43" t="str">
        <f t="shared" si="665"/>
        <v/>
      </c>
      <c r="AY143" s="43" t="str">
        <f t="shared" si="665"/>
        <v/>
      </c>
      <c r="AZ143" s="43" t="str">
        <f t="shared" si="665"/>
        <v/>
      </c>
      <c r="BA143" s="43" t="str">
        <f t="shared" si="665"/>
        <v/>
      </c>
      <c r="BB143" s="43" t="str">
        <f t="shared" si="665"/>
        <v/>
      </c>
      <c r="BC143" s="43" t="str">
        <f t="shared" si="665"/>
        <v/>
      </c>
      <c r="BD143" s="43" t="str">
        <f t="shared" si="342"/>
        <v xml:space="preserve">_x000D_
                                                                                </v>
      </c>
      <c r="BE143" s="20" t="str">
        <f t="shared" si="543"/>
        <v/>
      </c>
      <c r="BF143" s="20" t="str">
        <f t="shared" si="544"/>
        <v/>
      </c>
      <c r="BG143" s="20" t="str">
        <f t="shared" si="545"/>
        <v/>
      </c>
      <c r="BH143" s="20" t="str">
        <f t="shared" si="546"/>
        <v/>
      </c>
      <c r="BI143" s="20" t="str">
        <f t="shared" si="547"/>
        <v/>
      </c>
      <c r="BJ143" s="20" t="str">
        <f t="shared" si="548"/>
        <v/>
      </c>
      <c r="BM143" s="43" t="str">
        <f t="shared" si="729"/>
        <v>Tchws</v>
      </c>
      <c r="BN143" s="43" t="str">
        <f t="shared" si="730"/>
        <v>Tcws</v>
      </c>
      <c r="BO143" s="43">
        <v>44</v>
      </c>
      <c r="BP143" s="43">
        <v>85</v>
      </c>
      <c r="BQ143" s="43">
        <v>54</v>
      </c>
      <c r="BR143" s="43">
        <v>40</v>
      </c>
      <c r="BS143" s="43">
        <v>85</v>
      </c>
      <c r="BT143" s="43">
        <v>60</v>
      </c>
      <c r="BU143" s="147">
        <f t="shared" si="561"/>
        <v>1.0465474508643673</v>
      </c>
      <c r="BV143" s="147">
        <f t="shared" si="683"/>
        <v>1.1210214982322291</v>
      </c>
      <c r="BW143" s="147">
        <f t="shared" si="684"/>
        <v>0.62809917857280639</v>
      </c>
      <c r="BX143" s="43" t="s">
        <v>729</v>
      </c>
    </row>
    <row r="144" spans="1:76" s="20" customFormat="1" ht="30" hidden="1" outlineLevel="1" x14ac:dyDescent="0.25">
      <c r="A144" s="58"/>
      <c r="D144" s="60"/>
      <c r="E144" s="20" t="s">
        <v>369</v>
      </c>
      <c r="F144" s="60" t="s">
        <v>411</v>
      </c>
      <c r="G144" s="60" t="s">
        <v>576</v>
      </c>
      <c r="H144" s="20" t="s">
        <v>581</v>
      </c>
      <c r="I144" s="20" t="s">
        <v>660</v>
      </c>
      <c r="J144" s="20" t="s">
        <v>144</v>
      </c>
      <c r="L144" s="60" t="s">
        <v>202</v>
      </c>
      <c r="M144" s="20" t="s">
        <v>249</v>
      </c>
      <c r="N144" s="43" t="str">
        <f t="shared" si="549"/>
        <v>ChlrWtrCentPathBGtEql300Lt600tonEIRRatio_fTchwsTcwsSI</v>
      </c>
      <c r="O144" s="20" t="s">
        <v>165</v>
      </c>
      <c r="P144" s="20" t="s">
        <v>288</v>
      </c>
      <c r="Q144" s="20" t="s">
        <v>139</v>
      </c>
      <c r="R144" s="20" t="s">
        <v>140</v>
      </c>
      <c r="V144" s="61">
        <v>0.75637600000000005</v>
      </c>
      <c r="W144" s="61">
        <v>-1.5018699999999999E-2</v>
      </c>
      <c r="X144" s="61">
        <v>1.5552E-4</v>
      </c>
      <c r="Y144" s="61">
        <v>2.4598799999999998E-3</v>
      </c>
      <c r="Z144" s="61">
        <v>5.1451199999999996E-4</v>
      </c>
      <c r="AA144" s="61">
        <v>-6.8687999999999996E-4</v>
      </c>
      <c r="AG144" s="158">
        <f t="shared" si="540"/>
        <v>1.1200000000000001</v>
      </c>
      <c r="AH144" s="158">
        <f t="shared" si="541"/>
        <v>0.63</v>
      </c>
      <c r="AI144" s="158">
        <f t="shared" si="394"/>
        <v>12.22</v>
      </c>
      <c r="AJ144" s="158">
        <f t="shared" si="666"/>
        <v>4.4400000000000004</v>
      </c>
      <c r="AK144" s="158">
        <f t="shared" si="395"/>
        <v>29.44</v>
      </c>
      <c r="AL144" s="158">
        <f t="shared" si="396"/>
        <v>15.56</v>
      </c>
      <c r="AM144" s="60"/>
      <c r="AO144" s="43">
        <f t="shared" si="551"/>
        <v>1</v>
      </c>
      <c r="AP144" s="166" t="str">
        <f t="shared" ref="AP144" si="735">IF(AO144=1,CONCATENATE(AQ144,AR144,AS144),"")</f>
        <v>CrvDblQuad     "ChlrWtrCentPathBGtEql300Lt600tonEIRRatio_fTchwsTcwsSI"          Coef1 =  0.756376  Coef2 = -0.015019  Coef3 =  0.000156  Coef4 =  0.002460  Coef5 =  0.000515  Coef6 = -0.000687  _x000D_
                                                                                MaxOut = 1.120   MinOut = 0.630   MaxVar1 = 12.220   MinVar1 = 4.440   MaxVar2 = 29.440   MinVar2 = 15.560   _x000D_
..</v>
      </c>
      <c r="AQ144" s="167" t="str">
        <f t="shared" ref="AQ144" si="736">IF(AO144=1,CONCATENATE(AT144,AU144,AV144,AW144,IF(AX144="-","",$AX$15&amp;AX144),IF(AY144="-","",$AY$15&amp;AY144),IF(AZ144="-","",$AZ$15&amp;AZ144),IF(BA144="-","",$BA$15&amp;BA144),IF(BB144="-","",$BB$15&amp;BB144),IF(BC144="-","",$BC$15&amp;BC144)),"")</f>
        <v xml:space="preserve">CrvDblQuad     "ChlrWtrCentPathBGtEql300Lt600tonEIRRatio_fTchwsTcwsSI"          Coef1 =  0.756376  Coef2 = -0.015019  Coef3 =  0.000156  Coef4 =  0.002460  Coef5 =  0.000515  Coef6 = -0.000687  </v>
      </c>
      <c r="AR144" s="166" t="str">
        <f t="shared" ref="AR144" si="737">IF(AO144=1,CONCATENATE(BD144,IF(BE144="-","",$BE$15&amp;BE144),IF(BF144="-","",$BF$15&amp;BF144),IF(BG144="-","",$BG$15&amp;BG144),IF(BH144="-","",$BH$15&amp;BH144),IF(BI144="-","",$BI$15&amp;BI144),IF(BJ144="-","",$BJ$15&amp;BJ144)),"")</f>
        <v xml:space="preserve">_x000D_
                                                                                MaxOut = 1.120   MinOut = 0.630   MaxVar1 = 12.220   MinVar1 = 4.440   MaxVar2 = 29.440   MinVar2 = 15.560   </v>
      </c>
      <c r="AS144" s="166" t="str">
        <f t="shared" ref="AS144" si="738">IF(AO144=1,CHAR(13)&amp;CHAR(10)&amp;"..","")</f>
        <v>_x000D_
..</v>
      </c>
      <c r="AT144" s="20" t="str">
        <f t="shared" ref="AT144" si="739">IF(AO144=1,VLOOKUP(O144,$AT$2:$AV$13,2,0),"")</f>
        <v>CrvDblQuad</v>
      </c>
      <c r="AU144" s="43" t="str">
        <f t="shared" si="343"/>
        <v xml:space="preserve">     </v>
      </c>
      <c r="AV144" s="62" t="str">
        <f t="shared" si="550"/>
        <v>"ChlrWtrCentPathBGtEql300Lt600tonEIRRatio_fTchwsTcwsSI"</v>
      </c>
      <c r="AW144" s="20" t="str">
        <f t="shared" ref="AW144" si="740">REPT(" ",$AW$14-LEN(AV144))</f>
        <v xml:space="preserve">          </v>
      </c>
      <c r="AX144" s="43" t="str">
        <f t="shared" ref="AX144" si="741">IF($AO144=1,IF(ISBLANK(V144),"-",CONCATENATE(TEXT(V144," 0.000000;-0.000000"),"  ")),"")</f>
        <v xml:space="preserve"> 0.756376  </v>
      </c>
      <c r="AY144" s="43" t="str">
        <f t="shared" ref="AY144" si="742">IF($AO144=1,IF(ISBLANK(W144),"-",CONCATENATE(TEXT(W144," 0.000000;-0.000000"),"  ")),"")</f>
        <v xml:space="preserve">-0.015019  </v>
      </c>
      <c r="AZ144" s="43" t="str">
        <f t="shared" ref="AZ144" si="743">IF($AO144=1,IF(ISBLANK(X144),"-",CONCATENATE(TEXT(X144," 0.000000;-0.000000"),"  ")),"")</f>
        <v xml:space="preserve"> 0.000156  </v>
      </c>
      <c r="BA144" s="43" t="str">
        <f t="shared" ref="BA144" si="744">IF($AO144=1,IF(ISBLANK(Y144),"-",CONCATENATE(TEXT(Y144," 0.000000;-0.000000"),"  ")),"")</f>
        <v xml:space="preserve"> 0.002460  </v>
      </c>
      <c r="BB144" s="43" t="str">
        <f t="shared" ref="BB144" si="745">IF($AO144=1,IF(ISBLANK(Z144),"-",CONCATENATE(TEXT(Z144," 0.000000;-0.000000"),"  ")),"")</f>
        <v xml:space="preserve"> 0.000515  </v>
      </c>
      <c r="BC144" s="43" t="str">
        <f t="shared" ref="BC144" si="746">IF($AO144=1,IF(ISBLANK(AA144),"-",CONCATENATE(TEXT(AA144," 0.000000;-0.000000"),"  ")),"")</f>
        <v xml:space="preserve">-0.000687  </v>
      </c>
      <c r="BD144" s="43" t="str">
        <f t="shared" si="342"/>
        <v xml:space="preserve">_x000D_
                                                                                </v>
      </c>
      <c r="BE144" s="20" t="str">
        <f t="shared" si="543"/>
        <v xml:space="preserve">1.120   </v>
      </c>
      <c r="BF144" s="20" t="str">
        <f t="shared" si="544"/>
        <v xml:space="preserve">0.630   </v>
      </c>
      <c r="BG144" s="20" t="str">
        <f t="shared" si="545"/>
        <v xml:space="preserve">12.220   </v>
      </c>
      <c r="BH144" s="20" t="str">
        <f t="shared" si="546"/>
        <v xml:space="preserve">4.440   </v>
      </c>
      <c r="BI144" s="20" t="str">
        <f t="shared" si="547"/>
        <v xml:space="preserve">29.440   </v>
      </c>
      <c r="BJ144" s="20" t="str">
        <f t="shared" si="548"/>
        <v xml:space="preserve">15.560   </v>
      </c>
      <c r="BM144" s="43" t="str">
        <f t="shared" si="729"/>
        <v>Tchws</v>
      </c>
      <c r="BN144" s="43" t="str">
        <f t="shared" si="730"/>
        <v>Tcws</v>
      </c>
      <c r="BO144" s="164">
        <f>(BO143-32)/1.8</f>
        <v>6.6666666666666661</v>
      </c>
      <c r="BP144" s="164">
        <f>(BP143-32)/1.8</f>
        <v>29.444444444444443</v>
      </c>
      <c r="BQ144" s="164">
        <f t="shared" ref="BQ144" si="747">(BQ143-32)/1.8</f>
        <v>12.222222222222221</v>
      </c>
      <c r="BR144" s="164">
        <f t="shared" ref="BR144" si="748">(BR143-32)/1.8</f>
        <v>4.4444444444444446</v>
      </c>
      <c r="BS144" s="164">
        <f t="shared" ref="BS144" si="749">(BS143-32)/1.8</f>
        <v>29.444444444444443</v>
      </c>
      <c r="BT144" s="164">
        <f t="shared" ref="BT144" si="750">(BT143-32)/1.8</f>
        <v>15.555555555555555</v>
      </c>
      <c r="BU144" s="147">
        <f t="shared" si="561"/>
        <v>1.0468303333333333</v>
      </c>
      <c r="BV144" s="147">
        <f t="shared" si="683"/>
        <v>1.1213092222222221</v>
      </c>
      <c r="BW144" s="147">
        <f t="shared" si="684"/>
        <v>0.62821811111111114</v>
      </c>
      <c r="BX144" s="43" t="s">
        <v>729</v>
      </c>
    </row>
    <row r="145" spans="1:98" s="20" customFormat="1" ht="30" hidden="1" outlineLevel="1" x14ac:dyDescent="0.25">
      <c r="A145" s="58"/>
      <c r="D145" s="60"/>
      <c r="E145" s="20" t="s">
        <v>369</v>
      </c>
      <c r="F145" s="60" t="s">
        <v>411</v>
      </c>
      <c r="G145" s="60" t="s">
        <v>606</v>
      </c>
      <c r="H145" s="20" t="s">
        <v>580</v>
      </c>
      <c r="I145" s="20" t="s">
        <v>659</v>
      </c>
      <c r="J145" s="20" t="s">
        <v>273</v>
      </c>
      <c r="K145" s="20" t="s">
        <v>157</v>
      </c>
      <c r="L145" s="60"/>
      <c r="N145" s="43" t="str">
        <f t="shared" si="549"/>
        <v>ChlrWtrCentPathBGtEql600tonEIRRatio_fTchwsTcwsIP</v>
      </c>
      <c r="O145" s="20" t="s">
        <v>165</v>
      </c>
      <c r="P145" s="20" t="s">
        <v>288</v>
      </c>
      <c r="Q145" s="20" t="s">
        <v>139</v>
      </c>
      <c r="R145" s="20" t="s">
        <v>140</v>
      </c>
      <c r="V145" s="61">
        <v>0.36702320760347801</v>
      </c>
      <c r="W145" s="61">
        <v>1.2466487978864901E-2</v>
      </c>
      <c r="X145" s="61">
        <v>-6.8822851718032595E-5</v>
      </c>
      <c r="Y145" s="61">
        <v>5.9339558672861503E-3</v>
      </c>
      <c r="Z145" s="61">
        <v>8.2446901437937793E-5</v>
      </c>
      <c r="AA145" s="61">
        <v>-2.2665353258000701E-4</v>
      </c>
      <c r="AG145" s="158">
        <f t="shared" si="540"/>
        <v>1.0900000000000001</v>
      </c>
      <c r="AH145" s="158">
        <f t="shared" si="541"/>
        <v>0.76</v>
      </c>
      <c r="AI145" s="158">
        <f t="shared" si="394"/>
        <v>54</v>
      </c>
      <c r="AJ145" s="158">
        <f t="shared" si="666"/>
        <v>40</v>
      </c>
      <c r="AK145" s="158">
        <f t="shared" si="395"/>
        <v>85</v>
      </c>
      <c r="AL145" s="158">
        <f t="shared" si="396"/>
        <v>60</v>
      </c>
      <c r="AM145" s="60"/>
      <c r="AO145" s="43">
        <f t="shared" si="551"/>
        <v>0</v>
      </c>
      <c r="AP145" s="166" t="str">
        <f t="shared" si="660"/>
        <v/>
      </c>
      <c r="AQ145" s="167" t="str">
        <f t="shared" si="553"/>
        <v/>
      </c>
      <c r="AR145" s="166" t="str">
        <f t="shared" si="661"/>
        <v/>
      </c>
      <c r="AS145" s="166" t="str">
        <f t="shared" si="662"/>
        <v/>
      </c>
      <c r="AT145" s="20" t="str">
        <f t="shared" si="663"/>
        <v/>
      </c>
      <c r="AU145" s="43" t="str">
        <f t="shared" si="343"/>
        <v xml:space="preserve">               </v>
      </c>
      <c r="AV145" s="62" t="str">
        <f t="shared" si="550"/>
        <v/>
      </c>
      <c r="AW145" s="20" t="str">
        <f t="shared" si="664"/>
        <v xml:space="preserve">                                                                 </v>
      </c>
      <c r="AX145" s="43" t="str">
        <f t="shared" si="665"/>
        <v/>
      </c>
      <c r="AY145" s="43" t="str">
        <f t="shared" si="665"/>
        <v/>
      </c>
      <c r="AZ145" s="43" t="str">
        <f t="shared" si="665"/>
        <v/>
      </c>
      <c r="BA145" s="43" t="str">
        <f t="shared" si="665"/>
        <v/>
      </c>
      <c r="BB145" s="43" t="str">
        <f t="shared" si="665"/>
        <v/>
      </c>
      <c r="BC145" s="43" t="str">
        <f t="shared" si="665"/>
        <v/>
      </c>
      <c r="BD145" s="43" t="str">
        <f t="shared" si="342"/>
        <v xml:space="preserve">_x000D_
                                                                                </v>
      </c>
      <c r="BE145" s="20" t="str">
        <f t="shared" si="543"/>
        <v/>
      </c>
      <c r="BF145" s="20" t="str">
        <f t="shared" si="544"/>
        <v/>
      </c>
      <c r="BG145" s="20" t="str">
        <f t="shared" si="545"/>
        <v/>
      </c>
      <c r="BH145" s="20" t="str">
        <f t="shared" si="546"/>
        <v/>
      </c>
      <c r="BI145" s="20" t="str">
        <f t="shared" si="547"/>
        <v/>
      </c>
      <c r="BJ145" s="20" t="str">
        <f t="shared" si="548"/>
        <v/>
      </c>
      <c r="BM145" s="43" t="str">
        <f t="shared" si="729"/>
        <v>Tchws</v>
      </c>
      <c r="BN145" s="43" t="str">
        <f t="shared" si="730"/>
        <v>Tcws</v>
      </c>
      <c r="BO145" s="43">
        <v>44</v>
      </c>
      <c r="BP145" s="43">
        <v>85</v>
      </c>
      <c r="BQ145" s="43">
        <v>54</v>
      </c>
      <c r="BR145" s="43">
        <v>40</v>
      </c>
      <c r="BS145" s="43">
        <v>85</v>
      </c>
      <c r="BT145" s="43">
        <v>60</v>
      </c>
      <c r="BU145" s="147">
        <f t="shared" si="561"/>
        <v>1.0346885375066197</v>
      </c>
      <c r="BV145" s="147">
        <f t="shared" si="683"/>
        <v>1.0850092648456213</v>
      </c>
      <c r="BW145" s="147">
        <f t="shared" si="684"/>
        <v>0.75801487450692173</v>
      </c>
      <c r="BX145" s="43" t="s">
        <v>729</v>
      </c>
      <c r="CI145" s="20" t="s">
        <v>28</v>
      </c>
    </row>
    <row r="146" spans="1:98" s="20" customFormat="1" ht="30" hidden="1" outlineLevel="1" x14ac:dyDescent="0.25">
      <c r="A146" s="58"/>
      <c r="D146" s="60"/>
      <c r="E146" s="20" t="s">
        <v>369</v>
      </c>
      <c r="F146" s="60" t="s">
        <v>411</v>
      </c>
      <c r="G146" s="60" t="s">
        <v>606</v>
      </c>
      <c r="H146" s="20" t="s">
        <v>580</v>
      </c>
      <c r="I146" s="20" t="s">
        <v>660</v>
      </c>
      <c r="J146" s="20" t="s">
        <v>144</v>
      </c>
      <c r="L146" s="60" t="s">
        <v>202</v>
      </c>
      <c r="M146" s="20" t="s">
        <v>249</v>
      </c>
      <c r="N146" s="43" t="str">
        <f t="shared" si="549"/>
        <v>ChlrWtrCentPathBGtEql600tonEIRRatio_fTchwsTcwsSI</v>
      </c>
      <c r="O146" s="20" t="s">
        <v>165</v>
      </c>
      <c r="P146" s="20" t="s">
        <v>288</v>
      </c>
      <c r="Q146" s="20" t="s">
        <v>139</v>
      </c>
      <c r="R146" s="20" t="s">
        <v>140</v>
      </c>
      <c r="V146" s="61">
        <v>0.73762499999999998</v>
      </c>
      <c r="W146" s="61">
        <v>1.4560199999999999E-3</v>
      </c>
      <c r="X146" s="61">
        <v>-2.22912E-4</v>
      </c>
      <c r="Y146" s="61">
        <v>7.1157599999999996E-3</v>
      </c>
      <c r="Z146" s="61">
        <v>2.6697599999999999E-4</v>
      </c>
      <c r="AA146" s="61">
        <v>-7.3450800000000004E-4</v>
      </c>
      <c r="AG146" s="158">
        <f t="shared" si="540"/>
        <v>1.08</v>
      </c>
      <c r="AH146" s="158">
        <f t="shared" si="541"/>
        <v>0.76</v>
      </c>
      <c r="AI146" s="158">
        <f t="shared" si="394"/>
        <v>12.22</v>
      </c>
      <c r="AJ146" s="158">
        <f t="shared" si="666"/>
        <v>4.4400000000000004</v>
      </c>
      <c r="AK146" s="158">
        <f t="shared" si="395"/>
        <v>29.44</v>
      </c>
      <c r="AL146" s="158">
        <f t="shared" si="396"/>
        <v>15.56</v>
      </c>
      <c r="AM146" s="60"/>
      <c r="AO146" s="43">
        <f t="shared" si="551"/>
        <v>1</v>
      </c>
      <c r="AP146" s="166" t="str">
        <f t="shared" ref="AP146" si="751">IF(AO146=1,CONCATENATE(AQ146,AR146,AS146),"")</f>
        <v>CrvDblQuad     "ChlrWtrCentPathBGtEql600tonEIRRatio_fTchwsTcwsSI"               Coef1 =  0.737625  Coef2 =  0.001456  Coef3 = -0.000223  Coef4 =  0.007116  Coef5 =  0.000267  Coef6 = -0.000735  _x000D_
                                                                                MaxOut = 1.080   MinOut = 0.760   MaxVar1 = 12.220   MinVar1 = 4.440   MaxVar2 = 29.440   MinVar2 = 15.560   _x000D_
..</v>
      </c>
      <c r="AQ146" s="167" t="str">
        <f t="shared" ref="AQ146" si="752">IF(AO146=1,CONCATENATE(AT146,AU146,AV146,AW146,IF(AX146="-","",$AX$15&amp;AX146),IF(AY146="-","",$AY$15&amp;AY146),IF(AZ146="-","",$AZ$15&amp;AZ146),IF(BA146="-","",$BA$15&amp;BA146),IF(BB146="-","",$BB$15&amp;BB146),IF(BC146="-","",$BC$15&amp;BC146)),"")</f>
        <v xml:space="preserve">CrvDblQuad     "ChlrWtrCentPathBGtEql600tonEIRRatio_fTchwsTcwsSI"               Coef1 =  0.737625  Coef2 =  0.001456  Coef3 = -0.000223  Coef4 =  0.007116  Coef5 =  0.000267  Coef6 = -0.000735  </v>
      </c>
      <c r="AR146" s="166" t="str">
        <f t="shared" ref="AR146" si="753">IF(AO146=1,CONCATENATE(BD146,IF(BE146="-","",$BE$15&amp;BE146),IF(BF146="-","",$BF$15&amp;BF146),IF(BG146="-","",$BG$15&amp;BG146),IF(BH146="-","",$BH$15&amp;BH146),IF(BI146="-","",$BI$15&amp;BI146),IF(BJ146="-","",$BJ$15&amp;BJ146)),"")</f>
        <v xml:space="preserve">_x000D_
                                                                                MaxOut = 1.080   MinOut = 0.760   MaxVar1 = 12.220   MinVar1 = 4.440   MaxVar2 = 29.440   MinVar2 = 15.560   </v>
      </c>
      <c r="AS146" s="166" t="str">
        <f t="shared" ref="AS146" si="754">IF(AO146=1,CHAR(13)&amp;CHAR(10)&amp;"..","")</f>
        <v>_x000D_
..</v>
      </c>
      <c r="AT146" s="20" t="str">
        <f t="shared" ref="AT146" si="755">IF(AO146=1,VLOOKUP(O146,$AT$2:$AV$13,2,0),"")</f>
        <v>CrvDblQuad</v>
      </c>
      <c r="AU146" s="43" t="str">
        <f t="shared" si="343"/>
        <v xml:space="preserve">     </v>
      </c>
      <c r="AV146" s="62" t="str">
        <f t="shared" si="550"/>
        <v>"ChlrWtrCentPathBGtEql600tonEIRRatio_fTchwsTcwsSI"</v>
      </c>
      <c r="AW146" s="20" t="str">
        <f t="shared" ref="AW146" si="756">REPT(" ",$AW$14-LEN(AV146))</f>
        <v xml:space="preserve">               </v>
      </c>
      <c r="AX146" s="43" t="str">
        <f t="shared" ref="AX146" si="757">IF($AO146=1,IF(ISBLANK(V146),"-",CONCATENATE(TEXT(V146," 0.000000;-0.000000"),"  ")),"")</f>
        <v xml:space="preserve"> 0.737625  </v>
      </c>
      <c r="AY146" s="43" t="str">
        <f t="shared" ref="AY146" si="758">IF($AO146=1,IF(ISBLANK(W146),"-",CONCATENATE(TEXT(W146," 0.000000;-0.000000"),"  ")),"")</f>
        <v xml:space="preserve"> 0.001456  </v>
      </c>
      <c r="AZ146" s="43" t="str">
        <f t="shared" ref="AZ146" si="759">IF($AO146=1,IF(ISBLANK(X146),"-",CONCATENATE(TEXT(X146," 0.000000;-0.000000"),"  ")),"")</f>
        <v xml:space="preserve">-0.000223  </v>
      </c>
      <c r="BA146" s="43" t="str">
        <f t="shared" ref="BA146" si="760">IF($AO146=1,IF(ISBLANK(Y146),"-",CONCATENATE(TEXT(Y146," 0.000000;-0.000000"),"  ")),"")</f>
        <v xml:space="preserve"> 0.007116  </v>
      </c>
      <c r="BB146" s="43" t="str">
        <f t="shared" ref="BB146" si="761">IF($AO146=1,IF(ISBLANK(Z146),"-",CONCATENATE(TEXT(Z146," 0.000000;-0.000000"),"  ")),"")</f>
        <v xml:space="preserve"> 0.000267  </v>
      </c>
      <c r="BC146" s="43" t="str">
        <f t="shared" ref="BC146" si="762">IF($AO146=1,IF(ISBLANK(AA146),"-",CONCATENATE(TEXT(AA146," 0.000000;-0.000000"),"  ")),"")</f>
        <v xml:space="preserve">-0.000735  </v>
      </c>
      <c r="BD146" s="43" t="str">
        <f t="shared" si="342"/>
        <v xml:space="preserve">_x000D_
                                                                                </v>
      </c>
      <c r="BE146" s="20" t="str">
        <f t="shared" si="543"/>
        <v xml:space="preserve">1.080   </v>
      </c>
      <c r="BF146" s="20" t="str">
        <f t="shared" si="544"/>
        <v xml:space="preserve">0.760   </v>
      </c>
      <c r="BG146" s="20" t="str">
        <f t="shared" si="545"/>
        <v xml:space="preserve">12.220   </v>
      </c>
      <c r="BH146" s="20" t="str">
        <f t="shared" si="546"/>
        <v xml:space="preserve">4.440   </v>
      </c>
      <c r="BI146" s="20" t="str">
        <f t="shared" si="547"/>
        <v xml:space="preserve">29.440   </v>
      </c>
      <c r="BJ146" s="20" t="str">
        <f t="shared" si="548"/>
        <v xml:space="preserve">15.560   </v>
      </c>
      <c r="BM146" s="43" t="str">
        <f t="shared" si="729"/>
        <v>Tchws</v>
      </c>
      <c r="BN146" s="43" t="str">
        <f t="shared" si="730"/>
        <v>Tcws</v>
      </c>
      <c r="BO146" s="164">
        <f>(BO145-32)/1.8</f>
        <v>6.6666666666666661</v>
      </c>
      <c r="BP146" s="164">
        <f>(BP145-32)/1.8</f>
        <v>29.444444444444443</v>
      </c>
      <c r="BQ146" s="164">
        <f t="shared" ref="BQ146" si="763">(BQ145-32)/1.8</f>
        <v>12.222222222222221</v>
      </c>
      <c r="BR146" s="164">
        <f t="shared" ref="BR146" si="764">(BR145-32)/1.8</f>
        <v>4.4444444444444446</v>
      </c>
      <c r="BS146" s="164">
        <f t="shared" ref="BS146" si="765">(BS145-32)/1.8</f>
        <v>29.444444444444443</v>
      </c>
      <c r="BT146" s="164">
        <f t="shared" ref="BT146" si="766">(BT145-32)/1.8</f>
        <v>15.555555555555555</v>
      </c>
      <c r="BU146" s="147">
        <f t="shared" si="561"/>
        <v>1.0342245999999999</v>
      </c>
      <c r="BV146" s="147">
        <f t="shared" si="683"/>
        <v>1.0845533999999999</v>
      </c>
      <c r="BW146" s="147">
        <f t="shared" si="684"/>
        <v>0.75776560000000015</v>
      </c>
      <c r="BX146" s="43" t="s">
        <v>729</v>
      </c>
      <c r="CI146" s="20">
        <v>0</v>
      </c>
      <c r="CJ146" s="20">
        <v>0.1</v>
      </c>
      <c r="CK146" s="20">
        <v>0.2</v>
      </c>
      <c r="CL146" s="20">
        <v>0.3</v>
      </c>
      <c r="CM146" s="20">
        <v>0.4</v>
      </c>
      <c r="CN146" s="20">
        <v>0.5</v>
      </c>
      <c r="CO146" s="20">
        <v>0.6</v>
      </c>
      <c r="CP146" s="20">
        <v>0.7</v>
      </c>
      <c r="CQ146" s="20">
        <v>0.8</v>
      </c>
      <c r="CR146" s="20">
        <v>0.9</v>
      </c>
      <c r="CS146" s="20">
        <v>1</v>
      </c>
      <c r="CT146" s="20">
        <v>1.1000000000000001</v>
      </c>
    </row>
    <row r="147" spans="1:98" s="20" customFormat="1" ht="30" hidden="1" outlineLevel="1" x14ac:dyDescent="0.25">
      <c r="A147" s="58"/>
      <c r="D147" s="60" t="s">
        <v>371</v>
      </c>
      <c r="E147" s="20" t="s">
        <v>369</v>
      </c>
      <c r="F147" s="60" t="s">
        <v>410</v>
      </c>
      <c r="G147" s="60" t="s">
        <v>573</v>
      </c>
      <c r="H147" s="20" t="s">
        <v>571</v>
      </c>
      <c r="J147" s="20" t="s">
        <v>272</v>
      </c>
      <c r="K147" s="20" t="s">
        <v>568</v>
      </c>
      <c r="L147" s="60" t="s">
        <v>202</v>
      </c>
      <c r="M147" s="20" t="s">
        <v>250</v>
      </c>
      <c r="N147" s="43" t="str">
        <f t="shared" si="549"/>
        <v>ChlrWtrPosDispPathAAllEIRRatio_fQRatio</v>
      </c>
      <c r="O147" s="20" t="s">
        <v>162</v>
      </c>
      <c r="P147" s="20" t="s">
        <v>288</v>
      </c>
      <c r="Q147" s="20" t="s">
        <v>160</v>
      </c>
      <c r="V147" s="61">
        <v>0.31096454297266818</v>
      </c>
      <c r="W147" s="61">
        <v>0.32251867620911578</v>
      </c>
      <c r="X147" s="61">
        <v>0.37274466425643099</v>
      </c>
      <c r="Y147" s="61"/>
      <c r="Z147" s="61"/>
      <c r="AA147" s="61"/>
      <c r="AG147" s="158" t="str">
        <f t="shared" ref="AG147:AG158" si="767">IF(BV147&gt;0,ROUND(BV147,2),"")</f>
        <v/>
      </c>
      <c r="AH147" s="158">
        <f t="shared" ref="AH147:AH158" si="768">IF(BW147&gt;0,ROUND(BW147,2),"")</f>
        <v>0.35</v>
      </c>
      <c r="AI147" s="158" t="str">
        <f t="shared" ref="AI147:AI158" si="769">IF(BQ147&gt;0,ROUND(BQ147,2),"")</f>
        <v/>
      </c>
      <c r="AJ147" s="158">
        <f t="shared" si="666"/>
        <v>0.1</v>
      </c>
      <c r="AK147" s="158" t="str">
        <f t="shared" ref="AK147:AK158" si="770">IF(BS147&gt;0,ROUND(BS147,2),"")</f>
        <v/>
      </c>
      <c r="AL147" s="158" t="str">
        <f t="shared" ref="AL147:AL158" si="771">IF(BT147&gt;0,ROUND(BT147,2),"")</f>
        <v/>
      </c>
      <c r="AM147" s="60"/>
      <c r="AO147" s="43">
        <f t="shared" si="551"/>
        <v>1</v>
      </c>
      <c r="AP147" s="166" t="str">
        <f t="shared" si="466"/>
        <v>CrvQuad        "ChlrWtrPosDispPathAAllEIRRatio_fQRatio"                         Coef1 =  0.310965  Coef2 =  0.322519  Coef3 =  0.372745  _x000D_
                                                                                MinOut = 0.350   MinVar1 = 0.100   _x000D_
..</v>
      </c>
      <c r="AQ147" s="167" t="str">
        <f t="shared" si="553"/>
        <v xml:space="preserve">CrvQuad        "ChlrWtrPosDispPathAAllEIRRatio_fQRatio"                         Coef1 =  0.310965  Coef2 =  0.322519  Coef3 =  0.372745  </v>
      </c>
      <c r="AR147" s="166" t="str">
        <f t="shared" si="467"/>
        <v xml:space="preserve">_x000D_
                                                                                MinOut = 0.350   MinVar1 = 0.100   </v>
      </c>
      <c r="AS147" s="166" t="str">
        <f t="shared" si="419"/>
        <v>_x000D_
..</v>
      </c>
      <c r="AT147" s="20" t="str">
        <f t="shared" ref="AT147:AT183" si="772">IF(AO147=1,VLOOKUP(O147,$AT$2:$AV$13,2,0),"")</f>
        <v>CrvQuad</v>
      </c>
      <c r="AU147" s="43" t="str">
        <f t="shared" si="343"/>
        <v xml:space="preserve">        </v>
      </c>
      <c r="AV147" s="62" t="str">
        <f t="shared" si="550"/>
        <v>"ChlrWtrPosDispPathAAllEIRRatio_fQRatio"</v>
      </c>
      <c r="AW147" s="20" t="str">
        <f t="shared" si="542"/>
        <v xml:space="preserve">                         </v>
      </c>
      <c r="AX147" s="43" t="str">
        <f t="shared" si="522"/>
        <v xml:space="preserve"> 0.310965  </v>
      </c>
      <c r="AY147" s="43" t="str">
        <f t="shared" si="523"/>
        <v xml:space="preserve"> 0.322519  </v>
      </c>
      <c r="AZ147" s="43" t="str">
        <f t="shared" si="524"/>
        <v xml:space="preserve"> 0.372745  </v>
      </c>
      <c r="BA147" s="43" t="str">
        <f t="shared" si="525"/>
        <v>-</v>
      </c>
      <c r="BB147" s="43" t="str">
        <f t="shared" si="526"/>
        <v>-</v>
      </c>
      <c r="BC147" s="43" t="str">
        <f t="shared" si="527"/>
        <v>-</v>
      </c>
      <c r="BD147" s="43" t="str">
        <f>IF(MAX(AG147:AL147)=0,REPT(" ",1),CHAR(13)&amp;CHAR(10)&amp;REPT(" ",BD$14))</f>
        <v xml:space="preserve">_x000D_
                                                                                </v>
      </c>
      <c r="BE147" s="20" t="str">
        <f t="shared" si="543"/>
        <v>-</v>
      </c>
      <c r="BF147" s="20" t="str">
        <f t="shared" si="544"/>
        <v xml:space="preserve">0.350   </v>
      </c>
      <c r="BG147" s="20" t="str">
        <f t="shared" si="545"/>
        <v>-</v>
      </c>
      <c r="BH147" s="20" t="str">
        <f t="shared" si="546"/>
        <v xml:space="preserve">0.100   </v>
      </c>
      <c r="BI147" s="20" t="str">
        <f t="shared" si="547"/>
        <v>-</v>
      </c>
      <c r="BJ147" s="20" t="str">
        <f t="shared" si="548"/>
        <v>-</v>
      </c>
      <c r="BM147" s="43" t="str">
        <f t="shared" si="729"/>
        <v>QRatio</v>
      </c>
      <c r="BN147" s="43"/>
      <c r="BO147" s="43">
        <v>1</v>
      </c>
      <c r="BP147" s="43"/>
      <c r="BR147" s="43">
        <v>0.1</v>
      </c>
      <c r="BU147" s="147">
        <f t="shared" ref="BU147:BU152" si="773">$V147+$W147*BO147+$X147*BO147^2+$Y147*BO147^3</f>
        <v>1.006227883438215</v>
      </c>
      <c r="BV147" s="147"/>
      <c r="BW147" s="147">
        <f t="shared" ref="BW147:BW152" si="774">$V147+$W147*BR147+$X147*BR147^2+$Y147*BR147^3</f>
        <v>0.34694385723614407</v>
      </c>
      <c r="CH147" s="180" t="s">
        <v>917</v>
      </c>
      <c r="CJ147" s="20">
        <f>CJ$146/($AX147+$AY147*CJ$146+$AZ147*CJ$146^2)</f>
        <v>0.28823066292908361</v>
      </c>
      <c r="CK147" s="20">
        <f t="shared" ref="CK147:CT152" si="775">CK$146/($AX147+$AY147*CK$146+$AZ147*CK$146^2)</f>
        <v>0.5123231652554725</v>
      </c>
      <c r="CL147" s="20">
        <f t="shared" si="775"/>
        <v>0.67985933710315338</v>
      </c>
      <c r="CM147" s="20">
        <f t="shared" si="775"/>
        <v>0.80062160261226822</v>
      </c>
      <c r="CN147" s="20">
        <f t="shared" si="775"/>
        <v>0.88431286458561331</v>
      </c>
      <c r="CO147" s="20">
        <f t="shared" si="775"/>
        <v>0.93946024251226712</v>
      </c>
      <c r="CP147" s="20">
        <f t="shared" si="775"/>
        <v>0.97306913023675401</v>
      </c>
      <c r="CQ147" s="20">
        <f t="shared" si="775"/>
        <v>0.99066668152666704</v>
      </c>
      <c r="CR147" s="20">
        <f t="shared" si="775"/>
        <v>0.99650608358659798</v>
      </c>
      <c r="CS147" s="20">
        <f t="shared" si="775"/>
        <v>0.99380956024920786</v>
      </c>
      <c r="CT147" s="20">
        <f t="shared" si="775"/>
        <v>0.98499463648034191</v>
      </c>
    </row>
    <row r="148" spans="1:98" s="20" customFormat="1" ht="30" hidden="1" outlineLevel="1" x14ac:dyDescent="0.25">
      <c r="A148" s="58"/>
      <c r="D148" s="60"/>
      <c r="E148" s="20" t="s">
        <v>369</v>
      </c>
      <c r="F148" s="60" t="s">
        <v>410</v>
      </c>
      <c r="G148" s="60" t="s">
        <v>574</v>
      </c>
      <c r="H148" s="20" t="s">
        <v>572</v>
      </c>
      <c r="J148" s="20" t="s">
        <v>272</v>
      </c>
      <c r="K148" s="20" t="s">
        <v>568</v>
      </c>
      <c r="L148" s="60" t="s">
        <v>202</v>
      </c>
      <c r="M148" s="20" t="s">
        <v>250</v>
      </c>
      <c r="N148" s="43" t="str">
        <f t="shared" si="549"/>
        <v>ChlrWtrCentPathAAllEIRRatio_fQRatio</v>
      </c>
      <c r="O148" s="20" t="s">
        <v>162</v>
      </c>
      <c r="P148" s="20" t="s">
        <v>288</v>
      </c>
      <c r="Q148" s="20" t="s">
        <v>160</v>
      </c>
      <c r="V148" s="61">
        <v>0.22214905999999995</v>
      </c>
      <c r="W148" s="61">
        <v>0.50315595000000002</v>
      </c>
      <c r="X148" s="61">
        <v>0.25690463000000002</v>
      </c>
      <c r="Y148" s="61"/>
      <c r="Z148" s="61"/>
      <c r="AA148" s="61"/>
      <c r="AG148" s="158" t="str">
        <f t="shared" si="767"/>
        <v/>
      </c>
      <c r="AH148" s="158">
        <f t="shared" si="768"/>
        <v>0.28000000000000003</v>
      </c>
      <c r="AI148" s="158" t="str">
        <f t="shared" si="769"/>
        <v/>
      </c>
      <c r="AJ148" s="158">
        <f t="shared" si="666"/>
        <v>0.1</v>
      </c>
      <c r="AK148" s="158" t="str">
        <f t="shared" si="770"/>
        <v/>
      </c>
      <c r="AL148" s="158" t="str">
        <f t="shared" si="771"/>
        <v/>
      </c>
      <c r="AM148" s="60"/>
      <c r="AO148" s="43">
        <f t="shared" si="551"/>
        <v>1</v>
      </c>
      <c r="AP148" s="166" t="str">
        <f t="shared" si="466"/>
        <v>CrvQuad        "ChlrWtrCentPathAAllEIRRatio_fQRatio"                            Coef1 =  0.222149  Coef2 =  0.503156  Coef3 =  0.256905  _x000D_
                                                                                MinOut = 0.280   MinVar1 = 0.100   _x000D_
..</v>
      </c>
      <c r="AQ148" s="167" t="str">
        <f t="shared" si="553"/>
        <v xml:space="preserve">CrvQuad        "ChlrWtrCentPathAAllEIRRatio_fQRatio"                            Coef1 =  0.222149  Coef2 =  0.503156  Coef3 =  0.256905  </v>
      </c>
      <c r="AR148" s="166" t="str">
        <f t="shared" si="467"/>
        <v xml:space="preserve">_x000D_
                                                                                MinOut = 0.280   MinVar1 = 0.100   </v>
      </c>
      <c r="AS148" s="166" t="str">
        <f t="shared" si="419"/>
        <v>_x000D_
..</v>
      </c>
      <c r="AT148" s="20" t="str">
        <f t="shared" si="772"/>
        <v>CrvQuad</v>
      </c>
      <c r="AU148" s="43" t="str">
        <f t="shared" si="343"/>
        <v xml:space="preserve">        </v>
      </c>
      <c r="AV148" s="62" t="str">
        <f t="shared" si="550"/>
        <v>"ChlrWtrCentPathAAllEIRRatio_fQRatio"</v>
      </c>
      <c r="AW148" s="20" t="str">
        <f t="shared" si="542"/>
        <v xml:space="preserve">                            </v>
      </c>
      <c r="AX148" s="43" t="str">
        <f t="shared" si="522"/>
        <v xml:space="preserve"> 0.222149  </v>
      </c>
      <c r="AY148" s="43" t="str">
        <f t="shared" si="523"/>
        <v xml:space="preserve"> 0.503156  </v>
      </c>
      <c r="AZ148" s="43" t="str">
        <f t="shared" si="524"/>
        <v xml:space="preserve"> 0.256905  </v>
      </c>
      <c r="BA148" s="43" t="str">
        <f t="shared" si="525"/>
        <v>-</v>
      </c>
      <c r="BB148" s="43" t="str">
        <f t="shared" si="526"/>
        <v>-</v>
      </c>
      <c r="BC148" s="43" t="str">
        <f t="shared" si="527"/>
        <v>-</v>
      </c>
      <c r="BD148" s="43" t="str">
        <f t="shared" ref="BD148:BD195" si="776">IF(MAX(AG148:AL148)=0,REPT(" ",1),CHAR(13)&amp;CHAR(10)&amp;REPT(" ",BD$14))</f>
        <v xml:space="preserve">_x000D_
                                                                                </v>
      </c>
      <c r="BE148" s="20" t="str">
        <f t="shared" si="543"/>
        <v>-</v>
      </c>
      <c r="BF148" s="20" t="str">
        <f t="shared" si="544"/>
        <v xml:space="preserve">0.280   </v>
      </c>
      <c r="BG148" s="20" t="str">
        <f t="shared" si="545"/>
        <v>-</v>
      </c>
      <c r="BH148" s="20" t="str">
        <f t="shared" si="546"/>
        <v xml:space="preserve">0.100   </v>
      </c>
      <c r="BI148" s="20" t="str">
        <f t="shared" si="547"/>
        <v>-</v>
      </c>
      <c r="BJ148" s="20" t="str">
        <f t="shared" si="548"/>
        <v>-</v>
      </c>
      <c r="BM148" s="43" t="str">
        <f t="shared" si="729"/>
        <v>QRatio</v>
      </c>
      <c r="BN148" s="43"/>
      <c r="BO148" s="43">
        <v>1</v>
      </c>
      <c r="BP148" s="43"/>
      <c r="BR148" s="43">
        <v>0.1</v>
      </c>
      <c r="BU148" s="147">
        <f t="shared" si="773"/>
        <v>0.98220963999999999</v>
      </c>
      <c r="BV148" s="147"/>
      <c r="BW148" s="147">
        <f t="shared" si="774"/>
        <v>0.27503370129999993</v>
      </c>
      <c r="CH148" s="180" t="s">
        <v>919</v>
      </c>
      <c r="CJ148" s="20">
        <f t="shared" ref="CJ148:CJ152" si="777">CJ$146/($AX148+$AY148*CJ$146+$AZ148*CJ$146^2)</f>
        <v>0.36359187321260505</v>
      </c>
      <c r="CK148" s="20">
        <f t="shared" si="775"/>
        <v>0.60049889448153526</v>
      </c>
      <c r="CL148" s="20">
        <f t="shared" si="775"/>
        <v>0.75716037098334299</v>
      </c>
      <c r="CM148" s="20">
        <f t="shared" si="775"/>
        <v>0.86111097955248916</v>
      </c>
      <c r="CN148" s="20">
        <f t="shared" si="775"/>
        <v>0.92944879503934585</v>
      </c>
      <c r="CO148" s="20">
        <f t="shared" si="775"/>
        <v>0.97319117821660772</v>
      </c>
      <c r="CP148" s="20">
        <f t="shared" si="775"/>
        <v>0.99965490484606268</v>
      </c>
      <c r="CQ148" s="20">
        <f t="shared" si="775"/>
        <v>1.0138221983974005</v>
      </c>
      <c r="CR148" s="20">
        <f t="shared" si="775"/>
        <v>1.0191573844548716</v>
      </c>
      <c r="CS148" s="20">
        <f t="shared" si="775"/>
        <v>1.0181122163284837</v>
      </c>
      <c r="CT148" s="20">
        <f t="shared" si="775"/>
        <v>1.0124479089798284</v>
      </c>
    </row>
    <row r="149" spans="1:98" s="20" customFormat="1" ht="30" hidden="1" outlineLevel="1" x14ac:dyDescent="0.25">
      <c r="A149" s="58"/>
      <c r="D149" s="60"/>
      <c r="E149" s="20" t="s">
        <v>369</v>
      </c>
      <c r="F149" s="60" t="s">
        <v>410</v>
      </c>
      <c r="G149" s="60" t="s">
        <v>578</v>
      </c>
      <c r="H149" s="20" t="s">
        <v>577</v>
      </c>
      <c r="J149" s="20" t="s">
        <v>272</v>
      </c>
      <c r="K149" s="20" t="s">
        <v>568</v>
      </c>
      <c r="L149" s="60" t="s">
        <v>202</v>
      </c>
      <c r="M149" s="20" t="s">
        <v>250</v>
      </c>
      <c r="N149" s="43" t="str">
        <f t="shared" si="549"/>
        <v>ChlrWtrPosDispPathBAllEIRRatio_fQRatio</v>
      </c>
      <c r="O149" s="20" t="s">
        <v>162</v>
      </c>
      <c r="P149" s="20" t="s">
        <v>288</v>
      </c>
      <c r="Q149" s="20" t="s">
        <v>160</v>
      </c>
      <c r="V149" s="61">
        <v>0</v>
      </c>
      <c r="W149" s="61">
        <v>0.62060000000000004</v>
      </c>
      <c r="X149" s="61">
        <v>0.38929999999999998</v>
      </c>
      <c r="Y149" s="61"/>
      <c r="Z149" s="61"/>
      <c r="AA149" s="61"/>
      <c r="AG149" s="158" t="str">
        <f t="shared" si="767"/>
        <v/>
      </c>
      <c r="AH149" s="158">
        <f t="shared" si="768"/>
        <v>7.0000000000000007E-2</v>
      </c>
      <c r="AI149" s="158" t="str">
        <f t="shared" si="769"/>
        <v/>
      </c>
      <c r="AJ149" s="158">
        <f t="shared" si="666"/>
        <v>0.1</v>
      </c>
      <c r="AK149" s="158" t="str">
        <f t="shared" si="770"/>
        <v/>
      </c>
      <c r="AL149" s="158" t="str">
        <f t="shared" si="771"/>
        <v/>
      </c>
      <c r="AM149" s="60"/>
      <c r="AO149" s="43">
        <f t="shared" si="551"/>
        <v>1</v>
      </c>
      <c r="AP149" s="166" t="str">
        <f t="shared" si="466"/>
        <v>CrvQuad        "ChlrWtrPosDispPathBAllEIRRatio_fQRatio"                         Coef1 =  0.000000  Coef2 =  0.620600  Coef3 =  0.389300  _x000D_
                                                                                MinOut = 0.070   MinVar1 = 0.100   _x000D_
..</v>
      </c>
      <c r="AQ149" s="167" t="str">
        <f t="shared" ref="AQ149:AQ183" si="778">IF(AO149=1,CONCATENATE(AT149,AU149,AV149,AW149,IF(AX149="-","",$AX$15&amp;AX149),IF(AY149="-","",$AY$15&amp;AY149),IF(AZ149="-","",$AZ$15&amp;AZ149),IF(BA149="-","",$BA$15&amp;BA149),IF(BB149="-","",$BB$15&amp;BB149),IF(BC149="-","",$BC$15&amp;BC149)),"")</f>
        <v xml:space="preserve">CrvQuad        "ChlrWtrPosDispPathBAllEIRRatio_fQRatio"                         Coef1 =  0.000000  Coef2 =  0.620600  Coef3 =  0.389300  </v>
      </c>
      <c r="AR149" s="166" t="str">
        <f t="shared" si="467"/>
        <v xml:space="preserve">_x000D_
                                                                                MinOut = 0.070   MinVar1 = 0.100   </v>
      </c>
      <c r="AS149" s="166" t="str">
        <f t="shared" si="419"/>
        <v>_x000D_
..</v>
      </c>
      <c r="AT149" s="20" t="str">
        <f t="shared" si="772"/>
        <v>CrvQuad</v>
      </c>
      <c r="AU149" s="43" t="str">
        <f t="shared" si="343"/>
        <v xml:space="preserve">        </v>
      </c>
      <c r="AV149" s="62" t="str">
        <f t="shared" si="550"/>
        <v>"ChlrWtrPosDispPathBAllEIRRatio_fQRatio"</v>
      </c>
      <c r="AW149" s="20" t="str">
        <f t="shared" si="542"/>
        <v xml:space="preserve">                         </v>
      </c>
      <c r="AX149" s="43" t="str">
        <f t="shared" si="522"/>
        <v xml:space="preserve"> 0.000000  </v>
      </c>
      <c r="AY149" s="43" t="str">
        <f t="shared" si="523"/>
        <v xml:space="preserve"> 0.620600  </v>
      </c>
      <c r="AZ149" s="43" t="str">
        <f t="shared" si="524"/>
        <v xml:space="preserve"> 0.389300  </v>
      </c>
      <c r="BA149" s="43" t="str">
        <f t="shared" si="525"/>
        <v>-</v>
      </c>
      <c r="BB149" s="43" t="str">
        <f t="shared" si="526"/>
        <v>-</v>
      </c>
      <c r="BC149" s="43" t="str">
        <f t="shared" si="527"/>
        <v>-</v>
      </c>
      <c r="BD149" s="43" t="str">
        <f t="shared" si="776"/>
        <v xml:space="preserve">_x000D_
                                                                                </v>
      </c>
      <c r="BE149" s="20" t="str">
        <f t="shared" si="543"/>
        <v>-</v>
      </c>
      <c r="BF149" s="20" t="str">
        <f t="shared" si="544"/>
        <v xml:space="preserve">0.070   </v>
      </c>
      <c r="BG149" s="20" t="str">
        <f t="shared" si="545"/>
        <v>-</v>
      </c>
      <c r="BH149" s="20" t="str">
        <f t="shared" si="546"/>
        <v xml:space="preserve">0.100   </v>
      </c>
      <c r="BI149" s="20" t="str">
        <f t="shared" si="547"/>
        <v>-</v>
      </c>
      <c r="BJ149" s="20" t="str">
        <f t="shared" si="548"/>
        <v>-</v>
      </c>
      <c r="BM149" s="43" t="str">
        <f t="shared" si="729"/>
        <v>QRatio</v>
      </c>
      <c r="BN149" s="43"/>
      <c r="BO149" s="43">
        <v>1</v>
      </c>
      <c r="BP149" s="43"/>
      <c r="BR149" s="43">
        <v>0.1</v>
      </c>
      <c r="BU149" s="147">
        <f t="shared" si="773"/>
        <v>1.0099</v>
      </c>
      <c r="BV149" s="147"/>
      <c r="BW149" s="147">
        <f t="shared" si="774"/>
        <v>6.5953000000000012E-2</v>
      </c>
      <c r="CH149" s="180" t="s">
        <v>918</v>
      </c>
      <c r="CJ149" s="20">
        <f t="shared" si="777"/>
        <v>1.5162312555911026</v>
      </c>
      <c r="CK149" s="20">
        <f t="shared" si="775"/>
        <v>1.4317212152449674</v>
      </c>
      <c r="CL149" s="20">
        <f t="shared" si="775"/>
        <v>1.356134474294471</v>
      </c>
      <c r="CM149" s="20">
        <f t="shared" si="775"/>
        <v>1.288128606760099</v>
      </c>
      <c r="CN149" s="20">
        <f t="shared" si="775"/>
        <v>1.2266176019625881</v>
      </c>
      <c r="CO149" s="20">
        <f t="shared" si="775"/>
        <v>1.1707134327659277</v>
      </c>
      <c r="CP149" s="20">
        <f t="shared" si="775"/>
        <v>1.1196829058010771</v>
      </c>
      <c r="CQ149" s="20">
        <f t="shared" si="775"/>
        <v>1.0729153255225097</v>
      </c>
      <c r="CR149" s="20">
        <f t="shared" si="775"/>
        <v>1.0298979371144319</v>
      </c>
      <c r="CS149" s="20">
        <f t="shared" si="775"/>
        <v>0.99019704921279328</v>
      </c>
      <c r="CT149" s="20">
        <f t="shared" si="775"/>
        <v>0.95344336069715774</v>
      </c>
    </row>
    <row r="150" spans="1:98" s="20" customFormat="1" ht="30" hidden="1" outlineLevel="1" x14ac:dyDescent="0.25">
      <c r="A150" s="58"/>
      <c r="D150" s="60"/>
      <c r="E150" s="20" t="s">
        <v>369</v>
      </c>
      <c r="F150" s="60" t="s">
        <v>410</v>
      </c>
      <c r="G150" s="60" t="s">
        <v>575</v>
      </c>
      <c r="H150" s="20" t="s">
        <v>579</v>
      </c>
      <c r="J150" s="20" t="s">
        <v>272</v>
      </c>
      <c r="K150" s="20" t="s">
        <v>568</v>
      </c>
      <c r="L150" s="60" t="s">
        <v>202</v>
      </c>
      <c r="M150" s="20" t="s">
        <v>250</v>
      </c>
      <c r="N150" s="43" t="str">
        <f t="shared" si="549"/>
        <v>ChlrWtrCentPathBLt300tonEIRRatio_fQRatio</v>
      </c>
      <c r="O150" s="20" t="s">
        <v>162</v>
      </c>
      <c r="P150" s="20" t="s">
        <v>288</v>
      </c>
      <c r="Q150" s="20" t="s">
        <v>160</v>
      </c>
      <c r="V150" s="61">
        <v>0.20838935431540859</v>
      </c>
      <c r="W150" s="61">
        <v>-0.12140415439980182</v>
      </c>
      <c r="X150" s="61">
        <v>0.91845464841410596</v>
      </c>
      <c r="Y150" s="61"/>
      <c r="Z150" s="61"/>
      <c r="AA150" s="61"/>
      <c r="AG150" s="158" t="str">
        <f t="shared" si="767"/>
        <v/>
      </c>
      <c r="AH150" s="158">
        <f t="shared" si="768"/>
        <v>0.21</v>
      </c>
      <c r="AI150" s="158" t="str">
        <f t="shared" si="769"/>
        <v/>
      </c>
      <c r="AJ150" s="158">
        <f t="shared" si="666"/>
        <v>0.1</v>
      </c>
      <c r="AK150" s="158" t="str">
        <f t="shared" si="770"/>
        <v/>
      </c>
      <c r="AL150" s="158" t="str">
        <f t="shared" si="771"/>
        <v/>
      </c>
      <c r="AM150" s="60"/>
      <c r="AO150" s="43">
        <f t="shared" si="551"/>
        <v>1</v>
      </c>
      <c r="AP150" s="166" t="str">
        <f t="shared" si="466"/>
        <v>CrvQuad        "ChlrWtrCentPathBLt300tonEIRRatio_fQRatio"                       Coef1 =  0.208389  Coef2 = -0.121404  Coef3 =  0.918455  _x000D_
                                                                                MinOut = 0.210   MinVar1 = 0.100   _x000D_
..</v>
      </c>
      <c r="AQ150" s="167" t="str">
        <f t="shared" si="778"/>
        <v xml:space="preserve">CrvQuad        "ChlrWtrCentPathBLt300tonEIRRatio_fQRatio"                       Coef1 =  0.208389  Coef2 = -0.121404  Coef3 =  0.918455  </v>
      </c>
      <c r="AR150" s="166" t="str">
        <f t="shared" si="467"/>
        <v xml:space="preserve">_x000D_
                                                                                MinOut = 0.210   MinVar1 = 0.100   </v>
      </c>
      <c r="AS150" s="166" t="str">
        <f t="shared" si="419"/>
        <v>_x000D_
..</v>
      </c>
      <c r="AT150" s="20" t="str">
        <f t="shared" si="772"/>
        <v>CrvQuad</v>
      </c>
      <c r="AU150" s="43" t="str">
        <f t="shared" si="343"/>
        <v xml:space="preserve">        </v>
      </c>
      <c r="AV150" s="62" t="str">
        <f t="shared" si="550"/>
        <v>"ChlrWtrCentPathBLt300tonEIRRatio_fQRatio"</v>
      </c>
      <c r="AW150" s="20" t="str">
        <f t="shared" si="542"/>
        <v xml:space="preserve">                       </v>
      </c>
      <c r="AX150" s="43" t="str">
        <f t="shared" si="522"/>
        <v xml:space="preserve"> 0.208389  </v>
      </c>
      <c r="AY150" s="43" t="str">
        <f t="shared" si="523"/>
        <v xml:space="preserve">-0.121404  </v>
      </c>
      <c r="AZ150" s="43" t="str">
        <f t="shared" si="524"/>
        <v xml:space="preserve"> 0.918455  </v>
      </c>
      <c r="BA150" s="43" t="str">
        <f t="shared" si="525"/>
        <v>-</v>
      </c>
      <c r="BB150" s="43" t="str">
        <f t="shared" si="526"/>
        <v>-</v>
      </c>
      <c r="BC150" s="43" t="str">
        <f t="shared" si="527"/>
        <v>-</v>
      </c>
      <c r="BD150" s="43" t="str">
        <f t="shared" si="776"/>
        <v xml:space="preserve">_x000D_
                                                                                </v>
      </c>
      <c r="BE150" s="20" t="str">
        <f t="shared" si="543"/>
        <v>-</v>
      </c>
      <c r="BF150" s="20" t="str">
        <f t="shared" si="544"/>
        <v xml:space="preserve">0.210   </v>
      </c>
      <c r="BG150" s="20" t="str">
        <f t="shared" si="545"/>
        <v>-</v>
      </c>
      <c r="BH150" s="20" t="str">
        <f t="shared" si="546"/>
        <v xml:space="preserve">0.100   </v>
      </c>
      <c r="BI150" s="20" t="str">
        <f t="shared" si="547"/>
        <v>-</v>
      </c>
      <c r="BJ150" s="20" t="str">
        <f t="shared" si="548"/>
        <v>-</v>
      </c>
      <c r="BM150" s="43" t="str">
        <f t="shared" si="729"/>
        <v>QRatio</v>
      </c>
      <c r="BN150" s="43"/>
      <c r="BO150" s="43">
        <v>1</v>
      </c>
      <c r="BP150" s="43"/>
      <c r="BR150" s="43">
        <v>0.1</v>
      </c>
      <c r="BU150" s="147">
        <f t="shared" si="773"/>
        <v>1.0054398483297127</v>
      </c>
      <c r="BV150" s="147"/>
      <c r="BW150" s="147">
        <f t="shared" si="774"/>
        <v>0.20543348535956946</v>
      </c>
      <c r="CH150" s="180" t="s">
        <v>920</v>
      </c>
      <c r="CJ150" s="20">
        <f t="shared" si="777"/>
        <v>0.48677635522796592</v>
      </c>
      <c r="CK150" s="20">
        <f t="shared" si="775"/>
        <v>0.90560679277543132</v>
      </c>
      <c r="CL150" s="20">
        <f t="shared" si="775"/>
        <v>1.178185888278523</v>
      </c>
      <c r="CM150" s="20">
        <f t="shared" si="775"/>
        <v>1.3038651125463769</v>
      </c>
      <c r="CN150" s="20">
        <f t="shared" si="775"/>
        <v>1.325202772589241</v>
      </c>
      <c r="CO150" s="20">
        <f t="shared" si="775"/>
        <v>1.287027789504031</v>
      </c>
      <c r="CP150" s="20">
        <f t="shared" si="775"/>
        <v>1.2206836473643741</v>
      </c>
      <c r="CQ150" s="20">
        <f t="shared" si="775"/>
        <v>1.1443660712625361</v>
      </c>
      <c r="CR150" s="20">
        <f t="shared" si="775"/>
        <v>1.0675220127487037</v>
      </c>
      <c r="CS150" s="20">
        <f t="shared" si="775"/>
        <v>0.99458943348185858</v>
      </c>
      <c r="CT150" s="20">
        <f t="shared" si="775"/>
        <v>0.92735040014959003</v>
      </c>
    </row>
    <row r="151" spans="1:98" s="20" customFormat="1" ht="30" hidden="1" outlineLevel="1" x14ac:dyDescent="0.25">
      <c r="A151" s="58"/>
      <c r="D151" s="60"/>
      <c r="E151" s="20" t="s">
        <v>369</v>
      </c>
      <c r="F151" s="60" t="s">
        <v>410</v>
      </c>
      <c r="G151" s="60" t="s">
        <v>576</v>
      </c>
      <c r="H151" s="20" t="s">
        <v>581</v>
      </c>
      <c r="J151" s="20" t="s">
        <v>272</v>
      </c>
      <c r="K151" s="20" t="s">
        <v>568</v>
      </c>
      <c r="L151" s="60" t="s">
        <v>202</v>
      </c>
      <c r="M151" s="20" t="s">
        <v>250</v>
      </c>
      <c r="N151" s="43" t="str">
        <f t="shared" si="549"/>
        <v>ChlrWtrCentPathBGtEql300Lt600tonEIRRatio_fQRatio</v>
      </c>
      <c r="O151" s="20" t="s">
        <v>162</v>
      </c>
      <c r="P151" s="20" t="s">
        <v>288</v>
      </c>
      <c r="Q151" s="20" t="s">
        <v>160</v>
      </c>
      <c r="V151" s="61">
        <v>5.5482890962909211E-2</v>
      </c>
      <c r="W151" s="61">
        <v>0.45186601300589457</v>
      </c>
      <c r="X151" s="61">
        <v>0.48824167689654702</v>
      </c>
      <c r="Y151" s="61"/>
      <c r="Z151" s="61"/>
      <c r="AA151" s="61"/>
      <c r="AG151" s="158" t="str">
        <f t="shared" si="767"/>
        <v/>
      </c>
      <c r="AH151" s="158">
        <f t="shared" si="768"/>
        <v>0.11</v>
      </c>
      <c r="AI151" s="158" t="str">
        <f t="shared" si="769"/>
        <v/>
      </c>
      <c r="AJ151" s="158">
        <f t="shared" si="666"/>
        <v>0.1</v>
      </c>
      <c r="AK151" s="158" t="str">
        <f t="shared" si="770"/>
        <v/>
      </c>
      <c r="AL151" s="158" t="str">
        <f t="shared" si="771"/>
        <v/>
      </c>
      <c r="AM151" s="60"/>
      <c r="AO151" s="43">
        <f t="shared" si="551"/>
        <v>1</v>
      </c>
      <c r="AP151" s="166" t="str">
        <f t="shared" si="466"/>
        <v>CrvQuad        "ChlrWtrCentPathBGtEql300Lt600tonEIRRatio_fQRatio"               Coef1 =  0.055483  Coef2 =  0.451866  Coef3 =  0.488242  _x000D_
                                                                                MinOut = 0.110   MinVar1 = 0.100   _x000D_
..</v>
      </c>
      <c r="AQ151" s="167" t="str">
        <f t="shared" si="778"/>
        <v xml:space="preserve">CrvQuad        "ChlrWtrCentPathBGtEql300Lt600tonEIRRatio_fQRatio"               Coef1 =  0.055483  Coef2 =  0.451866  Coef3 =  0.488242  </v>
      </c>
      <c r="AR151" s="166" t="str">
        <f t="shared" si="467"/>
        <v xml:space="preserve">_x000D_
                                                                                MinOut = 0.110   MinVar1 = 0.100   </v>
      </c>
      <c r="AS151" s="166" t="str">
        <f t="shared" si="419"/>
        <v>_x000D_
..</v>
      </c>
      <c r="AT151" s="20" t="str">
        <f t="shared" si="772"/>
        <v>CrvQuad</v>
      </c>
      <c r="AU151" s="43" t="str">
        <f t="shared" si="343"/>
        <v xml:space="preserve">        </v>
      </c>
      <c r="AV151" s="62" t="str">
        <f t="shared" si="550"/>
        <v>"ChlrWtrCentPathBGtEql300Lt600tonEIRRatio_fQRatio"</v>
      </c>
      <c r="AW151" s="20" t="str">
        <f t="shared" si="542"/>
        <v xml:space="preserve">               </v>
      </c>
      <c r="AX151" s="43" t="str">
        <f t="shared" si="522"/>
        <v xml:space="preserve"> 0.055483  </v>
      </c>
      <c r="AY151" s="43" t="str">
        <f t="shared" si="523"/>
        <v xml:space="preserve"> 0.451866  </v>
      </c>
      <c r="AZ151" s="43" t="str">
        <f t="shared" si="524"/>
        <v xml:space="preserve"> 0.488242  </v>
      </c>
      <c r="BA151" s="43" t="str">
        <f t="shared" si="525"/>
        <v>-</v>
      </c>
      <c r="BB151" s="43" t="str">
        <f t="shared" si="526"/>
        <v>-</v>
      </c>
      <c r="BC151" s="43" t="str">
        <f t="shared" si="527"/>
        <v>-</v>
      </c>
      <c r="BD151" s="43" t="str">
        <f t="shared" si="776"/>
        <v xml:space="preserve">_x000D_
                                                                                </v>
      </c>
      <c r="BE151" s="20" t="str">
        <f t="shared" si="543"/>
        <v>-</v>
      </c>
      <c r="BF151" s="20" t="str">
        <f t="shared" si="544"/>
        <v xml:space="preserve">0.110   </v>
      </c>
      <c r="BG151" s="20" t="str">
        <f t="shared" si="545"/>
        <v>-</v>
      </c>
      <c r="BH151" s="20" t="str">
        <f t="shared" si="546"/>
        <v xml:space="preserve">0.100   </v>
      </c>
      <c r="BI151" s="20" t="str">
        <f t="shared" si="547"/>
        <v>-</v>
      </c>
      <c r="BJ151" s="20" t="str">
        <f t="shared" si="548"/>
        <v>-</v>
      </c>
      <c r="BM151" s="43" t="str">
        <f t="shared" si="729"/>
        <v>QRatio</v>
      </c>
      <c r="BN151" s="43"/>
      <c r="BO151" s="43">
        <v>1</v>
      </c>
      <c r="BP151" s="43"/>
      <c r="BR151" s="43">
        <v>0.1</v>
      </c>
      <c r="BU151" s="147">
        <f t="shared" si="773"/>
        <v>0.9955905808653509</v>
      </c>
      <c r="BV151" s="147"/>
      <c r="BW151" s="147">
        <f t="shared" si="774"/>
        <v>0.10555190903246414</v>
      </c>
      <c r="CH151" s="180" t="s">
        <v>921</v>
      </c>
      <c r="CJ151" s="20">
        <f t="shared" si="777"/>
        <v>0.94740015397147315</v>
      </c>
      <c r="CK151" s="20">
        <f t="shared" si="775"/>
        <v>1.2092930787078076</v>
      </c>
      <c r="CL151" s="20">
        <f t="shared" si="775"/>
        <v>1.2766795165878544</v>
      </c>
      <c r="CM151" s="20">
        <f t="shared" si="775"/>
        <v>1.2724746055424159</v>
      </c>
      <c r="CN151" s="20">
        <f t="shared" si="775"/>
        <v>1.2392295462065324</v>
      </c>
      <c r="CO151" s="20">
        <f t="shared" si="775"/>
        <v>1.1943394996020065</v>
      </c>
      <c r="CP151" s="20">
        <f t="shared" si="775"/>
        <v>1.1456107609379071</v>
      </c>
      <c r="CQ151" s="20">
        <f t="shared" si="775"/>
        <v>1.0967156819978563</v>
      </c>
      <c r="CR151" s="20">
        <f t="shared" si="775"/>
        <v>1.0493932862755846</v>
      </c>
      <c r="CS151" s="20">
        <f t="shared" si="775"/>
        <v>1.0044285253683491</v>
      </c>
      <c r="CT151" s="20">
        <f t="shared" si="775"/>
        <v>0.96212009004534405</v>
      </c>
    </row>
    <row r="152" spans="1:98" s="20" customFormat="1" hidden="1" outlineLevel="1" x14ac:dyDescent="0.25">
      <c r="A152" s="58"/>
      <c r="D152" s="60"/>
      <c r="E152" s="20" t="s">
        <v>369</v>
      </c>
      <c r="F152" s="60" t="s">
        <v>410</v>
      </c>
      <c r="G152" s="60" t="s">
        <v>569</v>
      </c>
      <c r="H152" s="20" t="s">
        <v>580</v>
      </c>
      <c r="J152" s="20" t="s">
        <v>272</v>
      </c>
      <c r="K152" s="20" t="s">
        <v>568</v>
      </c>
      <c r="L152" s="60" t="s">
        <v>202</v>
      </c>
      <c r="M152" s="20" t="s">
        <v>250</v>
      </c>
      <c r="N152" s="43" t="str">
        <f t="shared" ref="N152:N183" si="779">IF(ISBLANK(E152),"-",E152&amp;H152&amp;P152&amp;"_f"&amp;Q152&amp;R152&amp;S152&amp;T152&amp;U152&amp;I152)</f>
        <v>ChlrWtrCentPathBGtEql600tonEIRRatio_fQRatio</v>
      </c>
      <c r="O152" s="20" t="s">
        <v>162</v>
      </c>
      <c r="P152" s="20" t="s">
        <v>288</v>
      </c>
      <c r="Q152" s="20" t="s">
        <v>160</v>
      </c>
      <c r="V152" s="61">
        <v>0.10742613951636103</v>
      </c>
      <c r="W152" s="61">
        <v>0.15677533396163701</v>
      </c>
      <c r="X152" s="61">
        <v>0.73934477949997901</v>
      </c>
      <c r="Y152" s="61"/>
      <c r="Z152" s="61"/>
      <c r="AA152" s="61"/>
      <c r="AG152" s="158" t="str">
        <f t="shared" si="767"/>
        <v/>
      </c>
      <c r="AH152" s="158">
        <f t="shared" si="768"/>
        <v>0.13</v>
      </c>
      <c r="AI152" s="158" t="str">
        <f t="shared" si="769"/>
        <v/>
      </c>
      <c r="AJ152" s="158">
        <f t="shared" si="666"/>
        <v>0.1</v>
      </c>
      <c r="AK152" s="158" t="str">
        <f t="shared" si="770"/>
        <v/>
      </c>
      <c r="AL152" s="158" t="str">
        <f t="shared" si="771"/>
        <v/>
      </c>
      <c r="AM152" s="60"/>
      <c r="AO152" s="43">
        <f t="shared" si="551"/>
        <v>1</v>
      </c>
      <c r="AP152" s="166" t="str">
        <f t="shared" si="466"/>
        <v>CrvQuad        "ChlrWtrCentPathBGtEql600tonEIRRatio_fQRatio"                    Coef1 =  0.107426  Coef2 =  0.156775  Coef3 =  0.739345  _x000D_
                                                                                MinOut = 0.130   MinVar1 = 0.100   _x000D_
..</v>
      </c>
      <c r="AQ152" s="167" t="str">
        <f t="shared" si="778"/>
        <v xml:space="preserve">CrvQuad        "ChlrWtrCentPathBGtEql600tonEIRRatio_fQRatio"                    Coef1 =  0.107426  Coef2 =  0.156775  Coef3 =  0.739345  </v>
      </c>
      <c r="AR152" s="166" t="str">
        <f t="shared" si="467"/>
        <v xml:space="preserve">_x000D_
                                                                                MinOut = 0.130   MinVar1 = 0.100   </v>
      </c>
      <c r="AS152" s="166" t="str">
        <f t="shared" si="419"/>
        <v>_x000D_
..</v>
      </c>
      <c r="AT152" s="20" t="str">
        <f t="shared" si="772"/>
        <v>CrvQuad</v>
      </c>
      <c r="AU152" s="43" t="str">
        <f t="shared" si="343"/>
        <v xml:space="preserve">        </v>
      </c>
      <c r="AV152" s="62" t="str">
        <f t="shared" ref="AV152:AV183" si="780">IF(AO152=1,CONCATENATE("""",N152,""""),"")</f>
        <v>"ChlrWtrCentPathBGtEql600tonEIRRatio_fQRatio"</v>
      </c>
      <c r="AW152" s="20" t="str">
        <f t="shared" si="542"/>
        <v xml:space="preserve">                    </v>
      </c>
      <c r="AX152" s="43" t="str">
        <f t="shared" si="522"/>
        <v xml:space="preserve"> 0.107426  </v>
      </c>
      <c r="AY152" s="43" t="str">
        <f t="shared" si="523"/>
        <v xml:space="preserve"> 0.156775  </v>
      </c>
      <c r="AZ152" s="43" t="str">
        <f t="shared" si="524"/>
        <v xml:space="preserve"> 0.739345  </v>
      </c>
      <c r="BA152" s="43" t="str">
        <f t="shared" si="525"/>
        <v>-</v>
      </c>
      <c r="BB152" s="43" t="str">
        <f t="shared" si="526"/>
        <v>-</v>
      </c>
      <c r="BC152" s="43" t="str">
        <f t="shared" si="527"/>
        <v>-</v>
      </c>
      <c r="BD152" s="43" t="str">
        <f t="shared" si="776"/>
        <v xml:space="preserve">_x000D_
                                                                                </v>
      </c>
      <c r="BE152" s="20" t="str">
        <f t="shared" si="543"/>
        <v>-</v>
      </c>
      <c r="BF152" s="20" t="str">
        <f t="shared" si="544"/>
        <v xml:space="preserve">0.130   </v>
      </c>
      <c r="BG152" s="20" t="str">
        <f t="shared" si="545"/>
        <v>-</v>
      </c>
      <c r="BH152" s="20" t="str">
        <f t="shared" si="546"/>
        <v xml:space="preserve">0.100   </v>
      </c>
      <c r="BI152" s="20" t="str">
        <f t="shared" si="547"/>
        <v>-</v>
      </c>
      <c r="BJ152" s="20" t="str">
        <f t="shared" si="548"/>
        <v>-</v>
      </c>
      <c r="BM152" s="43" t="str">
        <f t="shared" si="729"/>
        <v>QRatio</v>
      </c>
      <c r="BN152" s="43"/>
      <c r="BO152" s="43">
        <v>1</v>
      </c>
      <c r="BP152" s="43"/>
      <c r="BR152" s="43">
        <v>0.1</v>
      </c>
      <c r="BU152" s="147">
        <f t="shared" si="773"/>
        <v>1.0035462529779771</v>
      </c>
      <c r="BV152" s="147"/>
      <c r="BW152" s="147">
        <f t="shared" si="774"/>
        <v>0.13049712070752453</v>
      </c>
      <c r="CH152" s="180" t="s">
        <v>922</v>
      </c>
      <c r="CJ152" s="20">
        <f t="shared" si="777"/>
        <v>0.7663014346312309</v>
      </c>
      <c r="CK152" s="20">
        <f t="shared" si="775"/>
        <v>1.1879673166431846</v>
      </c>
      <c r="CL152" s="20">
        <f t="shared" si="775"/>
        <v>1.3574688274252142</v>
      </c>
      <c r="CM152" s="20">
        <f t="shared" si="775"/>
        <v>1.3868125223623518</v>
      </c>
      <c r="CN152" s="20">
        <f t="shared" si="775"/>
        <v>1.3489824288293732</v>
      </c>
      <c r="CO152" s="20">
        <f t="shared" si="775"/>
        <v>1.2829965324880381</v>
      </c>
      <c r="CP152" s="20">
        <f t="shared" si="775"/>
        <v>1.2080472166980427</v>
      </c>
      <c r="CQ152" s="20">
        <f t="shared" si="775"/>
        <v>1.133101463003954</v>
      </c>
      <c r="CR152" s="20">
        <f t="shared" si="775"/>
        <v>1.0620810569641865</v>
      </c>
      <c r="CS152" s="20">
        <f t="shared" si="775"/>
        <v>0.99646652968573435</v>
      </c>
      <c r="CT152" s="20">
        <f t="shared" si="775"/>
        <v>0.93657995653332415</v>
      </c>
    </row>
    <row r="153" spans="1:98" s="20" customFormat="1" ht="30" hidden="1" outlineLevel="1" x14ac:dyDescent="0.25">
      <c r="A153" s="58"/>
      <c r="D153" s="60" t="s">
        <v>371</v>
      </c>
      <c r="E153" s="20" t="s">
        <v>369</v>
      </c>
      <c r="F153" s="60" t="s">
        <v>607</v>
      </c>
      <c r="G153" s="60" t="s">
        <v>573</v>
      </c>
      <c r="H153" s="20" t="s">
        <v>571</v>
      </c>
      <c r="I153" s="20" t="s">
        <v>659</v>
      </c>
      <c r="J153" s="20" t="s">
        <v>273</v>
      </c>
      <c r="K153" s="20" t="s">
        <v>586</v>
      </c>
      <c r="L153" s="60"/>
      <c r="N153" s="43" t="str">
        <f t="shared" si="779"/>
        <v>ChlrWtrPosDispPathAAllEIRRatio_fQRatioDelTIP</v>
      </c>
      <c r="O153" s="20" t="s">
        <v>165</v>
      </c>
      <c r="P153" s="20" t="s">
        <v>288</v>
      </c>
      <c r="Q153" s="20" t="s">
        <v>160</v>
      </c>
      <c r="R153" s="20" t="s">
        <v>439</v>
      </c>
      <c r="V153" s="61">
        <v>0.27680422622696699</v>
      </c>
      <c r="W153" s="61">
        <v>0.27037332727331598</v>
      </c>
      <c r="X153" s="61">
        <v>0.37274466425643099</v>
      </c>
      <c r="Y153" s="61">
        <v>4.81928948948648E-3</v>
      </c>
      <c r="Z153" s="61">
        <v>-1.5556368261007101E-4</v>
      </c>
      <c r="AA153" s="61">
        <v>2.6072674467899899E-3</v>
      </c>
      <c r="AG153" s="158">
        <f t="shared" si="767"/>
        <v>0.96</v>
      </c>
      <c r="AH153" s="158">
        <f t="shared" si="768"/>
        <v>0.37</v>
      </c>
      <c r="AI153" s="158">
        <f t="shared" si="769"/>
        <v>1</v>
      </c>
      <c r="AJ153" s="158">
        <f t="shared" si="666"/>
        <v>0.15</v>
      </c>
      <c r="AK153" s="158">
        <f t="shared" si="770"/>
        <v>41</v>
      </c>
      <c r="AL153" s="158">
        <f t="shared" si="771"/>
        <v>16</v>
      </c>
      <c r="AM153" s="60"/>
      <c r="AO153" s="43">
        <f t="shared" si="551"/>
        <v>0</v>
      </c>
      <c r="AP153" s="166" t="str">
        <f t="shared" ref="AP153:AP158" si="781">IF(AO153=1,CONCATENATE(AQ153,AR153,AS153),"")</f>
        <v/>
      </c>
      <c r="AQ153" s="167" t="str">
        <f t="shared" si="778"/>
        <v/>
      </c>
      <c r="AR153" s="166" t="str">
        <f t="shared" ref="AR153:AR158" si="782">IF(AO153=1,CONCATENATE(BD153,IF(BE153="-","",$BE$15&amp;BE153),IF(BF153="-","",$BF$15&amp;BF153),IF(BG153="-","",$BG$15&amp;BG153),IF(BH153="-","",$BH$15&amp;BH153),IF(BI153="-","",$BI$15&amp;BI153),IF(BJ153="-","",$BJ$15&amp;BJ153)),"")</f>
        <v/>
      </c>
      <c r="AS153" s="166" t="str">
        <f t="shared" ref="AS153:AS158" si="783">IF(AO153=1,CHAR(13)&amp;CHAR(10)&amp;"..","")</f>
        <v/>
      </c>
      <c r="AT153" s="20" t="str">
        <f t="shared" ref="AT153:AT158" si="784">IF(AO153=1,VLOOKUP(O153,$AT$2:$AV$13,2,0),"")</f>
        <v/>
      </c>
      <c r="AU153" s="43" t="str">
        <f t="shared" si="343"/>
        <v xml:space="preserve">               </v>
      </c>
      <c r="AV153" s="62" t="str">
        <f t="shared" si="780"/>
        <v/>
      </c>
      <c r="AW153" s="20" t="str">
        <f t="shared" ref="AW153:AW158" si="785">REPT(" ",$AW$14-LEN(AV153))</f>
        <v xml:space="preserve">                                                                 </v>
      </c>
      <c r="AX153" s="43" t="str">
        <f t="shared" ref="AX153:AX158" si="786">IF($AO153=1,IF(ISBLANK(V153),"-",CONCATENATE(TEXT(V153," 0.000000;-0.000000"),"  ")),"")</f>
        <v/>
      </c>
      <c r="AY153" s="43" t="str">
        <f t="shared" ref="AY153:AY158" si="787">IF($AO153=1,IF(ISBLANK(W153),"-",CONCATENATE(TEXT(W153," 0.000000;-0.000000"),"  ")),"")</f>
        <v/>
      </c>
      <c r="AZ153" s="43" t="str">
        <f t="shared" ref="AZ153:AZ158" si="788">IF($AO153=1,IF(ISBLANK(X153),"-",CONCATENATE(TEXT(X153," 0.000000;-0.000000"),"  ")),"")</f>
        <v/>
      </c>
      <c r="BA153" s="43" t="str">
        <f t="shared" ref="BA153:BA158" si="789">IF($AO153=1,IF(ISBLANK(Y153),"-",CONCATENATE(TEXT(Y153," 0.000000;-0.000000"),"  ")),"")</f>
        <v/>
      </c>
      <c r="BB153" s="43" t="str">
        <f t="shared" ref="BB153:BB158" si="790">IF($AO153=1,IF(ISBLANK(Z153),"-",CONCATENATE(TEXT(Z153," 0.000000;-0.000000"),"  ")),"")</f>
        <v/>
      </c>
      <c r="BC153" s="43" t="str">
        <f t="shared" ref="BC153:BC158" si="791">IF($AO153=1,IF(ISBLANK(AA153),"-",CONCATENATE(TEXT(AA153," 0.000000;-0.000000"),"  ")),"")</f>
        <v/>
      </c>
      <c r="BD153" s="43" t="str">
        <f t="shared" si="776"/>
        <v xml:space="preserve">_x000D_
                                                                                </v>
      </c>
      <c r="BE153" s="20" t="str">
        <f t="shared" si="543"/>
        <v/>
      </c>
      <c r="BF153" s="20" t="str">
        <f t="shared" si="544"/>
        <v/>
      </c>
      <c r="BG153" s="20" t="str">
        <f t="shared" si="545"/>
        <v/>
      </c>
      <c r="BH153" s="20" t="str">
        <f t="shared" si="546"/>
        <v/>
      </c>
      <c r="BI153" s="20" t="str">
        <f t="shared" si="547"/>
        <v/>
      </c>
      <c r="BJ153" s="20" t="str">
        <f t="shared" si="548"/>
        <v/>
      </c>
      <c r="BM153" s="43" t="str">
        <f t="shared" si="729"/>
        <v>QRatio</v>
      </c>
      <c r="BN153" s="43" t="str">
        <f t="shared" si="730"/>
        <v>DelT</v>
      </c>
      <c r="BO153" s="20">
        <v>1</v>
      </c>
      <c r="BP153" s="20">
        <f>85-44</f>
        <v>41</v>
      </c>
      <c r="BQ153" s="20">
        <v>1</v>
      </c>
      <c r="BR153" s="20">
        <v>0.15</v>
      </c>
      <c r="BS153" s="20">
        <f t="shared" ref="BS153:BS158" si="792">85-44</f>
        <v>41</v>
      </c>
      <c r="BT153" s="20">
        <f>60-44</f>
        <v>16</v>
      </c>
      <c r="BU153" s="147">
        <f t="shared" ref="BU153:BU158" si="793">$V153+$W153*BO153+$X153*BO153^2+$Y153*BP153+$Z153*BP153^2+$AA153*BO153*BP153</f>
        <v>0.96290850167651976</v>
      </c>
      <c r="BV153" s="147">
        <f t="shared" ref="BV153:BW158" si="794">$V153+$W153*BQ153+$X153*BQ153^2+$Y153*BS153+$Z153*BS153^2+$AA153*BQ153*BS153</f>
        <v>0.96290850167651976</v>
      </c>
      <c r="BW153" s="147">
        <f t="shared" si="794"/>
        <v>0.36928875121963556</v>
      </c>
    </row>
    <row r="154" spans="1:98" s="20" customFormat="1" ht="30" hidden="1" outlineLevel="1" x14ac:dyDescent="0.25">
      <c r="A154" s="58"/>
      <c r="D154" s="60"/>
      <c r="E154" s="20" t="s">
        <v>369</v>
      </c>
      <c r="F154" s="60" t="s">
        <v>607</v>
      </c>
      <c r="G154" s="60" t="s">
        <v>574</v>
      </c>
      <c r="H154" s="20" t="s">
        <v>572</v>
      </c>
      <c r="I154" s="20" t="s">
        <v>659</v>
      </c>
      <c r="J154" s="20" t="s">
        <v>273</v>
      </c>
      <c r="K154" s="20" t="s">
        <v>586</v>
      </c>
      <c r="L154" s="60"/>
      <c r="N154" s="43" t="str">
        <f t="shared" si="779"/>
        <v>ChlrWtrCentPathAAllEIRRatio_fQRatioDelTIP</v>
      </c>
      <c r="O154" s="20" t="s">
        <v>165</v>
      </c>
      <c r="P154" s="20" t="s">
        <v>288</v>
      </c>
      <c r="Q154" s="20" t="s">
        <v>160</v>
      </c>
      <c r="R154" s="20" t="s">
        <v>439</v>
      </c>
      <c r="V154" s="61">
        <v>0.27969645999999998</v>
      </c>
      <c r="W154" s="61">
        <v>0.57375735000000005</v>
      </c>
      <c r="X154" s="61">
        <v>0.25690463000000002</v>
      </c>
      <c r="Y154" s="61">
        <v>-5.8071700000000004E-3</v>
      </c>
      <c r="Z154" s="61">
        <v>1.4648999999999999E-4</v>
      </c>
      <c r="AA154" s="61">
        <v>-3.5300700000000002E-3</v>
      </c>
      <c r="AG154" s="158">
        <f t="shared" si="767"/>
        <v>0.97</v>
      </c>
      <c r="AH154" s="158">
        <f t="shared" si="768"/>
        <v>0.31</v>
      </c>
      <c r="AI154" s="158">
        <f t="shared" si="769"/>
        <v>1</v>
      </c>
      <c r="AJ154" s="158">
        <f t="shared" si="666"/>
        <v>0.15</v>
      </c>
      <c r="AK154" s="158">
        <f t="shared" si="770"/>
        <v>41</v>
      </c>
      <c r="AL154" s="158">
        <f t="shared" si="771"/>
        <v>16</v>
      </c>
      <c r="AM154" s="60"/>
      <c r="AO154" s="43">
        <f t="shared" si="551"/>
        <v>0</v>
      </c>
      <c r="AP154" s="166" t="str">
        <f t="shared" si="781"/>
        <v/>
      </c>
      <c r="AQ154" s="167" t="str">
        <f t="shared" si="778"/>
        <v/>
      </c>
      <c r="AR154" s="166" t="str">
        <f t="shared" si="782"/>
        <v/>
      </c>
      <c r="AS154" s="166" t="str">
        <f t="shared" si="783"/>
        <v/>
      </c>
      <c r="AT154" s="20" t="str">
        <f t="shared" si="784"/>
        <v/>
      </c>
      <c r="AU154" s="43" t="str">
        <f t="shared" si="343"/>
        <v xml:space="preserve">               </v>
      </c>
      <c r="AV154" s="62" t="str">
        <f t="shared" si="780"/>
        <v/>
      </c>
      <c r="AW154" s="20" t="str">
        <f t="shared" si="785"/>
        <v xml:space="preserve">                                                                 </v>
      </c>
      <c r="AX154" s="43" t="str">
        <f t="shared" si="786"/>
        <v/>
      </c>
      <c r="AY154" s="43" t="str">
        <f t="shared" si="787"/>
        <v/>
      </c>
      <c r="AZ154" s="43" t="str">
        <f t="shared" si="788"/>
        <v/>
      </c>
      <c r="BA154" s="43" t="str">
        <f t="shared" si="789"/>
        <v/>
      </c>
      <c r="BB154" s="43" t="str">
        <f t="shared" si="790"/>
        <v/>
      </c>
      <c r="BC154" s="43" t="str">
        <f t="shared" si="791"/>
        <v/>
      </c>
      <c r="BD154" s="43" t="str">
        <f t="shared" si="776"/>
        <v xml:space="preserve">_x000D_
                                                                                </v>
      </c>
      <c r="BE154" s="20" t="str">
        <f t="shared" si="543"/>
        <v/>
      </c>
      <c r="BF154" s="20" t="str">
        <f t="shared" si="544"/>
        <v/>
      </c>
      <c r="BG154" s="20" t="str">
        <f t="shared" si="545"/>
        <v/>
      </c>
      <c r="BH154" s="20" t="str">
        <f t="shared" si="546"/>
        <v/>
      </c>
      <c r="BI154" s="20" t="str">
        <f t="shared" si="547"/>
        <v/>
      </c>
      <c r="BJ154" s="20" t="str">
        <f t="shared" si="548"/>
        <v/>
      </c>
      <c r="BM154" s="43" t="str">
        <f t="shared" si="729"/>
        <v>QRatio</v>
      </c>
      <c r="BN154" s="43" t="str">
        <f t="shared" si="730"/>
        <v>DelT</v>
      </c>
      <c r="BO154" s="20">
        <v>1</v>
      </c>
      <c r="BP154" s="20">
        <f t="shared" ref="BP154:BP158" si="795">85-44</f>
        <v>41</v>
      </c>
      <c r="BQ154" s="20">
        <v>1</v>
      </c>
      <c r="BR154" s="20">
        <v>0.15</v>
      </c>
      <c r="BS154" s="20">
        <f t="shared" si="792"/>
        <v>41</v>
      </c>
      <c r="BT154" s="20">
        <f t="shared" ref="BT154:BT158" si="796">60-44</f>
        <v>16</v>
      </c>
      <c r="BU154" s="147">
        <f t="shared" si="793"/>
        <v>0.97378128999999991</v>
      </c>
      <c r="BV154" s="147">
        <f t="shared" si="794"/>
        <v>0.97378128999999991</v>
      </c>
      <c r="BW154" s="147">
        <f t="shared" si="794"/>
        <v>0.30765496867499997</v>
      </c>
      <c r="BX154" s="43"/>
      <c r="BY154" s="43"/>
      <c r="BZ154" s="43"/>
      <c r="CA154" s="43"/>
      <c r="CB154" s="43"/>
    </row>
    <row r="155" spans="1:98" s="20" customFormat="1" ht="30" hidden="1" outlineLevel="1" x14ac:dyDescent="0.25">
      <c r="A155" s="58"/>
      <c r="D155" s="60"/>
      <c r="E155" s="20" t="s">
        <v>369</v>
      </c>
      <c r="F155" s="60" t="s">
        <v>607</v>
      </c>
      <c r="G155" s="60" t="s">
        <v>578</v>
      </c>
      <c r="H155" s="20" t="s">
        <v>577</v>
      </c>
      <c r="I155" s="20" t="s">
        <v>659</v>
      </c>
      <c r="J155" s="20" t="s">
        <v>273</v>
      </c>
      <c r="K155" s="20" t="s">
        <v>586</v>
      </c>
      <c r="L155" s="60"/>
      <c r="N155" s="43" t="str">
        <f t="shared" si="779"/>
        <v>ChlrWtrPosDispPathBAllEIRRatio_fQRatioDelTIP</v>
      </c>
      <c r="O155" s="20" t="s">
        <v>165</v>
      </c>
      <c r="P155" s="20" t="s">
        <v>288</v>
      </c>
      <c r="Q155" s="20" t="s">
        <v>160</v>
      </c>
      <c r="R155" s="20" t="s">
        <v>439</v>
      </c>
      <c r="V155" s="61">
        <v>-0.20120632905317576</v>
      </c>
      <c r="W155" s="61">
        <v>1.0939141395105423</v>
      </c>
      <c r="X155" s="61">
        <v>0.1112859854753714</v>
      </c>
      <c r="Y155" s="61">
        <v>4.3863187303915668E-3</v>
      </c>
      <c r="Z155" s="61">
        <v>5.4295132741123726E-8</v>
      </c>
      <c r="AA155" s="61">
        <v>-4.4602921532097975E-3</v>
      </c>
      <c r="AG155" s="158">
        <f t="shared" si="767"/>
        <v>1</v>
      </c>
      <c r="AH155" s="158">
        <f t="shared" si="768"/>
        <v>0.02</v>
      </c>
      <c r="AI155" s="158">
        <f t="shared" si="769"/>
        <v>1</v>
      </c>
      <c r="AJ155" s="158">
        <f t="shared" si="666"/>
        <v>0.15</v>
      </c>
      <c r="AK155" s="158">
        <f t="shared" si="770"/>
        <v>41</v>
      </c>
      <c r="AL155" s="158">
        <f t="shared" si="771"/>
        <v>16</v>
      </c>
      <c r="AM155" s="60"/>
      <c r="AO155" s="43">
        <f t="shared" si="551"/>
        <v>0</v>
      </c>
      <c r="AP155" s="166" t="str">
        <f t="shared" si="781"/>
        <v/>
      </c>
      <c r="AQ155" s="167" t="str">
        <f t="shared" ref="AQ155:AQ158" si="797">IF(AO155=1,CONCATENATE(AT155,AU155,AV155,AW155,IF(AX155="-","",$AX$15&amp;AX155),IF(AY155="-","",$AY$15&amp;AY155),IF(AZ155="-","",$AZ$15&amp;AZ155),IF(BA155="-","",$BA$15&amp;BA155),IF(BB155="-","",$BB$15&amp;BB155),IF(BC155="-","",$BC$15&amp;BC155)),"")</f>
        <v/>
      </c>
      <c r="AR155" s="166" t="str">
        <f t="shared" si="782"/>
        <v/>
      </c>
      <c r="AS155" s="166" t="str">
        <f t="shared" si="783"/>
        <v/>
      </c>
      <c r="AT155" s="20" t="str">
        <f t="shared" si="784"/>
        <v/>
      </c>
      <c r="AU155" s="43" t="str">
        <f t="shared" si="343"/>
        <v xml:space="preserve">               </v>
      </c>
      <c r="AV155" s="62" t="str">
        <f t="shared" si="780"/>
        <v/>
      </c>
      <c r="AW155" s="20" t="str">
        <f t="shared" si="785"/>
        <v xml:space="preserve">                                                                 </v>
      </c>
      <c r="AX155" s="43" t="str">
        <f t="shared" si="786"/>
        <v/>
      </c>
      <c r="AY155" s="43" t="str">
        <f t="shared" si="787"/>
        <v/>
      </c>
      <c r="AZ155" s="43" t="str">
        <f t="shared" si="788"/>
        <v/>
      </c>
      <c r="BA155" s="43" t="str">
        <f t="shared" si="789"/>
        <v/>
      </c>
      <c r="BB155" s="43" t="str">
        <f t="shared" si="790"/>
        <v/>
      </c>
      <c r="BC155" s="43" t="str">
        <f t="shared" si="791"/>
        <v/>
      </c>
      <c r="BD155" s="43" t="str">
        <f t="shared" si="776"/>
        <v xml:space="preserve">_x000D_
                                                                                </v>
      </c>
      <c r="BE155" s="20" t="str">
        <f t="shared" si="543"/>
        <v/>
      </c>
      <c r="BF155" s="20" t="str">
        <f t="shared" si="544"/>
        <v/>
      </c>
      <c r="BG155" s="20" t="str">
        <f t="shared" si="545"/>
        <v/>
      </c>
      <c r="BH155" s="20" t="str">
        <f t="shared" si="546"/>
        <v/>
      </c>
      <c r="BI155" s="20" t="str">
        <f t="shared" si="547"/>
        <v/>
      </c>
      <c r="BJ155" s="20" t="str">
        <f t="shared" si="548"/>
        <v/>
      </c>
      <c r="BM155" s="43" t="str">
        <f t="shared" si="729"/>
        <v>QRatio</v>
      </c>
      <c r="BN155" s="43" t="str">
        <f t="shared" si="730"/>
        <v>DelT</v>
      </c>
      <c r="BO155" s="20">
        <v>1</v>
      </c>
      <c r="BP155" s="20">
        <f t="shared" si="795"/>
        <v>41</v>
      </c>
      <c r="BQ155" s="20">
        <v>1</v>
      </c>
      <c r="BR155" s="20">
        <v>0.15</v>
      </c>
      <c r="BS155" s="20">
        <f t="shared" si="792"/>
        <v>41</v>
      </c>
      <c r="BT155" s="20">
        <f t="shared" si="796"/>
        <v>16</v>
      </c>
      <c r="BU155" s="147">
        <f t="shared" si="793"/>
        <v>1.0010521557153282</v>
      </c>
      <c r="BV155" s="147">
        <f t="shared" si="794"/>
        <v>1.0010521557153282</v>
      </c>
      <c r="BW155" s="147">
        <f t="shared" si="794"/>
        <v>2.4875024619144724E-2</v>
      </c>
      <c r="BX155" s="43"/>
    </row>
    <row r="156" spans="1:98" s="20" customFormat="1" ht="30" hidden="1" outlineLevel="1" x14ac:dyDescent="0.25">
      <c r="A156" s="58"/>
      <c r="D156" s="60"/>
      <c r="E156" s="20" t="s">
        <v>369</v>
      </c>
      <c r="F156" s="60" t="s">
        <v>607</v>
      </c>
      <c r="G156" s="60" t="s">
        <v>575</v>
      </c>
      <c r="H156" s="20" t="s">
        <v>579</v>
      </c>
      <c r="I156" s="20" t="s">
        <v>659</v>
      </c>
      <c r="J156" s="20" t="s">
        <v>273</v>
      </c>
      <c r="K156" s="20" t="s">
        <v>586</v>
      </c>
      <c r="L156" s="60"/>
      <c r="N156" s="43" t="str">
        <f t="shared" si="779"/>
        <v>ChlrWtrCentPathBLt300tonEIRRatio_fQRatioDelTIP</v>
      </c>
      <c r="O156" s="20" t="s">
        <v>165</v>
      </c>
      <c r="P156" s="20" t="s">
        <v>288</v>
      </c>
      <c r="Q156" s="20" t="s">
        <v>160</v>
      </c>
      <c r="R156" s="20" t="s">
        <v>439</v>
      </c>
      <c r="V156" s="61">
        <v>9.9220759266582005E-3</v>
      </c>
      <c r="W156" s="61">
        <v>5.4002044968155999E-2</v>
      </c>
      <c r="X156" s="61">
        <v>0.91845464841410596</v>
      </c>
      <c r="Y156" s="61">
        <v>1.05967474705167E-2</v>
      </c>
      <c r="Z156" s="61">
        <v>-3.3669177553959002E-5</v>
      </c>
      <c r="AA156" s="61">
        <v>-8.7703099683978901E-3</v>
      </c>
      <c r="AG156" s="158">
        <f t="shared" si="767"/>
        <v>1</v>
      </c>
      <c r="AH156" s="158">
        <f t="shared" si="768"/>
        <v>0.18</v>
      </c>
      <c r="AI156" s="158">
        <f t="shared" si="769"/>
        <v>1</v>
      </c>
      <c r="AJ156" s="158">
        <f t="shared" si="666"/>
        <v>0.15</v>
      </c>
      <c r="AK156" s="158">
        <f t="shared" si="770"/>
        <v>41</v>
      </c>
      <c r="AL156" s="158">
        <f t="shared" si="771"/>
        <v>16</v>
      </c>
      <c r="AM156" s="60"/>
      <c r="AO156" s="43">
        <f t="shared" si="551"/>
        <v>0</v>
      </c>
      <c r="AP156" s="166" t="str">
        <f t="shared" si="781"/>
        <v/>
      </c>
      <c r="AQ156" s="167" t="str">
        <f t="shared" si="797"/>
        <v/>
      </c>
      <c r="AR156" s="166" t="str">
        <f t="shared" si="782"/>
        <v/>
      </c>
      <c r="AS156" s="166" t="str">
        <f t="shared" si="783"/>
        <v/>
      </c>
      <c r="AT156" s="20" t="str">
        <f t="shared" si="784"/>
        <v/>
      </c>
      <c r="AU156" s="43" t="str">
        <f t="shared" si="343"/>
        <v xml:space="preserve">               </v>
      </c>
      <c r="AV156" s="62" t="str">
        <f t="shared" si="780"/>
        <v/>
      </c>
      <c r="AW156" s="20" t="str">
        <f t="shared" si="785"/>
        <v xml:space="preserve">                                                                 </v>
      </c>
      <c r="AX156" s="43" t="str">
        <f t="shared" si="786"/>
        <v/>
      </c>
      <c r="AY156" s="43" t="str">
        <f t="shared" si="787"/>
        <v/>
      </c>
      <c r="AZ156" s="43" t="str">
        <f t="shared" si="788"/>
        <v/>
      </c>
      <c r="BA156" s="43" t="str">
        <f t="shared" si="789"/>
        <v/>
      </c>
      <c r="BB156" s="43" t="str">
        <f t="shared" si="790"/>
        <v/>
      </c>
      <c r="BC156" s="43" t="str">
        <f t="shared" si="791"/>
        <v/>
      </c>
      <c r="BD156" s="43" t="str">
        <f t="shared" si="776"/>
        <v xml:space="preserve">_x000D_
                                                                                </v>
      </c>
      <c r="BE156" s="20" t="str">
        <f t="shared" si="543"/>
        <v/>
      </c>
      <c r="BF156" s="20" t="str">
        <f t="shared" si="544"/>
        <v/>
      </c>
      <c r="BG156" s="20" t="str">
        <f t="shared" si="545"/>
        <v/>
      </c>
      <c r="BH156" s="20" t="str">
        <f t="shared" si="546"/>
        <v/>
      </c>
      <c r="BI156" s="20" t="str">
        <f t="shared" si="547"/>
        <v/>
      </c>
      <c r="BJ156" s="20" t="str">
        <f t="shared" si="548"/>
        <v/>
      </c>
      <c r="BM156" s="43" t="str">
        <f t="shared" si="729"/>
        <v>QRatio</v>
      </c>
      <c r="BN156" s="43" t="str">
        <f t="shared" si="730"/>
        <v>DelT</v>
      </c>
      <c r="BO156" s="20">
        <v>1</v>
      </c>
      <c r="BP156" s="20">
        <f t="shared" si="795"/>
        <v>41</v>
      </c>
      <c r="BQ156" s="20">
        <v>1</v>
      </c>
      <c r="BR156" s="20">
        <v>0.15</v>
      </c>
      <c r="BS156" s="20">
        <f t="shared" si="792"/>
        <v>41</v>
      </c>
      <c r="BT156" s="20">
        <f t="shared" si="796"/>
        <v>16</v>
      </c>
      <c r="BU156" s="147">
        <f t="shared" si="793"/>
        <v>1.0006648194275862</v>
      </c>
      <c r="BV156" s="147">
        <f t="shared" si="794"/>
        <v>1.0006648194275862</v>
      </c>
      <c r="BW156" s="147">
        <f t="shared" si="794"/>
        <v>0.17856751841149776</v>
      </c>
      <c r="BX156" s="43"/>
    </row>
    <row r="157" spans="1:98" s="20" customFormat="1" ht="30" hidden="1" outlineLevel="1" x14ac:dyDescent="0.25">
      <c r="A157" s="58"/>
      <c r="D157" s="60"/>
      <c r="E157" s="20" t="s">
        <v>369</v>
      </c>
      <c r="F157" s="60" t="s">
        <v>607</v>
      </c>
      <c r="G157" s="60" t="s">
        <v>576</v>
      </c>
      <c r="H157" s="20" t="s">
        <v>581</v>
      </c>
      <c r="I157" s="20" t="s">
        <v>659</v>
      </c>
      <c r="J157" s="20" t="s">
        <v>273</v>
      </c>
      <c r="K157" s="20" t="s">
        <v>586</v>
      </c>
      <c r="L157" s="60"/>
      <c r="N157" s="43" t="str">
        <f t="shared" si="779"/>
        <v>ChlrWtrCentPathBGtEql300Lt600tonEIRRatio_fQRatioDelTIP</v>
      </c>
      <c r="O157" s="20" t="s">
        <v>165</v>
      </c>
      <c r="P157" s="20" t="s">
        <v>288</v>
      </c>
      <c r="Q157" s="20" t="s">
        <v>160</v>
      </c>
      <c r="R157" s="20" t="s">
        <v>439</v>
      </c>
      <c r="V157" s="61">
        <v>-3.6011974257651798E-2</v>
      </c>
      <c r="W157" s="61">
        <v>0.55779209997475898</v>
      </c>
      <c r="X157" s="61">
        <v>0.48824167689654702</v>
      </c>
      <c r="Y157" s="61">
        <v>3.8291205118540302E-3</v>
      </c>
      <c r="Z157" s="61">
        <v>3.7281137458701002E-5</v>
      </c>
      <c r="AA157" s="61">
        <v>-5.2963043484432204E-3</v>
      </c>
      <c r="AG157" s="158">
        <f t="shared" si="767"/>
        <v>1.01</v>
      </c>
      <c r="AH157" s="158">
        <f t="shared" si="768"/>
        <v>0.12</v>
      </c>
      <c r="AI157" s="158">
        <f t="shared" si="769"/>
        <v>1</v>
      </c>
      <c r="AJ157" s="158">
        <f t="shared" si="666"/>
        <v>0.15</v>
      </c>
      <c r="AK157" s="158">
        <f t="shared" si="770"/>
        <v>41</v>
      </c>
      <c r="AL157" s="158">
        <f t="shared" si="771"/>
        <v>16</v>
      </c>
      <c r="AM157" s="60"/>
      <c r="AO157" s="43">
        <f t="shared" si="551"/>
        <v>0</v>
      </c>
      <c r="AP157" s="166" t="str">
        <f t="shared" si="781"/>
        <v/>
      </c>
      <c r="AQ157" s="167" t="str">
        <f t="shared" si="797"/>
        <v/>
      </c>
      <c r="AR157" s="166" t="str">
        <f t="shared" si="782"/>
        <v/>
      </c>
      <c r="AS157" s="166" t="str">
        <f t="shared" si="783"/>
        <v/>
      </c>
      <c r="AT157" s="20" t="str">
        <f t="shared" si="784"/>
        <v/>
      </c>
      <c r="AU157" s="43" t="str">
        <f t="shared" si="343"/>
        <v xml:space="preserve">               </v>
      </c>
      <c r="AV157" s="62" t="str">
        <f t="shared" si="780"/>
        <v/>
      </c>
      <c r="AW157" s="20" t="str">
        <f t="shared" si="785"/>
        <v xml:space="preserve">                                                                 </v>
      </c>
      <c r="AX157" s="43" t="str">
        <f t="shared" si="786"/>
        <v/>
      </c>
      <c r="AY157" s="43" t="str">
        <f t="shared" si="787"/>
        <v/>
      </c>
      <c r="AZ157" s="43" t="str">
        <f t="shared" si="788"/>
        <v/>
      </c>
      <c r="BA157" s="43" t="str">
        <f t="shared" si="789"/>
        <v/>
      </c>
      <c r="BB157" s="43" t="str">
        <f t="shared" si="790"/>
        <v/>
      </c>
      <c r="BC157" s="43" t="str">
        <f t="shared" si="791"/>
        <v/>
      </c>
      <c r="BD157" s="43" t="str">
        <f t="shared" si="776"/>
        <v xml:space="preserve">_x000D_
                                                                                </v>
      </c>
      <c r="BE157" s="20" t="str">
        <f t="shared" si="543"/>
        <v/>
      </c>
      <c r="BF157" s="20" t="str">
        <f t="shared" si="544"/>
        <v/>
      </c>
      <c r="BG157" s="20" t="str">
        <f t="shared" si="545"/>
        <v/>
      </c>
      <c r="BH157" s="20" t="str">
        <f t="shared" si="546"/>
        <v/>
      </c>
      <c r="BI157" s="20" t="str">
        <f t="shared" si="547"/>
        <v/>
      </c>
      <c r="BJ157" s="20" t="str">
        <f t="shared" si="548"/>
        <v/>
      </c>
      <c r="BM157" s="43" t="str">
        <f t="shared" si="729"/>
        <v>QRatio</v>
      </c>
      <c r="BN157" s="43" t="str">
        <f t="shared" si="730"/>
        <v>DelT</v>
      </c>
      <c r="BO157" s="20">
        <v>1</v>
      </c>
      <c r="BP157" s="20">
        <f t="shared" si="795"/>
        <v>41</v>
      </c>
      <c r="BQ157" s="20">
        <v>1</v>
      </c>
      <c r="BR157" s="20">
        <v>0.15</v>
      </c>
      <c r="BS157" s="20">
        <f t="shared" si="792"/>
        <v>41</v>
      </c>
      <c r="BT157" s="20">
        <f t="shared" si="796"/>
        <v>16</v>
      </c>
      <c r="BU157" s="147">
        <f t="shared" si="793"/>
        <v>1.0125368573815738</v>
      </c>
      <c r="BV157" s="147">
        <f t="shared" si="794"/>
        <v>1.0125368573815738</v>
      </c>
      <c r="BW157" s="147">
        <f t="shared" si="794"/>
        <v>0.11674104741156255</v>
      </c>
      <c r="BX157" s="43"/>
    </row>
    <row r="158" spans="1:98" s="20" customFormat="1" hidden="1" outlineLevel="1" x14ac:dyDescent="0.25">
      <c r="A158" s="58"/>
      <c r="D158" s="60"/>
      <c r="E158" s="20" t="s">
        <v>369</v>
      </c>
      <c r="F158" s="60" t="s">
        <v>607</v>
      </c>
      <c r="G158" s="60" t="s">
        <v>569</v>
      </c>
      <c r="H158" s="20" t="s">
        <v>580</v>
      </c>
      <c r="I158" s="20" t="s">
        <v>659</v>
      </c>
      <c r="J158" s="20" t="s">
        <v>273</v>
      </c>
      <c r="K158" s="20" t="s">
        <v>586</v>
      </c>
      <c r="L158" s="60"/>
      <c r="N158" s="43" t="str">
        <f t="shared" si="779"/>
        <v>ChlrWtrCentPathBGtEql600tonEIRRatio_fQRatioDelTIP</v>
      </c>
      <c r="O158" s="20" t="s">
        <v>165</v>
      </c>
      <c r="P158" s="20" t="s">
        <v>288</v>
      </c>
      <c r="Q158" s="20" t="s">
        <v>160</v>
      </c>
      <c r="R158" s="20" t="s">
        <v>439</v>
      </c>
      <c r="V158" s="61">
        <v>-8.9542569868818006E-2</v>
      </c>
      <c r="W158" s="61">
        <v>0.32091096088232701</v>
      </c>
      <c r="X158" s="61">
        <v>0.73934477949997901</v>
      </c>
      <c r="Y158" s="61">
        <v>9.5380879647118597E-3</v>
      </c>
      <c r="Z158" s="61">
        <v>1.55173752273546E-5</v>
      </c>
      <c r="AA158" s="61">
        <v>-8.2067813460344995E-3</v>
      </c>
      <c r="AG158" s="158">
        <f t="shared" si="767"/>
        <v>1.05</v>
      </c>
      <c r="AH158" s="158">
        <f t="shared" si="768"/>
        <v>0.11</v>
      </c>
      <c r="AI158" s="158">
        <f t="shared" si="769"/>
        <v>1</v>
      </c>
      <c r="AJ158" s="158">
        <f t="shared" si="666"/>
        <v>0.15</v>
      </c>
      <c r="AK158" s="158">
        <f t="shared" si="770"/>
        <v>41</v>
      </c>
      <c r="AL158" s="158">
        <f t="shared" si="771"/>
        <v>16</v>
      </c>
      <c r="AM158" s="60"/>
      <c r="AO158" s="43">
        <f t="shared" si="551"/>
        <v>0</v>
      </c>
      <c r="AP158" s="166" t="str">
        <f t="shared" si="781"/>
        <v/>
      </c>
      <c r="AQ158" s="167" t="str">
        <f t="shared" si="797"/>
        <v/>
      </c>
      <c r="AR158" s="166" t="str">
        <f t="shared" si="782"/>
        <v/>
      </c>
      <c r="AS158" s="166" t="str">
        <f t="shared" si="783"/>
        <v/>
      </c>
      <c r="AT158" s="20" t="str">
        <f t="shared" si="784"/>
        <v/>
      </c>
      <c r="AU158" s="43" t="str">
        <f t="shared" si="343"/>
        <v xml:space="preserve">               </v>
      </c>
      <c r="AV158" s="62" t="str">
        <f t="shared" si="780"/>
        <v/>
      </c>
      <c r="AW158" s="20" t="str">
        <f t="shared" si="785"/>
        <v xml:space="preserve">                                                                 </v>
      </c>
      <c r="AX158" s="43" t="str">
        <f t="shared" si="786"/>
        <v/>
      </c>
      <c r="AY158" s="43" t="str">
        <f t="shared" si="787"/>
        <v/>
      </c>
      <c r="AZ158" s="43" t="str">
        <f t="shared" si="788"/>
        <v/>
      </c>
      <c r="BA158" s="43" t="str">
        <f t="shared" si="789"/>
        <v/>
      </c>
      <c r="BB158" s="43" t="str">
        <f t="shared" si="790"/>
        <v/>
      </c>
      <c r="BC158" s="43" t="str">
        <f t="shared" si="791"/>
        <v/>
      </c>
      <c r="BD158" s="43" t="str">
        <f t="shared" si="776"/>
        <v xml:space="preserve">_x000D_
                                                                                </v>
      </c>
      <c r="BE158" s="20" t="str">
        <f t="shared" si="543"/>
        <v/>
      </c>
      <c r="BF158" s="20" t="str">
        <f t="shared" si="544"/>
        <v/>
      </c>
      <c r="BG158" s="20" t="str">
        <f t="shared" si="545"/>
        <v/>
      </c>
      <c r="BH158" s="20" t="str">
        <f t="shared" si="546"/>
        <v/>
      </c>
      <c r="BI158" s="20" t="str">
        <f t="shared" si="547"/>
        <v/>
      </c>
      <c r="BJ158" s="20" t="str">
        <f t="shared" si="548"/>
        <v/>
      </c>
      <c r="BM158" s="43" t="str">
        <f t="shared" si="729"/>
        <v>QRatio</v>
      </c>
      <c r="BN158" s="43" t="str">
        <f t="shared" si="730"/>
        <v>DelT</v>
      </c>
      <c r="BO158" s="20">
        <v>1</v>
      </c>
      <c r="BP158" s="20">
        <f t="shared" si="795"/>
        <v>41</v>
      </c>
      <c r="BQ158" s="20">
        <v>1</v>
      </c>
      <c r="BR158" s="20">
        <v>0.15</v>
      </c>
      <c r="BS158" s="20">
        <f t="shared" si="792"/>
        <v>41</v>
      </c>
      <c r="BT158" s="20">
        <f t="shared" si="796"/>
        <v>16</v>
      </c>
      <c r="BU158" s="147">
        <f t="shared" si="793"/>
        <v>1.0513814496364429</v>
      </c>
      <c r="BV158" s="147">
        <f t="shared" si="794"/>
        <v>1.0513814496364429</v>
      </c>
      <c r="BW158" s="147">
        <f t="shared" si="794"/>
        <v>0.1121149120653903</v>
      </c>
      <c r="BX158" s="43"/>
    </row>
    <row r="159" spans="1:98" hidden="1" outlineLevel="1" x14ac:dyDescent="0.25">
      <c r="A159" s="58" t="s">
        <v>381</v>
      </c>
      <c r="B159" s="20"/>
      <c r="C159" s="56"/>
      <c r="D159" s="59"/>
      <c r="E159" s="20"/>
      <c r="F159" s="20"/>
      <c r="G159" s="60"/>
      <c r="H159" s="20"/>
      <c r="I159" s="20"/>
      <c r="J159" s="20"/>
      <c r="K159" s="20"/>
      <c r="L159" s="20"/>
      <c r="M159" s="20"/>
      <c r="N159" s="43" t="str">
        <f t="shared" si="779"/>
        <v>-</v>
      </c>
      <c r="O159" s="20"/>
      <c r="P159" s="20"/>
      <c r="Q159" s="20"/>
      <c r="R159" s="20"/>
      <c r="S159" s="20"/>
      <c r="T159" s="20"/>
      <c r="U159" s="20"/>
      <c r="V159" s="61"/>
      <c r="W159" s="61"/>
      <c r="X159" s="61"/>
      <c r="Y159" s="61"/>
      <c r="Z159" s="61"/>
      <c r="AA159" s="61"/>
      <c r="AB159" s="20"/>
      <c r="AC159" s="20"/>
      <c r="AD159" s="20"/>
      <c r="AE159" s="20"/>
      <c r="AF159" s="20"/>
      <c r="AG159" s="159"/>
      <c r="AH159" s="159"/>
      <c r="AI159" s="159"/>
      <c r="AJ159" s="159"/>
      <c r="AK159" s="159"/>
      <c r="AL159" s="159"/>
      <c r="AM159" s="60"/>
      <c r="AN159" s="20"/>
      <c r="AO159" s="43" t="str">
        <f t="shared" si="551"/>
        <v/>
      </c>
      <c r="AP159" s="166" t="str">
        <f t="shared" si="466"/>
        <v/>
      </c>
      <c r="AQ159" s="166" t="str">
        <f t="shared" si="778"/>
        <v/>
      </c>
      <c r="AR159" s="166" t="str">
        <f t="shared" si="467"/>
        <v/>
      </c>
      <c r="AS159" s="166" t="str">
        <f t="shared" si="419"/>
        <v/>
      </c>
      <c r="AT159" s="43" t="str">
        <f t="shared" si="772"/>
        <v/>
      </c>
      <c r="AU159" s="43" t="str">
        <f t="shared" si="343"/>
        <v xml:space="preserve">               </v>
      </c>
      <c r="AV159" s="62" t="str">
        <f t="shared" si="780"/>
        <v/>
      </c>
      <c r="AW159" s="43" t="str">
        <f t="shared" si="542"/>
        <v xml:space="preserve">                                                                 </v>
      </c>
      <c r="AX159" s="43" t="str">
        <f t="shared" si="522"/>
        <v/>
      </c>
      <c r="AY159" s="43" t="str">
        <f t="shared" si="523"/>
        <v/>
      </c>
      <c r="AZ159" s="43" t="str">
        <f t="shared" si="524"/>
        <v/>
      </c>
      <c r="BA159" s="43" t="str">
        <f t="shared" si="525"/>
        <v/>
      </c>
      <c r="BB159" s="43" t="str">
        <f t="shared" si="526"/>
        <v/>
      </c>
      <c r="BC159" s="43" t="str">
        <f t="shared" si="527"/>
        <v/>
      </c>
      <c r="BD159" s="43" t="str">
        <f t="shared" si="776"/>
        <v xml:space="preserve"> </v>
      </c>
      <c r="BE159" s="43" t="str">
        <f t="shared" si="543"/>
        <v/>
      </c>
      <c r="BF159" s="43" t="str">
        <f t="shared" si="544"/>
        <v/>
      </c>
      <c r="BG159" s="43" t="str">
        <f t="shared" si="545"/>
        <v/>
      </c>
      <c r="BH159" s="43" t="str">
        <f t="shared" si="546"/>
        <v/>
      </c>
      <c r="BI159" s="43" t="str">
        <f t="shared" si="547"/>
        <v/>
      </c>
      <c r="BJ159" s="43" t="str">
        <f t="shared" si="548"/>
        <v/>
      </c>
      <c r="BM159" s="43">
        <f t="shared" si="729"/>
        <v>0</v>
      </c>
      <c r="BN159" s="43">
        <f t="shared" si="730"/>
        <v>0</v>
      </c>
      <c r="BU159" s="147"/>
      <c r="BV159" s="147"/>
      <c r="BW159" s="147"/>
      <c r="BX159" s="20"/>
      <c r="BY159" s="20"/>
      <c r="BZ159" s="20"/>
      <c r="CA159" s="20"/>
      <c r="CB159" s="20"/>
    </row>
    <row r="160" spans="1:98" s="20" customFormat="1" ht="30" hidden="1" outlineLevel="1" x14ac:dyDescent="0.25">
      <c r="A160" s="58"/>
      <c r="B160" s="20" t="s">
        <v>137</v>
      </c>
      <c r="C160" s="56" t="s">
        <v>150</v>
      </c>
      <c r="D160" s="60" t="s">
        <v>390</v>
      </c>
      <c r="E160" s="20" t="s">
        <v>369</v>
      </c>
      <c r="F160" s="60" t="s">
        <v>403</v>
      </c>
      <c r="G160" s="60" t="s">
        <v>75</v>
      </c>
      <c r="H160" s="20" t="s">
        <v>613</v>
      </c>
      <c r="I160" s="20" t="s">
        <v>659</v>
      </c>
      <c r="J160" s="20" t="s">
        <v>273</v>
      </c>
      <c r="K160" s="20" t="s">
        <v>142</v>
      </c>
      <c r="L160" s="126"/>
      <c r="M160" s="126"/>
      <c r="N160" s="43" t="str">
        <f t="shared" si="779"/>
        <v>ChlrAbsorbSglStgQRatio_fTchwsTcwsIP</v>
      </c>
      <c r="O160" s="20" t="s">
        <v>165</v>
      </c>
      <c r="P160" s="20" t="s">
        <v>160</v>
      </c>
      <c r="Q160" s="20" t="s">
        <v>139</v>
      </c>
      <c r="R160" s="20" t="s">
        <v>140</v>
      </c>
      <c r="V160" s="61">
        <v>0.72341200000000005</v>
      </c>
      <c r="W160" s="61">
        <v>7.9006000000000007E-2</v>
      </c>
      <c r="X160" s="61">
        <v>8.9700000000000001E-4</v>
      </c>
      <c r="Y160" s="61">
        <v>2.5284999999999998E-2</v>
      </c>
      <c r="Z160" s="61">
        <v>4.8000000000000001E-5</v>
      </c>
      <c r="AA160" s="61">
        <v>2.7599999999999999E-4</v>
      </c>
      <c r="AG160" s="159"/>
      <c r="AH160" s="159"/>
      <c r="AI160" s="159"/>
      <c r="AJ160" s="159"/>
      <c r="AK160" s="159"/>
      <c r="AL160" s="159"/>
      <c r="AM160" s="60"/>
      <c r="AO160" s="43">
        <f t="shared" si="551"/>
        <v>0</v>
      </c>
      <c r="AP160" s="166" t="str">
        <f t="shared" si="466"/>
        <v/>
      </c>
      <c r="AQ160" s="167" t="str">
        <f t="shared" si="778"/>
        <v/>
      </c>
      <c r="AR160" s="166" t="str">
        <f t="shared" si="467"/>
        <v/>
      </c>
      <c r="AS160" s="166" t="str">
        <f t="shared" si="419"/>
        <v/>
      </c>
      <c r="AT160" s="20" t="str">
        <f t="shared" si="772"/>
        <v/>
      </c>
      <c r="AU160" s="43" t="str">
        <f t="shared" si="343"/>
        <v xml:space="preserve">               </v>
      </c>
      <c r="AV160" s="62" t="str">
        <f t="shared" si="780"/>
        <v/>
      </c>
      <c r="AW160" s="20" t="str">
        <f t="shared" si="542"/>
        <v xml:space="preserve">                                                                 </v>
      </c>
      <c r="AX160" s="43" t="str">
        <f t="shared" si="522"/>
        <v/>
      </c>
      <c r="AY160" s="43" t="str">
        <f t="shared" si="523"/>
        <v/>
      </c>
      <c r="AZ160" s="43" t="str">
        <f t="shared" si="524"/>
        <v/>
      </c>
      <c r="BA160" s="43" t="str">
        <f t="shared" si="525"/>
        <v/>
      </c>
      <c r="BB160" s="43" t="str">
        <f t="shared" si="526"/>
        <v/>
      </c>
      <c r="BC160" s="43" t="str">
        <f t="shared" si="527"/>
        <v/>
      </c>
      <c r="BD160" s="43" t="str">
        <f t="shared" ref="BD160:BD183" si="798">IF(MAX(AG160:AL160)=0,REPT(" ",1),CHAR(13)&amp;CHAR(10)&amp;REPT(" ",BD$14))</f>
        <v xml:space="preserve"> </v>
      </c>
      <c r="BE160" s="20" t="str">
        <f t="shared" si="543"/>
        <v/>
      </c>
      <c r="BF160" s="20" t="str">
        <f t="shared" si="544"/>
        <v/>
      </c>
      <c r="BG160" s="20" t="str">
        <f t="shared" si="545"/>
        <v/>
      </c>
      <c r="BH160" s="20" t="str">
        <f t="shared" si="546"/>
        <v/>
      </c>
      <c r="BI160" s="20" t="str">
        <f t="shared" si="547"/>
        <v/>
      </c>
      <c r="BJ160" s="20" t="str">
        <f t="shared" si="548"/>
        <v/>
      </c>
      <c r="BM160" s="43" t="str">
        <f t="shared" si="729"/>
        <v>Tchws</v>
      </c>
      <c r="BN160" s="43" t="str">
        <f t="shared" si="730"/>
        <v>Tcws</v>
      </c>
      <c r="BO160" s="43">
        <v>1</v>
      </c>
      <c r="BP160" s="43"/>
      <c r="BR160" s="43">
        <v>0</v>
      </c>
      <c r="BU160" s="147">
        <f t="shared" ref="BU160:BU183" si="799">$V160+$W160*BO160+$X160*BO160^2</f>
        <v>0.80331500000000011</v>
      </c>
      <c r="BV160" s="161"/>
      <c r="BW160" s="147">
        <f t="shared" ref="BW160:BW183" si="800">$V160+$W160*BR160+$X160*BR160^2</f>
        <v>0.72341200000000005</v>
      </c>
      <c r="BX160" s="43"/>
    </row>
    <row r="161" spans="1:76" s="20" customFormat="1" hidden="1" outlineLevel="1" x14ac:dyDescent="0.25">
      <c r="A161" s="58"/>
      <c r="C161" s="56"/>
      <c r="D161" s="60"/>
      <c r="E161" s="20" t="s">
        <v>369</v>
      </c>
      <c r="F161" s="60" t="s">
        <v>835</v>
      </c>
      <c r="G161" s="60" t="s">
        <v>832</v>
      </c>
      <c r="H161" s="20" t="s">
        <v>831</v>
      </c>
      <c r="I161" s="20" t="s">
        <v>660</v>
      </c>
      <c r="J161" s="20" t="s">
        <v>144</v>
      </c>
      <c r="L161" s="126" t="s">
        <v>185</v>
      </c>
      <c r="M161" s="126"/>
      <c r="N161" s="43" t="str">
        <f t="shared" si="779"/>
        <v>ChlrAbsorbSglStgIndirQRatio_fTcwsSI</v>
      </c>
      <c r="O161" s="20" t="s">
        <v>162</v>
      </c>
      <c r="P161" s="20" t="s">
        <v>160</v>
      </c>
      <c r="Q161" s="20" t="s">
        <v>140</v>
      </c>
      <c r="V161" s="61">
        <v>5.0196667000000001</v>
      </c>
      <c r="W161" s="61">
        <v>-0.21922220000000001</v>
      </c>
      <c r="X161" s="61">
        <v>2.8888999999999998E-3</v>
      </c>
      <c r="Y161" s="61"/>
      <c r="Z161" s="61"/>
      <c r="AA161" s="61"/>
      <c r="AG161" s="159"/>
      <c r="AH161" s="159"/>
      <c r="AI161" s="159">
        <v>34</v>
      </c>
      <c r="AJ161" s="159">
        <v>10</v>
      </c>
      <c r="AK161" s="159"/>
      <c r="AL161" s="159"/>
      <c r="AM161" s="60"/>
      <c r="AO161" s="43">
        <f t="shared" ref="AO161:AO162" si="801">IF(ISTEXT(A161),"",IF(I161="IP",0,1))</f>
        <v>1</v>
      </c>
      <c r="AP161" s="166" t="str">
        <f t="shared" si="466"/>
        <v>CrvQuad        "ChlrAbsorbSglStgIndirQRatio_fTcwsSI"                            Coef1 =  5.019667  Coef2 = -0.219222  Coef3 =  0.002889  _x000D_
                                                                                MaxVar1 = 34.000   MinVar1 = 10.000   _x000D_
..</v>
      </c>
      <c r="AQ161" s="167" t="str">
        <f t="shared" si="778"/>
        <v xml:space="preserve">CrvQuad        "ChlrAbsorbSglStgIndirQRatio_fTcwsSI"                            Coef1 =  5.019667  Coef2 = -0.219222  Coef3 =  0.002889  </v>
      </c>
      <c r="AR161" s="166" t="str">
        <f t="shared" si="467"/>
        <v xml:space="preserve">_x000D_
                                                                                MaxVar1 = 34.000   MinVar1 = 10.000   </v>
      </c>
      <c r="AS161" s="166" t="str">
        <f t="shared" si="419"/>
        <v>_x000D_
..</v>
      </c>
      <c r="AT161" s="20" t="str">
        <f t="shared" si="772"/>
        <v>CrvQuad</v>
      </c>
      <c r="AU161" s="43" t="str">
        <f t="shared" ref="AU161:AU183" si="802">REPT(" ",AU$14-LEN(AT161))</f>
        <v xml:space="preserve">        </v>
      </c>
      <c r="AV161" s="62" t="str">
        <f t="shared" si="780"/>
        <v>"ChlrAbsorbSglStgIndirQRatio_fTcwsSI"</v>
      </c>
      <c r="AW161" s="20" t="str">
        <f t="shared" si="542"/>
        <v xml:space="preserve">                            </v>
      </c>
      <c r="AX161" s="43" t="str">
        <f t="shared" si="522"/>
        <v xml:space="preserve"> 5.019667  </v>
      </c>
      <c r="AY161" s="43" t="str">
        <f t="shared" si="523"/>
        <v xml:space="preserve">-0.219222  </v>
      </c>
      <c r="AZ161" s="43" t="str">
        <f t="shared" si="524"/>
        <v xml:space="preserve"> 0.002889  </v>
      </c>
      <c r="BA161" s="43" t="str">
        <f t="shared" si="525"/>
        <v>-</v>
      </c>
      <c r="BB161" s="43" t="str">
        <f t="shared" si="526"/>
        <v>-</v>
      </c>
      <c r="BC161" s="43" t="str">
        <f t="shared" si="527"/>
        <v>-</v>
      </c>
      <c r="BD161" s="43" t="str">
        <f t="shared" si="798"/>
        <v xml:space="preserve">_x000D_
                                                                                </v>
      </c>
      <c r="BE161" s="20" t="str">
        <f t="shared" si="543"/>
        <v>-</v>
      </c>
      <c r="BF161" s="20" t="str">
        <f t="shared" si="544"/>
        <v>-</v>
      </c>
      <c r="BG161" s="20" t="str">
        <f t="shared" si="545"/>
        <v xml:space="preserve">34.000   </v>
      </c>
      <c r="BH161" s="20" t="str">
        <f t="shared" si="546"/>
        <v xml:space="preserve">10.000   </v>
      </c>
      <c r="BI161" s="20" t="str">
        <f t="shared" si="547"/>
        <v>-</v>
      </c>
      <c r="BJ161" s="20" t="str">
        <f t="shared" si="548"/>
        <v>-</v>
      </c>
      <c r="BM161" s="43" t="str">
        <f t="shared" si="729"/>
        <v>Tcws</v>
      </c>
      <c r="BN161" s="43"/>
      <c r="BO161" s="43">
        <v>1</v>
      </c>
      <c r="BP161" s="43"/>
      <c r="BR161" s="43">
        <v>0</v>
      </c>
      <c r="BU161" s="147">
        <f t="shared" si="799"/>
        <v>4.8033334000000005</v>
      </c>
      <c r="BV161" s="161"/>
      <c r="BW161" s="147">
        <f t="shared" si="800"/>
        <v>5.0196667000000001</v>
      </c>
      <c r="BX161" s="43"/>
    </row>
    <row r="162" spans="1:76" s="20" customFormat="1" hidden="1" outlineLevel="1" x14ac:dyDescent="0.25">
      <c r="A162" s="58"/>
      <c r="C162" s="56"/>
      <c r="D162" s="60"/>
      <c r="E162" s="20" t="s">
        <v>369</v>
      </c>
      <c r="F162" s="60" t="s">
        <v>836</v>
      </c>
      <c r="G162" s="60" t="s">
        <v>832</v>
      </c>
      <c r="H162" s="20" t="s">
        <v>831</v>
      </c>
      <c r="I162" s="20" t="s">
        <v>660</v>
      </c>
      <c r="J162" s="20" t="s">
        <v>144</v>
      </c>
      <c r="L162" s="126" t="s">
        <v>185</v>
      </c>
      <c r="M162" s="126"/>
      <c r="N162" s="43" t="str">
        <f t="shared" si="779"/>
        <v>ChlrAbsorbSglStgIndirQRatio_fTchwsSI</v>
      </c>
      <c r="O162" s="20" t="s">
        <v>162</v>
      </c>
      <c r="P162" s="20" t="s">
        <v>160</v>
      </c>
      <c r="Q162" s="20" t="s">
        <v>139</v>
      </c>
      <c r="V162" s="61">
        <v>0.69057100000000005</v>
      </c>
      <c r="W162" s="61">
        <v>6.5571000000000004E-2</v>
      </c>
      <c r="X162" s="61">
        <v>-2.8900000000000002E-3</v>
      </c>
      <c r="Y162" s="61"/>
      <c r="Z162" s="61"/>
      <c r="AA162" s="61"/>
      <c r="AG162" s="159"/>
      <c r="AH162" s="159"/>
      <c r="AI162" s="159">
        <v>10</v>
      </c>
      <c r="AJ162" s="159">
        <v>4</v>
      </c>
      <c r="AK162" s="159"/>
      <c r="AL162" s="159"/>
      <c r="AM162" s="60"/>
      <c r="AO162" s="43">
        <f t="shared" si="801"/>
        <v>1</v>
      </c>
      <c r="AP162" s="166" t="str">
        <f t="shared" si="466"/>
        <v>CrvQuad        "ChlrAbsorbSglStgIndirQRatio_fTchwsSI"                           Coef1 =  0.690571  Coef2 =  0.065571  Coef3 = -0.002890  _x000D_
                                                                                MaxVar1 = 10.000   MinVar1 = 4.000   _x000D_
..</v>
      </c>
      <c r="AQ162" s="167" t="str">
        <f t="shared" si="778"/>
        <v xml:space="preserve">CrvQuad        "ChlrAbsorbSglStgIndirQRatio_fTchwsSI"                           Coef1 =  0.690571  Coef2 =  0.065571  Coef3 = -0.002890  </v>
      </c>
      <c r="AR162" s="166" t="str">
        <f t="shared" si="467"/>
        <v xml:space="preserve">_x000D_
                                                                                MaxVar1 = 10.000   MinVar1 = 4.000   </v>
      </c>
      <c r="AS162" s="166" t="str">
        <f t="shared" si="419"/>
        <v>_x000D_
..</v>
      </c>
      <c r="AT162" s="20" t="str">
        <f t="shared" si="772"/>
        <v>CrvQuad</v>
      </c>
      <c r="AU162" s="43" t="str">
        <f t="shared" si="802"/>
        <v xml:space="preserve">        </v>
      </c>
      <c r="AV162" s="62" t="str">
        <f t="shared" si="780"/>
        <v>"ChlrAbsorbSglStgIndirQRatio_fTchwsSI"</v>
      </c>
      <c r="AW162" s="20" t="str">
        <f t="shared" si="542"/>
        <v xml:space="preserve">                           </v>
      </c>
      <c r="AX162" s="43" t="str">
        <f t="shared" si="522"/>
        <v xml:space="preserve"> 0.690571  </v>
      </c>
      <c r="AY162" s="43" t="str">
        <f t="shared" si="523"/>
        <v xml:space="preserve"> 0.065571  </v>
      </c>
      <c r="AZ162" s="43" t="str">
        <f t="shared" si="524"/>
        <v xml:space="preserve">-0.002890  </v>
      </c>
      <c r="BA162" s="43" t="str">
        <f t="shared" si="525"/>
        <v>-</v>
      </c>
      <c r="BB162" s="43" t="str">
        <f t="shared" si="526"/>
        <v>-</v>
      </c>
      <c r="BC162" s="43" t="str">
        <f t="shared" si="527"/>
        <v>-</v>
      </c>
      <c r="BD162" s="43" t="str">
        <f t="shared" si="798"/>
        <v xml:space="preserve">_x000D_
                                                                                </v>
      </c>
      <c r="BE162" s="20" t="str">
        <f t="shared" si="543"/>
        <v>-</v>
      </c>
      <c r="BF162" s="20" t="str">
        <f t="shared" si="544"/>
        <v>-</v>
      </c>
      <c r="BG162" s="20" t="str">
        <f t="shared" si="545"/>
        <v xml:space="preserve">10.000   </v>
      </c>
      <c r="BH162" s="20" t="str">
        <f t="shared" si="546"/>
        <v xml:space="preserve">4.000   </v>
      </c>
      <c r="BI162" s="20" t="str">
        <f t="shared" si="547"/>
        <v>-</v>
      </c>
      <c r="BJ162" s="20" t="str">
        <f t="shared" si="548"/>
        <v>-</v>
      </c>
      <c r="BM162" s="43" t="str">
        <f t="shared" si="729"/>
        <v>Tchws</v>
      </c>
      <c r="BN162" s="43"/>
      <c r="BO162" s="43">
        <v>1</v>
      </c>
      <c r="BP162" s="43"/>
      <c r="BR162" s="43">
        <v>0</v>
      </c>
      <c r="BU162" s="147">
        <f t="shared" si="799"/>
        <v>0.75325200000000014</v>
      </c>
      <c r="BV162" s="161"/>
      <c r="BW162" s="147">
        <f t="shared" si="800"/>
        <v>0.69057100000000005</v>
      </c>
      <c r="BX162" s="43"/>
    </row>
    <row r="163" spans="1:76" s="20" customFormat="1" hidden="1" outlineLevel="1" x14ac:dyDescent="0.25">
      <c r="A163" s="58"/>
      <c r="C163" s="56"/>
      <c r="D163" s="60"/>
      <c r="E163" s="20" t="s">
        <v>369</v>
      </c>
      <c r="F163" s="60" t="s">
        <v>839</v>
      </c>
      <c r="G163" s="60" t="s">
        <v>832</v>
      </c>
      <c r="H163" s="20" t="s">
        <v>831</v>
      </c>
      <c r="I163" s="20" t="s">
        <v>660</v>
      </c>
      <c r="J163" s="20" t="s">
        <v>144</v>
      </c>
      <c r="L163" s="126" t="s">
        <v>185</v>
      </c>
      <c r="M163" s="126"/>
      <c r="N163" s="43" t="str">
        <f t="shared" si="779"/>
        <v>ChlrAbsorbSglStgIndirQRatio_fTgenSI</v>
      </c>
      <c r="O163" s="20" t="s">
        <v>230</v>
      </c>
      <c r="P163" s="20" t="s">
        <v>160</v>
      </c>
      <c r="Q163" s="20" t="s">
        <v>837</v>
      </c>
      <c r="V163" s="61">
        <v>25.359010000000001</v>
      </c>
      <c r="W163" s="61">
        <v>-1.045196</v>
      </c>
      <c r="X163" s="61">
        <v>1.4005999999999999E-2</v>
      </c>
      <c r="Y163" s="61">
        <v>-5.9899999999999999E-5</v>
      </c>
      <c r="Z163" s="61"/>
      <c r="AA163" s="61"/>
      <c r="AG163" s="159"/>
      <c r="AH163" s="159"/>
      <c r="AI163" s="159">
        <v>95</v>
      </c>
      <c r="AJ163" s="159">
        <v>70</v>
      </c>
      <c r="AK163" s="159"/>
      <c r="AL163" s="159"/>
      <c r="AM163" s="60"/>
      <c r="AO163" s="43">
        <f t="shared" ref="AO163" si="803">IF(ISTEXT(A163),"",IF(I163="IP",0,1))</f>
        <v>1</v>
      </c>
      <c r="AP163" s="166" t="str">
        <f t="shared" ref="AP163" si="804">IF(AO163=1,CONCATENATE(AQ163,AR163,AS163),"")</f>
        <v>CrvCubic       "ChlrAbsorbSglStgIndirQRatio_fTgenSI"                            Coef1 =  25.359010  Coef2 = -1.045196  Coef3 =  0.014006  Coef4 = -0.000060  _x000D_
                                                                                MaxVar1 = 95.000   MinVar1 = 70.000   _x000D_
..</v>
      </c>
      <c r="AQ163" s="167" t="str">
        <f t="shared" ref="AQ163" si="805">IF(AO163=1,CONCATENATE(AT163,AU163,AV163,AW163,IF(AX163="-","",$AX$15&amp;AX163),IF(AY163="-","",$AY$15&amp;AY163),IF(AZ163="-","",$AZ$15&amp;AZ163),IF(BA163="-","",$BA$15&amp;BA163),IF(BB163="-","",$BB$15&amp;BB163),IF(BC163="-","",$BC$15&amp;BC163)),"")</f>
        <v xml:space="preserve">CrvCubic       "ChlrAbsorbSglStgIndirQRatio_fTgenSI"                            Coef1 =  25.359010  Coef2 = -1.045196  Coef3 =  0.014006  Coef4 = -0.000060  </v>
      </c>
      <c r="AR163" s="166" t="str">
        <f t="shared" ref="AR163" si="806">IF(AO163=1,CONCATENATE(BD163,IF(BE163="-","",$BE$15&amp;BE163),IF(BF163="-","",$BF$15&amp;BF163),IF(BG163="-","",$BG$15&amp;BG163),IF(BH163="-","",$BH$15&amp;BH163),IF(BI163="-","",$BI$15&amp;BI163),IF(BJ163="-","",$BJ$15&amp;BJ163)),"")</f>
        <v xml:space="preserve">_x000D_
                                                                                MaxVar1 = 95.000   MinVar1 = 70.000   </v>
      </c>
      <c r="AS163" s="166" t="str">
        <f t="shared" ref="AS163" si="807">IF(AO163=1,CHAR(13)&amp;CHAR(10)&amp;"..","")</f>
        <v>_x000D_
..</v>
      </c>
      <c r="AT163" s="20" t="str">
        <f t="shared" ref="AT163" si="808">IF(AO163=1,VLOOKUP(O163,$AT$2:$AV$13,2,0),"")</f>
        <v>CrvCubic</v>
      </c>
      <c r="AU163" s="43" t="str">
        <f t="shared" ref="AU163" si="809">REPT(" ",AU$14-LEN(AT163))</f>
        <v xml:space="preserve">       </v>
      </c>
      <c r="AV163" s="62" t="str">
        <f t="shared" si="780"/>
        <v>"ChlrAbsorbSglStgIndirQRatio_fTgenSI"</v>
      </c>
      <c r="AW163" s="20" t="str">
        <f t="shared" ref="AW163" si="810">REPT(" ",$AW$14-LEN(AV163))</f>
        <v xml:space="preserve">                            </v>
      </c>
      <c r="AX163" s="43" t="str">
        <f t="shared" ref="AX163" si="811">IF($AO163=1,IF(ISBLANK(V163),"-",CONCATENATE(TEXT(V163," 0.000000;-0.000000"),"  ")),"")</f>
        <v xml:space="preserve"> 25.359010  </v>
      </c>
      <c r="AY163" s="43" t="str">
        <f t="shared" ref="AY163" si="812">IF($AO163=1,IF(ISBLANK(W163),"-",CONCATENATE(TEXT(W163," 0.000000;-0.000000"),"  ")),"")</f>
        <v xml:space="preserve">-1.045196  </v>
      </c>
      <c r="AZ163" s="43" t="str">
        <f t="shared" ref="AZ163" si="813">IF($AO163=1,IF(ISBLANK(X163),"-",CONCATENATE(TEXT(X163," 0.000000;-0.000000"),"  ")),"")</f>
        <v xml:space="preserve"> 0.014006  </v>
      </c>
      <c r="BA163" s="43" t="str">
        <f t="shared" ref="BA163" si="814">IF($AO163=1,IF(ISBLANK(Y163),"-",CONCATENATE(TEXT(Y163," 0.000000;-0.000000"),"  ")),"")</f>
        <v xml:space="preserve">-0.000060  </v>
      </c>
      <c r="BB163" s="43" t="str">
        <f t="shared" ref="BB163" si="815">IF($AO163=1,IF(ISBLANK(Z163),"-",CONCATENATE(TEXT(Z163," 0.000000;-0.000000"),"  ")),"")</f>
        <v>-</v>
      </c>
      <c r="BC163" s="43" t="str">
        <f t="shared" ref="BC163" si="816">IF($AO163=1,IF(ISBLANK(AA163),"-",CONCATENATE(TEXT(AA163," 0.000000;-0.000000"),"  ")),"")</f>
        <v>-</v>
      </c>
      <c r="BD163" s="43" t="str">
        <f t="shared" ref="BD163" si="817">IF(MAX(AG163:AL163)=0,REPT(" ",1),CHAR(13)&amp;CHAR(10)&amp;REPT(" ",BD$14))</f>
        <v xml:space="preserve">_x000D_
                                                                                </v>
      </c>
      <c r="BE163" s="20" t="str">
        <f t="shared" ref="BE163" si="818">IF($AO163=1,IF(AG163="","-",CONCATENATE(TEXT(AG163,"0.000"),"   ")),"")</f>
        <v>-</v>
      </c>
      <c r="BF163" s="20" t="str">
        <f t="shared" ref="BF163" si="819">IF($AO163=1,IF(AH163="","-",CONCATENATE(TEXT(AH163,"0.000"),"   ")),"")</f>
        <v>-</v>
      </c>
      <c r="BG163" s="20" t="str">
        <f t="shared" ref="BG163" si="820">IF($AO163=1,IF(AI163="","-",CONCATENATE(TEXT(AI163,"0.000"),"   ")),"")</f>
        <v xml:space="preserve">95.000   </v>
      </c>
      <c r="BH163" s="20" t="str">
        <f t="shared" ref="BH163" si="821">IF($AO163=1,IF(AJ163="","-",CONCATENATE(TEXT(AJ163,"0.000"),"   ")),"")</f>
        <v xml:space="preserve">70.000   </v>
      </c>
      <c r="BI163" s="20" t="str">
        <f t="shared" ref="BI163" si="822">IF($AO163=1,IF(AK163="","-",CONCATENATE(TEXT(AK163,"0.000"),"   ")),"")</f>
        <v>-</v>
      </c>
      <c r="BJ163" s="20" t="str">
        <f t="shared" ref="BJ163" si="823">IF($AO163=1,IF(AL163="","-",CONCATENATE(TEXT(AL163,"0.000"),"   ")),"")</f>
        <v>-</v>
      </c>
      <c r="BM163" s="43" t="str">
        <f t="shared" si="729"/>
        <v>Tgen</v>
      </c>
      <c r="BN163" s="43"/>
      <c r="BO163" s="43">
        <v>1</v>
      </c>
      <c r="BP163" s="43"/>
      <c r="BR163" s="43">
        <v>0</v>
      </c>
      <c r="BU163" s="147">
        <f t="shared" ref="BU163" si="824">$V163+$W163*BO163+$X163*BO163^2</f>
        <v>24.327819999999999</v>
      </c>
      <c r="BV163" s="161"/>
      <c r="BW163" s="147">
        <f t="shared" ref="BW163" si="825">$V163+$W163*BR163+$X163*BR163^2</f>
        <v>25.359010000000001</v>
      </c>
      <c r="BX163" s="43"/>
    </row>
    <row r="164" spans="1:76" s="20" customFormat="1" hidden="1" outlineLevel="1" x14ac:dyDescent="0.25">
      <c r="A164" s="58"/>
      <c r="D164" s="59"/>
      <c r="E164" s="20" t="s">
        <v>369</v>
      </c>
      <c r="F164" s="60" t="s">
        <v>403</v>
      </c>
      <c r="G164" s="60" t="s">
        <v>76</v>
      </c>
      <c r="H164" s="20" t="s">
        <v>614</v>
      </c>
      <c r="I164" s="20" t="s">
        <v>659</v>
      </c>
      <c r="J164" s="20" t="s">
        <v>273</v>
      </c>
      <c r="K164" s="20" t="s">
        <v>142</v>
      </c>
      <c r="L164" s="126"/>
      <c r="M164" s="126"/>
      <c r="N164" s="43" t="str">
        <f t="shared" si="779"/>
        <v>ChlrAbsorbDblStgQRatio_fTchwsTcwsIP</v>
      </c>
      <c r="O164" s="20" t="s">
        <v>165</v>
      </c>
      <c r="P164" s="20" t="s">
        <v>160</v>
      </c>
      <c r="Q164" s="20" t="s">
        <v>139</v>
      </c>
      <c r="R164" s="20" t="s">
        <v>140</v>
      </c>
      <c r="V164" s="61">
        <v>-0.81603899999999996</v>
      </c>
      <c r="W164" s="61">
        <v>-3.8706999999999998E-2</v>
      </c>
      <c r="X164" s="61">
        <v>4.4999999999999999E-4</v>
      </c>
      <c r="Y164" s="61">
        <v>7.1490999999999999E-2</v>
      </c>
      <c r="Z164" s="61">
        <v>-6.3600000000000001E-5</v>
      </c>
      <c r="AA164" s="61">
        <v>3.1199999999999999E-5</v>
      </c>
      <c r="AG164" s="159"/>
      <c r="AH164" s="159"/>
      <c r="AI164" s="159"/>
      <c r="AJ164" s="159"/>
      <c r="AK164" s="159"/>
      <c r="AL164" s="159"/>
      <c r="AM164" s="60"/>
      <c r="AO164" s="43">
        <f>IF(ISTEXT(A164),"",IF(I164="IP",0,1))</f>
        <v>0</v>
      </c>
      <c r="AP164" s="166" t="str">
        <f t="shared" si="466"/>
        <v/>
      </c>
      <c r="AQ164" s="167" t="str">
        <f t="shared" si="778"/>
        <v/>
      </c>
      <c r="AR164" s="166" t="str">
        <f t="shared" si="467"/>
        <v/>
      </c>
      <c r="AS164" s="166" t="str">
        <f t="shared" si="419"/>
        <v/>
      </c>
      <c r="AT164" s="20" t="str">
        <f t="shared" si="772"/>
        <v/>
      </c>
      <c r="AU164" s="43" t="str">
        <f t="shared" si="802"/>
        <v xml:space="preserve">               </v>
      </c>
      <c r="AV164" s="62" t="str">
        <f t="shared" si="780"/>
        <v/>
      </c>
      <c r="AW164" s="20" t="str">
        <f t="shared" si="542"/>
        <v xml:space="preserve">                                                                 </v>
      </c>
      <c r="AX164" s="43" t="str">
        <f t="shared" si="522"/>
        <v/>
      </c>
      <c r="AY164" s="43" t="str">
        <f t="shared" si="523"/>
        <v/>
      </c>
      <c r="AZ164" s="43" t="str">
        <f t="shared" si="524"/>
        <v/>
      </c>
      <c r="BA164" s="43" t="str">
        <f t="shared" si="525"/>
        <v/>
      </c>
      <c r="BB164" s="43" t="str">
        <f t="shared" si="526"/>
        <v/>
      </c>
      <c r="BC164" s="43" t="str">
        <f t="shared" si="527"/>
        <v/>
      </c>
      <c r="BD164" s="43" t="str">
        <f t="shared" si="798"/>
        <v xml:space="preserve"> </v>
      </c>
      <c r="BE164" s="20" t="str">
        <f t="shared" si="543"/>
        <v/>
      </c>
      <c r="BF164" s="20" t="str">
        <f t="shared" si="544"/>
        <v/>
      </c>
      <c r="BG164" s="20" t="str">
        <f t="shared" si="545"/>
        <v/>
      </c>
      <c r="BH164" s="20" t="str">
        <f t="shared" si="546"/>
        <v/>
      </c>
      <c r="BI164" s="20" t="str">
        <f t="shared" si="547"/>
        <v/>
      </c>
      <c r="BJ164" s="20" t="str">
        <f t="shared" si="548"/>
        <v/>
      </c>
      <c r="BM164" s="43" t="str">
        <f t="shared" si="729"/>
        <v>Tchws</v>
      </c>
      <c r="BN164" s="43" t="str">
        <f t="shared" si="730"/>
        <v>Tcws</v>
      </c>
      <c r="BO164" s="43">
        <v>1</v>
      </c>
      <c r="BP164" s="43"/>
      <c r="BR164" s="43">
        <v>0</v>
      </c>
      <c r="BU164" s="147">
        <f t="shared" si="799"/>
        <v>-0.85429600000000006</v>
      </c>
      <c r="BV164" s="161"/>
      <c r="BW164" s="147">
        <f t="shared" si="800"/>
        <v>-0.81603899999999996</v>
      </c>
      <c r="BX164" s="43"/>
    </row>
    <row r="165" spans="1:76" s="20" customFormat="1" hidden="1" outlineLevel="1" x14ac:dyDescent="0.25">
      <c r="A165" s="58"/>
      <c r="D165" s="59"/>
      <c r="E165" s="20" t="s">
        <v>369</v>
      </c>
      <c r="F165" s="60" t="s">
        <v>403</v>
      </c>
      <c r="G165" s="60" t="s">
        <v>77</v>
      </c>
      <c r="H165" s="20" t="s">
        <v>615</v>
      </c>
      <c r="I165" s="20" t="s">
        <v>659</v>
      </c>
      <c r="J165" s="20" t="s">
        <v>273</v>
      </c>
      <c r="K165" s="20" t="s">
        <v>142</v>
      </c>
      <c r="L165" s="126"/>
      <c r="M165" s="126"/>
      <c r="N165" s="43" t="str">
        <f t="shared" si="779"/>
        <v>ChlrAbsorbDirectQRatio_fTchwsTcwsIP</v>
      </c>
      <c r="O165" s="20" t="s">
        <v>165</v>
      </c>
      <c r="P165" s="20" t="s">
        <v>160</v>
      </c>
      <c r="Q165" s="20" t="s">
        <v>139</v>
      </c>
      <c r="R165" s="20" t="s">
        <v>140</v>
      </c>
      <c r="V165" s="61">
        <v>1</v>
      </c>
      <c r="W165" s="61">
        <v>0</v>
      </c>
      <c r="X165" s="61">
        <v>0</v>
      </c>
      <c r="Y165" s="61">
        <v>0</v>
      </c>
      <c r="Z165" s="61">
        <v>0</v>
      </c>
      <c r="AA165" s="61">
        <v>0</v>
      </c>
      <c r="AG165" s="159"/>
      <c r="AH165" s="159"/>
      <c r="AI165" s="159"/>
      <c r="AJ165" s="159"/>
      <c r="AK165" s="159"/>
      <c r="AL165" s="159"/>
      <c r="AM165" s="60"/>
      <c r="AO165" s="43">
        <f>IF(ISTEXT(A165),"",IF(I165="IP",0,1))</f>
        <v>0</v>
      </c>
      <c r="AP165" s="166" t="str">
        <f t="shared" si="466"/>
        <v/>
      </c>
      <c r="AQ165" s="167" t="str">
        <f t="shared" si="778"/>
        <v/>
      </c>
      <c r="AR165" s="166" t="str">
        <f t="shared" si="467"/>
        <v/>
      </c>
      <c r="AS165" s="166" t="str">
        <f t="shared" si="419"/>
        <v/>
      </c>
      <c r="AT165" s="20" t="str">
        <f t="shared" si="772"/>
        <v/>
      </c>
      <c r="AU165" s="43" t="str">
        <f t="shared" si="802"/>
        <v xml:space="preserve">               </v>
      </c>
      <c r="AV165" s="62" t="str">
        <f t="shared" si="780"/>
        <v/>
      </c>
      <c r="AW165" s="20" t="str">
        <f t="shared" si="542"/>
        <v xml:space="preserve">                                                                 </v>
      </c>
      <c r="AX165" s="43" t="str">
        <f t="shared" si="522"/>
        <v/>
      </c>
      <c r="AY165" s="43" t="str">
        <f t="shared" si="523"/>
        <v/>
      </c>
      <c r="AZ165" s="43" t="str">
        <f t="shared" si="524"/>
        <v/>
      </c>
      <c r="BA165" s="43" t="str">
        <f t="shared" si="525"/>
        <v/>
      </c>
      <c r="BB165" s="43" t="str">
        <f t="shared" si="526"/>
        <v/>
      </c>
      <c r="BC165" s="43" t="str">
        <f t="shared" si="527"/>
        <v/>
      </c>
      <c r="BD165" s="43" t="str">
        <f t="shared" si="798"/>
        <v xml:space="preserve"> </v>
      </c>
      <c r="BE165" s="20" t="str">
        <f t="shared" si="543"/>
        <v/>
      </c>
      <c r="BF165" s="20" t="str">
        <f t="shared" si="544"/>
        <v/>
      </c>
      <c r="BG165" s="20" t="str">
        <f t="shared" si="545"/>
        <v/>
      </c>
      <c r="BH165" s="20" t="str">
        <f t="shared" si="546"/>
        <v/>
      </c>
      <c r="BI165" s="20" t="str">
        <f t="shared" si="547"/>
        <v/>
      </c>
      <c r="BJ165" s="20" t="str">
        <f t="shared" si="548"/>
        <v/>
      </c>
      <c r="BM165" s="43" t="str">
        <f t="shared" si="729"/>
        <v>Tchws</v>
      </c>
      <c r="BN165" s="43" t="str">
        <f t="shared" si="730"/>
        <v>Tcws</v>
      </c>
      <c r="BO165" s="43">
        <v>1</v>
      </c>
      <c r="BP165" s="43"/>
      <c r="BR165" s="43">
        <v>0</v>
      </c>
      <c r="BU165" s="147">
        <f t="shared" si="799"/>
        <v>1</v>
      </c>
      <c r="BV165" s="161"/>
      <c r="BW165" s="147">
        <f t="shared" si="800"/>
        <v>1</v>
      </c>
      <c r="BX165" s="43"/>
    </row>
    <row r="166" spans="1:76" s="20" customFormat="1" hidden="1" outlineLevel="1" x14ac:dyDescent="0.25">
      <c r="A166" s="58"/>
      <c r="D166" s="59"/>
      <c r="E166" s="20" t="s">
        <v>369</v>
      </c>
      <c r="F166" s="60" t="s">
        <v>403</v>
      </c>
      <c r="G166" s="60" t="s">
        <v>141</v>
      </c>
      <c r="H166" s="20" t="s">
        <v>616</v>
      </c>
      <c r="I166" s="20" t="s">
        <v>659</v>
      </c>
      <c r="J166" s="20" t="s">
        <v>273</v>
      </c>
      <c r="K166" s="20" t="s">
        <v>142</v>
      </c>
      <c r="L166" s="126"/>
      <c r="M166" s="126"/>
      <c r="N166" s="43" t="str">
        <f t="shared" si="779"/>
        <v>ChlrEngDrvSpdAllQRatio_fTchwsTcwsIP</v>
      </c>
      <c r="O166" s="20" t="s">
        <v>165</v>
      </c>
      <c r="P166" s="20" t="s">
        <v>160</v>
      </c>
      <c r="Q166" s="20" t="s">
        <v>139</v>
      </c>
      <c r="R166" s="20" t="s">
        <v>140</v>
      </c>
      <c r="V166" s="61">
        <v>0.57359700000000002</v>
      </c>
      <c r="W166" s="61">
        <v>1.8680200000000001E-2</v>
      </c>
      <c r="X166" s="61">
        <v>0</v>
      </c>
      <c r="Y166" s="61">
        <v>-4.6532500000000003E-3</v>
      </c>
      <c r="Z166" s="61">
        <v>0</v>
      </c>
      <c r="AA166" s="61">
        <v>0</v>
      </c>
      <c r="AG166" s="159"/>
      <c r="AH166" s="159"/>
      <c r="AI166" s="159"/>
      <c r="AJ166" s="159"/>
      <c r="AK166" s="159"/>
      <c r="AL166" s="159"/>
      <c r="AM166" s="60"/>
      <c r="AO166" s="43">
        <f>IF(ISTEXT(A166),"",IF(I166="IP",0,1))</f>
        <v>0</v>
      </c>
      <c r="AP166" s="166" t="str">
        <f t="shared" si="466"/>
        <v/>
      </c>
      <c r="AQ166" s="167" t="str">
        <f t="shared" si="778"/>
        <v/>
      </c>
      <c r="AR166" s="166" t="str">
        <f t="shared" si="467"/>
        <v/>
      </c>
      <c r="AS166" s="166" t="str">
        <f t="shared" si="419"/>
        <v/>
      </c>
      <c r="AT166" s="20" t="str">
        <f t="shared" si="772"/>
        <v/>
      </c>
      <c r="AU166" s="43" t="str">
        <f t="shared" si="802"/>
        <v xml:space="preserve">               </v>
      </c>
      <c r="AV166" s="62" t="str">
        <f t="shared" si="780"/>
        <v/>
      </c>
      <c r="AW166" s="20" t="str">
        <f t="shared" si="542"/>
        <v xml:space="preserve">                                                                 </v>
      </c>
      <c r="AX166" s="43" t="str">
        <f t="shared" si="522"/>
        <v/>
      </c>
      <c r="AY166" s="43" t="str">
        <f t="shared" si="523"/>
        <v/>
      </c>
      <c r="AZ166" s="43" t="str">
        <f t="shared" si="524"/>
        <v/>
      </c>
      <c r="BA166" s="43" t="str">
        <f t="shared" si="525"/>
        <v/>
      </c>
      <c r="BB166" s="43" t="str">
        <f t="shared" si="526"/>
        <v/>
      </c>
      <c r="BC166" s="43" t="str">
        <f t="shared" si="527"/>
        <v/>
      </c>
      <c r="BD166" s="43" t="str">
        <f t="shared" si="798"/>
        <v xml:space="preserve"> </v>
      </c>
      <c r="BE166" s="20" t="str">
        <f t="shared" si="543"/>
        <v/>
      </c>
      <c r="BF166" s="20" t="str">
        <f t="shared" si="544"/>
        <v/>
      </c>
      <c r="BG166" s="20" t="str">
        <f t="shared" si="545"/>
        <v/>
      </c>
      <c r="BH166" s="20" t="str">
        <f t="shared" si="546"/>
        <v/>
      </c>
      <c r="BI166" s="20" t="str">
        <f t="shared" si="547"/>
        <v/>
      </c>
      <c r="BJ166" s="20" t="str">
        <f t="shared" si="548"/>
        <v/>
      </c>
      <c r="BM166" s="43" t="str">
        <f t="shared" si="729"/>
        <v>Tchws</v>
      </c>
      <c r="BN166" s="43" t="str">
        <f t="shared" si="730"/>
        <v>Tcws</v>
      </c>
      <c r="BO166" s="43">
        <v>1</v>
      </c>
      <c r="BP166" s="43"/>
      <c r="BR166" s="43">
        <v>0</v>
      </c>
      <c r="BU166" s="147">
        <f t="shared" si="799"/>
        <v>0.59227720000000006</v>
      </c>
      <c r="BV166" s="161"/>
      <c r="BW166" s="147">
        <f t="shared" si="800"/>
        <v>0.57359700000000002</v>
      </c>
      <c r="BX166" s="43"/>
    </row>
    <row r="167" spans="1:76" s="20" customFormat="1" ht="30" hidden="1" outlineLevel="1" x14ac:dyDescent="0.25">
      <c r="A167" s="58"/>
      <c r="B167" s="20" t="s">
        <v>137</v>
      </c>
      <c r="C167" s="56" t="s">
        <v>393</v>
      </c>
      <c r="D167" s="59" t="s">
        <v>74</v>
      </c>
      <c r="E167" s="20" t="s">
        <v>369</v>
      </c>
      <c r="F167" s="60" t="s">
        <v>412</v>
      </c>
      <c r="G167" s="60" t="s">
        <v>75</v>
      </c>
      <c r="H167" s="20" t="s">
        <v>613</v>
      </c>
      <c r="I167" s="20" t="s">
        <v>659</v>
      </c>
      <c r="J167" s="20" t="s">
        <v>273</v>
      </c>
      <c r="K167" s="20" t="s">
        <v>143</v>
      </c>
      <c r="L167" s="126"/>
      <c r="M167" s="126"/>
      <c r="N167" s="43" t="str">
        <f t="shared" si="779"/>
        <v>ChlrAbsorbSglStgFIRRatio_fQRatioIP</v>
      </c>
      <c r="O167" s="20" t="s">
        <v>230</v>
      </c>
      <c r="P167" s="20" t="s">
        <v>391</v>
      </c>
      <c r="Q167" s="20" t="s">
        <v>160</v>
      </c>
      <c r="V167" s="61">
        <v>9.8585000000000006E-2</v>
      </c>
      <c r="W167" s="61">
        <v>0.58384999999999998</v>
      </c>
      <c r="X167" s="61">
        <v>0.56065799999999999</v>
      </c>
      <c r="Y167" s="61">
        <v>-0.243093</v>
      </c>
      <c r="Z167" s="61"/>
      <c r="AA167" s="61"/>
      <c r="AG167" s="159"/>
      <c r="AH167" s="159"/>
      <c r="AI167" s="159"/>
      <c r="AJ167" s="159"/>
      <c r="AK167" s="159"/>
      <c r="AL167" s="159"/>
      <c r="AM167" s="60"/>
      <c r="AO167" s="43">
        <f t="shared" ref="AO167:AO183" si="826">IF(ISTEXT(A167),"",IF(I167="IP",0,1))</f>
        <v>0</v>
      </c>
      <c r="AP167" s="166" t="str">
        <f t="shared" si="466"/>
        <v/>
      </c>
      <c r="AQ167" s="167" t="str">
        <f t="shared" si="778"/>
        <v/>
      </c>
      <c r="AR167" s="166" t="str">
        <f t="shared" si="467"/>
        <v/>
      </c>
      <c r="AS167" s="166" t="str">
        <f t="shared" si="419"/>
        <v/>
      </c>
      <c r="AT167" s="20" t="str">
        <f t="shared" si="772"/>
        <v/>
      </c>
      <c r="AU167" s="43" t="str">
        <f t="shared" si="802"/>
        <v xml:space="preserve">               </v>
      </c>
      <c r="AV167" s="62" t="str">
        <f t="shared" si="780"/>
        <v/>
      </c>
      <c r="AW167" s="20" t="str">
        <f t="shared" si="542"/>
        <v xml:space="preserve">                                                                 </v>
      </c>
      <c r="AX167" s="43" t="str">
        <f t="shared" si="522"/>
        <v/>
      </c>
      <c r="AY167" s="43" t="str">
        <f t="shared" si="523"/>
        <v/>
      </c>
      <c r="AZ167" s="43" t="str">
        <f t="shared" si="524"/>
        <v/>
      </c>
      <c r="BA167" s="43" t="str">
        <f t="shared" si="525"/>
        <v/>
      </c>
      <c r="BB167" s="43" t="str">
        <f t="shared" si="526"/>
        <v/>
      </c>
      <c r="BC167" s="43" t="str">
        <f t="shared" si="527"/>
        <v/>
      </c>
      <c r="BD167" s="43" t="str">
        <f t="shared" si="798"/>
        <v xml:space="preserve"> </v>
      </c>
      <c r="BE167" s="20" t="str">
        <f t="shared" si="543"/>
        <v/>
      </c>
      <c r="BF167" s="20" t="str">
        <f t="shared" si="544"/>
        <v/>
      </c>
      <c r="BG167" s="20" t="str">
        <f t="shared" si="545"/>
        <v/>
      </c>
      <c r="BH167" s="20" t="str">
        <f t="shared" si="546"/>
        <v/>
      </c>
      <c r="BI167" s="20" t="str">
        <f t="shared" si="547"/>
        <v/>
      </c>
      <c r="BJ167" s="20" t="str">
        <f t="shared" si="548"/>
        <v/>
      </c>
      <c r="BM167" s="43" t="str">
        <f t="shared" si="729"/>
        <v>QRatio</v>
      </c>
      <c r="BN167" s="43"/>
      <c r="BO167" s="43">
        <v>1</v>
      </c>
      <c r="BP167" s="43"/>
      <c r="BR167" s="43">
        <v>0</v>
      </c>
      <c r="BU167" s="147">
        <f t="shared" si="799"/>
        <v>1.243093</v>
      </c>
      <c r="BV167" s="161"/>
      <c r="BW167" s="147">
        <f t="shared" si="800"/>
        <v>9.8585000000000006E-2</v>
      </c>
      <c r="BX167" s="43"/>
    </row>
    <row r="168" spans="1:76" s="20" customFormat="1" hidden="1" outlineLevel="1" x14ac:dyDescent="0.25">
      <c r="A168" s="58"/>
      <c r="C168" s="56"/>
      <c r="D168" s="59"/>
      <c r="E168" s="20" t="s">
        <v>369</v>
      </c>
      <c r="F168" s="60" t="s">
        <v>409</v>
      </c>
      <c r="G168" s="60" t="s">
        <v>832</v>
      </c>
      <c r="H168" s="20" t="s">
        <v>831</v>
      </c>
      <c r="I168" s="20" t="s">
        <v>660</v>
      </c>
      <c r="J168" s="20" t="s">
        <v>144</v>
      </c>
      <c r="L168" s="126" t="s">
        <v>185</v>
      </c>
      <c r="M168" s="126"/>
      <c r="N168" s="43" t="str">
        <f t="shared" si="779"/>
        <v>ChlrAbsorbSglStgIndirHIRRatio_fQRatioSI</v>
      </c>
      <c r="O168" s="20" t="s">
        <v>230</v>
      </c>
      <c r="P168" s="20" t="s">
        <v>838</v>
      </c>
      <c r="Q168" s="20" t="s">
        <v>160</v>
      </c>
      <c r="V168" s="61">
        <v>0.96753</v>
      </c>
      <c r="W168" s="61">
        <v>1.0143599999999999</v>
      </c>
      <c r="X168" s="61">
        <v>-1.1663600000000001</v>
      </c>
      <c r="Y168" s="61">
        <v>0.50792000000000004</v>
      </c>
      <c r="Z168" s="61"/>
      <c r="AA168" s="61"/>
      <c r="AG168" s="159"/>
      <c r="AH168" s="159"/>
      <c r="AI168" s="159">
        <v>1</v>
      </c>
      <c r="AJ168" s="159">
        <v>0.15</v>
      </c>
      <c r="AK168" s="159"/>
      <c r="AL168" s="159"/>
      <c r="AM168" s="60"/>
      <c r="AO168" s="43">
        <f t="shared" si="826"/>
        <v>1</v>
      </c>
      <c r="AP168" s="166" t="str">
        <f t="shared" si="466"/>
        <v>CrvCubic       "ChlrAbsorbSglStgIndirHIRRatio_fQRatioSI"                        Coef1 =  0.967530  Coef2 =  1.014360  Coef3 = -1.166360  Coef4 =  0.507920  _x000D_
                                                                                MaxVar1 = 1.000   MinVar1 = 0.150   _x000D_
..</v>
      </c>
      <c r="AQ168" s="167" t="str">
        <f t="shared" si="778"/>
        <v xml:space="preserve">CrvCubic       "ChlrAbsorbSglStgIndirHIRRatio_fQRatioSI"                        Coef1 =  0.967530  Coef2 =  1.014360  Coef3 = -1.166360  Coef4 =  0.507920  </v>
      </c>
      <c r="AR168" s="166" t="str">
        <f t="shared" si="467"/>
        <v xml:space="preserve">_x000D_
                                                                                MaxVar1 = 1.000   MinVar1 = 0.150   </v>
      </c>
      <c r="AS168" s="166" t="str">
        <f t="shared" si="419"/>
        <v>_x000D_
..</v>
      </c>
      <c r="AT168" s="20" t="str">
        <f t="shared" si="772"/>
        <v>CrvCubic</v>
      </c>
      <c r="AU168" s="43" t="str">
        <f t="shared" si="802"/>
        <v xml:space="preserve">       </v>
      </c>
      <c r="AV168" s="62" t="str">
        <f t="shared" si="780"/>
        <v>"ChlrAbsorbSglStgIndirHIRRatio_fQRatioSI"</v>
      </c>
      <c r="AW168" s="20" t="str">
        <f t="shared" si="542"/>
        <v xml:space="preserve">                        </v>
      </c>
      <c r="AX168" s="43" t="str">
        <f t="shared" si="522"/>
        <v xml:space="preserve"> 0.967530  </v>
      </c>
      <c r="AY168" s="43" t="str">
        <f t="shared" si="523"/>
        <v xml:space="preserve"> 1.014360  </v>
      </c>
      <c r="AZ168" s="43" t="str">
        <f t="shared" si="524"/>
        <v xml:space="preserve">-1.166360  </v>
      </c>
      <c r="BA168" s="43" t="str">
        <f t="shared" si="525"/>
        <v xml:space="preserve"> 0.507920  </v>
      </c>
      <c r="BB168" s="43" t="str">
        <f t="shared" si="526"/>
        <v>-</v>
      </c>
      <c r="BC168" s="43" t="str">
        <f t="shared" si="527"/>
        <v>-</v>
      </c>
      <c r="BD168" s="43" t="str">
        <f t="shared" si="798"/>
        <v xml:space="preserve">_x000D_
                                                                                </v>
      </c>
      <c r="BE168" s="20" t="str">
        <f t="shared" si="543"/>
        <v>-</v>
      </c>
      <c r="BF168" s="20" t="str">
        <f t="shared" si="544"/>
        <v>-</v>
      </c>
      <c r="BG168" s="20" t="str">
        <f t="shared" si="545"/>
        <v xml:space="preserve">1.000   </v>
      </c>
      <c r="BH168" s="20" t="str">
        <f t="shared" si="546"/>
        <v xml:space="preserve">0.150   </v>
      </c>
      <c r="BI168" s="20" t="str">
        <f t="shared" si="547"/>
        <v>-</v>
      </c>
      <c r="BJ168" s="20" t="str">
        <f t="shared" si="548"/>
        <v>-</v>
      </c>
      <c r="BM168" s="43" t="str">
        <f t="shared" si="729"/>
        <v>QRatio</v>
      </c>
      <c r="BN168" s="43"/>
      <c r="BO168" s="43">
        <v>1</v>
      </c>
      <c r="BP168" s="43"/>
      <c r="BR168" s="43">
        <v>0</v>
      </c>
      <c r="BU168" s="147">
        <f t="shared" si="799"/>
        <v>0.81552999999999987</v>
      </c>
      <c r="BV168" s="161"/>
      <c r="BW168" s="147">
        <f t="shared" si="800"/>
        <v>0.96753</v>
      </c>
      <c r="BX168" s="43"/>
    </row>
    <row r="169" spans="1:76" s="20" customFormat="1" hidden="1" outlineLevel="1" x14ac:dyDescent="0.25">
      <c r="A169" s="58"/>
      <c r="D169" s="59"/>
      <c r="E169" s="20" t="s">
        <v>369</v>
      </c>
      <c r="F169" s="60" t="s">
        <v>412</v>
      </c>
      <c r="G169" s="60" t="s">
        <v>76</v>
      </c>
      <c r="H169" s="20" t="s">
        <v>614</v>
      </c>
      <c r="I169" s="20" t="s">
        <v>659</v>
      </c>
      <c r="J169" s="20" t="s">
        <v>273</v>
      </c>
      <c r="K169" s="20" t="s">
        <v>143</v>
      </c>
      <c r="L169" s="126"/>
      <c r="M169" s="126"/>
      <c r="N169" s="43" t="str">
        <f t="shared" si="779"/>
        <v>ChlrAbsorbDblStgFIRRatio_fQRatioIP</v>
      </c>
      <c r="O169" s="20" t="s">
        <v>230</v>
      </c>
      <c r="P169" s="20" t="s">
        <v>391</v>
      </c>
      <c r="Q169" s="20" t="s">
        <v>160</v>
      </c>
      <c r="V169" s="61">
        <v>1.3993999999999999E-2</v>
      </c>
      <c r="W169" s="61">
        <v>1.2404489999999999</v>
      </c>
      <c r="X169" s="61">
        <v>-0.914883</v>
      </c>
      <c r="Y169" s="61">
        <v>0.66044099999999994</v>
      </c>
      <c r="Z169" s="61"/>
      <c r="AA169" s="61"/>
      <c r="AG169" s="159"/>
      <c r="AH169" s="159"/>
      <c r="AI169" s="159"/>
      <c r="AJ169" s="159"/>
      <c r="AK169" s="159"/>
      <c r="AL169" s="159"/>
      <c r="AM169" s="60"/>
      <c r="AO169" s="43">
        <f t="shared" si="826"/>
        <v>0</v>
      </c>
      <c r="AP169" s="166" t="str">
        <f t="shared" si="466"/>
        <v/>
      </c>
      <c r="AQ169" s="167" t="str">
        <f t="shared" si="778"/>
        <v/>
      </c>
      <c r="AR169" s="166" t="str">
        <f t="shared" si="467"/>
        <v/>
      </c>
      <c r="AS169" s="166" t="str">
        <f t="shared" si="419"/>
        <v/>
      </c>
      <c r="AT169" s="20" t="str">
        <f t="shared" si="772"/>
        <v/>
      </c>
      <c r="AU169" s="43" t="str">
        <f t="shared" si="802"/>
        <v xml:space="preserve">               </v>
      </c>
      <c r="AV169" s="62" t="str">
        <f t="shared" si="780"/>
        <v/>
      </c>
      <c r="AW169" s="20" t="str">
        <f t="shared" si="542"/>
        <v xml:space="preserve">                                                                 </v>
      </c>
      <c r="AX169" s="43" t="str">
        <f t="shared" si="522"/>
        <v/>
      </c>
      <c r="AY169" s="43" t="str">
        <f t="shared" si="523"/>
        <v/>
      </c>
      <c r="AZ169" s="43" t="str">
        <f t="shared" si="524"/>
        <v/>
      </c>
      <c r="BA169" s="43" t="str">
        <f t="shared" si="525"/>
        <v/>
      </c>
      <c r="BB169" s="43" t="str">
        <f t="shared" si="526"/>
        <v/>
      </c>
      <c r="BC169" s="43" t="str">
        <f t="shared" si="527"/>
        <v/>
      </c>
      <c r="BD169" s="43" t="str">
        <f t="shared" si="798"/>
        <v xml:space="preserve"> </v>
      </c>
      <c r="BE169" s="20" t="str">
        <f t="shared" si="543"/>
        <v/>
      </c>
      <c r="BF169" s="20" t="str">
        <f t="shared" si="544"/>
        <v/>
      </c>
      <c r="BG169" s="20" t="str">
        <f t="shared" si="545"/>
        <v/>
      </c>
      <c r="BH169" s="20" t="str">
        <f t="shared" si="546"/>
        <v/>
      </c>
      <c r="BI169" s="20" t="str">
        <f t="shared" si="547"/>
        <v/>
      </c>
      <c r="BJ169" s="20" t="str">
        <f t="shared" si="548"/>
        <v/>
      </c>
      <c r="BM169" s="43" t="str">
        <f t="shared" si="729"/>
        <v>QRatio</v>
      </c>
      <c r="BN169" s="43"/>
      <c r="BO169" s="43">
        <v>1</v>
      </c>
      <c r="BP169" s="43"/>
      <c r="BR169" s="43">
        <v>0</v>
      </c>
      <c r="BU169" s="147">
        <f t="shared" si="799"/>
        <v>0.33955999999999997</v>
      </c>
      <c r="BV169" s="161"/>
      <c r="BW169" s="147">
        <f t="shared" si="800"/>
        <v>1.3993999999999999E-2</v>
      </c>
      <c r="BX169" s="43"/>
    </row>
    <row r="170" spans="1:76" s="20" customFormat="1" hidden="1" outlineLevel="1" x14ac:dyDescent="0.25">
      <c r="A170" s="58"/>
      <c r="D170" s="59"/>
      <c r="E170" s="20" t="s">
        <v>369</v>
      </c>
      <c r="F170" s="60" t="s">
        <v>412</v>
      </c>
      <c r="G170" s="60" t="s">
        <v>77</v>
      </c>
      <c r="H170" s="20" t="s">
        <v>615</v>
      </c>
      <c r="I170" s="20" t="s">
        <v>659</v>
      </c>
      <c r="J170" s="20" t="s">
        <v>273</v>
      </c>
      <c r="K170" s="20" t="s">
        <v>143</v>
      </c>
      <c r="L170" s="126"/>
      <c r="M170" s="126"/>
      <c r="N170" s="43" t="str">
        <f t="shared" si="779"/>
        <v>ChlrAbsorbDirectFIRRatio_fQRatioIP</v>
      </c>
      <c r="O170" s="20" t="s">
        <v>230</v>
      </c>
      <c r="P170" s="20" t="s">
        <v>391</v>
      </c>
      <c r="Q170" s="20" t="s">
        <v>160</v>
      </c>
      <c r="V170" s="61">
        <v>0.13551150000000001</v>
      </c>
      <c r="W170" s="61">
        <v>0.61798083999999998</v>
      </c>
      <c r="X170" s="61">
        <v>0.24651276999999999</v>
      </c>
      <c r="Y170" s="61">
        <v>0</v>
      </c>
      <c r="Z170" s="61"/>
      <c r="AA170" s="61"/>
      <c r="AG170" s="159"/>
      <c r="AH170" s="159"/>
      <c r="AI170" s="159"/>
      <c r="AJ170" s="159"/>
      <c r="AK170" s="159"/>
      <c r="AL170" s="159"/>
      <c r="AM170" s="60"/>
      <c r="AO170" s="43">
        <f t="shared" si="826"/>
        <v>0</v>
      </c>
      <c r="AP170" s="166" t="str">
        <f t="shared" si="466"/>
        <v/>
      </c>
      <c r="AQ170" s="167" t="str">
        <f t="shared" si="778"/>
        <v/>
      </c>
      <c r="AR170" s="166" t="str">
        <f t="shared" si="467"/>
        <v/>
      </c>
      <c r="AS170" s="166" t="str">
        <f t="shared" si="419"/>
        <v/>
      </c>
      <c r="AT170" s="20" t="str">
        <f t="shared" si="772"/>
        <v/>
      </c>
      <c r="AU170" s="43" t="str">
        <f t="shared" si="802"/>
        <v xml:space="preserve">               </v>
      </c>
      <c r="AV170" s="62" t="str">
        <f t="shared" si="780"/>
        <v/>
      </c>
      <c r="AW170" s="20" t="str">
        <f t="shared" si="542"/>
        <v xml:space="preserve">                                                                 </v>
      </c>
      <c r="AX170" s="43" t="str">
        <f t="shared" si="522"/>
        <v/>
      </c>
      <c r="AY170" s="43" t="str">
        <f t="shared" si="523"/>
        <v/>
      </c>
      <c r="AZ170" s="43" t="str">
        <f t="shared" si="524"/>
        <v/>
      </c>
      <c r="BA170" s="43" t="str">
        <f t="shared" si="525"/>
        <v/>
      </c>
      <c r="BB170" s="43" t="str">
        <f t="shared" si="526"/>
        <v/>
      </c>
      <c r="BC170" s="43" t="str">
        <f t="shared" si="527"/>
        <v/>
      </c>
      <c r="BD170" s="43" t="str">
        <f t="shared" si="798"/>
        <v xml:space="preserve"> </v>
      </c>
      <c r="BE170" s="20" t="str">
        <f t="shared" si="543"/>
        <v/>
      </c>
      <c r="BF170" s="20" t="str">
        <f t="shared" si="544"/>
        <v/>
      </c>
      <c r="BG170" s="20" t="str">
        <f t="shared" si="545"/>
        <v/>
      </c>
      <c r="BH170" s="20" t="str">
        <f t="shared" si="546"/>
        <v/>
      </c>
      <c r="BI170" s="20" t="str">
        <f t="shared" si="547"/>
        <v/>
      </c>
      <c r="BJ170" s="20" t="str">
        <f t="shared" si="548"/>
        <v/>
      </c>
      <c r="BM170" s="43" t="str">
        <f t="shared" si="729"/>
        <v>QRatio</v>
      </c>
      <c r="BN170" s="43"/>
      <c r="BO170" s="43">
        <v>1</v>
      </c>
      <c r="BP170" s="43"/>
      <c r="BR170" s="43">
        <v>0</v>
      </c>
      <c r="BU170" s="147">
        <f t="shared" si="799"/>
        <v>1.00000511</v>
      </c>
      <c r="BV170" s="161"/>
      <c r="BW170" s="147">
        <f t="shared" si="800"/>
        <v>0.13551150000000001</v>
      </c>
      <c r="BX170" s="43"/>
    </row>
    <row r="171" spans="1:76" s="20" customFormat="1" hidden="1" outlineLevel="1" x14ac:dyDescent="0.25">
      <c r="A171" s="58"/>
      <c r="B171" s="20" t="s">
        <v>137</v>
      </c>
      <c r="C171" s="56" t="s">
        <v>393</v>
      </c>
      <c r="D171" s="59"/>
      <c r="E171" s="20" t="s">
        <v>369</v>
      </c>
      <c r="F171" s="60" t="s">
        <v>412</v>
      </c>
      <c r="G171" s="60" t="s">
        <v>78</v>
      </c>
      <c r="H171" s="20" t="s">
        <v>610</v>
      </c>
      <c r="I171" s="20" t="s">
        <v>659</v>
      </c>
      <c r="J171" s="20" t="s">
        <v>273</v>
      </c>
      <c r="K171" s="20" t="s">
        <v>143</v>
      </c>
      <c r="L171" s="126"/>
      <c r="M171" s="126"/>
      <c r="N171" s="43" t="str">
        <f t="shared" si="779"/>
        <v>ChlrEngDrvSpdLtEqlMinFIRRatio_fQRatioIP</v>
      </c>
      <c r="O171" s="20" t="s">
        <v>230</v>
      </c>
      <c r="P171" s="20" t="s">
        <v>391</v>
      </c>
      <c r="Q171" s="20" t="s">
        <v>160</v>
      </c>
      <c r="V171" s="61">
        <v>0.38019999999999998</v>
      </c>
      <c r="W171" s="61">
        <v>2.3609</v>
      </c>
      <c r="X171" s="61">
        <v>0</v>
      </c>
      <c r="Y171" s="61">
        <v>0</v>
      </c>
      <c r="Z171" s="61"/>
      <c r="AA171" s="61"/>
      <c r="AG171" s="159"/>
      <c r="AH171" s="159"/>
      <c r="AI171" s="159"/>
      <c r="AJ171" s="159"/>
      <c r="AK171" s="159"/>
      <c r="AL171" s="159"/>
      <c r="AM171" s="60"/>
      <c r="AO171" s="43">
        <f t="shared" si="826"/>
        <v>0</v>
      </c>
      <c r="AP171" s="166" t="str">
        <f t="shared" si="466"/>
        <v/>
      </c>
      <c r="AQ171" s="167" t="str">
        <f t="shared" si="778"/>
        <v/>
      </c>
      <c r="AR171" s="166" t="str">
        <f t="shared" si="467"/>
        <v/>
      </c>
      <c r="AS171" s="166" t="str">
        <f t="shared" si="419"/>
        <v/>
      </c>
      <c r="AT171" s="20" t="str">
        <f t="shared" si="772"/>
        <v/>
      </c>
      <c r="AU171" s="43" t="str">
        <f t="shared" si="802"/>
        <v xml:space="preserve">               </v>
      </c>
      <c r="AV171" s="62" t="str">
        <f t="shared" si="780"/>
        <v/>
      </c>
      <c r="AW171" s="20" t="str">
        <f t="shared" si="542"/>
        <v xml:space="preserve">                                                                 </v>
      </c>
      <c r="AX171" s="43" t="str">
        <f t="shared" si="522"/>
        <v/>
      </c>
      <c r="AY171" s="43" t="str">
        <f t="shared" si="523"/>
        <v/>
      </c>
      <c r="AZ171" s="43" t="str">
        <f t="shared" si="524"/>
        <v/>
      </c>
      <c r="BA171" s="43" t="str">
        <f t="shared" si="525"/>
        <v/>
      </c>
      <c r="BB171" s="43" t="str">
        <f t="shared" si="526"/>
        <v/>
      </c>
      <c r="BC171" s="43" t="str">
        <f t="shared" si="527"/>
        <v/>
      </c>
      <c r="BD171" s="43" t="str">
        <f t="shared" si="798"/>
        <v xml:space="preserve"> </v>
      </c>
      <c r="BE171" s="20" t="str">
        <f t="shared" si="543"/>
        <v/>
      </c>
      <c r="BF171" s="20" t="str">
        <f t="shared" si="544"/>
        <v/>
      </c>
      <c r="BG171" s="20" t="str">
        <f t="shared" si="545"/>
        <v/>
      </c>
      <c r="BH171" s="20" t="str">
        <f t="shared" si="546"/>
        <v/>
      </c>
      <c r="BI171" s="20" t="str">
        <f t="shared" si="547"/>
        <v/>
      </c>
      <c r="BJ171" s="20" t="str">
        <f t="shared" si="548"/>
        <v/>
      </c>
      <c r="BM171" s="43" t="str">
        <f t="shared" si="729"/>
        <v>QRatio</v>
      </c>
      <c r="BN171" s="43"/>
      <c r="BO171" s="43">
        <v>1</v>
      </c>
      <c r="BP171" s="43"/>
      <c r="BR171" s="43">
        <v>0</v>
      </c>
      <c r="BU171" s="147">
        <f t="shared" si="799"/>
        <v>2.7410999999999999</v>
      </c>
      <c r="BV171" s="161"/>
      <c r="BW171" s="147">
        <f t="shared" si="800"/>
        <v>0.38019999999999998</v>
      </c>
      <c r="BX171" s="43"/>
    </row>
    <row r="172" spans="1:76" s="20" customFormat="1" hidden="1" outlineLevel="1" x14ac:dyDescent="0.25">
      <c r="A172" s="58"/>
      <c r="D172" s="59"/>
      <c r="E172" s="20" t="s">
        <v>369</v>
      </c>
      <c r="F172" s="60" t="s">
        <v>412</v>
      </c>
      <c r="G172" s="60" t="s">
        <v>79</v>
      </c>
      <c r="H172" s="20" t="s">
        <v>611</v>
      </c>
      <c r="I172" s="20" t="s">
        <v>659</v>
      </c>
      <c r="J172" s="20" t="s">
        <v>273</v>
      </c>
      <c r="K172" s="20" t="s">
        <v>143</v>
      </c>
      <c r="L172" s="126"/>
      <c r="M172" s="126"/>
      <c r="N172" s="43" t="str">
        <f t="shared" si="779"/>
        <v>ChlrEngDrvSpdGtMinLtEql60FIRRatio_fQRatioIP</v>
      </c>
      <c r="O172" s="20" t="s">
        <v>230</v>
      </c>
      <c r="P172" s="20" t="s">
        <v>391</v>
      </c>
      <c r="Q172" s="20" t="s">
        <v>160</v>
      </c>
      <c r="V172" s="61">
        <v>1.1433599999999999</v>
      </c>
      <c r="W172" s="61">
        <v>2.2889E-2</v>
      </c>
      <c r="X172" s="61">
        <v>0</v>
      </c>
      <c r="Y172" s="61">
        <v>0</v>
      </c>
      <c r="Z172" s="61"/>
      <c r="AA172" s="61"/>
      <c r="AG172" s="159"/>
      <c r="AH172" s="159"/>
      <c r="AI172" s="159"/>
      <c r="AJ172" s="159"/>
      <c r="AK172" s="159"/>
      <c r="AL172" s="159"/>
      <c r="AM172" s="60"/>
      <c r="AO172" s="43">
        <f t="shared" si="826"/>
        <v>0</v>
      </c>
      <c r="AP172" s="166" t="str">
        <f t="shared" si="466"/>
        <v/>
      </c>
      <c r="AQ172" s="167" t="str">
        <f t="shared" si="778"/>
        <v/>
      </c>
      <c r="AR172" s="166" t="str">
        <f t="shared" si="467"/>
        <v/>
      </c>
      <c r="AS172" s="166" t="str">
        <f t="shared" si="419"/>
        <v/>
      </c>
      <c r="AT172" s="20" t="str">
        <f t="shared" si="772"/>
        <v/>
      </c>
      <c r="AU172" s="43" t="str">
        <f t="shared" si="802"/>
        <v xml:space="preserve">               </v>
      </c>
      <c r="AV172" s="62" t="str">
        <f t="shared" si="780"/>
        <v/>
      </c>
      <c r="AW172" s="20" t="str">
        <f t="shared" si="542"/>
        <v xml:space="preserve">                                                                 </v>
      </c>
      <c r="AX172" s="43" t="str">
        <f t="shared" si="522"/>
        <v/>
      </c>
      <c r="AY172" s="43" t="str">
        <f t="shared" si="523"/>
        <v/>
      </c>
      <c r="AZ172" s="43" t="str">
        <f t="shared" si="524"/>
        <v/>
      </c>
      <c r="BA172" s="43" t="str">
        <f t="shared" si="525"/>
        <v/>
      </c>
      <c r="BB172" s="43" t="str">
        <f t="shared" si="526"/>
        <v/>
      </c>
      <c r="BC172" s="43" t="str">
        <f t="shared" si="527"/>
        <v/>
      </c>
      <c r="BD172" s="43" t="str">
        <f t="shared" si="798"/>
        <v xml:space="preserve"> </v>
      </c>
      <c r="BE172" s="20" t="str">
        <f t="shared" si="543"/>
        <v/>
      </c>
      <c r="BF172" s="20" t="str">
        <f t="shared" si="544"/>
        <v/>
      </c>
      <c r="BG172" s="20" t="str">
        <f t="shared" si="545"/>
        <v/>
      </c>
      <c r="BH172" s="20" t="str">
        <f t="shared" si="546"/>
        <v/>
      </c>
      <c r="BI172" s="20" t="str">
        <f t="shared" si="547"/>
        <v/>
      </c>
      <c r="BJ172" s="20" t="str">
        <f t="shared" si="548"/>
        <v/>
      </c>
      <c r="BM172" s="43" t="str">
        <f t="shared" si="729"/>
        <v>QRatio</v>
      </c>
      <c r="BN172" s="43"/>
      <c r="BO172" s="43">
        <v>1</v>
      </c>
      <c r="BP172" s="43"/>
      <c r="BR172" s="43">
        <v>0</v>
      </c>
      <c r="BU172" s="147">
        <f t="shared" si="799"/>
        <v>1.1662489999999999</v>
      </c>
      <c r="BV172" s="161"/>
      <c r="BW172" s="147">
        <f t="shared" si="800"/>
        <v>1.1433599999999999</v>
      </c>
      <c r="BX172" s="43"/>
    </row>
    <row r="173" spans="1:76" s="20" customFormat="1" hidden="1" outlineLevel="1" x14ac:dyDescent="0.25">
      <c r="A173" s="58"/>
      <c r="D173" s="59"/>
      <c r="E173" s="20" t="s">
        <v>369</v>
      </c>
      <c r="F173" s="60" t="s">
        <v>412</v>
      </c>
      <c r="G173" s="60" t="s">
        <v>80</v>
      </c>
      <c r="H173" s="20" t="s">
        <v>612</v>
      </c>
      <c r="I173" s="20" t="s">
        <v>659</v>
      </c>
      <c r="J173" s="20" t="s">
        <v>273</v>
      </c>
      <c r="K173" s="20" t="s">
        <v>143</v>
      </c>
      <c r="L173" s="126"/>
      <c r="M173" s="126"/>
      <c r="N173" s="43" t="str">
        <f t="shared" si="779"/>
        <v>ChlrEngDrvSpdGt60FIRRatio_fQRatioIP</v>
      </c>
      <c r="O173" s="20" t="s">
        <v>230</v>
      </c>
      <c r="P173" s="20" t="s">
        <v>391</v>
      </c>
      <c r="Q173" s="20" t="s">
        <v>160</v>
      </c>
      <c r="V173" s="61">
        <v>1.3886099999999999</v>
      </c>
      <c r="W173" s="61">
        <v>-0.38861400000000001</v>
      </c>
      <c r="X173" s="61">
        <v>0</v>
      </c>
      <c r="Y173" s="61">
        <v>0</v>
      </c>
      <c r="Z173" s="61"/>
      <c r="AA173" s="61"/>
      <c r="AG173" s="159"/>
      <c r="AH173" s="159"/>
      <c r="AI173" s="159"/>
      <c r="AJ173" s="159"/>
      <c r="AK173" s="159"/>
      <c r="AL173" s="159"/>
      <c r="AM173" s="60"/>
      <c r="AO173" s="43">
        <f t="shared" si="826"/>
        <v>0</v>
      </c>
      <c r="AP173" s="166" t="str">
        <f t="shared" si="466"/>
        <v/>
      </c>
      <c r="AQ173" s="167" t="str">
        <f t="shared" si="778"/>
        <v/>
      </c>
      <c r="AR173" s="166" t="str">
        <f t="shared" si="467"/>
        <v/>
      </c>
      <c r="AS173" s="166" t="str">
        <f t="shared" si="419"/>
        <v/>
      </c>
      <c r="AT173" s="20" t="str">
        <f t="shared" si="772"/>
        <v/>
      </c>
      <c r="AU173" s="43" t="str">
        <f t="shared" si="802"/>
        <v xml:space="preserve">               </v>
      </c>
      <c r="AV173" s="62" t="str">
        <f t="shared" si="780"/>
        <v/>
      </c>
      <c r="AW173" s="20" t="str">
        <f t="shared" si="542"/>
        <v xml:space="preserve">                                                                 </v>
      </c>
      <c r="AX173" s="43" t="str">
        <f t="shared" si="522"/>
        <v/>
      </c>
      <c r="AY173" s="43" t="str">
        <f t="shared" si="523"/>
        <v/>
      </c>
      <c r="AZ173" s="43" t="str">
        <f t="shared" si="524"/>
        <v/>
      </c>
      <c r="BA173" s="43" t="str">
        <f t="shared" si="525"/>
        <v/>
      </c>
      <c r="BB173" s="43" t="str">
        <f t="shared" si="526"/>
        <v/>
      </c>
      <c r="BC173" s="43" t="str">
        <f t="shared" si="527"/>
        <v/>
      </c>
      <c r="BD173" s="43" t="str">
        <f t="shared" si="798"/>
        <v xml:space="preserve"> </v>
      </c>
      <c r="BE173" s="20" t="str">
        <f t="shared" si="543"/>
        <v/>
      </c>
      <c r="BF173" s="20" t="str">
        <f t="shared" si="544"/>
        <v/>
      </c>
      <c r="BG173" s="20" t="str">
        <f t="shared" si="545"/>
        <v/>
      </c>
      <c r="BH173" s="20" t="str">
        <f t="shared" si="546"/>
        <v/>
      </c>
      <c r="BI173" s="20" t="str">
        <f t="shared" si="547"/>
        <v/>
      </c>
      <c r="BJ173" s="20" t="str">
        <f t="shared" si="548"/>
        <v/>
      </c>
      <c r="BM173" s="43" t="str">
        <f t="shared" si="729"/>
        <v>QRatio</v>
      </c>
      <c r="BN173" s="43"/>
      <c r="BO173" s="43">
        <v>1</v>
      </c>
      <c r="BP173" s="43"/>
      <c r="BR173" s="43">
        <v>0</v>
      </c>
      <c r="BU173" s="147">
        <f t="shared" si="799"/>
        <v>0.99999599999999988</v>
      </c>
      <c r="BV173" s="161"/>
      <c r="BW173" s="147">
        <f t="shared" si="800"/>
        <v>1.3886099999999999</v>
      </c>
      <c r="BX173" s="43"/>
    </row>
    <row r="174" spans="1:76" s="20" customFormat="1" hidden="1" outlineLevel="1" x14ac:dyDescent="0.25">
      <c r="A174" s="58"/>
      <c r="B174" s="20" t="s">
        <v>137</v>
      </c>
      <c r="C174" s="56" t="s">
        <v>393</v>
      </c>
      <c r="D174" s="59"/>
      <c r="E174" s="20" t="s">
        <v>369</v>
      </c>
      <c r="F174" s="20" t="s">
        <v>413</v>
      </c>
      <c r="G174" s="60" t="s">
        <v>75</v>
      </c>
      <c r="H174" s="20" t="s">
        <v>613</v>
      </c>
      <c r="I174" s="20" t="s">
        <v>659</v>
      </c>
      <c r="J174" s="20" t="s">
        <v>273</v>
      </c>
      <c r="K174" s="20" t="s">
        <v>147</v>
      </c>
      <c r="L174" s="126"/>
      <c r="M174" s="126"/>
      <c r="N174" s="43" t="str">
        <f t="shared" si="779"/>
        <v>ChlrAbsorbSglStgFIRRatio_fTchwsTcwsIP</v>
      </c>
      <c r="O174" s="20" t="s">
        <v>165</v>
      </c>
      <c r="P174" s="20" t="s">
        <v>391</v>
      </c>
      <c r="Q174" s="20" t="s">
        <v>139</v>
      </c>
      <c r="R174" s="20" t="s">
        <v>140</v>
      </c>
      <c r="V174" s="61">
        <v>0.65227299999999999</v>
      </c>
      <c r="W174" s="61">
        <v>0</v>
      </c>
      <c r="X174" s="61">
        <v>0</v>
      </c>
      <c r="Y174" s="61">
        <v>-5.4500000000000002E-4</v>
      </c>
      <c r="Z174" s="61">
        <v>5.5000000000000002E-5</v>
      </c>
      <c r="AA174" s="61">
        <v>0</v>
      </c>
      <c r="AG174" s="159"/>
      <c r="AH174" s="159"/>
      <c r="AI174" s="159"/>
      <c r="AJ174" s="159"/>
      <c r="AK174" s="159"/>
      <c r="AL174" s="159"/>
      <c r="AM174" s="60"/>
      <c r="AO174" s="43">
        <f t="shared" si="826"/>
        <v>0</v>
      </c>
      <c r="AP174" s="166" t="str">
        <f t="shared" si="466"/>
        <v/>
      </c>
      <c r="AQ174" s="167" t="str">
        <f t="shared" si="778"/>
        <v/>
      </c>
      <c r="AR174" s="166" t="str">
        <f t="shared" si="467"/>
        <v/>
      </c>
      <c r="AS174" s="166" t="str">
        <f t="shared" si="419"/>
        <v/>
      </c>
      <c r="AT174" s="20" t="str">
        <f t="shared" si="772"/>
        <v/>
      </c>
      <c r="AU174" s="43" t="str">
        <f t="shared" si="802"/>
        <v xml:space="preserve">               </v>
      </c>
      <c r="AV174" s="62" t="str">
        <f t="shared" si="780"/>
        <v/>
      </c>
      <c r="AW174" s="20" t="str">
        <f t="shared" si="542"/>
        <v xml:space="preserve">                                                                 </v>
      </c>
      <c r="AX174" s="43" t="str">
        <f t="shared" si="522"/>
        <v/>
      </c>
      <c r="AY174" s="43" t="str">
        <f t="shared" si="523"/>
        <v/>
      </c>
      <c r="AZ174" s="43" t="str">
        <f t="shared" si="524"/>
        <v/>
      </c>
      <c r="BA174" s="43" t="str">
        <f t="shared" si="525"/>
        <v/>
      </c>
      <c r="BB174" s="43" t="str">
        <f t="shared" si="526"/>
        <v/>
      </c>
      <c r="BC174" s="43" t="str">
        <f t="shared" si="527"/>
        <v/>
      </c>
      <c r="BD174" s="43" t="str">
        <f t="shared" si="798"/>
        <v xml:space="preserve"> </v>
      </c>
      <c r="BE174" s="20" t="str">
        <f t="shared" si="543"/>
        <v/>
      </c>
      <c r="BF174" s="20" t="str">
        <f t="shared" si="544"/>
        <v/>
      </c>
      <c r="BG174" s="20" t="str">
        <f t="shared" si="545"/>
        <v/>
      </c>
      <c r="BH174" s="20" t="str">
        <f t="shared" si="546"/>
        <v/>
      </c>
      <c r="BI174" s="20" t="str">
        <f t="shared" si="547"/>
        <v/>
      </c>
      <c r="BJ174" s="20" t="str">
        <f t="shared" si="548"/>
        <v/>
      </c>
      <c r="BM174" s="43" t="str">
        <f t="shared" si="729"/>
        <v>Tchws</v>
      </c>
      <c r="BN174" s="43" t="str">
        <f t="shared" si="730"/>
        <v>Tcws</v>
      </c>
      <c r="BO174" s="43">
        <v>1</v>
      </c>
      <c r="BP174" s="43"/>
      <c r="BR174" s="43">
        <v>0</v>
      </c>
      <c r="BU174" s="147">
        <f t="shared" si="799"/>
        <v>0.65227299999999999</v>
      </c>
      <c r="BV174" s="161"/>
      <c r="BW174" s="147">
        <f t="shared" si="800"/>
        <v>0.65227299999999999</v>
      </c>
      <c r="BX174" s="43"/>
    </row>
    <row r="175" spans="1:76" s="20" customFormat="1" hidden="1" outlineLevel="1" x14ac:dyDescent="0.25">
      <c r="A175" s="58"/>
      <c r="C175" s="56"/>
      <c r="D175" s="59"/>
      <c r="E175" s="20" t="s">
        <v>369</v>
      </c>
      <c r="F175" s="60" t="s">
        <v>833</v>
      </c>
      <c r="G175" s="60" t="s">
        <v>832</v>
      </c>
      <c r="H175" s="20" t="s">
        <v>831</v>
      </c>
      <c r="I175" s="20" t="s">
        <v>660</v>
      </c>
      <c r="J175" s="20" t="s">
        <v>144</v>
      </c>
      <c r="L175" s="126" t="s">
        <v>185</v>
      </c>
      <c r="M175" s="126"/>
      <c r="N175" s="43" t="str">
        <f t="shared" si="779"/>
        <v>ChlrAbsorbSglStgIndirHIRRatio_fTcwsSI</v>
      </c>
      <c r="O175" s="20" t="s">
        <v>230</v>
      </c>
      <c r="P175" s="20" t="s">
        <v>838</v>
      </c>
      <c r="Q175" s="20" t="s">
        <v>140</v>
      </c>
      <c r="V175" s="61">
        <v>0.71201899999999996</v>
      </c>
      <c r="W175" s="61">
        <v>-4.7800000000000004E-3</v>
      </c>
      <c r="X175" s="61">
        <v>8.6399999999999997E-4</v>
      </c>
      <c r="Y175" s="61">
        <v>-1.2999999999999999E-5</v>
      </c>
      <c r="Z175" s="61"/>
      <c r="AA175" s="61"/>
      <c r="AG175" s="159"/>
      <c r="AH175" s="159"/>
      <c r="AI175" s="159">
        <v>30</v>
      </c>
      <c r="AJ175" s="159">
        <v>7</v>
      </c>
      <c r="AK175" s="159"/>
      <c r="AL175" s="159"/>
      <c r="AM175" s="60"/>
      <c r="AO175" s="43">
        <f t="shared" si="826"/>
        <v>1</v>
      </c>
      <c r="AP175" s="166" t="str">
        <f t="shared" si="466"/>
        <v>CrvCubic       "ChlrAbsorbSglStgIndirHIRRatio_fTcwsSI"                          Coef1 =  0.712019  Coef2 = -0.004780  Coef3 =  0.000864  Coef4 = -0.000013  _x000D_
                                                                                MaxVar1 = 30.000   MinVar1 = 7.000   _x000D_
..</v>
      </c>
      <c r="AQ175" s="167" t="str">
        <f t="shared" si="778"/>
        <v xml:space="preserve">CrvCubic       "ChlrAbsorbSglStgIndirHIRRatio_fTcwsSI"                          Coef1 =  0.712019  Coef2 = -0.004780  Coef3 =  0.000864  Coef4 = -0.000013  </v>
      </c>
      <c r="AR175" s="166" t="str">
        <f t="shared" si="467"/>
        <v xml:space="preserve">_x000D_
                                                                                MaxVar1 = 30.000   MinVar1 = 7.000   </v>
      </c>
      <c r="AS175" s="166" t="str">
        <f t="shared" si="419"/>
        <v>_x000D_
..</v>
      </c>
      <c r="AT175" s="20" t="str">
        <f t="shared" si="772"/>
        <v>CrvCubic</v>
      </c>
      <c r="AU175" s="43" t="str">
        <f t="shared" si="802"/>
        <v xml:space="preserve">       </v>
      </c>
      <c r="AV175" s="62" t="str">
        <f t="shared" si="780"/>
        <v>"ChlrAbsorbSglStgIndirHIRRatio_fTcwsSI"</v>
      </c>
      <c r="AW175" s="20" t="str">
        <f t="shared" si="542"/>
        <v xml:space="preserve">                          </v>
      </c>
      <c r="AX175" s="43" t="str">
        <f t="shared" si="522"/>
        <v xml:space="preserve"> 0.712019  </v>
      </c>
      <c r="AY175" s="43" t="str">
        <f t="shared" si="523"/>
        <v xml:space="preserve">-0.004780  </v>
      </c>
      <c r="AZ175" s="43" t="str">
        <f t="shared" si="524"/>
        <v xml:space="preserve"> 0.000864  </v>
      </c>
      <c r="BA175" s="43" t="str">
        <f t="shared" si="525"/>
        <v xml:space="preserve">-0.000013  </v>
      </c>
      <c r="BB175" s="43" t="str">
        <f t="shared" si="526"/>
        <v>-</v>
      </c>
      <c r="BC175" s="43" t="str">
        <f t="shared" si="527"/>
        <v>-</v>
      </c>
      <c r="BD175" s="43" t="str">
        <f t="shared" si="798"/>
        <v xml:space="preserve">_x000D_
                                                                                </v>
      </c>
      <c r="BE175" s="20" t="str">
        <f t="shared" si="543"/>
        <v>-</v>
      </c>
      <c r="BF175" s="20" t="str">
        <f t="shared" si="544"/>
        <v>-</v>
      </c>
      <c r="BG175" s="20" t="str">
        <f t="shared" si="545"/>
        <v xml:space="preserve">30.000   </v>
      </c>
      <c r="BH175" s="20" t="str">
        <f t="shared" si="546"/>
        <v xml:space="preserve">7.000   </v>
      </c>
      <c r="BI175" s="20" t="str">
        <f t="shared" si="547"/>
        <v>-</v>
      </c>
      <c r="BJ175" s="20" t="str">
        <f t="shared" si="548"/>
        <v>-</v>
      </c>
      <c r="BM175" s="43" t="str">
        <f t="shared" si="729"/>
        <v>Tcws</v>
      </c>
      <c r="BN175" s="43"/>
      <c r="BO175" s="43">
        <v>1</v>
      </c>
      <c r="BP175" s="43"/>
      <c r="BR175" s="43">
        <v>0</v>
      </c>
      <c r="BU175" s="147">
        <f t="shared" si="799"/>
        <v>0.70810299999999993</v>
      </c>
      <c r="BV175" s="161"/>
      <c r="BW175" s="147">
        <f t="shared" si="800"/>
        <v>0.71201899999999996</v>
      </c>
      <c r="BX175" s="43"/>
    </row>
    <row r="176" spans="1:76" s="20" customFormat="1" hidden="1" outlineLevel="1" x14ac:dyDescent="0.25">
      <c r="A176" s="58"/>
      <c r="C176" s="56"/>
      <c r="D176" s="59"/>
      <c r="E176" s="20" t="s">
        <v>369</v>
      </c>
      <c r="F176" s="60" t="s">
        <v>834</v>
      </c>
      <c r="G176" s="60" t="s">
        <v>832</v>
      </c>
      <c r="H176" s="20" t="s">
        <v>831</v>
      </c>
      <c r="I176" s="20" t="s">
        <v>660</v>
      </c>
      <c r="J176" s="20" t="s">
        <v>144</v>
      </c>
      <c r="L176" s="126" t="s">
        <v>185</v>
      </c>
      <c r="M176" s="126"/>
      <c r="N176" s="43" t="str">
        <f t="shared" si="779"/>
        <v>ChlrAbsorbSglStgIndirHIRRatio_fTchwsSI</v>
      </c>
      <c r="O176" s="20" t="s">
        <v>230</v>
      </c>
      <c r="P176" s="20" t="s">
        <v>838</v>
      </c>
      <c r="Q176" s="20" t="s">
        <v>139</v>
      </c>
      <c r="V176" s="61">
        <v>0.99557099999999998</v>
      </c>
      <c r="W176" s="61">
        <v>4.6821000000000002E-2</v>
      </c>
      <c r="X176" s="61">
        <v>-1.099E-2</v>
      </c>
      <c r="Y176" s="61">
        <v>6.0800000000000003E-4</v>
      </c>
      <c r="Z176" s="61"/>
      <c r="AA176" s="61"/>
      <c r="AG176" s="159"/>
      <c r="AH176" s="159"/>
      <c r="AI176" s="159">
        <v>10</v>
      </c>
      <c r="AJ176" s="159">
        <v>4</v>
      </c>
      <c r="AK176" s="159"/>
      <c r="AL176" s="159"/>
      <c r="AM176" s="60"/>
      <c r="AO176" s="43">
        <f t="shared" si="826"/>
        <v>1</v>
      </c>
      <c r="AP176" s="166" t="str">
        <f t="shared" si="466"/>
        <v>CrvCubic       "ChlrAbsorbSglStgIndirHIRRatio_fTchwsSI"                         Coef1 =  0.995571  Coef2 =  0.046821  Coef3 = -0.010990  Coef4 =  0.000608  _x000D_
                                                                                MaxVar1 = 10.000   MinVar1 = 4.000   _x000D_
..</v>
      </c>
      <c r="AQ176" s="167" t="str">
        <f t="shared" si="778"/>
        <v xml:space="preserve">CrvCubic       "ChlrAbsorbSglStgIndirHIRRatio_fTchwsSI"                         Coef1 =  0.995571  Coef2 =  0.046821  Coef3 = -0.010990  Coef4 =  0.000608  </v>
      </c>
      <c r="AR176" s="166" t="str">
        <f t="shared" si="467"/>
        <v xml:space="preserve">_x000D_
                                                                                MaxVar1 = 10.000   MinVar1 = 4.000   </v>
      </c>
      <c r="AS176" s="166" t="str">
        <f t="shared" si="419"/>
        <v>_x000D_
..</v>
      </c>
      <c r="AT176" s="20" t="str">
        <f t="shared" si="772"/>
        <v>CrvCubic</v>
      </c>
      <c r="AU176" s="43" t="str">
        <f t="shared" si="802"/>
        <v xml:space="preserve">       </v>
      </c>
      <c r="AV176" s="62" t="str">
        <f t="shared" si="780"/>
        <v>"ChlrAbsorbSglStgIndirHIRRatio_fTchwsSI"</v>
      </c>
      <c r="AW176" s="20" t="str">
        <f t="shared" si="542"/>
        <v xml:space="preserve">                         </v>
      </c>
      <c r="AX176" s="43" t="str">
        <f t="shared" si="522"/>
        <v xml:space="preserve"> 0.995571  </v>
      </c>
      <c r="AY176" s="43" t="str">
        <f t="shared" si="523"/>
        <v xml:space="preserve"> 0.046821  </v>
      </c>
      <c r="AZ176" s="43" t="str">
        <f t="shared" si="524"/>
        <v xml:space="preserve">-0.010990  </v>
      </c>
      <c r="BA176" s="43" t="str">
        <f t="shared" si="525"/>
        <v xml:space="preserve"> 0.000608  </v>
      </c>
      <c r="BB176" s="43" t="str">
        <f t="shared" si="526"/>
        <v>-</v>
      </c>
      <c r="BC176" s="43" t="str">
        <f t="shared" si="527"/>
        <v>-</v>
      </c>
      <c r="BD176" s="43" t="str">
        <f t="shared" si="798"/>
        <v xml:space="preserve">_x000D_
                                                                                </v>
      </c>
      <c r="BE176" s="20" t="str">
        <f t="shared" si="543"/>
        <v>-</v>
      </c>
      <c r="BF176" s="20" t="str">
        <f t="shared" si="544"/>
        <v>-</v>
      </c>
      <c r="BG176" s="20" t="str">
        <f t="shared" si="545"/>
        <v xml:space="preserve">10.000   </v>
      </c>
      <c r="BH176" s="20" t="str">
        <f t="shared" si="546"/>
        <v xml:space="preserve">4.000   </v>
      </c>
      <c r="BI176" s="20" t="str">
        <f t="shared" si="547"/>
        <v>-</v>
      </c>
      <c r="BJ176" s="20" t="str">
        <f t="shared" si="548"/>
        <v>-</v>
      </c>
      <c r="BM176" s="43" t="str">
        <f t="shared" si="729"/>
        <v>Tchws</v>
      </c>
      <c r="BN176" s="43"/>
      <c r="BO176" s="43">
        <v>1</v>
      </c>
      <c r="BP176" s="43"/>
      <c r="BR176" s="43">
        <v>0</v>
      </c>
      <c r="BU176" s="147">
        <f t="shared" si="799"/>
        <v>1.0314019999999999</v>
      </c>
      <c r="BV176" s="161"/>
      <c r="BW176" s="147">
        <f t="shared" si="800"/>
        <v>0.99557099999999998</v>
      </c>
      <c r="BX176" s="43"/>
    </row>
    <row r="177" spans="1:80" s="20" customFormat="1" hidden="1" outlineLevel="1" x14ac:dyDescent="0.25">
      <c r="A177" s="58"/>
      <c r="D177" s="59"/>
      <c r="E177" s="20" t="s">
        <v>369</v>
      </c>
      <c r="F177" s="20" t="s">
        <v>413</v>
      </c>
      <c r="G177" s="60" t="s">
        <v>76</v>
      </c>
      <c r="H177" s="20" t="s">
        <v>614</v>
      </c>
      <c r="I177" s="20" t="s">
        <v>659</v>
      </c>
      <c r="J177" s="20" t="s">
        <v>273</v>
      </c>
      <c r="K177" s="20" t="s">
        <v>147</v>
      </c>
      <c r="L177" s="126"/>
      <c r="M177" s="126"/>
      <c r="N177" s="43" t="str">
        <f t="shared" si="779"/>
        <v>ChlrAbsorbDblStgFIRRatio_fTchwsTcwsIP</v>
      </c>
      <c r="O177" s="20" t="s">
        <v>165</v>
      </c>
      <c r="P177" s="20" t="s">
        <v>391</v>
      </c>
      <c r="Q177" s="20" t="s">
        <v>139</v>
      </c>
      <c r="R177" s="20" t="s">
        <v>140</v>
      </c>
      <c r="V177" s="61">
        <v>1.6587499999999999</v>
      </c>
      <c r="W177" s="61">
        <v>0</v>
      </c>
      <c r="X177" s="61">
        <v>0</v>
      </c>
      <c r="Y177" s="61">
        <v>-0.28999999999999998</v>
      </c>
      <c r="Z177" s="61">
        <v>2.5000000000000001E-4</v>
      </c>
      <c r="AA177" s="61">
        <v>0</v>
      </c>
      <c r="AG177" s="159"/>
      <c r="AH177" s="159"/>
      <c r="AI177" s="159"/>
      <c r="AJ177" s="159"/>
      <c r="AK177" s="159"/>
      <c r="AL177" s="159"/>
      <c r="AM177" s="60"/>
      <c r="AO177" s="43">
        <f t="shared" si="826"/>
        <v>0</v>
      </c>
      <c r="AP177" s="166" t="str">
        <f t="shared" si="466"/>
        <v/>
      </c>
      <c r="AQ177" s="167" t="str">
        <f t="shared" si="778"/>
        <v/>
      </c>
      <c r="AR177" s="166" t="str">
        <f t="shared" si="467"/>
        <v/>
      </c>
      <c r="AS177" s="166" t="str">
        <f t="shared" si="419"/>
        <v/>
      </c>
      <c r="AT177" s="20" t="str">
        <f t="shared" si="772"/>
        <v/>
      </c>
      <c r="AU177" s="43" t="str">
        <f t="shared" si="802"/>
        <v xml:space="preserve">               </v>
      </c>
      <c r="AV177" s="62" t="str">
        <f t="shared" si="780"/>
        <v/>
      </c>
      <c r="AW177" s="20" t="str">
        <f t="shared" si="542"/>
        <v xml:space="preserve">                                                                 </v>
      </c>
      <c r="AX177" s="43" t="str">
        <f t="shared" si="522"/>
        <v/>
      </c>
      <c r="AY177" s="43" t="str">
        <f t="shared" si="523"/>
        <v/>
      </c>
      <c r="AZ177" s="43" t="str">
        <f t="shared" si="524"/>
        <v/>
      </c>
      <c r="BA177" s="43" t="str">
        <f t="shared" si="525"/>
        <v/>
      </c>
      <c r="BB177" s="43" t="str">
        <f t="shared" si="526"/>
        <v/>
      </c>
      <c r="BC177" s="43" t="str">
        <f t="shared" si="527"/>
        <v/>
      </c>
      <c r="BD177" s="43" t="str">
        <f t="shared" si="798"/>
        <v xml:space="preserve"> </v>
      </c>
      <c r="BE177" s="20" t="str">
        <f t="shared" si="543"/>
        <v/>
      </c>
      <c r="BF177" s="20" t="str">
        <f t="shared" si="544"/>
        <v/>
      </c>
      <c r="BG177" s="20" t="str">
        <f t="shared" si="545"/>
        <v/>
      </c>
      <c r="BH177" s="20" t="str">
        <f t="shared" si="546"/>
        <v/>
      </c>
      <c r="BI177" s="20" t="str">
        <f t="shared" si="547"/>
        <v/>
      </c>
      <c r="BJ177" s="20" t="str">
        <f t="shared" si="548"/>
        <v/>
      </c>
      <c r="BM177" s="43" t="str">
        <f t="shared" si="729"/>
        <v>Tchws</v>
      </c>
      <c r="BN177" s="43" t="str">
        <f t="shared" si="730"/>
        <v>Tcws</v>
      </c>
      <c r="BO177" s="43">
        <v>1</v>
      </c>
      <c r="BP177" s="43"/>
      <c r="BR177" s="43">
        <v>0</v>
      </c>
      <c r="BU177" s="147">
        <f t="shared" si="799"/>
        <v>1.6587499999999999</v>
      </c>
      <c r="BV177" s="161"/>
      <c r="BW177" s="147">
        <f t="shared" si="800"/>
        <v>1.6587499999999999</v>
      </c>
      <c r="BX177" s="43"/>
    </row>
    <row r="178" spans="1:80" s="20" customFormat="1" hidden="1" outlineLevel="1" x14ac:dyDescent="0.25">
      <c r="A178" s="58"/>
      <c r="D178" s="59"/>
      <c r="E178" s="20" t="s">
        <v>369</v>
      </c>
      <c r="F178" s="126" t="s">
        <v>626</v>
      </c>
      <c r="G178" s="60" t="s">
        <v>77</v>
      </c>
      <c r="H178" s="20" t="s">
        <v>615</v>
      </c>
      <c r="I178" s="20" t="s">
        <v>659</v>
      </c>
      <c r="J178" s="20" t="s">
        <v>273</v>
      </c>
      <c r="K178" s="20" t="s">
        <v>661</v>
      </c>
      <c r="L178" s="126"/>
      <c r="M178" s="126"/>
      <c r="N178" s="43" t="str">
        <f t="shared" si="779"/>
        <v>ChlrAbsorbDirectFIR1Ratio_fTchwsIP</v>
      </c>
      <c r="O178" s="20" t="s">
        <v>162</v>
      </c>
      <c r="P178" s="20" t="s">
        <v>664</v>
      </c>
      <c r="Q178" s="20" t="s">
        <v>139</v>
      </c>
      <c r="V178" s="61">
        <v>4.4287128400000002</v>
      </c>
      <c r="W178" s="61">
        <v>-0.13298607000000001</v>
      </c>
      <c r="X178" s="61">
        <v>1.2533100000000001E-3</v>
      </c>
      <c r="Y178" s="61"/>
      <c r="Z178" s="61"/>
      <c r="AA178" s="61"/>
      <c r="AG178" s="159"/>
      <c r="AH178" s="159"/>
      <c r="AI178" s="159"/>
      <c r="AJ178" s="159"/>
      <c r="AK178" s="159"/>
      <c r="AL178" s="159"/>
      <c r="AM178" s="60"/>
      <c r="AO178" s="43">
        <f t="shared" si="826"/>
        <v>0</v>
      </c>
      <c r="AP178" s="166" t="str">
        <f t="shared" si="466"/>
        <v/>
      </c>
      <c r="AQ178" s="167" t="str">
        <f t="shared" si="778"/>
        <v/>
      </c>
      <c r="AR178" s="166" t="str">
        <f t="shared" si="467"/>
        <v/>
      </c>
      <c r="AS178" s="166" t="str">
        <f t="shared" si="419"/>
        <v/>
      </c>
      <c r="AT178" s="20" t="str">
        <f t="shared" si="772"/>
        <v/>
      </c>
      <c r="AU178" s="43" t="str">
        <f t="shared" si="802"/>
        <v xml:space="preserve">               </v>
      </c>
      <c r="AV178" s="62" t="str">
        <f t="shared" si="780"/>
        <v/>
      </c>
      <c r="AW178" s="20" t="str">
        <f t="shared" si="542"/>
        <v xml:space="preserve">                                                                 </v>
      </c>
      <c r="AX178" s="43" t="str">
        <f t="shared" si="522"/>
        <v/>
      </c>
      <c r="AY178" s="43" t="str">
        <f t="shared" si="523"/>
        <v/>
      </c>
      <c r="AZ178" s="43" t="str">
        <f t="shared" si="524"/>
        <v/>
      </c>
      <c r="BA178" s="43" t="str">
        <f t="shared" si="525"/>
        <v/>
      </c>
      <c r="BB178" s="43" t="str">
        <f t="shared" si="526"/>
        <v/>
      </c>
      <c r="BC178" s="43" t="str">
        <f t="shared" si="527"/>
        <v/>
      </c>
      <c r="BD178" s="43" t="str">
        <f t="shared" si="798"/>
        <v xml:space="preserve"> </v>
      </c>
      <c r="BE178" s="20" t="str">
        <f t="shared" si="543"/>
        <v/>
      </c>
      <c r="BF178" s="20" t="str">
        <f t="shared" si="544"/>
        <v/>
      </c>
      <c r="BG178" s="20" t="str">
        <f t="shared" si="545"/>
        <v/>
      </c>
      <c r="BH178" s="20" t="str">
        <f t="shared" si="546"/>
        <v/>
      </c>
      <c r="BI178" s="20" t="str">
        <f t="shared" si="547"/>
        <v/>
      </c>
      <c r="BJ178" s="20" t="str">
        <f t="shared" si="548"/>
        <v/>
      </c>
      <c r="BM178" s="43" t="str">
        <f t="shared" si="729"/>
        <v>Tchws</v>
      </c>
      <c r="BN178" s="43"/>
      <c r="BO178" s="43">
        <v>1</v>
      </c>
      <c r="BP178" s="43"/>
      <c r="BR178" s="43">
        <v>0</v>
      </c>
      <c r="BU178" s="147">
        <f t="shared" si="799"/>
        <v>4.29698008</v>
      </c>
      <c r="BV178" s="161"/>
      <c r="BW178" s="147">
        <f t="shared" si="800"/>
        <v>4.4287128400000002</v>
      </c>
      <c r="BX178" s="43"/>
      <c r="CA178" s="43"/>
      <c r="CB178" s="43"/>
    </row>
    <row r="179" spans="1:80" s="20" customFormat="1" hidden="1" outlineLevel="1" x14ac:dyDescent="0.25">
      <c r="A179" s="58"/>
      <c r="D179" s="59"/>
      <c r="E179" s="20" t="s">
        <v>369</v>
      </c>
      <c r="F179" s="126" t="s">
        <v>626</v>
      </c>
      <c r="G179" s="60" t="s">
        <v>77</v>
      </c>
      <c r="H179" s="20" t="s">
        <v>615</v>
      </c>
      <c r="I179" s="20" t="s">
        <v>659</v>
      </c>
      <c r="J179" s="20" t="s">
        <v>273</v>
      </c>
      <c r="K179" s="20" t="s">
        <v>662</v>
      </c>
      <c r="L179" s="126"/>
      <c r="M179" s="126"/>
      <c r="N179" s="43" t="str">
        <f t="shared" si="779"/>
        <v>ChlrAbsorbDirectFIR2Ratio_fTcwsIP</v>
      </c>
      <c r="O179" s="20" t="s">
        <v>162</v>
      </c>
      <c r="P179" s="20" t="s">
        <v>663</v>
      </c>
      <c r="Q179" s="20" t="s">
        <v>140</v>
      </c>
      <c r="V179" s="61">
        <v>0.86173748999999999</v>
      </c>
      <c r="W179" s="61">
        <v>-7.0891699999999997E-3</v>
      </c>
      <c r="X179" s="61">
        <v>1.0250999999999999E-3</v>
      </c>
      <c r="Y179" s="61"/>
      <c r="Z179" s="61"/>
      <c r="AA179" s="61"/>
      <c r="AG179" s="159"/>
      <c r="AH179" s="159"/>
      <c r="AI179" s="159"/>
      <c r="AJ179" s="159"/>
      <c r="AK179" s="159"/>
      <c r="AL179" s="159"/>
      <c r="AM179" s="60"/>
      <c r="AO179" s="43">
        <f t="shared" si="826"/>
        <v>0</v>
      </c>
      <c r="AP179" s="166" t="str">
        <f t="shared" si="466"/>
        <v/>
      </c>
      <c r="AQ179" s="167" t="str">
        <f t="shared" si="778"/>
        <v/>
      </c>
      <c r="AR179" s="166" t="str">
        <f t="shared" si="467"/>
        <v/>
      </c>
      <c r="AS179" s="166" t="str">
        <f t="shared" si="419"/>
        <v/>
      </c>
      <c r="AT179" s="20" t="str">
        <f t="shared" si="772"/>
        <v/>
      </c>
      <c r="AU179" s="43" t="str">
        <f t="shared" si="802"/>
        <v xml:space="preserve">               </v>
      </c>
      <c r="AV179" s="62" t="str">
        <f t="shared" si="780"/>
        <v/>
      </c>
      <c r="AW179" s="20" t="str">
        <f t="shared" si="542"/>
        <v xml:space="preserve">                                                                 </v>
      </c>
      <c r="AX179" s="43" t="str">
        <f t="shared" si="522"/>
        <v/>
      </c>
      <c r="AY179" s="43" t="str">
        <f t="shared" si="523"/>
        <v/>
      </c>
      <c r="AZ179" s="43" t="str">
        <f t="shared" si="524"/>
        <v/>
      </c>
      <c r="BA179" s="43" t="str">
        <f t="shared" si="525"/>
        <v/>
      </c>
      <c r="BB179" s="43" t="str">
        <f t="shared" si="526"/>
        <v/>
      </c>
      <c r="BC179" s="43" t="str">
        <f t="shared" si="527"/>
        <v/>
      </c>
      <c r="BD179" s="43" t="str">
        <f t="shared" si="798"/>
        <v xml:space="preserve"> </v>
      </c>
      <c r="BE179" s="20" t="str">
        <f t="shared" si="543"/>
        <v/>
      </c>
      <c r="BF179" s="20" t="str">
        <f t="shared" si="544"/>
        <v/>
      </c>
      <c r="BG179" s="20" t="str">
        <f t="shared" si="545"/>
        <v/>
      </c>
      <c r="BH179" s="20" t="str">
        <f t="shared" si="546"/>
        <v/>
      </c>
      <c r="BI179" s="20" t="str">
        <f t="shared" si="547"/>
        <v/>
      </c>
      <c r="BJ179" s="20" t="str">
        <f t="shared" si="548"/>
        <v/>
      </c>
      <c r="BM179" s="43" t="str">
        <f t="shared" si="729"/>
        <v>Tcws</v>
      </c>
      <c r="BN179" s="43"/>
      <c r="BO179" s="43">
        <v>1</v>
      </c>
      <c r="BP179" s="43"/>
      <c r="BR179" s="43">
        <v>0</v>
      </c>
      <c r="BU179" s="147">
        <f t="shared" si="799"/>
        <v>0.85567342000000002</v>
      </c>
      <c r="BV179" s="161"/>
      <c r="BW179" s="147">
        <f t="shared" si="800"/>
        <v>0.86173748999999999</v>
      </c>
      <c r="BX179" s="43"/>
    </row>
    <row r="180" spans="1:80" s="20" customFormat="1" hidden="1" outlineLevel="1" x14ac:dyDescent="0.25">
      <c r="A180" s="58"/>
      <c r="B180" s="20" t="s">
        <v>137</v>
      </c>
      <c r="C180" s="56" t="s">
        <v>393</v>
      </c>
      <c r="D180" s="59"/>
      <c r="E180" s="20" t="s">
        <v>369</v>
      </c>
      <c r="F180" s="20" t="s">
        <v>413</v>
      </c>
      <c r="G180" s="60" t="s">
        <v>78</v>
      </c>
      <c r="H180" s="20" t="s">
        <v>610</v>
      </c>
      <c r="I180" s="20" t="s">
        <v>659</v>
      </c>
      <c r="J180" s="20" t="s">
        <v>273</v>
      </c>
      <c r="K180" s="20" t="s">
        <v>147</v>
      </c>
      <c r="L180" s="126"/>
      <c r="M180" s="126"/>
      <c r="N180" s="43" t="str">
        <f t="shared" si="779"/>
        <v>ChlrEngDrvSpdLtEqlMinFIRRatio_fTchwsTcwsIP</v>
      </c>
      <c r="O180" s="20" t="s">
        <v>165</v>
      </c>
      <c r="P180" s="20" t="s">
        <v>391</v>
      </c>
      <c r="Q180" s="20" t="s">
        <v>139</v>
      </c>
      <c r="R180" s="20" t="s">
        <v>140</v>
      </c>
      <c r="V180" s="61">
        <v>1.08815</v>
      </c>
      <c r="W180" s="82">
        <v>1.41064E-2</v>
      </c>
      <c r="X180" s="82">
        <v>0</v>
      </c>
      <c r="Y180" s="82">
        <v>-8.3391200000000002E-3</v>
      </c>
      <c r="Z180" s="82">
        <v>0</v>
      </c>
      <c r="AA180" s="82">
        <v>0</v>
      </c>
      <c r="AG180" s="159"/>
      <c r="AH180" s="159"/>
      <c r="AI180" s="159"/>
      <c r="AJ180" s="159"/>
      <c r="AK180" s="159"/>
      <c r="AL180" s="159"/>
      <c r="AM180" s="60"/>
      <c r="AO180" s="43">
        <f t="shared" si="826"/>
        <v>0</v>
      </c>
      <c r="AP180" s="166" t="str">
        <f t="shared" si="466"/>
        <v/>
      </c>
      <c r="AQ180" s="167" t="str">
        <f t="shared" si="778"/>
        <v/>
      </c>
      <c r="AR180" s="166" t="str">
        <f t="shared" si="467"/>
        <v/>
      </c>
      <c r="AS180" s="166" t="str">
        <f t="shared" si="419"/>
        <v/>
      </c>
      <c r="AT180" s="20" t="str">
        <f t="shared" si="772"/>
        <v/>
      </c>
      <c r="AU180" s="43" t="str">
        <f t="shared" si="802"/>
        <v xml:space="preserve">               </v>
      </c>
      <c r="AV180" s="62" t="str">
        <f t="shared" si="780"/>
        <v/>
      </c>
      <c r="AW180" s="20" t="str">
        <f t="shared" si="542"/>
        <v xml:space="preserve">                                                                 </v>
      </c>
      <c r="AX180" s="43" t="str">
        <f t="shared" si="522"/>
        <v/>
      </c>
      <c r="AY180" s="43" t="str">
        <f t="shared" si="523"/>
        <v/>
      </c>
      <c r="AZ180" s="43" t="str">
        <f t="shared" si="524"/>
        <v/>
      </c>
      <c r="BA180" s="43" t="str">
        <f t="shared" si="525"/>
        <v/>
      </c>
      <c r="BB180" s="43" t="str">
        <f t="shared" si="526"/>
        <v/>
      </c>
      <c r="BC180" s="43" t="str">
        <f t="shared" si="527"/>
        <v/>
      </c>
      <c r="BD180" s="43" t="str">
        <f t="shared" si="798"/>
        <v xml:space="preserve"> </v>
      </c>
      <c r="BE180" s="20" t="str">
        <f t="shared" si="543"/>
        <v/>
      </c>
      <c r="BF180" s="20" t="str">
        <f t="shared" si="544"/>
        <v/>
      </c>
      <c r="BG180" s="20" t="str">
        <f t="shared" si="545"/>
        <v/>
      </c>
      <c r="BH180" s="20" t="str">
        <f t="shared" si="546"/>
        <v/>
      </c>
      <c r="BI180" s="20" t="str">
        <f t="shared" si="547"/>
        <v/>
      </c>
      <c r="BJ180" s="20" t="str">
        <f t="shared" si="548"/>
        <v/>
      </c>
      <c r="BM180" s="43" t="str">
        <f t="shared" si="729"/>
        <v>Tchws</v>
      </c>
      <c r="BN180" s="43" t="str">
        <f t="shared" si="730"/>
        <v>Tcws</v>
      </c>
      <c r="BO180" s="43">
        <v>1</v>
      </c>
      <c r="BP180" s="43"/>
      <c r="BR180" s="43">
        <v>0</v>
      </c>
      <c r="BU180" s="147">
        <f t="shared" si="799"/>
        <v>1.1022563999999999</v>
      </c>
      <c r="BV180" s="161"/>
      <c r="BW180" s="147">
        <f t="shared" si="800"/>
        <v>1.08815</v>
      </c>
      <c r="BX180" s="43"/>
    </row>
    <row r="181" spans="1:80" s="20" customFormat="1" hidden="1" outlineLevel="1" x14ac:dyDescent="0.25">
      <c r="A181" s="58"/>
      <c r="C181" s="56"/>
      <c r="D181" s="59"/>
      <c r="E181" s="20" t="s">
        <v>369</v>
      </c>
      <c r="F181" s="20" t="s">
        <v>413</v>
      </c>
      <c r="G181" s="60" t="s">
        <v>79</v>
      </c>
      <c r="H181" s="20" t="s">
        <v>611</v>
      </c>
      <c r="I181" s="20" t="s">
        <v>659</v>
      </c>
      <c r="J181" s="20" t="s">
        <v>273</v>
      </c>
      <c r="K181" s="20" t="s">
        <v>147</v>
      </c>
      <c r="L181" s="126"/>
      <c r="M181" s="126"/>
      <c r="N181" s="43" t="str">
        <f t="shared" si="779"/>
        <v>ChlrEngDrvSpdGtMinLtEql60FIRRatio_fTchwsTcwsIP</v>
      </c>
      <c r="O181" s="20" t="s">
        <v>165</v>
      </c>
      <c r="P181" s="20" t="s">
        <v>391</v>
      </c>
      <c r="Q181" s="20" t="s">
        <v>139</v>
      </c>
      <c r="R181" s="20" t="s">
        <v>140</v>
      </c>
      <c r="V181" s="61">
        <v>1.23624</v>
      </c>
      <c r="W181" s="82">
        <v>1.6892299999999999E-2</v>
      </c>
      <c r="X181" s="82">
        <v>0</v>
      </c>
      <c r="Y181" s="82">
        <v>-1.1523500000000001E-2</v>
      </c>
      <c r="Z181" s="82">
        <v>0</v>
      </c>
      <c r="AA181" s="82">
        <v>0</v>
      </c>
      <c r="AG181" s="159"/>
      <c r="AH181" s="159"/>
      <c r="AI181" s="159"/>
      <c r="AJ181" s="159"/>
      <c r="AK181" s="159"/>
      <c r="AL181" s="159"/>
      <c r="AM181" s="60"/>
      <c r="AO181" s="43">
        <f t="shared" si="826"/>
        <v>0</v>
      </c>
      <c r="AP181" s="166" t="str">
        <f t="shared" si="466"/>
        <v/>
      </c>
      <c r="AQ181" s="167" t="str">
        <f t="shared" si="778"/>
        <v/>
      </c>
      <c r="AR181" s="166" t="str">
        <f t="shared" si="467"/>
        <v/>
      </c>
      <c r="AS181" s="166" t="str">
        <f t="shared" si="419"/>
        <v/>
      </c>
      <c r="AT181" s="20" t="str">
        <f t="shared" si="772"/>
        <v/>
      </c>
      <c r="AU181" s="43" t="str">
        <f t="shared" si="802"/>
        <v xml:space="preserve">               </v>
      </c>
      <c r="AV181" s="62" t="str">
        <f t="shared" si="780"/>
        <v/>
      </c>
      <c r="AW181" s="20" t="str">
        <f t="shared" si="542"/>
        <v xml:space="preserve">                                                                 </v>
      </c>
      <c r="AX181" s="43" t="str">
        <f t="shared" si="522"/>
        <v/>
      </c>
      <c r="AY181" s="43" t="str">
        <f t="shared" si="523"/>
        <v/>
      </c>
      <c r="AZ181" s="43" t="str">
        <f t="shared" si="524"/>
        <v/>
      </c>
      <c r="BA181" s="43" t="str">
        <f t="shared" si="525"/>
        <v/>
      </c>
      <c r="BB181" s="43" t="str">
        <f t="shared" si="526"/>
        <v/>
      </c>
      <c r="BC181" s="43" t="str">
        <f t="shared" si="527"/>
        <v/>
      </c>
      <c r="BD181" s="43" t="str">
        <f t="shared" si="798"/>
        <v xml:space="preserve"> </v>
      </c>
      <c r="BE181" s="20" t="str">
        <f t="shared" si="543"/>
        <v/>
      </c>
      <c r="BF181" s="20" t="str">
        <f t="shared" si="544"/>
        <v/>
      </c>
      <c r="BG181" s="20" t="str">
        <f t="shared" si="545"/>
        <v/>
      </c>
      <c r="BH181" s="20" t="str">
        <f t="shared" si="546"/>
        <v/>
      </c>
      <c r="BI181" s="20" t="str">
        <f t="shared" si="547"/>
        <v/>
      </c>
      <c r="BJ181" s="20" t="str">
        <f t="shared" si="548"/>
        <v/>
      </c>
      <c r="BM181" s="43" t="str">
        <f t="shared" si="729"/>
        <v>Tchws</v>
      </c>
      <c r="BN181" s="43" t="str">
        <f t="shared" si="730"/>
        <v>Tcws</v>
      </c>
      <c r="BO181" s="43">
        <v>1</v>
      </c>
      <c r="BP181" s="43"/>
      <c r="BR181" s="43">
        <v>0</v>
      </c>
      <c r="BU181" s="147">
        <f t="shared" si="799"/>
        <v>1.2531323000000001</v>
      </c>
      <c r="BV181" s="161"/>
      <c r="BW181" s="147">
        <f t="shared" si="800"/>
        <v>1.23624</v>
      </c>
      <c r="BX181" s="43"/>
    </row>
    <row r="182" spans="1:80" s="20" customFormat="1" hidden="1" outlineLevel="1" x14ac:dyDescent="0.25">
      <c r="A182" s="58"/>
      <c r="C182" s="56"/>
      <c r="D182" s="59"/>
      <c r="E182" s="20" t="s">
        <v>369</v>
      </c>
      <c r="F182" s="20" t="s">
        <v>413</v>
      </c>
      <c r="G182" s="60" t="s">
        <v>80</v>
      </c>
      <c r="H182" s="20" t="s">
        <v>612</v>
      </c>
      <c r="I182" s="20" t="s">
        <v>659</v>
      </c>
      <c r="J182" s="20" t="s">
        <v>273</v>
      </c>
      <c r="K182" s="20" t="s">
        <v>147</v>
      </c>
      <c r="L182" s="126"/>
      <c r="M182" s="126"/>
      <c r="N182" s="43" t="str">
        <f t="shared" si="779"/>
        <v>ChlrEngDrvSpdGt60FIRRatio_fTchwsTcwsIP</v>
      </c>
      <c r="O182" s="20" t="s">
        <v>165</v>
      </c>
      <c r="P182" s="20" t="s">
        <v>391</v>
      </c>
      <c r="Q182" s="20" t="s">
        <v>139</v>
      </c>
      <c r="R182" s="20" t="s">
        <v>140</v>
      </c>
      <c r="V182" s="61">
        <v>1.23624</v>
      </c>
      <c r="W182" s="82">
        <v>1.6892299999999999E-2</v>
      </c>
      <c r="X182" s="82">
        <v>0</v>
      </c>
      <c r="Y182" s="82">
        <v>-1.1523500000000001E-2</v>
      </c>
      <c r="Z182" s="82">
        <v>0</v>
      </c>
      <c r="AA182" s="82">
        <v>0</v>
      </c>
      <c r="AG182" s="159"/>
      <c r="AH182" s="159"/>
      <c r="AI182" s="159"/>
      <c r="AJ182" s="159"/>
      <c r="AK182" s="159"/>
      <c r="AL182" s="159"/>
      <c r="AM182" s="60"/>
      <c r="AO182" s="43">
        <f t="shared" ref="AO182" si="827">IF(ISTEXT(A182),"",IF(I182="IP",0,1))</f>
        <v>0</v>
      </c>
      <c r="AP182" s="166" t="str">
        <f t="shared" ref="AP182" si="828">IF(AO182=1,CONCATENATE(AQ182,AR182,AS182),"")</f>
        <v/>
      </c>
      <c r="AQ182" s="167" t="str">
        <f t="shared" ref="AQ182" si="829">IF(AO182=1,CONCATENATE(AT182,AU182,AV182,AW182,IF(AX182="-","",$AX$15&amp;AX182),IF(AY182="-","",$AY$15&amp;AY182),IF(AZ182="-","",$AZ$15&amp;AZ182),IF(BA182="-","",$BA$15&amp;BA182),IF(BB182="-","",$BB$15&amp;BB182),IF(BC182="-","",$BC$15&amp;BC182)),"")</f>
        <v/>
      </c>
      <c r="AR182" s="166" t="str">
        <f t="shared" ref="AR182" si="830">IF(AO182=1,CONCATENATE(BD182,IF(BE182="-","",$BE$15&amp;BE182),IF(BF182="-","",$BF$15&amp;BF182),IF(BG182="-","",$BG$15&amp;BG182),IF(BH182="-","",$BH$15&amp;BH182),IF(BI182="-","",$BI$15&amp;BI182),IF(BJ182="-","",$BJ$15&amp;BJ182)),"")</f>
        <v/>
      </c>
      <c r="AS182" s="166" t="str">
        <f t="shared" ref="AS182" si="831">IF(AO182=1,CHAR(13)&amp;CHAR(10)&amp;"..","")</f>
        <v/>
      </c>
      <c r="AT182" s="20" t="str">
        <f t="shared" ref="AT182" si="832">IF(AO182=1,VLOOKUP(O182,$AT$2:$AV$13,2,0),"")</f>
        <v/>
      </c>
      <c r="AU182" s="43" t="str">
        <f t="shared" ref="AU182" si="833">REPT(" ",AU$14-LEN(AT182))</f>
        <v xml:space="preserve">               </v>
      </c>
      <c r="AV182" s="62" t="str">
        <f t="shared" si="780"/>
        <v/>
      </c>
      <c r="AW182" s="20" t="str">
        <f t="shared" ref="AW182" si="834">REPT(" ",$AW$14-LEN(AV182))</f>
        <v xml:space="preserve">                                                                 </v>
      </c>
      <c r="AX182" s="43" t="str">
        <f t="shared" ref="AX182" si="835">IF($AO182=1,IF(ISBLANK(V182),"-",CONCATENATE(TEXT(V182," 0.000000;-0.000000"),"  ")),"")</f>
        <v/>
      </c>
      <c r="AY182" s="43" t="str">
        <f t="shared" ref="AY182" si="836">IF($AO182=1,IF(ISBLANK(W182),"-",CONCATENATE(TEXT(W182," 0.000000;-0.000000"),"  ")),"")</f>
        <v/>
      </c>
      <c r="AZ182" s="43" t="str">
        <f t="shared" ref="AZ182" si="837">IF($AO182=1,IF(ISBLANK(X182),"-",CONCATENATE(TEXT(X182," 0.000000;-0.000000"),"  ")),"")</f>
        <v/>
      </c>
      <c r="BA182" s="43" t="str">
        <f t="shared" ref="BA182" si="838">IF($AO182=1,IF(ISBLANK(Y182),"-",CONCATENATE(TEXT(Y182," 0.000000;-0.000000"),"  ")),"")</f>
        <v/>
      </c>
      <c r="BB182" s="43" t="str">
        <f t="shared" ref="BB182" si="839">IF($AO182=1,IF(ISBLANK(Z182),"-",CONCATENATE(TEXT(Z182," 0.000000;-0.000000"),"  ")),"")</f>
        <v/>
      </c>
      <c r="BC182" s="43" t="str">
        <f t="shared" ref="BC182" si="840">IF($AO182=1,IF(ISBLANK(AA182),"-",CONCATENATE(TEXT(AA182," 0.000000;-0.000000"),"  ")),"")</f>
        <v/>
      </c>
      <c r="BD182" s="43" t="str">
        <f t="shared" ref="BD182" si="841">IF(MAX(AG182:AL182)=0,REPT(" ",1),CHAR(13)&amp;CHAR(10)&amp;REPT(" ",BD$14))</f>
        <v xml:space="preserve"> </v>
      </c>
      <c r="BE182" s="20" t="str">
        <f t="shared" ref="BE182" si="842">IF($AO182=1,IF(AG182="","-",CONCATENATE(TEXT(AG182,"0.000"),"   ")),"")</f>
        <v/>
      </c>
      <c r="BF182" s="20" t="str">
        <f t="shared" ref="BF182" si="843">IF($AO182=1,IF(AH182="","-",CONCATENATE(TEXT(AH182,"0.000"),"   ")),"")</f>
        <v/>
      </c>
      <c r="BG182" s="20" t="str">
        <f t="shared" ref="BG182" si="844">IF($AO182=1,IF(AI182="","-",CONCATENATE(TEXT(AI182,"0.000"),"   ")),"")</f>
        <v/>
      </c>
      <c r="BH182" s="20" t="str">
        <f t="shared" ref="BH182" si="845">IF($AO182=1,IF(AJ182="","-",CONCATENATE(TEXT(AJ182,"0.000"),"   ")),"")</f>
        <v/>
      </c>
      <c r="BI182" s="20" t="str">
        <f t="shared" ref="BI182" si="846">IF($AO182=1,IF(AK182="","-",CONCATENATE(TEXT(AK182,"0.000"),"   ")),"")</f>
        <v/>
      </c>
      <c r="BJ182" s="20" t="str">
        <f t="shared" ref="BJ182" si="847">IF($AO182=1,IF(AL182="","-",CONCATENATE(TEXT(AL182,"0.000"),"   ")),"")</f>
        <v/>
      </c>
      <c r="BM182" s="43" t="str">
        <f t="shared" si="729"/>
        <v>Tchws</v>
      </c>
      <c r="BN182" s="43" t="str">
        <f t="shared" si="730"/>
        <v>Tcws</v>
      </c>
      <c r="BO182" s="43">
        <v>1</v>
      </c>
      <c r="BP182" s="43"/>
      <c r="BR182" s="43">
        <v>0</v>
      </c>
      <c r="BU182" s="147">
        <f t="shared" ref="BU182" si="848">$V182+$W182*BO182+$X182*BO182^2</f>
        <v>1.2531323000000001</v>
      </c>
      <c r="BV182" s="161"/>
      <c r="BW182" s="147">
        <f t="shared" ref="BW182" si="849">$V182+$W182*BR182+$X182*BR182^2</f>
        <v>1.23624</v>
      </c>
      <c r="BX182" s="43"/>
      <c r="CA182" s="43"/>
      <c r="CB182" s="43"/>
    </row>
    <row r="183" spans="1:80" s="20" customFormat="1" hidden="1" outlineLevel="1" x14ac:dyDescent="0.25">
      <c r="A183" s="58"/>
      <c r="C183" s="56"/>
      <c r="D183" s="59"/>
      <c r="E183" s="20" t="s">
        <v>369</v>
      </c>
      <c r="F183" s="20" t="s">
        <v>840</v>
      </c>
      <c r="G183" s="60" t="s">
        <v>832</v>
      </c>
      <c r="H183" s="20" t="s">
        <v>831</v>
      </c>
      <c r="I183" s="20" t="s">
        <v>660</v>
      </c>
      <c r="J183" s="20" t="s">
        <v>144</v>
      </c>
      <c r="L183" s="126" t="s">
        <v>185</v>
      </c>
      <c r="M183" s="126"/>
      <c r="N183" s="43" t="str">
        <f t="shared" si="779"/>
        <v>ChlrAbsorbSglStgIndirEIRRatio_fQRatioSI</v>
      </c>
      <c r="O183" s="43" t="s">
        <v>286</v>
      </c>
      <c r="P183" s="43" t="s">
        <v>288</v>
      </c>
      <c r="Q183" s="20" t="s">
        <v>160</v>
      </c>
      <c r="V183" s="61">
        <v>1</v>
      </c>
      <c r="W183" s="82">
        <v>0</v>
      </c>
      <c r="X183" s="82"/>
      <c r="Y183" s="82"/>
      <c r="Z183" s="82"/>
      <c r="AA183" s="82"/>
      <c r="AG183" s="159"/>
      <c r="AH183" s="159"/>
      <c r="AI183" s="159"/>
      <c r="AJ183" s="159"/>
      <c r="AK183" s="159"/>
      <c r="AL183" s="159"/>
      <c r="AM183" s="60"/>
      <c r="AO183" s="43">
        <f t="shared" si="826"/>
        <v>1</v>
      </c>
      <c r="AP183" s="166" t="str">
        <f t="shared" si="466"/>
        <v>CrvLin         "ChlrAbsorbSglStgIndirEIRRatio_fQRatioSI"                        Coef1 =  1.000000  Coef2 =  0.000000   _x000D_
..</v>
      </c>
      <c r="AQ183" s="167" t="str">
        <f t="shared" si="778"/>
        <v xml:space="preserve">CrvLin         "ChlrAbsorbSglStgIndirEIRRatio_fQRatioSI"                        Coef1 =  1.000000  Coef2 =  0.000000  </v>
      </c>
      <c r="AR183" s="166" t="str">
        <f t="shared" si="467"/>
        <v xml:space="preserve"> </v>
      </c>
      <c r="AS183" s="166" t="str">
        <f t="shared" si="419"/>
        <v>_x000D_
..</v>
      </c>
      <c r="AT183" s="20" t="str">
        <f t="shared" si="772"/>
        <v>CrvLin</v>
      </c>
      <c r="AU183" s="43" t="str">
        <f t="shared" si="802"/>
        <v xml:space="preserve">         </v>
      </c>
      <c r="AV183" s="62" t="str">
        <f t="shared" si="780"/>
        <v>"ChlrAbsorbSglStgIndirEIRRatio_fQRatioSI"</v>
      </c>
      <c r="AW183" s="20" t="str">
        <f t="shared" si="542"/>
        <v xml:space="preserve">                        </v>
      </c>
      <c r="AX183" s="43" t="str">
        <f t="shared" si="522"/>
        <v xml:space="preserve"> 1.000000  </v>
      </c>
      <c r="AY183" s="43" t="str">
        <f t="shared" si="523"/>
        <v xml:space="preserve"> 0.000000  </v>
      </c>
      <c r="AZ183" s="43" t="str">
        <f t="shared" si="524"/>
        <v>-</v>
      </c>
      <c r="BA183" s="43" t="str">
        <f t="shared" si="525"/>
        <v>-</v>
      </c>
      <c r="BB183" s="43" t="str">
        <f t="shared" si="526"/>
        <v>-</v>
      </c>
      <c r="BC183" s="43" t="str">
        <f t="shared" si="527"/>
        <v>-</v>
      </c>
      <c r="BD183" s="43" t="str">
        <f t="shared" si="798"/>
        <v xml:space="preserve"> </v>
      </c>
      <c r="BE183" s="20" t="str">
        <f t="shared" si="543"/>
        <v>-</v>
      </c>
      <c r="BF183" s="20" t="str">
        <f t="shared" si="544"/>
        <v>-</v>
      </c>
      <c r="BG183" s="20" t="str">
        <f t="shared" si="545"/>
        <v>-</v>
      </c>
      <c r="BH183" s="20" t="str">
        <f t="shared" si="546"/>
        <v>-</v>
      </c>
      <c r="BI183" s="20" t="str">
        <f t="shared" si="547"/>
        <v>-</v>
      </c>
      <c r="BJ183" s="20" t="str">
        <f t="shared" si="548"/>
        <v>-</v>
      </c>
      <c r="BM183" s="43" t="str">
        <f t="shared" si="729"/>
        <v>QRatio</v>
      </c>
      <c r="BN183" s="43"/>
      <c r="BO183" s="43">
        <v>1</v>
      </c>
      <c r="BP183" s="43"/>
      <c r="BR183" s="43">
        <v>0</v>
      </c>
      <c r="BU183" s="147">
        <f t="shared" si="799"/>
        <v>1</v>
      </c>
      <c r="BV183" s="161"/>
      <c r="BW183" s="147">
        <f t="shared" si="800"/>
        <v>1</v>
      </c>
      <c r="BX183" s="43"/>
      <c r="CA183" s="43"/>
      <c r="CB183" s="43"/>
    </row>
    <row r="184" spans="1:80" collapsed="1" x14ac:dyDescent="0.25">
      <c r="A184" s="58" t="s">
        <v>382</v>
      </c>
      <c r="B184" s="20"/>
      <c r="C184" s="56"/>
      <c r="D184" s="59"/>
      <c r="E184" s="20"/>
      <c r="F184" s="20"/>
      <c r="G184" s="60"/>
      <c r="H184" s="20"/>
      <c r="I184" s="20"/>
      <c r="J184" s="20"/>
      <c r="K184" s="20"/>
      <c r="L184" s="20"/>
      <c r="M184" s="20"/>
      <c r="N184" s="43" t="str">
        <f t="shared" ref="N184:N195" si="850">IF(ISBLANK(E184),"-",E184&amp;H184&amp;P184&amp;"_f"&amp;Q184&amp;R184&amp;S184&amp;T184&amp;U184&amp;I184)</f>
        <v>-</v>
      </c>
      <c r="O184" s="20"/>
      <c r="P184" s="20"/>
      <c r="Q184" s="20"/>
      <c r="R184" s="20"/>
      <c r="S184" s="20"/>
      <c r="T184" s="20"/>
      <c r="U184" s="20"/>
      <c r="V184" s="61"/>
      <c r="W184" s="61"/>
      <c r="X184" s="61"/>
      <c r="Y184" s="61"/>
      <c r="Z184" s="61"/>
      <c r="AA184" s="61"/>
      <c r="AB184" s="20"/>
      <c r="AC184" s="20"/>
      <c r="AD184" s="20"/>
      <c r="AE184" s="20"/>
      <c r="AF184" s="20"/>
      <c r="AG184" s="159"/>
      <c r="AH184" s="159"/>
      <c r="AI184" s="159"/>
      <c r="AJ184" s="159"/>
      <c r="AK184" s="159"/>
      <c r="AL184" s="159"/>
      <c r="AM184" s="60"/>
      <c r="AN184" s="20"/>
      <c r="AO184" s="43" t="str">
        <f>IF(ISTEXT(A184),"",IF(I184="IP",0,1))</f>
        <v/>
      </c>
      <c r="AP184" s="166" t="str">
        <f t="shared" si="466"/>
        <v/>
      </c>
      <c r="AQ184" s="166" t="str">
        <f t="shared" ref="AQ184:AQ193" si="851">IF(AO184=1,CONCATENATE(AT184,AU184,AV184,AW184,IF(AX184="-","",$AX$15&amp;AX184),IF(AY184="-","",$AY$15&amp;AY184),IF(AZ184="-","",$AZ$15&amp;AZ184),IF(BA184="-","",$BA$15&amp;BA184),IF(BB184="-","",$BB$15&amp;BB184),IF(BC184="-","",$BC$15&amp;BC184)),"")</f>
        <v/>
      </c>
      <c r="AR184" s="166" t="str">
        <f t="shared" si="467"/>
        <v/>
      </c>
      <c r="AS184" s="166" t="str">
        <f t="shared" ref="AS184:AS193" si="852">IF(AO184=1,CHAR(13)&amp;CHAR(10)&amp;"..","")</f>
        <v/>
      </c>
      <c r="AT184" s="43" t="str">
        <f t="shared" ref="AT184:AT193" si="853">IF(AO184=1,VLOOKUP(O184,$AT$2:$AV$13,2,0),"")</f>
        <v/>
      </c>
      <c r="AU184" s="43" t="str">
        <f t="shared" ref="AU184:AU195" si="854">REPT(" ",AU$14-LEN(AT184))</f>
        <v xml:space="preserve">               </v>
      </c>
      <c r="AV184" s="62" t="str">
        <f t="shared" ref="AV184:AV225" si="855">IF(AO184=1,CONCATENATE("""",N184,""""),"")</f>
        <v/>
      </c>
      <c r="AW184" s="43" t="str">
        <f t="shared" si="542"/>
        <v xml:space="preserve">                                                                 </v>
      </c>
      <c r="AX184" s="43" t="str">
        <f t="shared" si="522"/>
        <v/>
      </c>
      <c r="AY184" s="43" t="str">
        <f t="shared" si="523"/>
        <v/>
      </c>
      <c r="AZ184" s="43" t="str">
        <f t="shared" si="524"/>
        <v/>
      </c>
      <c r="BA184" s="43" t="str">
        <f t="shared" si="525"/>
        <v/>
      </c>
      <c r="BB184" s="43" t="str">
        <f t="shared" si="526"/>
        <v/>
      </c>
      <c r="BC184" s="43" t="str">
        <f t="shared" si="527"/>
        <v/>
      </c>
      <c r="BD184" s="43" t="str">
        <f t="shared" si="776"/>
        <v xml:space="preserve"> </v>
      </c>
      <c r="BE184" s="43" t="str">
        <f t="shared" si="543"/>
        <v/>
      </c>
      <c r="BF184" s="43" t="str">
        <f t="shared" si="544"/>
        <v/>
      </c>
      <c r="BG184" s="43" t="str">
        <f t="shared" si="545"/>
        <v/>
      </c>
      <c r="BH184" s="43" t="str">
        <f t="shared" si="546"/>
        <v/>
      </c>
      <c r="BI184" s="43" t="str">
        <f t="shared" si="547"/>
        <v/>
      </c>
      <c r="BJ184" s="43" t="str">
        <f t="shared" si="548"/>
        <v/>
      </c>
      <c r="BU184" s="147"/>
      <c r="BV184" s="147"/>
      <c r="BW184" s="147"/>
    </row>
    <row r="185" spans="1:80" s="20" customFormat="1" hidden="1" outlineLevel="1" x14ac:dyDescent="0.25">
      <c r="A185" s="58"/>
      <c r="B185" s="20" t="s">
        <v>151</v>
      </c>
      <c r="C185" s="56" t="s">
        <v>152</v>
      </c>
      <c r="D185" s="59" t="s">
        <v>81</v>
      </c>
      <c r="E185" s="20" t="s">
        <v>617</v>
      </c>
      <c r="F185" s="20" t="s">
        <v>403</v>
      </c>
      <c r="G185" s="60" t="s">
        <v>621</v>
      </c>
      <c r="H185" s="20" t="s">
        <v>69</v>
      </c>
      <c r="I185" s="20" t="s">
        <v>659</v>
      </c>
      <c r="J185" s="20" t="s">
        <v>273</v>
      </c>
      <c r="K185" s="20" t="s">
        <v>145</v>
      </c>
      <c r="N185" s="43" t="str">
        <f t="shared" si="850"/>
        <v>HtRejAllCFMRatio_fTrangeTapproachIP</v>
      </c>
      <c r="O185" s="20" t="s">
        <v>165</v>
      </c>
      <c r="P185" s="20" t="s">
        <v>120</v>
      </c>
      <c r="Q185" s="20" t="s">
        <v>454</v>
      </c>
      <c r="R185" s="20" t="s">
        <v>455</v>
      </c>
      <c r="V185" s="61">
        <v>-2.2288889900000002</v>
      </c>
      <c r="W185" s="61">
        <v>0.16679542999999999</v>
      </c>
      <c r="X185" s="61">
        <v>-1.4102470000000001E-2</v>
      </c>
      <c r="Y185" s="61">
        <v>3.2223330000000001E-2</v>
      </c>
      <c r="Z185" s="61">
        <v>0.18560214</v>
      </c>
      <c r="AA185" s="61">
        <v>0.24251871</v>
      </c>
      <c r="AG185" s="159"/>
      <c r="AH185" s="159"/>
      <c r="AI185" s="159"/>
      <c r="AJ185" s="159"/>
      <c r="AK185" s="159"/>
      <c r="AL185" s="159"/>
      <c r="AM185" s="60"/>
      <c r="AO185" s="43">
        <f>IF(ISTEXT(A185),"",IF(I185="IP",0,1))</f>
        <v>0</v>
      </c>
      <c r="AP185" s="167" t="str">
        <f t="shared" si="466"/>
        <v/>
      </c>
      <c r="AQ185" s="167" t="str">
        <f t="shared" si="851"/>
        <v/>
      </c>
      <c r="AR185" s="167" t="str">
        <f t="shared" si="467"/>
        <v/>
      </c>
      <c r="AS185" s="167" t="str">
        <f t="shared" si="852"/>
        <v/>
      </c>
      <c r="AT185" s="20" t="str">
        <f t="shared" si="853"/>
        <v/>
      </c>
      <c r="AU185" s="43" t="str">
        <f t="shared" si="854"/>
        <v xml:space="preserve">               </v>
      </c>
      <c r="AV185" s="62" t="str">
        <f t="shared" si="855"/>
        <v/>
      </c>
      <c r="AW185" s="20" t="str">
        <f t="shared" si="542"/>
        <v xml:space="preserve">                                                                 </v>
      </c>
      <c r="AX185" s="20" t="str">
        <f t="shared" si="522"/>
        <v/>
      </c>
      <c r="AY185" s="20" t="str">
        <f t="shared" si="523"/>
        <v/>
      </c>
      <c r="AZ185" s="20" t="str">
        <f t="shared" si="524"/>
        <v/>
      </c>
      <c r="BA185" s="20" t="str">
        <f t="shared" si="525"/>
        <v/>
      </c>
      <c r="BB185" s="20" t="str">
        <f t="shared" si="526"/>
        <v/>
      </c>
      <c r="BC185" s="20" t="str">
        <f t="shared" si="527"/>
        <v/>
      </c>
      <c r="BD185" s="43" t="str">
        <f t="shared" si="776"/>
        <v xml:space="preserve"> </v>
      </c>
      <c r="BE185" s="20" t="str">
        <f t="shared" si="543"/>
        <v/>
      </c>
      <c r="BF185" s="20" t="str">
        <f t="shared" si="544"/>
        <v/>
      </c>
      <c r="BG185" s="20" t="str">
        <f t="shared" si="545"/>
        <v/>
      </c>
      <c r="BH185" s="20" t="str">
        <f t="shared" si="546"/>
        <v/>
      </c>
      <c r="BI185" s="20" t="str">
        <f t="shared" si="547"/>
        <v/>
      </c>
      <c r="BJ185" s="20" t="str">
        <f t="shared" si="548"/>
        <v/>
      </c>
      <c r="BM185" s="43"/>
      <c r="BN185" s="43"/>
      <c r="BU185" s="161"/>
      <c r="BV185" s="161"/>
      <c r="BW185" s="161"/>
    </row>
    <row r="186" spans="1:80" s="20" customFormat="1" hidden="1" outlineLevel="1" x14ac:dyDescent="0.25">
      <c r="A186" s="58"/>
      <c r="D186" s="59"/>
      <c r="E186" s="20" t="s">
        <v>617</v>
      </c>
      <c r="F186" s="20" t="s">
        <v>403</v>
      </c>
      <c r="G186" s="60" t="s">
        <v>621</v>
      </c>
      <c r="H186" s="20" t="s">
        <v>69</v>
      </c>
      <c r="I186" s="20" t="s">
        <v>659</v>
      </c>
      <c r="J186" s="20" t="s">
        <v>273</v>
      </c>
      <c r="K186" s="20" t="s">
        <v>145</v>
      </c>
      <c r="N186" s="43" t="str">
        <f t="shared" si="850"/>
        <v>HtRejAllGPMRatio_fCFMRatioToawbIP</v>
      </c>
      <c r="O186" s="20" t="s">
        <v>165</v>
      </c>
      <c r="P186" s="20" t="s">
        <v>148</v>
      </c>
      <c r="Q186" s="20" t="s">
        <v>120</v>
      </c>
      <c r="R186" s="20" t="s">
        <v>462</v>
      </c>
      <c r="V186" s="61">
        <v>0.60531402000000001</v>
      </c>
      <c r="W186" s="61">
        <v>-3.5545359999999998E-2</v>
      </c>
      <c r="X186" s="61">
        <v>8.0408300000000005E-3</v>
      </c>
      <c r="Y186" s="61">
        <v>2.8602590000000001E-2</v>
      </c>
      <c r="Z186" s="61">
        <v>2.4971999999999999E-4</v>
      </c>
      <c r="AA186" s="61">
        <v>4.9085700000000001E-3</v>
      </c>
      <c r="AG186" s="159"/>
      <c r="AH186" s="159"/>
      <c r="AI186" s="159"/>
      <c r="AJ186" s="159"/>
      <c r="AK186" s="159"/>
      <c r="AL186" s="159"/>
      <c r="AM186" s="60"/>
      <c r="AO186" s="43">
        <f>IF(ISTEXT(A186),"",IF(I186="IP",0,1))</f>
        <v>0</v>
      </c>
      <c r="AP186" s="167" t="str">
        <f t="shared" si="466"/>
        <v/>
      </c>
      <c r="AQ186" s="167" t="str">
        <f t="shared" si="851"/>
        <v/>
      </c>
      <c r="AR186" s="167" t="str">
        <f t="shared" si="467"/>
        <v/>
      </c>
      <c r="AS186" s="167" t="str">
        <f t="shared" si="852"/>
        <v/>
      </c>
      <c r="AT186" s="20" t="str">
        <f t="shared" si="853"/>
        <v/>
      </c>
      <c r="AU186" s="43" t="str">
        <f t="shared" si="854"/>
        <v xml:space="preserve">               </v>
      </c>
      <c r="AV186" s="62" t="str">
        <f t="shared" si="855"/>
        <v/>
      </c>
      <c r="AW186" s="20" t="str">
        <f t="shared" si="542"/>
        <v xml:space="preserve">                                                                 </v>
      </c>
      <c r="AX186" s="20" t="str">
        <f t="shared" si="522"/>
        <v/>
      </c>
      <c r="AY186" s="20" t="str">
        <f t="shared" si="523"/>
        <v/>
      </c>
      <c r="AZ186" s="20" t="str">
        <f t="shared" si="524"/>
        <v/>
      </c>
      <c r="BA186" s="20" t="str">
        <f t="shared" si="525"/>
        <v/>
      </c>
      <c r="BB186" s="20" t="str">
        <f t="shared" si="526"/>
        <v/>
      </c>
      <c r="BC186" s="20" t="str">
        <f t="shared" si="527"/>
        <v/>
      </c>
      <c r="BD186" s="43" t="str">
        <f t="shared" si="776"/>
        <v xml:space="preserve"> </v>
      </c>
      <c r="BE186" s="20" t="str">
        <f t="shared" si="543"/>
        <v/>
      </c>
      <c r="BF186" s="20" t="str">
        <f t="shared" si="544"/>
        <v/>
      </c>
      <c r="BG186" s="20" t="str">
        <f t="shared" si="545"/>
        <v/>
      </c>
      <c r="BH186" s="20" t="str">
        <f t="shared" si="546"/>
        <v/>
      </c>
      <c r="BI186" s="20" t="str">
        <f t="shared" si="547"/>
        <v/>
      </c>
      <c r="BJ186" s="20" t="str">
        <f t="shared" si="548"/>
        <v/>
      </c>
      <c r="BM186" s="43"/>
      <c r="BN186" s="43"/>
      <c r="BU186" s="161"/>
      <c r="BV186" s="161"/>
      <c r="BW186" s="161"/>
    </row>
    <row r="187" spans="1:80" s="20" customFormat="1" hidden="1" outlineLevel="1" x14ac:dyDescent="0.25">
      <c r="A187" s="58"/>
      <c r="C187" s="56"/>
      <c r="D187" s="59"/>
      <c r="E187" s="20" t="s">
        <v>617</v>
      </c>
      <c r="F187" s="20" t="s">
        <v>622</v>
      </c>
      <c r="G187" s="60" t="s">
        <v>620</v>
      </c>
      <c r="H187" s="20" t="s">
        <v>624</v>
      </c>
      <c r="I187" s="20" t="s">
        <v>660</v>
      </c>
      <c r="J187" s="20" t="s">
        <v>144</v>
      </c>
      <c r="L187" s="20" t="s">
        <v>231</v>
      </c>
      <c r="N187" s="43" t="str">
        <f t="shared" si="850"/>
        <v>HtRejCoolToolsClgTowerCap_fSI</v>
      </c>
      <c r="O187" s="20" t="s">
        <v>509</v>
      </c>
      <c r="P187" s="78"/>
      <c r="Q187" s="78"/>
      <c r="R187" s="78"/>
      <c r="S187" s="78"/>
      <c r="T187" s="78"/>
      <c r="U187" s="78"/>
      <c r="V187" s="78" t="s">
        <v>623</v>
      </c>
      <c r="W187" s="83"/>
      <c r="X187" s="83"/>
      <c r="Y187" s="83"/>
      <c r="Z187" s="83"/>
      <c r="AA187" s="83"/>
      <c r="AB187" s="84"/>
      <c r="AC187" s="84"/>
      <c r="AD187" s="84"/>
      <c r="AE187" s="84"/>
      <c r="AF187" s="84"/>
      <c r="AG187" s="160"/>
      <c r="AH187" s="160"/>
      <c r="AI187" s="160"/>
      <c r="AJ187" s="160"/>
      <c r="AK187" s="160"/>
      <c r="AL187" s="160"/>
      <c r="AM187" s="78" t="s">
        <v>623</v>
      </c>
      <c r="AN187" s="122"/>
      <c r="AO187" s="43">
        <v>0</v>
      </c>
      <c r="AP187" s="167" t="str">
        <f t="shared" si="466"/>
        <v/>
      </c>
      <c r="AQ187" s="167" t="str">
        <f t="shared" si="851"/>
        <v/>
      </c>
      <c r="AR187" s="167" t="str">
        <f t="shared" si="467"/>
        <v/>
      </c>
      <c r="AS187" s="167" t="str">
        <f t="shared" si="852"/>
        <v/>
      </c>
      <c r="AT187" s="20" t="str">
        <f t="shared" si="853"/>
        <v/>
      </c>
      <c r="AU187" s="43" t="str">
        <f t="shared" si="854"/>
        <v xml:space="preserve">               </v>
      </c>
      <c r="AV187" s="62" t="str">
        <f t="shared" si="855"/>
        <v/>
      </c>
      <c r="AW187" s="20" t="str">
        <f t="shared" si="542"/>
        <v xml:space="preserve">                                                                 </v>
      </c>
      <c r="AX187" s="20" t="str">
        <f t="shared" si="522"/>
        <v/>
      </c>
      <c r="AY187" s="20" t="str">
        <f t="shared" si="523"/>
        <v/>
      </c>
      <c r="AZ187" s="20" t="str">
        <f t="shared" si="524"/>
        <v/>
      </c>
      <c r="BA187" s="20" t="str">
        <f t="shared" si="525"/>
        <v/>
      </c>
      <c r="BB187" s="20" t="str">
        <f t="shared" si="526"/>
        <v/>
      </c>
      <c r="BC187" s="20" t="str">
        <f t="shared" si="527"/>
        <v/>
      </c>
      <c r="BD187" s="43" t="str">
        <f t="shared" si="776"/>
        <v xml:space="preserve"> </v>
      </c>
      <c r="BE187" s="20" t="str">
        <f t="shared" si="543"/>
        <v/>
      </c>
      <c r="BF187" s="20" t="str">
        <f t="shared" si="544"/>
        <v/>
      </c>
      <c r="BG187" s="20" t="str">
        <f t="shared" si="545"/>
        <v/>
      </c>
      <c r="BH187" s="20" t="str">
        <f t="shared" si="546"/>
        <v/>
      </c>
      <c r="BI187" s="20" t="str">
        <f t="shared" si="547"/>
        <v/>
      </c>
      <c r="BJ187" s="20" t="str">
        <f t="shared" si="548"/>
        <v/>
      </c>
      <c r="BM187" s="43"/>
      <c r="BN187" s="43"/>
      <c r="BU187" s="161"/>
      <c r="BV187" s="161"/>
      <c r="BW187" s="161"/>
    </row>
    <row r="188" spans="1:80" hidden="1" outlineLevel="1" x14ac:dyDescent="0.25">
      <c r="A188" s="58"/>
      <c r="B188" s="20" t="s">
        <v>151</v>
      </c>
      <c r="C188" s="56" t="s">
        <v>153</v>
      </c>
      <c r="D188" s="59" t="s">
        <v>82</v>
      </c>
      <c r="E188" s="20" t="s">
        <v>617</v>
      </c>
      <c r="F188" s="51" t="s">
        <v>436</v>
      </c>
      <c r="G188" s="60" t="s">
        <v>625</v>
      </c>
      <c r="H188" s="20" t="s">
        <v>383</v>
      </c>
      <c r="I188" s="20"/>
      <c r="J188" s="20" t="s">
        <v>272</v>
      </c>
      <c r="K188" s="20" t="s">
        <v>146</v>
      </c>
      <c r="L188" s="20" t="s">
        <v>618</v>
      </c>
      <c r="M188" s="20" t="s">
        <v>252</v>
      </c>
      <c r="N188" s="43" t="str">
        <f t="shared" si="850"/>
        <v>HtRejVSDFanPwrRatio_fQRatio</v>
      </c>
      <c r="O188" s="20" t="s">
        <v>230</v>
      </c>
      <c r="P188" s="20" t="s">
        <v>275</v>
      </c>
      <c r="Q188" s="20" t="s">
        <v>160</v>
      </c>
      <c r="R188" s="20"/>
      <c r="S188" s="20"/>
      <c r="T188" s="20"/>
      <c r="U188" s="20"/>
      <c r="V188" s="61">
        <v>0.33162901</v>
      </c>
      <c r="W188" s="61">
        <v>-0.88567609000000003</v>
      </c>
      <c r="X188" s="61">
        <v>0.60556507000000004</v>
      </c>
      <c r="Y188" s="61">
        <v>0.9484823</v>
      </c>
      <c r="Z188" s="61"/>
      <c r="AA188" s="61"/>
      <c r="AB188" s="20"/>
      <c r="AC188" s="20"/>
      <c r="AD188" s="20"/>
      <c r="AE188" s="20"/>
      <c r="AF188" s="20"/>
      <c r="AG188" s="159"/>
      <c r="AH188" s="159"/>
      <c r="AI188" s="159"/>
      <c r="AJ188" s="159"/>
      <c r="AK188" s="159"/>
      <c r="AL188" s="159"/>
      <c r="AM188" s="60"/>
      <c r="AN188" s="20"/>
      <c r="AO188" s="43">
        <f>IF(ISTEXT(A188),"",IF(I188="IP",0,1))</f>
        <v>1</v>
      </c>
      <c r="AP188" s="166" t="str">
        <f t="shared" ref="AP188:AP193" si="856">IF(AO188=1,CONCATENATE(AQ188,AR188,AS188),"")</f>
        <v>CrvCubic       "HtRejVSDFanPwrRatio_fQRatio"                                    Coef1 =  0.331629  Coef2 = -0.885676  Coef3 =  0.605565  Coef4 =  0.948482   _x000D_
..</v>
      </c>
      <c r="AQ188" s="166" t="str">
        <f t="shared" si="851"/>
        <v xml:space="preserve">CrvCubic       "HtRejVSDFanPwrRatio_fQRatio"                                    Coef1 =  0.331629  Coef2 = -0.885676  Coef3 =  0.605565  Coef4 =  0.948482  </v>
      </c>
      <c r="AR188" s="166" t="str">
        <f t="shared" si="467"/>
        <v xml:space="preserve"> </v>
      </c>
      <c r="AS188" s="166" t="str">
        <f t="shared" si="852"/>
        <v>_x000D_
..</v>
      </c>
      <c r="AT188" s="43" t="str">
        <f t="shared" si="853"/>
        <v>CrvCubic</v>
      </c>
      <c r="AU188" s="43" t="str">
        <f t="shared" si="854"/>
        <v xml:space="preserve">       </v>
      </c>
      <c r="AV188" s="62" t="str">
        <f t="shared" si="855"/>
        <v>"HtRejVSDFanPwrRatio_fQRatio"</v>
      </c>
      <c r="AW188" s="43" t="str">
        <f t="shared" si="542"/>
        <v xml:space="preserve">                                    </v>
      </c>
      <c r="AX188" s="43" t="str">
        <f t="shared" si="522"/>
        <v xml:space="preserve"> 0.331629  </v>
      </c>
      <c r="AY188" s="43" t="str">
        <f t="shared" si="523"/>
        <v xml:space="preserve">-0.885676  </v>
      </c>
      <c r="AZ188" s="43" t="str">
        <f t="shared" si="524"/>
        <v xml:space="preserve"> 0.605565  </v>
      </c>
      <c r="BA188" s="43" t="str">
        <f t="shared" si="525"/>
        <v xml:space="preserve"> 0.948482  </v>
      </c>
      <c r="BB188" s="43" t="str">
        <f t="shared" si="526"/>
        <v>-</v>
      </c>
      <c r="BC188" s="43" t="str">
        <f t="shared" si="527"/>
        <v>-</v>
      </c>
      <c r="BD188" s="43" t="str">
        <f t="shared" si="776"/>
        <v xml:space="preserve"> </v>
      </c>
      <c r="BE188" s="43" t="str">
        <f t="shared" si="543"/>
        <v>-</v>
      </c>
      <c r="BF188" s="43" t="str">
        <f t="shared" si="544"/>
        <v>-</v>
      </c>
      <c r="BG188" s="43" t="str">
        <f t="shared" si="545"/>
        <v>-</v>
      </c>
      <c r="BH188" s="43" t="str">
        <f t="shared" si="546"/>
        <v>-</v>
      </c>
      <c r="BI188" s="43" t="str">
        <f t="shared" si="547"/>
        <v>-</v>
      </c>
      <c r="BJ188" s="43" t="str">
        <f t="shared" si="548"/>
        <v>-</v>
      </c>
      <c r="BO188" s="43">
        <v>1</v>
      </c>
      <c r="BR188" s="43">
        <v>0</v>
      </c>
      <c r="BU188" s="147">
        <f>$V188+$W188*BO188+$X188*BO188^2+$Y188*BO188^3</f>
        <v>1.00000029</v>
      </c>
      <c r="BV188" s="147"/>
      <c r="BW188" s="147">
        <f>$V188+$W188*BR188+$X188*BR188^2+$Y188*BR188^3</f>
        <v>0.33162901</v>
      </c>
      <c r="BX188" s="20"/>
      <c r="BY188" s="20"/>
      <c r="BZ188" s="20"/>
      <c r="CA188" s="20"/>
      <c r="CB188" s="20"/>
    </row>
    <row r="189" spans="1:80" collapsed="1" x14ac:dyDescent="0.25">
      <c r="A189" s="41" t="s">
        <v>362</v>
      </c>
      <c r="E189" s="20"/>
      <c r="F189" s="20"/>
      <c r="L189" s="76"/>
      <c r="M189" s="76"/>
      <c r="N189" s="43" t="str">
        <f t="shared" si="850"/>
        <v>-</v>
      </c>
      <c r="O189" s="58"/>
      <c r="Q189" s="20"/>
      <c r="R189" s="20"/>
      <c r="S189" s="20"/>
      <c r="T189" s="20"/>
      <c r="U189" s="20"/>
      <c r="AG189" s="158"/>
      <c r="AH189" s="158"/>
      <c r="AI189" s="158"/>
      <c r="AJ189" s="158"/>
      <c r="AK189" s="158"/>
      <c r="AL189" s="158"/>
      <c r="AO189" s="43" t="str">
        <f>IF(ISTEXT(A189),"",IF(I189="IP",0,1))</f>
        <v/>
      </c>
      <c r="AP189" s="166" t="str">
        <f t="shared" si="856"/>
        <v/>
      </c>
      <c r="AQ189" s="166" t="str">
        <f t="shared" si="851"/>
        <v/>
      </c>
      <c r="AR189" s="166" t="str">
        <f t="shared" ref="AR189:AR193" si="857">IF(AO189=1,CONCATENATE(BD189,IF(BE189="-","",$BE$15&amp;BE189),IF(BF189="-","",$BF$15&amp;BF189),IF(BG189="-","",$BG$15&amp;BG189),IF(BH189="-","",$BH$15&amp;BH189),IF(BI189="-","",$BI$15&amp;BI189),IF(BJ189="-","",$BJ$15&amp;BJ189)),"")</f>
        <v/>
      </c>
      <c r="AS189" s="166" t="str">
        <f t="shared" si="852"/>
        <v/>
      </c>
      <c r="AT189" s="43" t="str">
        <f t="shared" si="853"/>
        <v/>
      </c>
      <c r="AU189" s="43" t="str">
        <f t="shared" si="854"/>
        <v xml:space="preserve">               </v>
      </c>
      <c r="AV189" s="62" t="str">
        <f t="shared" si="855"/>
        <v/>
      </c>
      <c r="AW189" s="43" t="str">
        <f t="shared" si="542"/>
        <v xml:space="preserve">                                                                 </v>
      </c>
      <c r="AX189" s="43" t="str">
        <f t="shared" si="522"/>
        <v/>
      </c>
      <c r="AY189" s="43" t="str">
        <f t="shared" si="523"/>
        <v/>
      </c>
      <c r="AZ189" s="43" t="str">
        <f t="shared" si="524"/>
        <v/>
      </c>
      <c r="BA189" s="43" t="str">
        <f t="shared" si="525"/>
        <v/>
      </c>
      <c r="BB189" s="43" t="str">
        <f t="shared" si="526"/>
        <v/>
      </c>
      <c r="BC189" s="43" t="str">
        <f t="shared" si="527"/>
        <v/>
      </c>
      <c r="BD189" s="43" t="str">
        <f t="shared" si="776"/>
        <v xml:space="preserve"> </v>
      </c>
      <c r="BE189" s="43" t="str">
        <f t="shared" si="543"/>
        <v/>
      </c>
      <c r="BF189" s="43" t="str">
        <f t="shared" si="544"/>
        <v/>
      </c>
      <c r="BG189" s="43" t="str">
        <f t="shared" si="545"/>
        <v/>
      </c>
      <c r="BH189" s="43" t="str">
        <f t="shared" si="546"/>
        <v/>
      </c>
      <c r="BI189" s="43" t="str">
        <f t="shared" si="547"/>
        <v/>
      </c>
      <c r="BJ189" s="43" t="str">
        <f t="shared" si="548"/>
        <v/>
      </c>
      <c r="BU189" s="147"/>
      <c r="BV189" s="147"/>
      <c r="BW189" s="147"/>
    </row>
    <row r="190" spans="1:80" s="20" customFormat="1" hidden="1" outlineLevel="1" x14ac:dyDescent="0.25">
      <c r="A190" s="58"/>
      <c r="B190" s="20" t="s">
        <v>134</v>
      </c>
      <c r="C190" s="56" t="s">
        <v>135</v>
      </c>
      <c r="D190" s="59" t="s">
        <v>66</v>
      </c>
      <c r="F190" s="126" t="s">
        <v>626</v>
      </c>
      <c r="G190" s="60"/>
      <c r="J190" s="20" t="s">
        <v>272</v>
      </c>
      <c r="K190" s="20" t="s">
        <v>9</v>
      </c>
      <c r="L190" s="126"/>
      <c r="M190" s="126"/>
      <c r="N190" s="43" t="str">
        <f t="shared" si="850"/>
        <v>-</v>
      </c>
      <c r="O190" s="20" t="s">
        <v>165</v>
      </c>
      <c r="P190" s="20" t="s">
        <v>117</v>
      </c>
      <c r="Q190" s="20" t="s">
        <v>117</v>
      </c>
      <c r="R190" s="20" t="s">
        <v>456</v>
      </c>
      <c r="V190" s="61">
        <v>11.5334997</v>
      </c>
      <c r="W190" s="61">
        <v>0.65867299999999995</v>
      </c>
      <c r="X190" s="61">
        <v>-1.0280000000000001E-3</v>
      </c>
      <c r="Y190" s="61">
        <v>0.295041</v>
      </c>
      <c r="Z190" s="61">
        <v>-1.7000000000000001E-4</v>
      </c>
      <c r="AA190" s="61">
        <v>-8.7239999999999996E-4</v>
      </c>
      <c r="AG190" s="159"/>
      <c r="AH190" s="159"/>
      <c r="AI190" s="159"/>
      <c r="AJ190" s="159"/>
      <c r="AK190" s="159"/>
      <c r="AL190" s="159"/>
      <c r="AM190" s="60" t="s">
        <v>396</v>
      </c>
      <c r="AO190" s="43">
        <v>0</v>
      </c>
      <c r="AP190" s="166" t="str">
        <f t="shared" si="856"/>
        <v/>
      </c>
      <c r="AQ190" s="167" t="str">
        <f t="shared" si="851"/>
        <v/>
      </c>
      <c r="AR190" s="166" t="str">
        <f t="shared" si="857"/>
        <v/>
      </c>
      <c r="AS190" s="166" t="str">
        <f t="shared" si="852"/>
        <v/>
      </c>
      <c r="AT190" s="20" t="str">
        <f t="shared" si="853"/>
        <v/>
      </c>
      <c r="AU190" s="43" t="str">
        <f t="shared" si="854"/>
        <v xml:space="preserve">               </v>
      </c>
      <c r="AV190" s="62" t="str">
        <f t="shared" si="855"/>
        <v/>
      </c>
      <c r="AW190" s="20" t="str">
        <f t="shared" si="542"/>
        <v xml:space="preserve">                                                                 </v>
      </c>
      <c r="AX190" s="43" t="str">
        <f t="shared" si="522"/>
        <v/>
      </c>
      <c r="AY190" s="43" t="str">
        <f t="shared" si="523"/>
        <v/>
      </c>
      <c r="AZ190" s="43" t="str">
        <f t="shared" si="524"/>
        <v/>
      </c>
      <c r="BA190" s="43" t="str">
        <f t="shared" si="525"/>
        <v/>
      </c>
      <c r="BB190" s="43" t="str">
        <f t="shared" si="526"/>
        <v/>
      </c>
      <c r="BC190" s="43" t="str">
        <f t="shared" si="527"/>
        <v/>
      </c>
      <c r="BD190" s="43" t="str">
        <f t="shared" si="776"/>
        <v xml:space="preserve"> </v>
      </c>
      <c r="BE190" s="20" t="str">
        <f t="shared" ref="BE190:BE195" si="858">IF($AO190=1,IF(AG190="","-",CONCATENATE(TEXT(AG190,"0.000"),"   ")),"")</f>
        <v/>
      </c>
      <c r="BF190" s="20" t="str">
        <f t="shared" ref="BF190:BF195" si="859">IF($AO190=1,IF(AH190="","-",CONCATENATE(TEXT(AH190,"0.000"),"   ")),"")</f>
        <v/>
      </c>
      <c r="BG190" s="20" t="str">
        <f t="shared" ref="BG190:BG195" si="860">IF($AO190=1,IF(AI190="","-",CONCATENATE(TEXT(AI190,"0.000"),"   ")),"")</f>
        <v/>
      </c>
      <c r="BH190" s="20" t="str">
        <f t="shared" ref="BH190:BH195" si="861">IF($AO190=1,IF(AJ190="","-",CONCATENATE(TEXT(AJ190,"0.000"),"   ")),"")</f>
        <v/>
      </c>
      <c r="BI190" s="20" t="str">
        <f t="shared" ref="BI190:BI195" si="862">IF($AO190=1,IF(AK190="","-",CONCATENATE(TEXT(AK190,"0.000"),"   ")),"")</f>
        <v/>
      </c>
      <c r="BJ190" s="20" t="str">
        <f t="shared" ref="BJ190:BJ195" si="863">IF($AO190=1,IF(AL190="","-",CONCATENATE(TEXT(AL190,"0.000"),"   ")),"")</f>
        <v/>
      </c>
      <c r="BM190" s="43"/>
      <c r="BN190" s="43"/>
      <c r="BU190" s="161"/>
      <c r="BV190" s="161"/>
      <c r="BW190" s="161"/>
    </row>
    <row r="191" spans="1:80" s="20" customFormat="1" hidden="1" outlineLevel="1" x14ac:dyDescent="0.25">
      <c r="A191" s="58"/>
      <c r="D191" s="59"/>
      <c r="F191" s="126" t="s">
        <v>626</v>
      </c>
      <c r="G191" s="60"/>
      <c r="J191" s="20" t="s">
        <v>272</v>
      </c>
      <c r="K191" s="20" t="s">
        <v>10</v>
      </c>
      <c r="L191" s="126"/>
      <c r="M191" s="126"/>
      <c r="N191" s="43" t="str">
        <f t="shared" si="850"/>
        <v>-</v>
      </c>
      <c r="O191" s="20" t="s">
        <v>165</v>
      </c>
      <c r="P191" s="20" t="s">
        <v>456</v>
      </c>
      <c r="Q191" s="20" t="s">
        <v>117</v>
      </c>
      <c r="R191" s="20" t="s">
        <v>456</v>
      </c>
      <c r="V191" s="61">
        <v>11.899399799999999</v>
      </c>
      <c r="W191" s="61">
        <v>-0.26955800000000002</v>
      </c>
      <c r="X191" s="61">
        <v>4.4549000000000004E-3</v>
      </c>
      <c r="Y191" s="61">
        <v>8.3052500000000001E-2</v>
      </c>
      <c r="Z191" s="61">
        <v>6.9740000000000004E-4</v>
      </c>
      <c r="AA191" s="61">
        <v>1.5878999999999999E-3</v>
      </c>
      <c r="AG191" s="159"/>
      <c r="AH191" s="159"/>
      <c r="AI191" s="159"/>
      <c r="AJ191" s="159"/>
      <c r="AK191" s="159"/>
      <c r="AL191" s="159"/>
      <c r="AM191" s="60" t="s">
        <v>396</v>
      </c>
      <c r="AO191" s="43">
        <v>0</v>
      </c>
      <c r="AP191" s="166" t="str">
        <f t="shared" si="856"/>
        <v/>
      </c>
      <c r="AQ191" s="167" t="str">
        <f t="shared" si="851"/>
        <v/>
      </c>
      <c r="AR191" s="166" t="str">
        <f t="shared" si="857"/>
        <v/>
      </c>
      <c r="AS191" s="166" t="str">
        <f t="shared" si="852"/>
        <v/>
      </c>
      <c r="AT191" s="20" t="str">
        <f t="shared" si="853"/>
        <v/>
      </c>
      <c r="AU191" s="43" t="str">
        <f t="shared" si="854"/>
        <v xml:space="preserve">               </v>
      </c>
      <c r="AV191" s="62" t="str">
        <f t="shared" si="855"/>
        <v/>
      </c>
      <c r="AW191" s="20" t="str">
        <f t="shared" si="542"/>
        <v xml:space="preserve">                                                                 </v>
      </c>
      <c r="AX191" s="43" t="str">
        <f t="shared" si="522"/>
        <v/>
      </c>
      <c r="AY191" s="43" t="str">
        <f t="shared" si="523"/>
        <v/>
      </c>
      <c r="AZ191" s="43" t="str">
        <f t="shared" si="524"/>
        <v/>
      </c>
      <c r="BA191" s="43" t="str">
        <f t="shared" si="525"/>
        <v/>
      </c>
      <c r="BB191" s="43" t="str">
        <f t="shared" si="526"/>
        <v/>
      </c>
      <c r="BC191" s="43" t="str">
        <f t="shared" si="527"/>
        <v/>
      </c>
      <c r="BD191" s="43" t="str">
        <f t="shared" si="776"/>
        <v xml:space="preserve"> </v>
      </c>
      <c r="BE191" s="20" t="str">
        <f t="shared" si="858"/>
        <v/>
      </c>
      <c r="BF191" s="20" t="str">
        <f t="shared" si="859"/>
        <v/>
      </c>
      <c r="BG191" s="20" t="str">
        <f t="shared" si="860"/>
        <v/>
      </c>
      <c r="BH191" s="20" t="str">
        <f t="shared" si="861"/>
        <v/>
      </c>
      <c r="BI191" s="20" t="str">
        <f t="shared" si="862"/>
        <v/>
      </c>
      <c r="BJ191" s="20" t="str">
        <f t="shared" si="863"/>
        <v/>
      </c>
      <c r="BM191" s="43"/>
      <c r="BN191" s="43"/>
      <c r="BU191" s="161"/>
      <c r="BV191" s="161"/>
      <c r="BW191" s="161"/>
      <c r="BX191" s="43"/>
      <c r="BY191" s="43"/>
      <c r="BZ191" s="43"/>
      <c r="CA191" s="43"/>
      <c r="CB191" s="43"/>
    </row>
    <row r="192" spans="1:80" s="20" customFormat="1" hidden="1" outlineLevel="1" x14ac:dyDescent="0.25">
      <c r="A192" s="58"/>
      <c r="D192" s="59"/>
      <c r="F192" s="126" t="s">
        <v>626</v>
      </c>
      <c r="G192" s="60"/>
      <c r="J192" s="20" t="s">
        <v>272</v>
      </c>
      <c r="K192" s="20" t="s">
        <v>11</v>
      </c>
      <c r="L192" s="126"/>
      <c r="M192" s="126"/>
      <c r="N192" s="43" t="str">
        <f t="shared" si="850"/>
        <v>-</v>
      </c>
      <c r="O192" s="20" t="s">
        <v>165</v>
      </c>
      <c r="P192" s="20" t="s">
        <v>394</v>
      </c>
      <c r="Q192" s="20" t="s">
        <v>117</v>
      </c>
      <c r="R192" s="20" t="s">
        <v>456</v>
      </c>
      <c r="V192" s="61">
        <v>58745.8007813</v>
      </c>
      <c r="W192" s="61">
        <v>-1134.4899902</v>
      </c>
      <c r="X192" s="61">
        <v>-3.6676099</v>
      </c>
      <c r="Y192" s="61">
        <v>3874.5900879000001</v>
      </c>
      <c r="Z192" s="61">
        <v>-1.6962699999999999</v>
      </c>
      <c r="AA192" s="61">
        <v>-13.0732002</v>
      </c>
      <c r="AG192" s="159"/>
      <c r="AH192" s="159"/>
      <c r="AI192" s="159"/>
      <c r="AJ192" s="159"/>
      <c r="AK192" s="159"/>
      <c r="AL192" s="159"/>
      <c r="AM192" s="60" t="s">
        <v>396</v>
      </c>
      <c r="AO192" s="43">
        <v>0</v>
      </c>
      <c r="AP192" s="166" t="str">
        <f t="shared" si="856"/>
        <v/>
      </c>
      <c r="AQ192" s="167" t="str">
        <f t="shared" si="851"/>
        <v/>
      </c>
      <c r="AR192" s="166" t="str">
        <f t="shared" si="857"/>
        <v/>
      </c>
      <c r="AS192" s="166" t="str">
        <f t="shared" si="852"/>
        <v/>
      </c>
      <c r="AT192" s="20" t="str">
        <f t="shared" si="853"/>
        <v/>
      </c>
      <c r="AU192" s="43" t="str">
        <f t="shared" si="854"/>
        <v xml:space="preserve">               </v>
      </c>
      <c r="AV192" s="62" t="str">
        <f t="shared" si="855"/>
        <v/>
      </c>
      <c r="AW192" s="20" t="str">
        <f t="shared" si="542"/>
        <v xml:space="preserve">                                                                 </v>
      </c>
      <c r="AX192" s="43" t="str">
        <f t="shared" si="522"/>
        <v/>
      </c>
      <c r="AY192" s="43" t="str">
        <f t="shared" si="523"/>
        <v/>
      </c>
      <c r="AZ192" s="43" t="str">
        <f t="shared" si="524"/>
        <v/>
      </c>
      <c r="BA192" s="43" t="str">
        <f t="shared" si="525"/>
        <v/>
      </c>
      <c r="BB192" s="43" t="str">
        <f t="shared" si="526"/>
        <v/>
      </c>
      <c r="BC192" s="43" t="str">
        <f t="shared" si="527"/>
        <v/>
      </c>
      <c r="BD192" s="43" t="str">
        <f t="shared" si="776"/>
        <v xml:space="preserve"> </v>
      </c>
      <c r="BE192" s="20" t="str">
        <f t="shared" si="858"/>
        <v/>
      </c>
      <c r="BF192" s="20" t="str">
        <f t="shared" si="859"/>
        <v/>
      </c>
      <c r="BG192" s="20" t="str">
        <f t="shared" si="860"/>
        <v/>
      </c>
      <c r="BH192" s="20" t="str">
        <f t="shared" si="861"/>
        <v/>
      </c>
      <c r="BI192" s="20" t="str">
        <f t="shared" si="862"/>
        <v/>
      </c>
      <c r="BJ192" s="20" t="str">
        <f t="shared" si="863"/>
        <v/>
      </c>
      <c r="BM192" s="43"/>
      <c r="BN192" s="43"/>
      <c r="BU192" s="161"/>
      <c r="BV192" s="161"/>
      <c r="BW192" s="161"/>
      <c r="BX192" s="43"/>
    </row>
    <row r="193" spans="1:78" s="20" customFormat="1" hidden="1" outlineLevel="1" x14ac:dyDescent="0.25">
      <c r="A193" s="58"/>
      <c r="D193" s="59"/>
      <c r="F193" s="126" t="s">
        <v>626</v>
      </c>
      <c r="G193" s="60"/>
      <c r="J193" s="20" t="s">
        <v>272</v>
      </c>
      <c r="K193" s="20" t="s">
        <v>12</v>
      </c>
      <c r="L193" s="126"/>
      <c r="M193" s="126"/>
      <c r="N193" s="43" t="str">
        <f t="shared" si="850"/>
        <v>-</v>
      </c>
      <c r="O193" s="20" t="s">
        <v>165</v>
      </c>
      <c r="P193" s="20" t="s">
        <v>395</v>
      </c>
      <c r="Q193" s="20" t="s">
        <v>117</v>
      </c>
      <c r="R193" s="20" t="s">
        <v>456</v>
      </c>
      <c r="V193" s="61">
        <v>3.5179</v>
      </c>
      <c r="W193" s="61">
        <v>-5.9316999999999998E-3</v>
      </c>
      <c r="X193" s="61">
        <v>0</v>
      </c>
      <c r="Y193" s="61">
        <v>4.0400999999999996E-3</v>
      </c>
      <c r="Z193" s="61">
        <v>0</v>
      </c>
      <c r="AA193" s="61">
        <v>0</v>
      </c>
      <c r="AG193" s="159"/>
      <c r="AH193" s="159"/>
      <c r="AI193" s="159"/>
      <c r="AJ193" s="159"/>
      <c r="AK193" s="159"/>
      <c r="AL193" s="159"/>
      <c r="AM193" s="60" t="s">
        <v>396</v>
      </c>
      <c r="AO193" s="43">
        <v>0</v>
      </c>
      <c r="AP193" s="166" t="str">
        <f t="shared" si="856"/>
        <v/>
      </c>
      <c r="AQ193" s="167" t="str">
        <f t="shared" si="851"/>
        <v/>
      </c>
      <c r="AR193" s="166" t="str">
        <f t="shared" si="857"/>
        <v/>
      </c>
      <c r="AS193" s="166" t="str">
        <f t="shared" si="852"/>
        <v/>
      </c>
      <c r="AT193" s="20" t="str">
        <f t="shared" si="853"/>
        <v/>
      </c>
      <c r="AU193" s="43" t="str">
        <f t="shared" si="854"/>
        <v xml:space="preserve">               </v>
      </c>
      <c r="AV193" s="62" t="str">
        <f t="shared" si="855"/>
        <v/>
      </c>
      <c r="AW193" s="20" t="str">
        <f t="shared" si="542"/>
        <v xml:space="preserve">                                                                 </v>
      </c>
      <c r="AX193" s="43" t="str">
        <f t="shared" ref="AX193:BC195" si="864">IF($AO193=1,IF(ISBLANK(V193),"-",CONCATENATE(TEXT(V193," 0.000000;-0.000000"),"  ")),"")</f>
        <v/>
      </c>
      <c r="AY193" s="43" t="str">
        <f t="shared" si="864"/>
        <v/>
      </c>
      <c r="AZ193" s="43" t="str">
        <f t="shared" si="864"/>
        <v/>
      </c>
      <c r="BA193" s="43" t="str">
        <f t="shared" si="864"/>
        <v/>
      </c>
      <c r="BB193" s="43" t="str">
        <f t="shared" si="864"/>
        <v/>
      </c>
      <c r="BC193" s="43" t="str">
        <f t="shared" si="864"/>
        <v/>
      </c>
      <c r="BD193" s="43" t="str">
        <f t="shared" si="776"/>
        <v xml:space="preserve"> </v>
      </c>
      <c r="BE193" s="20" t="str">
        <f t="shared" si="858"/>
        <v/>
      </c>
      <c r="BF193" s="20" t="str">
        <f t="shared" si="859"/>
        <v/>
      </c>
      <c r="BG193" s="20" t="str">
        <f t="shared" si="860"/>
        <v/>
      </c>
      <c r="BH193" s="20" t="str">
        <f t="shared" si="861"/>
        <v/>
      </c>
      <c r="BI193" s="20" t="str">
        <f t="shared" si="862"/>
        <v/>
      </c>
      <c r="BJ193" s="20" t="str">
        <f t="shared" si="863"/>
        <v/>
      </c>
      <c r="BM193" s="43"/>
      <c r="BN193" s="43"/>
      <c r="BU193" s="161"/>
      <c r="BV193" s="161"/>
      <c r="BW193" s="161"/>
      <c r="BX193" s="43"/>
    </row>
    <row r="194" spans="1:78" collapsed="1" x14ac:dyDescent="0.25">
      <c r="A194" s="41" t="s">
        <v>646</v>
      </c>
      <c r="E194" s="20"/>
      <c r="F194" s="20"/>
      <c r="L194" s="76"/>
      <c r="M194" s="76"/>
      <c r="N194" s="43" t="str">
        <f t="shared" si="850"/>
        <v>-</v>
      </c>
      <c r="O194" s="58"/>
      <c r="Q194" s="20"/>
      <c r="R194" s="20"/>
      <c r="S194" s="20"/>
      <c r="T194" s="20"/>
      <c r="U194" s="20"/>
      <c r="AG194" s="158"/>
      <c r="AH194" s="158"/>
      <c r="AI194" s="158"/>
      <c r="AJ194" s="158"/>
      <c r="AK194" s="158"/>
      <c r="AL194" s="158"/>
      <c r="AO194" s="43" t="str">
        <f>IF(ISTEXT(A194),"",IF(I194="IP",0,1))</f>
        <v/>
      </c>
      <c r="AP194" s="166" t="str">
        <f t="shared" ref="AP194:AP195" si="865">IF(AO194=1,CONCATENATE(AQ194,AR194,AS194),"")</f>
        <v/>
      </c>
      <c r="AQ194" s="166" t="str">
        <f>IF(AO194=1,CONCATENATE(AT194,AU194,AV194,AW194,IF(AX194="-","",$AX$15&amp;AX194),IF(AY194="-","",$AY$15&amp;AY194),IF(AZ194="-","",$AZ$15&amp;AZ194),IF(BA194="-","",$BA$15&amp;BA194),IF(BB194="-","",$BB$15&amp;BB194),IF(BC194="-","",$BC$15&amp;BC194)),"")</f>
        <v/>
      </c>
      <c r="AR194" s="166" t="str">
        <f>IF(AO194=1,CONCATENATE(BD194,IF(BE194="-","",$BE$15&amp;BE194),IF(BF194="-","",$BF$15&amp;BF194),IF(BG194="-","",$BG$15&amp;BG194),IF(BH194="-","",$BH$15&amp;BH194),IF(BI194="-","",$BI$15&amp;BI194),IF(BJ194="-","",$BJ$15&amp;BJ194)),"")</f>
        <v/>
      </c>
      <c r="AS194" s="166" t="str">
        <f t="shared" ref="AS194:AS195" si="866">IF(AO194=1,CHAR(13)&amp;CHAR(10)&amp;"..","")</f>
        <v/>
      </c>
      <c r="AT194" s="43" t="str">
        <f>IF(AO194=1,VLOOKUP(O194,$AT$2:$AV$13,2,0),"")</f>
        <v/>
      </c>
      <c r="AU194" s="43" t="str">
        <f t="shared" si="854"/>
        <v xml:space="preserve">               </v>
      </c>
      <c r="AV194" s="62" t="str">
        <f t="shared" si="855"/>
        <v/>
      </c>
      <c r="AW194" s="43" t="str">
        <f>REPT(" ",$AW$14-LEN(AV194))</f>
        <v xml:space="preserve">                                                                 </v>
      </c>
      <c r="AX194" s="43" t="str">
        <f t="shared" si="864"/>
        <v/>
      </c>
      <c r="AY194" s="43" t="str">
        <f t="shared" si="864"/>
        <v/>
      </c>
      <c r="AZ194" s="43" t="str">
        <f t="shared" si="864"/>
        <v/>
      </c>
      <c r="BA194" s="43" t="str">
        <f t="shared" si="864"/>
        <v/>
      </c>
      <c r="BB194" s="43" t="str">
        <f t="shared" si="864"/>
        <v/>
      </c>
      <c r="BC194" s="43" t="str">
        <f t="shared" si="864"/>
        <v/>
      </c>
      <c r="BD194" s="43" t="str">
        <f t="shared" si="776"/>
        <v xml:space="preserve"> </v>
      </c>
      <c r="BE194" s="43" t="str">
        <f t="shared" si="858"/>
        <v/>
      </c>
      <c r="BF194" s="43" t="str">
        <f t="shared" si="859"/>
        <v/>
      </c>
      <c r="BG194" s="43" t="str">
        <f t="shared" si="860"/>
        <v/>
      </c>
      <c r="BH194" s="43" t="str">
        <f t="shared" si="861"/>
        <v/>
      </c>
      <c r="BI194" s="43" t="str">
        <f t="shared" si="862"/>
        <v/>
      </c>
      <c r="BJ194" s="43" t="str">
        <f t="shared" si="863"/>
        <v/>
      </c>
      <c r="BU194" s="147"/>
      <c r="BV194" s="147"/>
      <c r="BW194" s="147"/>
    </row>
    <row r="195" spans="1:78" s="20" customFormat="1" hidden="1" outlineLevel="1" x14ac:dyDescent="0.25">
      <c r="A195" s="58"/>
      <c r="B195" s="20" t="s">
        <v>647</v>
      </c>
      <c r="C195" s="56"/>
      <c r="D195" s="59" t="s">
        <v>648</v>
      </c>
      <c r="E195" s="20" t="s">
        <v>649</v>
      </c>
      <c r="F195" s="20" t="s">
        <v>409</v>
      </c>
      <c r="G195" s="128" t="s">
        <v>657</v>
      </c>
      <c r="H195" s="20" t="s">
        <v>656</v>
      </c>
      <c r="J195" s="20" t="s">
        <v>272</v>
      </c>
      <c r="K195" s="126" t="s">
        <v>655</v>
      </c>
      <c r="L195" s="14" t="s">
        <v>652</v>
      </c>
      <c r="M195" s="16" t="s">
        <v>650</v>
      </c>
      <c r="N195" s="43" t="str">
        <f t="shared" si="850"/>
        <v>WtHtrStorFIRRatio_fQRatio</v>
      </c>
      <c r="O195" s="20" t="s">
        <v>230</v>
      </c>
      <c r="P195" s="20" t="s">
        <v>391</v>
      </c>
      <c r="Q195" s="20" t="s">
        <v>160</v>
      </c>
      <c r="V195" s="61">
        <v>2.1826000000000002E-2</v>
      </c>
      <c r="W195" s="61">
        <v>0.97763</v>
      </c>
      <c r="X195" s="61">
        <v>5.4299999999999997E-4</v>
      </c>
      <c r="Y195" s="61">
        <v>0</v>
      </c>
      <c r="Z195" s="61"/>
      <c r="AA195" s="61"/>
      <c r="AG195" s="159">
        <v>1</v>
      </c>
      <c r="AH195" s="159">
        <v>0.1</v>
      </c>
      <c r="AI195" s="159">
        <v>1</v>
      </c>
      <c r="AJ195" s="159">
        <v>0.1</v>
      </c>
      <c r="AK195" s="159"/>
      <c r="AL195" s="159"/>
      <c r="AM195" s="60"/>
      <c r="AO195" s="43">
        <f>IF(ISTEXT(A195),"",IF(I195="IP",0,1))</f>
        <v>1</v>
      </c>
      <c r="AP195" s="166" t="str">
        <f t="shared" si="865"/>
        <v>CrvCubic       "WtHtrStorFIRRatio_fQRatio"                                      Coef1 =  0.021826  Coef2 =  0.977630  Coef3 =  0.000543  Coef4 =  0.000000  _x000D_
                                                                                MaxOut = 1.000   MinOut = 0.100   MaxVar1 = 1.000   MinVar1 = 0.100   _x000D_
..</v>
      </c>
      <c r="AQ195" s="167" t="str">
        <f>IF(AO195=1,CONCATENATE(AT195,AU195,AV195,AW195,IF(AX195="-","",$AX$15&amp;AX195),IF(AY195="-","",$AY$15&amp;AY195),IF(AZ195="-","",$AZ$15&amp;AZ195),IF(BA195="-","",$BA$15&amp;BA195),IF(BB195="-","",$BB$15&amp;BB195),IF(BC195="-","",$BC$15&amp;BC195)),"")</f>
        <v xml:space="preserve">CrvCubic       "WtHtrStorFIRRatio_fQRatio"                                      Coef1 =  0.021826  Coef2 =  0.977630  Coef3 =  0.000543  Coef4 =  0.000000  </v>
      </c>
      <c r="AR195" s="166" t="str">
        <f>IF(AO195=1,CONCATENATE(BD195,IF(BE195="-","",$BE$15&amp;BE195),IF(BF195="-","",$BF$15&amp;BF195),IF(BG195="-","",$BG$15&amp;BG195),IF(BH195="-","",$BH$15&amp;BH195),IF(BI195="-","",$BI$15&amp;BI195),IF(BJ195="-","",$BJ$15&amp;BJ195)),"")</f>
        <v xml:space="preserve">_x000D_
                                                                                MaxOut = 1.000   MinOut = 0.100   MaxVar1 = 1.000   MinVar1 = 0.100   </v>
      </c>
      <c r="AS195" s="166" t="str">
        <f t="shared" si="866"/>
        <v>_x000D_
..</v>
      </c>
      <c r="AT195" s="20" t="str">
        <f>IF(AO195=1,VLOOKUP(O195,$AT$2:$AV$13,2,0),"")</f>
        <v>CrvCubic</v>
      </c>
      <c r="AU195" s="43" t="str">
        <f t="shared" si="854"/>
        <v xml:space="preserve">       </v>
      </c>
      <c r="AV195" s="62" t="str">
        <f t="shared" si="855"/>
        <v>"WtHtrStorFIRRatio_fQRatio"</v>
      </c>
      <c r="AW195" s="20" t="str">
        <f>REPT(" ",$AW$14-LEN(AV195))</f>
        <v xml:space="preserve">                                      </v>
      </c>
      <c r="AX195" s="43" t="str">
        <f t="shared" si="864"/>
        <v xml:space="preserve"> 0.021826  </v>
      </c>
      <c r="AY195" s="43" t="str">
        <f t="shared" si="864"/>
        <v xml:space="preserve"> 0.977630  </v>
      </c>
      <c r="AZ195" s="43" t="str">
        <f t="shared" si="864"/>
        <v xml:space="preserve"> 0.000543  </v>
      </c>
      <c r="BA195" s="43" t="str">
        <f t="shared" si="864"/>
        <v xml:space="preserve"> 0.000000  </v>
      </c>
      <c r="BB195" s="43" t="str">
        <f t="shared" si="864"/>
        <v>-</v>
      </c>
      <c r="BC195" s="43" t="str">
        <f t="shared" si="864"/>
        <v>-</v>
      </c>
      <c r="BD195" s="43" t="str">
        <f t="shared" si="776"/>
        <v xml:space="preserve">_x000D_
                                                                                </v>
      </c>
      <c r="BE195" s="20" t="str">
        <f t="shared" si="858"/>
        <v xml:space="preserve">1.000   </v>
      </c>
      <c r="BF195" s="20" t="str">
        <f t="shared" si="859"/>
        <v xml:space="preserve">0.100   </v>
      </c>
      <c r="BG195" s="20" t="str">
        <f t="shared" si="860"/>
        <v xml:space="preserve">1.000   </v>
      </c>
      <c r="BH195" s="20" t="str">
        <f t="shared" si="861"/>
        <v xml:space="preserve">0.100   </v>
      </c>
      <c r="BI195" s="20" t="str">
        <f t="shared" si="862"/>
        <v>-</v>
      </c>
      <c r="BJ195" s="20" t="str">
        <f t="shared" si="863"/>
        <v>-</v>
      </c>
      <c r="BM195" s="43" t="str">
        <f t="shared" si="729"/>
        <v>QRatio</v>
      </c>
      <c r="BN195" s="43"/>
      <c r="BO195" s="43">
        <v>1</v>
      </c>
      <c r="BP195" s="43"/>
      <c r="BR195" s="43">
        <v>0</v>
      </c>
      <c r="BU195" s="147">
        <f>$V195+$W195*BO195+$X195*BO195^2</f>
        <v>0.99999899999999997</v>
      </c>
      <c r="BV195" s="161"/>
      <c r="BW195" s="147">
        <f>$V195+$W195*BR195+$X195*BR195^2</f>
        <v>2.1826000000000002E-2</v>
      </c>
      <c r="BX195" s="43"/>
    </row>
    <row r="196" spans="1:78" hidden="1" outlineLevel="1" x14ac:dyDescent="0.25">
      <c r="AV196" s="62" t="str">
        <f t="shared" si="855"/>
        <v/>
      </c>
    </row>
    <row r="197" spans="1:78" x14ac:dyDescent="0.25">
      <c r="A197" s="41" t="s">
        <v>752</v>
      </c>
      <c r="AV197" s="62" t="str">
        <f t="shared" si="855"/>
        <v/>
      </c>
    </row>
    <row r="198" spans="1:78" outlineLevel="1" x14ac:dyDescent="0.25">
      <c r="B198" s="43" t="s">
        <v>927</v>
      </c>
      <c r="D198" s="44" t="s">
        <v>758</v>
      </c>
      <c r="E198" s="43" t="s">
        <v>753</v>
      </c>
      <c r="F198" s="43" t="s">
        <v>754</v>
      </c>
      <c r="G198" s="45" t="s">
        <v>841</v>
      </c>
      <c r="H198" s="43" t="s">
        <v>805</v>
      </c>
      <c r="I198" s="43" t="s">
        <v>660</v>
      </c>
      <c r="J198" s="43" t="s">
        <v>144</v>
      </c>
      <c r="L198" s="43" t="s">
        <v>777</v>
      </c>
      <c r="M198" s="43" t="s">
        <v>778</v>
      </c>
      <c r="N198" s="43" t="str">
        <f t="shared" ref="N198:N225" si="867">IF(ISBLANK(E198),"-",E198&amp;H198&amp;P198&amp;"_f"&amp;Q198&amp;R198&amp;S198&amp;T198&amp;U198&amp;I198)</f>
        <v>VRFSysClgQRatio_fTwbToadbLowSI</v>
      </c>
      <c r="O198" s="43" t="s">
        <v>165</v>
      </c>
      <c r="P198" s="43" t="s">
        <v>160</v>
      </c>
      <c r="Q198" s="43" t="s">
        <v>116</v>
      </c>
      <c r="R198" s="43" t="s">
        <v>460</v>
      </c>
      <c r="S198" s="43" t="s">
        <v>798</v>
      </c>
      <c r="V198" s="61">
        <v>-0.52808179981407355</v>
      </c>
      <c r="W198" s="61">
        <v>0.10850675247366316</v>
      </c>
      <c r="X198" s="61">
        <v>-1.2966581052911805E-3</v>
      </c>
      <c r="Y198" s="61">
        <v>1.1389770109698476E-2</v>
      </c>
      <c r="Z198" s="61">
        <v>-1.4364807062595405E-4</v>
      </c>
      <c r="AA198" s="61">
        <v>-4.9894881755519209E-4</v>
      </c>
      <c r="AI198" s="43">
        <v>28</v>
      </c>
      <c r="AJ198" s="43">
        <v>15</v>
      </c>
      <c r="AK198" s="43">
        <v>32</v>
      </c>
      <c r="AL198" s="43">
        <v>-5</v>
      </c>
      <c r="AO198" s="43">
        <v>0</v>
      </c>
      <c r="AP198" s="166" t="str">
        <f t="shared" ref="AP198:AP225" si="868">IF(AO198=1,CONCATENATE(AQ198,AR198,AS198),"")</f>
        <v/>
      </c>
      <c r="AQ198" s="167" t="str">
        <f t="shared" ref="AQ198:AQ225" si="869">IF(AO198=1,CONCATENATE(AT198,AU198,AV198,AW198,IF(AX198="-","",$AX$15&amp;AX198),IF(AY198="-","",$AY$15&amp;AY198),IF(AZ198="-","",$AZ$15&amp;AZ198),IF(BA198="-","",$BA$15&amp;BA198),IF(BB198="-","",$BB$15&amp;BB198),IF(BC198="-","",$BC$15&amp;BC198)),"")</f>
        <v/>
      </c>
      <c r="AR198" s="166" t="str">
        <f t="shared" ref="AR198:AR225" si="870">IF(AO198=1,CONCATENATE(BD198,IF(BE198="-","",$BE$15&amp;BE198),IF(BF198="-","",$BF$15&amp;BF198),IF(BG198="-","",$BG$15&amp;BG198),IF(BH198="-","",$BH$15&amp;BH198),IF(BI198="-","",$BI$15&amp;BI198),IF(BJ198="-","",$BJ$15&amp;BJ198)),"")</f>
        <v/>
      </c>
      <c r="AS198" s="166" t="str">
        <f t="shared" ref="AS198:AS225" si="871">IF(AO198=1,CHAR(13)&amp;CHAR(10)&amp;"..","")</f>
        <v/>
      </c>
      <c r="AT198" s="20" t="str">
        <f t="shared" ref="AT198:AT225" si="872">IF(AO198=1,VLOOKUP(O198,$AT$2:$AV$13,2,0),"")</f>
        <v/>
      </c>
      <c r="AU198" s="43" t="str">
        <f t="shared" ref="AU198:AU225" si="873">REPT(" ",AU$14-LEN(AT198))</f>
        <v xml:space="preserve">               </v>
      </c>
      <c r="AV198" s="62" t="str">
        <f t="shared" si="855"/>
        <v/>
      </c>
      <c r="AW198" s="20" t="str">
        <f t="shared" ref="AW198:AW225" si="874">REPT(" ",$AW$14-LEN(AV198))</f>
        <v xml:space="preserve">                                                                 </v>
      </c>
      <c r="AX198" s="43" t="str">
        <f t="shared" ref="AX198:BC213" si="875">IF($AO198=1,IF(ISBLANK(V198),"-",CONCATENATE(TEXT(V198," 0.000000;-0.000000"),"  ")),"")</f>
        <v/>
      </c>
      <c r="AY198" s="43" t="str">
        <f t="shared" si="875"/>
        <v/>
      </c>
      <c r="AZ198" s="43" t="str">
        <f t="shared" si="875"/>
        <v/>
      </c>
      <c r="BA198" s="43" t="str">
        <f t="shared" si="875"/>
        <v/>
      </c>
      <c r="BB198" s="43" t="str">
        <f t="shared" si="875"/>
        <v/>
      </c>
      <c r="BC198" s="43" t="str">
        <f t="shared" si="875"/>
        <v/>
      </c>
      <c r="BE198" s="20" t="str">
        <f t="shared" ref="BE198:BJ225" si="876">IF($AO198=1,IF(AG198="","-",CONCATENATE(TEXT(AG198,"0.000"),"   ")),"")</f>
        <v/>
      </c>
      <c r="BF198" s="20" t="str">
        <f t="shared" si="876"/>
        <v/>
      </c>
      <c r="BG198" s="20" t="str">
        <f t="shared" si="876"/>
        <v/>
      </c>
      <c r="BH198" s="20" t="str">
        <f t="shared" si="876"/>
        <v/>
      </c>
      <c r="BI198" s="20" t="str">
        <f t="shared" si="876"/>
        <v/>
      </c>
      <c r="BJ198" s="20" t="str">
        <f t="shared" si="876"/>
        <v/>
      </c>
      <c r="BK198" s="20"/>
      <c r="BL198" s="20"/>
      <c r="BM198" s="43" t="str">
        <f t="shared" ref="BM198:BN225" si="877">Q198</f>
        <v>Twb</v>
      </c>
      <c r="BN198" s="43" t="str">
        <f t="shared" si="877"/>
        <v>Toadb</v>
      </c>
      <c r="BQ198" s="20">
        <f>AI198</f>
        <v>28</v>
      </c>
      <c r="BR198" s="43">
        <f t="shared" ref="BR198:BT212" si="878">AJ198</f>
        <v>15</v>
      </c>
      <c r="BS198" s="20">
        <f t="shared" si="878"/>
        <v>32</v>
      </c>
      <c r="BT198" s="20">
        <f t="shared" si="878"/>
        <v>-5</v>
      </c>
      <c r="BU198" s="147"/>
      <c r="BV198" s="161">
        <f t="shared" ref="BV198:BW206" si="879">$V198+$W198*BQ198+$X198*BQ198^2+$Y198*BS198+$Z198*BS198^2+$AA198*BQ198*BS198</f>
        <v>1.2638461935601319</v>
      </c>
      <c r="BW198" s="147">
        <f t="shared" si="879"/>
        <v>0.78465252260285634</v>
      </c>
      <c r="BY198" s="20"/>
      <c r="BZ198" s="20"/>
    </row>
    <row r="199" spans="1:78" outlineLevel="1" x14ac:dyDescent="0.25">
      <c r="E199" s="43" t="s">
        <v>753</v>
      </c>
      <c r="F199" s="43" t="s">
        <v>755</v>
      </c>
      <c r="G199" s="45" t="s">
        <v>841</v>
      </c>
      <c r="H199" s="43" t="s">
        <v>805</v>
      </c>
      <c r="I199" s="43" t="s">
        <v>660</v>
      </c>
      <c r="J199" s="43" t="s">
        <v>144</v>
      </c>
      <c r="L199" s="43" t="s">
        <v>777</v>
      </c>
      <c r="M199" s="43" t="s">
        <v>779</v>
      </c>
      <c r="N199" s="43" t="str">
        <f t="shared" si="867"/>
        <v>VRFSysClgCapBdry_fTwbSI</v>
      </c>
      <c r="O199" s="43" t="s">
        <v>286</v>
      </c>
      <c r="P199" s="43" t="s">
        <v>801</v>
      </c>
      <c r="Q199" s="43" t="s">
        <v>116</v>
      </c>
      <c r="V199" s="61">
        <v>37.830798073405703</v>
      </c>
      <c r="W199" s="61">
        <v>-0.55469607364955575</v>
      </c>
      <c r="AI199" s="43">
        <v>28</v>
      </c>
      <c r="AJ199" s="43">
        <v>15</v>
      </c>
      <c r="AO199" s="43">
        <v>0</v>
      </c>
      <c r="AP199" s="166" t="str">
        <f t="shared" si="868"/>
        <v/>
      </c>
      <c r="AQ199" s="167" t="str">
        <f t="shared" si="869"/>
        <v/>
      </c>
      <c r="AR199" s="166" t="str">
        <f t="shared" si="870"/>
        <v/>
      </c>
      <c r="AS199" s="166" t="str">
        <f t="shared" si="871"/>
        <v/>
      </c>
      <c r="AT199" s="20" t="str">
        <f t="shared" si="872"/>
        <v/>
      </c>
      <c r="AU199" s="43" t="str">
        <f t="shared" si="873"/>
        <v xml:space="preserve">               </v>
      </c>
      <c r="AV199" s="62" t="str">
        <f t="shared" si="855"/>
        <v/>
      </c>
      <c r="AW199" s="20" t="str">
        <f t="shared" si="874"/>
        <v xml:space="preserve">                                                                 </v>
      </c>
      <c r="AX199" s="43" t="str">
        <f t="shared" si="875"/>
        <v/>
      </c>
      <c r="AY199" s="43" t="str">
        <f t="shared" si="875"/>
        <v/>
      </c>
      <c r="AZ199" s="43" t="str">
        <f t="shared" si="875"/>
        <v/>
      </c>
      <c r="BA199" s="43" t="str">
        <f t="shared" si="875"/>
        <v/>
      </c>
      <c r="BB199" s="43" t="str">
        <f t="shared" si="875"/>
        <v/>
      </c>
      <c r="BC199" s="43" t="str">
        <f t="shared" si="875"/>
        <v/>
      </c>
      <c r="BE199" s="20" t="str">
        <f t="shared" si="876"/>
        <v/>
      </c>
      <c r="BF199" s="20" t="str">
        <f t="shared" si="876"/>
        <v/>
      </c>
      <c r="BG199" s="20" t="str">
        <f t="shared" si="876"/>
        <v/>
      </c>
      <c r="BH199" s="20" t="str">
        <f t="shared" si="876"/>
        <v/>
      </c>
      <c r="BI199" s="20" t="str">
        <f t="shared" si="876"/>
        <v/>
      </c>
      <c r="BJ199" s="20" t="str">
        <f t="shared" si="876"/>
        <v/>
      </c>
      <c r="BK199" s="20"/>
      <c r="BL199" s="20"/>
      <c r="BM199" s="43" t="str">
        <f t="shared" si="877"/>
        <v>Twb</v>
      </c>
      <c r="BQ199" s="20">
        <f t="shared" ref="BQ199:BQ206" si="880">AI199</f>
        <v>28</v>
      </c>
      <c r="BR199" s="43">
        <f t="shared" si="878"/>
        <v>15</v>
      </c>
      <c r="BS199" s="20"/>
      <c r="BT199" s="20"/>
      <c r="BU199" s="147"/>
      <c r="BV199" s="161">
        <f t="shared" si="879"/>
        <v>22.299308011218141</v>
      </c>
      <c r="BW199" s="147">
        <f t="shared" si="879"/>
        <v>29.510356968662364</v>
      </c>
      <c r="BY199" s="20"/>
      <c r="BZ199" s="20"/>
    </row>
    <row r="200" spans="1:78" outlineLevel="1" x14ac:dyDescent="0.25">
      <c r="E200" s="43" t="s">
        <v>753</v>
      </c>
      <c r="F200" s="43" t="s">
        <v>756</v>
      </c>
      <c r="G200" s="45" t="s">
        <v>841</v>
      </c>
      <c r="H200" s="43" t="s">
        <v>805</v>
      </c>
      <c r="I200" s="43" t="s">
        <v>660</v>
      </c>
      <c r="J200" s="43" t="s">
        <v>144</v>
      </c>
      <c r="L200" s="43" t="s">
        <v>777</v>
      </c>
      <c r="M200" s="43" t="s">
        <v>780</v>
      </c>
      <c r="N200" s="43" t="str">
        <f t="shared" si="867"/>
        <v>VRFSysClgQRatio_fTwbToadbHiSI</v>
      </c>
      <c r="O200" s="43" t="s">
        <v>165</v>
      </c>
      <c r="P200" s="43" t="s">
        <v>160</v>
      </c>
      <c r="Q200" s="43" t="s">
        <v>116</v>
      </c>
      <c r="R200" s="43" t="s">
        <v>460</v>
      </c>
      <c r="S200" s="43" t="s">
        <v>799</v>
      </c>
      <c r="V200" s="61">
        <v>-0.90682268573604685</v>
      </c>
      <c r="W200" s="61">
        <v>0.15953535010152778</v>
      </c>
      <c r="X200" s="61">
        <v>-2.594790903347828E-3</v>
      </c>
      <c r="Y200" s="61">
        <v>5.2256215945808661E-3</v>
      </c>
      <c r="Z200" s="61">
        <v>-2.1870702048641042E-5</v>
      </c>
      <c r="AA200" s="61">
        <v>-5.5824946859047645E-4</v>
      </c>
      <c r="AI200" s="43">
        <v>28</v>
      </c>
      <c r="AJ200" s="43">
        <v>15</v>
      </c>
      <c r="AK200" s="43">
        <v>45</v>
      </c>
      <c r="AL200" s="43">
        <v>22</v>
      </c>
      <c r="AO200" s="43">
        <v>0</v>
      </c>
      <c r="AP200" s="166" t="str">
        <f t="shared" si="868"/>
        <v/>
      </c>
      <c r="AQ200" s="167" t="str">
        <f t="shared" si="869"/>
        <v/>
      </c>
      <c r="AR200" s="166" t="str">
        <f t="shared" si="870"/>
        <v/>
      </c>
      <c r="AS200" s="166" t="str">
        <f t="shared" si="871"/>
        <v/>
      </c>
      <c r="AT200" s="20" t="str">
        <f t="shared" si="872"/>
        <v/>
      </c>
      <c r="AU200" s="43" t="str">
        <f t="shared" si="873"/>
        <v xml:space="preserve">               </v>
      </c>
      <c r="AV200" s="62" t="str">
        <f t="shared" si="855"/>
        <v/>
      </c>
      <c r="AW200" s="20" t="str">
        <f t="shared" si="874"/>
        <v xml:space="preserve">                                                                 </v>
      </c>
      <c r="AX200" s="43" t="str">
        <f t="shared" si="875"/>
        <v/>
      </c>
      <c r="AY200" s="43" t="str">
        <f t="shared" si="875"/>
        <v/>
      </c>
      <c r="AZ200" s="43" t="str">
        <f t="shared" si="875"/>
        <v/>
      </c>
      <c r="BA200" s="43" t="str">
        <f t="shared" si="875"/>
        <v/>
      </c>
      <c r="BB200" s="43" t="str">
        <f t="shared" si="875"/>
        <v/>
      </c>
      <c r="BC200" s="43" t="str">
        <f t="shared" si="875"/>
        <v/>
      </c>
      <c r="BE200" s="20" t="str">
        <f t="shared" si="876"/>
        <v/>
      </c>
      <c r="BF200" s="20" t="str">
        <f t="shared" si="876"/>
        <v/>
      </c>
      <c r="BG200" s="20" t="str">
        <f t="shared" si="876"/>
        <v/>
      </c>
      <c r="BH200" s="20" t="str">
        <f t="shared" si="876"/>
        <v/>
      </c>
      <c r="BI200" s="20" t="str">
        <f t="shared" si="876"/>
        <v/>
      </c>
      <c r="BJ200" s="20" t="str">
        <f t="shared" si="876"/>
        <v/>
      </c>
      <c r="BK200" s="20"/>
      <c r="BL200" s="20"/>
      <c r="BM200" s="43" t="str">
        <f t="shared" si="877"/>
        <v>Twb</v>
      </c>
      <c r="BN200" s="43" t="str">
        <f t="shared" si="877"/>
        <v>Toadb</v>
      </c>
      <c r="BQ200" s="20">
        <f t="shared" si="880"/>
        <v>28</v>
      </c>
      <c r="BR200" s="43">
        <f t="shared" si="878"/>
        <v>15</v>
      </c>
      <c r="BS200" s="20">
        <f t="shared" si="878"/>
        <v>45</v>
      </c>
      <c r="BT200" s="20">
        <f t="shared" si="878"/>
        <v>22</v>
      </c>
      <c r="BU200" s="147"/>
      <c r="BV200" s="161">
        <f t="shared" si="879"/>
        <v>1.0133215185656748</v>
      </c>
      <c r="BW200" s="147">
        <f t="shared" si="879"/>
        <v>0.82253554318798805</v>
      </c>
      <c r="BY200" s="20"/>
      <c r="BZ200" s="20"/>
    </row>
    <row r="201" spans="1:78" outlineLevel="1" x14ac:dyDescent="0.25">
      <c r="E201" s="43" t="s">
        <v>753</v>
      </c>
      <c r="F201" s="43" t="s">
        <v>757</v>
      </c>
      <c r="G201" s="45" t="s">
        <v>841</v>
      </c>
      <c r="H201" s="43" t="s">
        <v>805</v>
      </c>
      <c r="J201" s="43" t="s">
        <v>144</v>
      </c>
      <c r="L201" s="43" t="s">
        <v>777</v>
      </c>
      <c r="M201" s="43" t="s">
        <v>781</v>
      </c>
      <c r="N201" s="43" t="str">
        <f t="shared" si="867"/>
        <v>VRFSysClgQRatio_fCombRat</v>
      </c>
      <c r="O201" s="43" t="s">
        <v>162</v>
      </c>
      <c r="P201" s="43" t="s">
        <v>160</v>
      </c>
      <c r="Q201" s="43" t="s">
        <v>802</v>
      </c>
      <c r="V201" s="61">
        <v>-0.4573533708310703</v>
      </c>
      <c r="W201" s="61">
        <v>2.2993155651009354</v>
      </c>
      <c r="X201" s="61">
        <v>-0.85255663151014405</v>
      </c>
      <c r="AI201" s="43">
        <v>1.3</v>
      </c>
      <c r="AJ201" s="43">
        <v>0.5</v>
      </c>
      <c r="AO201" s="43">
        <v>0</v>
      </c>
      <c r="AP201" s="166" t="str">
        <f t="shared" si="868"/>
        <v/>
      </c>
      <c r="AQ201" s="167" t="str">
        <f t="shared" si="869"/>
        <v/>
      </c>
      <c r="AR201" s="166" t="str">
        <f t="shared" si="870"/>
        <v/>
      </c>
      <c r="AS201" s="166" t="str">
        <f t="shared" si="871"/>
        <v/>
      </c>
      <c r="AT201" s="20" t="str">
        <f t="shared" si="872"/>
        <v/>
      </c>
      <c r="AU201" s="43" t="str">
        <f t="shared" si="873"/>
        <v xml:space="preserve">               </v>
      </c>
      <c r="AV201" s="62" t="str">
        <f t="shared" si="855"/>
        <v/>
      </c>
      <c r="AW201" s="20" t="str">
        <f t="shared" si="874"/>
        <v xml:space="preserve">                                                                 </v>
      </c>
      <c r="AX201" s="43" t="str">
        <f t="shared" si="875"/>
        <v/>
      </c>
      <c r="AY201" s="43" t="str">
        <f t="shared" si="875"/>
        <v/>
      </c>
      <c r="AZ201" s="43" t="str">
        <f t="shared" si="875"/>
        <v/>
      </c>
      <c r="BA201" s="43" t="str">
        <f t="shared" si="875"/>
        <v/>
      </c>
      <c r="BB201" s="43" t="str">
        <f t="shared" si="875"/>
        <v/>
      </c>
      <c r="BC201" s="43" t="str">
        <f t="shared" si="875"/>
        <v/>
      </c>
      <c r="BE201" s="20" t="str">
        <f t="shared" si="876"/>
        <v/>
      </c>
      <c r="BF201" s="20" t="str">
        <f t="shared" si="876"/>
        <v/>
      </c>
      <c r="BG201" s="20" t="str">
        <f t="shared" si="876"/>
        <v/>
      </c>
      <c r="BH201" s="20" t="str">
        <f t="shared" si="876"/>
        <v/>
      </c>
      <c r="BI201" s="20" t="str">
        <f t="shared" si="876"/>
        <v/>
      </c>
      <c r="BJ201" s="20" t="str">
        <f t="shared" si="876"/>
        <v/>
      </c>
      <c r="BK201" s="20"/>
      <c r="BL201" s="20"/>
      <c r="BM201" s="43" t="str">
        <f t="shared" si="877"/>
        <v>CombRat</v>
      </c>
      <c r="BQ201" s="20">
        <f t="shared" si="880"/>
        <v>1.3</v>
      </c>
      <c r="BR201" s="43">
        <f t="shared" si="878"/>
        <v>0.5</v>
      </c>
      <c r="BS201" s="20"/>
      <c r="BT201" s="20"/>
      <c r="BU201" s="147"/>
      <c r="BV201" s="161">
        <f t="shared" si="879"/>
        <v>1.0909361565480022</v>
      </c>
      <c r="BW201" s="147">
        <f t="shared" si="879"/>
        <v>0.47916525384186137</v>
      </c>
      <c r="BY201" s="20"/>
      <c r="BZ201" s="20"/>
    </row>
    <row r="202" spans="1:78" outlineLevel="1" x14ac:dyDescent="0.25">
      <c r="E202" s="43" t="s">
        <v>753</v>
      </c>
      <c r="F202" s="43" t="s">
        <v>762</v>
      </c>
      <c r="G202" s="45" t="s">
        <v>841</v>
      </c>
      <c r="H202" s="43" t="s">
        <v>807</v>
      </c>
      <c r="I202" s="43" t="s">
        <v>660</v>
      </c>
      <c r="J202" s="43" t="s">
        <v>144</v>
      </c>
      <c r="L202" s="43" t="s">
        <v>777</v>
      </c>
      <c r="M202" s="43" t="s">
        <v>786</v>
      </c>
      <c r="N202" s="43" t="str">
        <f t="shared" si="867"/>
        <v>VRFSysHtRcvryClgQRatio_fTwbToadbSI</v>
      </c>
      <c r="O202" s="43" t="s">
        <v>165</v>
      </c>
      <c r="P202" s="43" t="s">
        <v>160</v>
      </c>
      <c r="Q202" s="43" t="s">
        <v>116</v>
      </c>
      <c r="R202" s="43" t="s">
        <v>460</v>
      </c>
      <c r="V202" s="61">
        <v>-0.52808179981407355</v>
      </c>
      <c r="W202" s="61">
        <v>0.10850675247366316</v>
      </c>
      <c r="X202" s="61">
        <v>-1.2966581052911805E-3</v>
      </c>
      <c r="Y202" s="61">
        <v>1.1389770109698476E-2</v>
      </c>
      <c r="Z202" s="61">
        <v>-1.4364807062595405E-4</v>
      </c>
      <c r="AA202" s="61">
        <v>-4.9894881755519209E-4</v>
      </c>
      <c r="AI202" s="43">
        <v>28</v>
      </c>
      <c r="AJ202" s="43">
        <v>15</v>
      </c>
      <c r="AK202" s="43">
        <v>45</v>
      </c>
      <c r="AL202" s="43">
        <v>-5</v>
      </c>
      <c r="AO202" s="43">
        <v>0</v>
      </c>
      <c r="AP202" s="166" t="str">
        <f t="shared" si="868"/>
        <v/>
      </c>
      <c r="AQ202" s="167" t="str">
        <f t="shared" si="869"/>
        <v/>
      </c>
      <c r="AR202" s="166" t="str">
        <f t="shared" si="870"/>
        <v/>
      </c>
      <c r="AS202" s="166" t="str">
        <f t="shared" si="871"/>
        <v/>
      </c>
      <c r="AT202" s="20" t="str">
        <f t="shared" si="872"/>
        <v/>
      </c>
      <c r="AU202" s="43" t="str">
        <f t="shared" si="873"/>
        <v xml:space="preserve">               </v>
      </c>
      <c r="AV202" s="62" t="str">
        <f t="shared" si="855"/>
        <v/>
      </c>
      <c r="AW202" s="20" t="str">
        <f t="shared" si="874"/>
        <v xml:space="preserve">                                                                 </v>
      </c>
      <c r="AX202" s="43" t="str">
        <f t="shared" si="875"/>
        <v/>
      </c>
      <c r="AY202" s="43" t="str">
        <f t="shared" si="875"/>
        <v/>
      </c>
      <c r="AZ202" s="43" t="str">
        <f t="shared" si="875"/>
        <v/>
      </c>
      <c r="BA202" s="43" t="str">
        <f t="shared" si="875"/>
        <v/>
      </c>
      <c r="BB202" s="43" t="str">
        <f t="shared" si="875"/>
        <v/>
      </c>
      <c r="BC202" s="43" t="str">
        <f t="shared" si="875"/>
        <v/>
      </c>
      <c r="BE202" s="20" t="str">
        <f t="shared" si="876"/>
        <v/>
      </c>
      <c r="BF202" s="20" t="str">
        <f t="shared" si="876"/>
        <v/>
      </c>
      <c r="BG202" s="20" t="str">
        <f t="shared" si="876"/>
        <v/>
      </c>
      <c r="BH202" s="20" t="str">
        <f t="shared" si="876"/>
        <v/>
      </c>
      <c r="BI202" s="20" t="str">
        <f t="shared" si="876"/>
        <v/>
      </c>
      <c r="BJ202" s="20" t="str">
        <f t="shared" si="876"/>
        <v/>
      </c>
      <c r="BK202" s="20"/>
      <c r="BL202" s="20"/>
      <c r="BM202" s="43" t="str">
        <f t="shared" si="877"/>
        <v>Twb</v>
      </c>
      <c r="BN202" s="43" t="str">
        <f t="shared" si="877"/>
        <v>Toadb</v>
      </c>
      <c r="BQ202" s="20">
        <f t="shared" si="880"/>
        <v>28</v>
      </c>
      <c r="BR202" s="43">
        <f t="shared" si="878"/>
        <v>15</v>
      </c>
      <c r="BS202" s="20">
        <f t="shared" si="878"/>
        <v>45</v>
      </c>
      <c r="BT202" s="20">
        <f t="shared" si="878"/>
        <v>-5</v>
      </c>
      <c r="BU202" s="147"/>
      <c r="BV202" s="161">
        <f t="shared" si="879"/>
        <v>1.0865041166995419</v>
      </c>
      <c r="BW202" s="147">
        <f t="shared" si="879"/>
        <v>0.78465252260285634</v>
      </c>
      <c r="BY202" s="20"/>
      <c r="BZ202" s="20"/>
    </row>
    <row r="203" spans="1:78" outlineLevel="1" x14ac:dyDescent="0.25">
      <c r="E203" s="43" t="s">
        <v>753</v>
      </c>
      <c r="F203" s="43" t="s">
        <v>759</v>
      </c>
      <c r="G203" s="45" t="s">
        <v>841</v>
      </c>
      <c r="H203" s="43" t="s">
        <v>806</v>
      </c>
      <c r="I203" s="43" t="s">
        <v>660</v>
      </c>
      <c r="J203" s="43" t="s">
        <v>144</v>
      </c>
      <c r="L203" s="43" t="s">
        <v>777</v>
      </c>
      <c r="M203" s="43" t="s">
        <v>782</v>
      </c>
      <c r="N203" s="43" t="str">
        <f t="shared" si="867"/>
        <v>VRFSysHtgQRatio_fTdbToadbLowSI</v>
      </c>
      <c r="O203" s="43" t="s">
        <v>165</v>
      </c>
      <c r="P203" s="43" t="s">
        <v>160</v>
      </c>
      <c r="Q203" s="43" t="s">
        <v>117</v>
      </c>
      <c r="R203" s="43" t="s">
        <v>460</v>
      </c>
      <c r="S203" s="43" t="s">
        <v>798</v>
      </c>
      <c r="V203" s="61">
        <v>0.95034152101581315</v>
      </c>
      <c r="W203" s="61">
        <v>3.176195593296266E-3</v>
      </c>
      <c r="X203" s="61">
        <v>-2.4003853457861565E-4</v>
      </c>
      <c r="Y203" s="61">
        <v>3.1418757591105198E-2</v>
      </c>
      <c r="Z203" s="61">
        <v>3.6330996033134128E-4</v>
      </c>
      <c r="AA203" s="61">
        <v>-3.3430525246493597E-4</v>
      </c>
      <c r="AI203" s="43">
        <v>25</v>
      </c>
      <c r="AJ203" s="43">
        <v>12</v>
      </c>
      <c r="AK203" s="43">
        <v>7</v>
      </c>
      <c r="AL203" s="43">
        <v>-20</v>
      </c>
      <c r="AO203" s="43">
        <v>0</v>
      </c>
      <c r="AP203" s="166" t="str">
        <f t="shared" si="868"/>
        <v/>
      </c>
      <c r="AQ203" s="167" t="str">
        <f t="shared" si="869"/>
        <v/>
      </c>
      <c r="AR203" s="166" t="str">
        <f t="shared" si="870"/>
        <v/>
      </c>
      <c r="AS203" s="166" t="str">
        <f t="shared" si="871"/>
        <v/>
      </c>
      <c r="AT203" s="20" t="str">
        <f t="shared" si="872"/>
        <v/>
      </c>
      <c r="AU203" s="43" t="str">
        <f t="shared" si="873"/>
        <v xml:space="preserve">               </v>
      </c>
      <c r="AV203" s="62" t="str">
        <f t="shared" si="855"/>
        <v/>
      </c>
      <c r="AW203" s="20" t="str">
        <f t="shared" si="874"/>
        <v xml:space="preserve">                                                                 </v>
      </c>
      <c r="AX203" s="43" t="str">
        <f t="shared" si="875"/>
        <v/>
      </c>
      <c r="AY203" s="43" t="str">
        <f t="shared" si="875"/>
        <v/>
      </c>
      <c r="AZ203" s="43" t="str">
        <f t="shared" si="875"/>
        <v/>
      </c>
      <c r="BA203" s="43" t="str">
        <f t="shared" si="875"/>
        <v/>
      </c>
      <c r="BB203" s="43" t="str">
        <f t="shared" si="875"/>
        <v/>
      </c>
      <c r="BC203" s="43" t="str">
        <f t="shared" si="875"/>
        <v/>
      </c>
      <c r="BE203" s="20" t="str">
        <f t="shared" si="876"/>
        <v/>
      </c>
      <c r="BF203" s="20" t="str">
        <f t="shared" si="876"/>
        <v/>
      </c>
      <c r="BG203" s="20" t="str">
        <f t="shared" si="876"/>
        <v/>
      </c>
      <c r="BH203" s="20" t="str">
        <f t="shared" si="876"/>
        <v/>
      </c>
      <c r="BI203" s="20" t="str">
        <f t="shared" si="876"/>
        <v/>
      </c>
      <c r="BJ203" s="20" t="str">
        <f t="shared" si="876"/>
        <v/>
      </c>
      <c r="BK203" s="20"/>
      <c r="BL203" s="20"/>
      <c r="BM203" s="43" t="str">
        <f t="shared" si="877"/>
        <v>Tdb</v>
      </c>
      <c r="BN203" s="43" t="str">
        <f t="shared" si="877"/>
        <v>Toadb</v>
      </c>
      <c r="BQ203" s="20">
        <f t="shared" si="880"/>
        <v>25</v>
      </c>
      <c r="BR203" s="43">
        <f t="shared" si="878"/>
        <v>12</v>
      </c>
      <c r="BS203" s="20">
        <f t="shared" si="878"/>
        <v>7</v>
      </c>
      <c r="BT203" s="20">
        <f t="shared" si="878"/>
        <v>-20</v>
      </c>
      <c r="BU203" s="147"/>
      <c r="BV203" s="161">
        <f t="shared" si="879"/>
        <v>1.0589523987491933</v>
      </c>
      <c r="BW203" s="147">
        <f t="shared" si="879"/>
        <v>0.55107241205806501</v>
      </c>
      <c r="BY203" s="20"/>
      <c r="BZ203" s="20"/>
    </row>
    <row r="204" spans="1:78" outlineLevel="1" x14ac:dyDescent="0.25">
      <c r="E204" s="43" t="s">
        <v>753</v>
      </c>
      <c r="F204" s="43" t="s">
        <v>815</v>
      </c>
      <c r="G204" s="45" t="s">
        <v>841</v>
      </c>
      <c r="H204" s="43" t="s">
        <v>806</v>
      </c>
      <c r="I204" s="43" t="s">
        <v>660</v>
      </c>
      <c r="J204" s="43" t="s">
        <v>144</v>
      </c>
      <c r="L204" s="43" t="s">
        <v>777</v>
      </c>
      <c r="M204" s="43" t="s">
        <v>783</v>
      </c>
      <c r="N204" s="43" t="str">
        <f t="shared" si="867"/>
        <v>VRFSysHtgCapBdry_fTdbSI</v>
      </c>
      <c r="O204" s="43" t="s">
        <v>162</v>
      </c>
      <c r="P204" s="43" t="s">
        <v>801</v>
      </c>
      <c r="Q204" s="43" t="s">
        <v>117</v>
      </c>
      <c r="V204" s="61">
        <v>-38.662146343899053</v>
      </c>
      <c r="W204" s="61">
        <v>5.2351709478316586</v>
      </c>
      <c r="X204" s="61">
        <v>-0.15369276785977504</v>
      </c>
      <c r="AI204" s="43">
        <v>25</v>
      </c>
      <c r="AJ204" s="43">
        <v>12</v>
      </c>
      <c r="AO204" s="43">
        <v>0</v>
      </c>
      <c r="AP204" s="166" t="str">
        <f t="shared" si="868"/>
        <v/>
      </c>
      <c r="AQ204" s="167" t="str">
        <f t="shared" si="869"/>
        <v/>
      </c>
      <c r="AR204" s="166" t="str">
        <f t="shared" si="870"/>
        <v/>
      </c>
      <c r="AS204" s="166" t="str">
        <f t="shared" si="871"/>
        <v/>
      </c>
      <c r="AT204" s="20" t="str">
        <f t="shared" si="872"/>
        <v/>
      </c>
      <c r="AU204" s="43" t="str">
        <f t="shared" si="873"/>
        <v xml:space="preserve">               </v>
      </c>
      <c r="AV204" s="62" t="str">
        <f t="shared" si="855"/>
        <v/>
      </c>
      <c r="AW204" s="20" t="str">
        <f t="shared" si="874"/>
        <v xml:space="preserve">                                                                 </v>
      </c>
      <c r="AX204" s="43" t="str">
        <f t="shared" si="875"/>
        <v/>
      </c>
      <c r="AY204" s="43" t="str">
        <f t="shared" si="875"/>
        <v/>
      </c>
      <c r="AZ204" s="43" t="str">
        <f t="shared" si="875"/>
        <v/>
      </c>
      <c r="BA204" s="43" t="str">
        <f t="shared" si="875"/>
        <v/>
      </c>
      <c r="BB204" s="43" t="str">
        <f t="shared" si="875"/>
        <v/>
      </c>
      <c r="BC204" s="43" t="str">
        <f t="shared" si="875"/>
        <v/>
      </c>
      <c r="BE204" s="20" t="str">
        <f t="shared" si="876"/>
        <v/>
      </c>
      <c r="BF204" s="20" t="str">
        <f t="shared" si="876"/>
        <v/>
      </c>
      <c r="BG204" s="20" t="str">
        <f t="shared" si="876"/>
        <v/>
      </c>
      <c r="BH204" s="20" t="str">
        <f t="shared" si="876"/>
        <v/>
      </c>
      <c r="BI204" s="20" t="str">
        <f t="shared" si="876"/>
        <v/>
      </c>
      <c r="BJ204" s="20" t="str">
        <f t="shared" si="876"/>
        <v/>
      </c>
      <c r="BK204" s="20"/>
      <c r="BL204" s="20"/>
      <c r="BM204" s="43" t="str">
        <f t="shared" si="877"/>
        <v>Tdb</v>
      </c>
      <c r="BQ204" s="20">
        <f t="shared" si="880"/>
        <v>25</v>
      </c>
      <c r="BR204" s="43">
        <f t="shared" si="878"/>
        <v>12</v>
      </c>
      <c r="BS204" s="20"/>
      <c r="BT204" s="20"/>
      <c r="BU204" s="147"/>
      <c r="BV204" s="161">
        <f t="shared" si="879"/>
        <v>-3.840852560466999</v>
      </c>
      <c r="BW204" s="147">
        <f t="shared" si="879"/>
        <v>2.0281464582732447</v>
      </c>
      <c r="BY204" s="20"/>
      <c r="BZ204" s="20"/>
    </row>
    <row r="205" spans="1:78" outlineLevel="1" x14ac:dyDescent="0.25">
      <c r="E205" s="43" t="s">
        <v>753</v>
      </c>
      <c r="F205" s="43" t="s">
        <v>760</v>
      </c>
      <c r="G205" s="45" t="s">
        <v>841</v>
      </c>
      <c r="H205" s="43" t="s">
        <v>806</v>
      </c>
      <c r="I205" s="43" t="s">
        <v>660</v>
      </c>
      <c r="J205" s="43" t="s">
        <v>144</v>
      </c>
      <c r="L205" s="43" t="s">
        <v>777</v>
      </c>
      <c r="M205" s="43" t="s">
        <v>784</v>
      </c>
      <c r="N205" s="43" t="str">
        <f t="shared" si="867"/>
        <v>VRFSysHtgQRatio_fTdbToadbHiSI</v>
      </c>
      <c r="O205" s="43" t="s">
        <v>165</v>
      </c>
      <c r="P205" s="43" t="s">
        <v>160</v>
      </c>
      <c r="Q205" s="43" t="s">
        <v>117</v>
      </c>
      <c r="R205" s="43" t="s">
        <v>460</v>
      </c>
      <c r="S205" s="43" t="s">
        <v>799</v>
      </c>
      <c r="V205" s="61">
        <v>0.19619368598671386</v>
      </c>
      <c r="W205" s="61">
        <v>8.8252067746086293E-2</v>
      </c>
      <c r="X205" s="61">
        <v>-2.5201724061301276E-3</v>
      </c>
      <c r="Y205" s="61">
        <v>4.0784262256617701E-2</v>
      </c>
      <c r="Z205" s="61">
        <v>-1.8179740698207579E-4</v>
      </c>
      <c r="AA205" s="61">
        <v>-1.4010741902207849E-3</v>
      </c>
      <c r="AI205" s="43">
        <v>25</v>
      </c>
      <c r="AJ205" s="43">
        <v>12</v>
      </c>
      <c r="AK205" s="43">
        <v>16</v>
      </c>
      <c r="AL205" s="43">
        <v>-5</v>
      </c>
      <c r="AO205" s="43">
        <v>0</v>
      </c>
      <c r="AP205" s="166" t="str">
        <f t="shared" si="868"/>
        <v/>
      </c>
      <c r="AQ205" s="167" t="str">
        <f t="shared" si="869"/>
        <v/>
      </c>
      <c r="AR205" s="166" t="str">
        <f t="shared" si="870"/>
        <v/>
      </c>
      <c r="AS205" s="166" t="str">
        <f t="shared" si="871"/>
        <v/>
      </c>
      <c r="AT205" s="20" t="str">
        <f t="shared" si="872"/>
        <v/>
      </c>
      <c r="AU205" s="43" t="str">
        <f t="shared" si="873"/>
        <v xml:space="preserve">               </v>
      </c>
      <c r="AV205" s="62" t="str">
        <f t="shared" si="855"/>
        <v/>
      </c>
      <c r="AW205" s="20" t="str">
        <f t="shared" si="874"/>
        <v xml:space="preserve">                                                                 </v>
      </c>
      <c r="AX205" s="43" t="str">
        <f t="shared" si="875"/>
        <v/>
      </c>
      <c r="AY205" s="43" t="str">
        <f t="shared" si="875"/>
        <v/>
      </c>
      <c r="AZ205" s="43" t="str">
        <f t="shared" si="875"/>
        <v/>
      </c>
      <c r="BA205" s="43" t="str">
        <f t="shared" si="875"/>
        <v/>
      </c>
      <c r="BB205" s="43" t="str">
        <f t="shared" si="875"/>
        <v/>
      </c>
      <c r="BC205" s="43" t="str">
        <f t="shared" si="875"/>
        <v/>
      </c>
      <c r="BE205" s="20" t="str">
        <f t="shared" si="876"/>
        <v/>
      </c>
      <c r="BF205" s="20" t="str">
        <f t="shared" si="876"/>
        <v/>
      </c>
      <c r="BG205" s="20" t="str">
        <f t="shared" si="876"/>
        <v/>
      </c>
      <c r="BH205" s="20" t="str">
        <f t="shared" si="876"/>
        <v/>
      </c>
      <c r="BI205" s="20" t="str">
        <f t="shared" si="876"/>
        <v/>
      </c>
      <c r="BJ205" s="20" t="str">
        <f t="shared" si="876"/>
        <v/>
      </c>
      <c r="BK205" s="20"/>
      <c r="BL205" s="20"/>
      <c r="BM205" s="43" t="str">
        <f t="shared" si="877"/>
        <v>Tdb</v>
      </c>
      <c r="BN205" s="43" t="str">
        <f t="shared" si="877"/>
        <v>Toadb</v>
      </c>
      <c r="BQ205" s="20">
        <f t="shared" si="880"/>
        <v>25</v>
      </c>
      <c r="BR205" s="43">
        <f t="shared" si="878"/>
        <v>12</v>
      </c>
      <c r="BS205" s="20">
        <f t="shared" si="878"/>
        <v>16</v>
      </c>
      <c r="BT205" s="20">
        <f t="shared" si="878"/>
        <v>-5</v>
      </c>
      <c r="BU205" s="147"/>
      <c r="BV205" s="161">
        <f t="shared" si="879"/>
        <v>0.8729660096376991</v>
      </c>
      <c r="BW205" s="147">
        <f t="shared" si="879"/>
        <v>0.7679118774126179</v>
      </c>
      <c r="BY205" s="20"/>
      <c r="BZ205" s="20"/>
    </row>
    <row r="206" spans="1:78" outlineLevel="1" x14ac:dyDescent="0.25">
      <c r="E206" s="43" t="s">
        <v>753</v>
      </c>
      <c r="F206" s="43" t="s">
        <v>761</v>
      </c>
      <c r="G206" s="45" t="s">
        <v>841</v>
      </c>
      <c r="H206" s="43" t="s">
        <v>806</v>
      </c>
      <c r="J206" s="43" t="s">
        <v>144</v>
      </c>
      <c r="L206" s="43" t="s">
        <v>777</v>
      </c>
      <c r="M206" s="43" t="s">
        <v>785</v>
      </c>
      <c r="N206" s="43" t="str">
        <f t="shared" si="867"/>
        <v>VRFSysHtgQRatio_fCombRat</v>
      </c>
      <c r="O206" s="43" t="s">
        <v>162</v>
      </c>
      <c r="P206" s="43" t="s">
        <v>160</v>
      </c>
      <c r="Q206" s="43" t="s">
        <v>802</v>
      </c>
      <c r="V206" s="61">
        <v>-0.48562281567377696</v>
      </c>
      <c r="W206" s="61">
        <v>2.373916681045698</v>
      </c>
      <c r="X206" s="61">
        <v>-0.89931201754924539</v>
      </c>
      <c r="AI206" s="43">
        <v>1.3</v>
      </c>
      <c r="AJ206" s="43">
        <v>0.5</v>
      </c>
      <c r="AO206" s="43">
        <v>0</v>
      </c>
      <c r="AP206" s="166" t="str">
        <f t="shared" si="868"/>
        <v/>
      </c>
      <c r="AQ206" s="167" t="str">
        <f t="shared" si="869"/>
        <v/>
      </c>
      <c r="AR206" s="166" t="str">
        <f t="shared" si="870"/>
        <v/>
      </c>
      <c r="AS206" s="166" t="str">
        <f t="shared" si="871"/>
        <v/>
      </c>
      <c r="AT206" s="20" t="str">
        <f t="shared" si="872"/>
        <v/>
      </c>
      <c r="AU206" s="43" t="str">
        <f t="shared" si="873"/>
        <v xml:space="preserve">               </v>
      </c>
      <c r="AV206" s="62" t="str">
        <f t="shared" si="855"/>
        <v/>
      </c>
      <c r="AW206" s="20" t="str">
        <f t="shared" si="874"/>
        <v xml:space="preserve">                                                                 </v>
      </c>
      <c r="AX206" s="43" t="str">
        <f t="shared" si="875"/>
        <v/>
      </c>
      <c r="AY206" s="43" t="str">
        <f t="shared" si="875"/>
        <v/>
      </c>
      <c r="AZ206" s="43" t="str">
        <f t="shared" si="875"/>
        <v/>
      </c>
      <c r="BA206" s="43" t="str">
        <f t="shared" si="875"/>
        <v/>
      </c>
      <c r="BB206" s="43" t="str">
        <f t="shared" si="875"/>
        <v/>
      </c>
      <c r="BC206" s="43" t="str">
        <f t="shared" si="875"/>
        <v/>
      </c>
      <c r="BE206" s="20" t="str">
        <f t="shared" si="876"/>
        <v/>
      </c>
      <c r="BF206" s="20" t="str">
        <f t="shared" si="876"/>
        <v/>
      </c>
      <c r="BG206" s="20" t="str">
        <f t="shared" si="876"/>
        <v/>
      </c>
      <c r="BH206" s="20" t="str">
        <f t="shared" si="876"/>
        <v/>
      </c>
      <c r="BI206" s="20" t="str">
        <f t="shared" si="876"/>
        <v/>
      </c>
      <c r="BJ206" s="20" t="str">
        <f t="shared" si="876"/>
        <v/>
      </c>
      <c r="BK206" s="20"/>
      <c r="BL206" s="20"/>
      <c r="BM206" s="43" t="str">
        <f t="shared" si="877"/>
        <v>CombRat</v>
      </c>
      <c r="BQ206" s="20">
        <f t="shared" si="880"/>
        <v>1.3</v>
      </c>
      <c r="BR206" s="43">
        <f t="shared" si="878"/>
        <v>0.5</v>
      </c>
      <c r="BS206" s="20"/>
      <c r="BT206" s="20"/>
      <c r="BU206" s="147"/>
      <c r="BV206" s="161">
        <f t="shared" si="879"/>
        <v>1.0806315600274055</v>
      </c>
      <c r="BW206" s="147">
        <f t="shared" si="879"/>
        <v>0.4765075204617607</v>
      </c>
      <c r="BY206" s="20"/>
      <c r="BZ206" s="20"/>
    </row>
    <row r="207" spans="1:78" outlineLevel="1" x14ac:dyDescent="0.25">
      <c r="E207" s="43" t="s">
        <v>753</v>
      </c>
      <c r="F207" s="43" t="s">
        <v>763</v>
      </c>
      <c r="G207" s="45" t="s">
        <v>841</v>
      </c>
      <c r="H207" s="43" t="s">
        <v>808</v>
      </c>
      <c r="I207" s="43" t="s">
        <v>660</v>
      </c>
      <c r="J207" s="43" t="s">
        <v>144</v>
      </c>
      <c r="L207" s="43" t="s">
        <v>777</v>
      </c>
      <c r="M207" s="43" t="s">
        <v>787</v>
      </c>
      <c r="N207" s="43" t="str">
        <f t="shared" si="867"/>
        <v>VRFSysHtRcvryHtgQRatio_fTdbToadbSI</v>
      </c>
      <c r="O207" s="43" t="s">
        <v>165</v>
      </c>
      <c r="P207" s="43" t="s">
        <v>160</v>
      </c>
      <c r="Q207" s="43" t="s">
        <v>117</v>
      </c>
      <c r="R207" s="43" t="s">
        <v>460</v>
      </c>
      <c r="V207" s="61">
        <v>0.19619368598671386</v>
      </c>
      <c r="W207" s="61">
        <v>8.8252067746086293E-2</v>
      </c>
      <c r="X207" s="61">
        <v>-2.5201724061301276E-3</v>
      </c>
      <c r="Y207" s="61">
        <v>4.0784262256617701E-2</v>
      </c>
      <c r="Z207" s="61">
        <v>-1.8179740698207579E-4</v>
      </c>
      <c r="AA207" s="61">
        <v>-1.4010741902207849E-3</v>
      </c>
      <c r="AI207" s="43">
        <v>25</v>
      </c>
      <c r="AJ207" s="43">
        <v>12</v>
      </c>
      <c r="AK207" s="43">
        <v>16</v>
      </c>
      <c r="AL207" s="43">
        <v>-20</v>
      </c>
      <c r="AO207" s="43">
        <v>0</v>
      </c>
      <c r="AP207" s="166" t="str">
        <f t="shared" si="868"/>
        <v/>
      </c>
      <c r="AQ207" s="167" t="str">
        <f t="shared" si="869"/>
        <v/>
      </c>
      <c r="AR207" s="166" t="str">
        <f t="shared" si="870"/>
        <v/>
      </c>
      <c r="AS207" s="166" t="str">
        <f t="shared" si="871"/>
        <v/>
      </c>
      <c r="AT207" s="20" t="str">
        <f t="shared" si="872"/>
        <v/>
      </c>
      <c r="AU207" s="43" t="str">
        <f t="shared" si="873"/>
        <v xml:space="preserve">               </v>
      </c>
      <c r="AV207" s="62" t="str">
        <f t="shared" si="855"/>
        <v/>
      </c>
      <c r="AW207" s="20" t="str">
        <f t="shared" si="874"/>
        <v xml:space="preserve">                                                                 </v>
      </c>
      <c r="AX207" s="43" t="str">
        <f t="shared" si="875"/>
        <v/>
      </c>
      <c r="AY207" s="43" t="str">
        <f t="shared" si="875"/>
        <v/>
      </c>
      <c r="AZ207" s="43" t="str">
        <f t="shared" si="875"/>
        <v/>
      </c>
      <c r="BA207" s="43" t="str">
        <f t="shared" si="875"/>
        <v/>
      </c>
      <c r="BB207" s="43" t="str">
        <f t="shared" si="875"/>
        <v/>
      </c>
      <c r="BC207" s="43" t="str">
        <f t="shared" si="875"/>
        <v/>
      </c>
      <c r="BE207" s="20" t="str">
        <f t="shared" si="876"/>
        <v/>
      </c>
      <c r="BF207" s="20" t="str">
        <f t="shared" si="876"/>
        <v/>
      </c>
      <c r="BG207" s="20" t="str">
        <f t="shared" si="876"/>
        <v/>
      </c>
      <c r="BH207" s="20" t="str">
        <f t="shared" si="876"/>
        <v/>
      </c>
      <c r="BI207" s="20" t="str">
        <f t="shared" si="876"/>
        <v/>
      </c>
      <c r="BJ207" s="20" t="str">
        <f t="shared" si="876"/>
        <v/>
      </c>
      <c r="BK207" s="20"/>
      <c r="BL207" s="20"/>
      <c r="BM207" s="43" t="str">
        <f t="shared" si="877"/>
        <v>Tdb</v>
      </c>
      <c r="BN207" s="43" t="str">
        <f t="shared" si="877"/>
        <v>Toadb</v>
      </c>
      <c r="BQ207" s="20">
        <f>AI207</f>
        <v>25</v>
      </c>
      <c r="BR207" s="43">
        <f t="shared" si="878"/>
        <v>12</v>
      </c>
      <c r="BS207" s="20">
        <f t="shared" si="878"/>
        <v>16</v>
      </c>
      <c r="BT207" s="20">
        <f t="shared" si="878"/>
        <v>-20</v>
      </c>
      <c r="BU207" s="147"/>
      <c r="BV207" s="161">
        <f>$V207+$W207*BQ207+$X207*BQ207^2+$Y207*BS207+$Z207*BS207^2+$AA207*BQ207*BS207</f>
        <v>0.8729660096376991</v>
      </c>
      <c r="BW207" s="147">
        <f>$V207+$W207*BR207+$X207*BR207^2+$Y207*BT207+$Z207*BT207^2+$AA207*BR207*BT207</f>
        <v>0.34016727018481518</v>
      </c>
      <c r="BY207" s="20"/>
      <c r="BZ207" s="20"/>
    </row>
    <row r="208" spans="1:78" outlineLevel="1" x14ac:dyDescent="0.25">
      <c r="B208" s="43" t="s">
        <v>927</v>
      </c>
      <c r="D208" s="44" t="s">
        <v>764</v>
      </c>
      <c r="E208" s="43" t="s">
        <v>753</v>
      </c>
      <c r="F208" s="43" t="s">
        <v>765</v>
      </c>
      <c r="G208" s="45" t="s">
        <v>841</v>
      </c>
      <c r="H208" s="43" t="s">
        <v>805</v>
      </c>
      <c r="I208" s="43" t="s">
        <v>660</v>
      </c>
      <c r="J208" s="43" t="s">
        <v>144</v>
      </c>
      <c r="L208" s="43" t="s">
        <v>777</v>
      </c>
      <c r="M208" s="43" t="s">
        <v>788</v>
      </c>
      <c r="N208" s="43" t="str">
        <f t="shared" si="867"/>
        <v>VRFSysClgEIRRatio_fTwbToadbLowSI</v>
      </c>
      <c r="O208" s="43" t="s">
        <v>165</v>
      </c>
      <c r="P208" s="43" t="s">
        <v>288</v>
      </c>
      <c r="Q208" s="43" t="s">
        <v>116</v>
      </c>
      <c r="R208" s="43" t="s">
        <v>460</v>
      </c>
      <c r="S208" s="43" t="s">
        <v>798</v>
      </c>
      <c r="V208" s="46">
        <v>0.71171783597032667</v>
      </c>
      <c r="W208" s="46">
        <v>-3.6905499171819276E-3</v>
      </c>
      <c r="X208" s="46">
        <v>-5.4441544275302775E-5</v>
      </c>
      <c r="Y208" s="46">
        <v>-4.2622599288942107E-3</v>
      </c>
      <c r="Z208" s="46">
        <v>2.3850131099014776E-4</v>
      </c>
      <c r="AA208" s="46">
        <v>2.467049202990621E-4</v>
      </c>
      <c r="AI208" s="43">
        <v>28</v>
      </c>
      <c r="AJ208" s="43">
        <v>15</v>
      </c>
      <c r="AK208" s="43">
        <v>32</v>
      </c>
      <c r="AL208" s="43">
        <v>-5</v>
      </c>
      <c r="AO208" s="43">
        <v>0</v>
      </c>
      <c r="AP208" s="166" t="str">
        <f t="shared" si="868"/>
        <v/>
      </c>
      <c r="AQ208" s="167" t="str">
        <f t="shared" si="869"/>
        <v/>
      </c>
      <c r="AR208" s="166" t="str">
        <f t="shared" si="870"/>
        <v/>
      </c>
      <c r="AS208" s="166" t="str">
        <f t="shared" si="871"/>
        <v/>
      </c>
      <c r="AT208" s="20" t="str">
        <f t="shared" si="872"/>
        <v/>
      </c>
      <c r="AU208" s="43" t="str">
        <f t="shared" si="873"/>
        <v xml:space="preserve">               </v>
      </c>
      <c r="AV208" s="62" t="str">
        <f t="shared" si="855"/>
        <v/>
      </c>
      <c r="AW208" s="20" t="str">
        <f t="shared" si="874"/>
        <v xml:space="preserve">                                                                 </v>
      </c>
      <c r="AX208" s="43" t="str">
        <f t="shared" si="875"/>
        <v/>
      </c>
      <c r="AY208" s="43" t="str">
        <f t="shared" si="875"/>
        <v/>
      </c>
      <c r="AZ208" s="43" t="str">
        <f t="shared" si="875"/>
        <v/>
      </c>
      <c r="BA208" s="43" t="str">
        <f t="shared" si="875"/>
        <v/>
      </c>
      <c r="BB208" s="43" t="str">
        <f t="shared" si="875"/>
        <v/>
      </c>
      <c r="BC208" s="43" t="str">
        <f t="shared" si="875"/>
        <v/>
      </c>
      <c r="BE208" s="20" t="str">
        <f t="shared" si="876"/>
        <v/>
      </c>
      <c r="BF208" s="20" t="str">
        <f t="shared" si="876"/>
        <v/>
      </c>
      <c r="BG208" s="20" t="str">
        <f t="shared" si="876"/>
        <v/>
      </c>
      <c r="BH208" s="20" t="str">
        <f t="shared" si="876"/>
        <v/>
      </c>
      <c r="BI208" s="20" t="str">
        <f t="shared" si="876"/>
        <v/>
      </c>
      <c r="BJ208" s="20" t="str">
        <f t="shared" si="876"/>
        <v/>
      </c>
      <c r="BK208" s="20"/>
      <c r="BL208" s="20"/>
      <c r="BM208" s="43" t="str">
        <f t="shared" si="877"/>
        <v>Twb</v>
      </c>
      <c r="BN208" s="43" t="str">
        <f t="shared" si="877"/>
        <v>Toadb</v>
      </c>
      <c r="BQ208" s="20">
        <f>AI208</f>
        <v>28</v>
      </c>
      <c r="BR208" s="43">
        <f t="shared" si="878"/>
        <v>15</v>
      </c>
      <c r="BS208" s="20">
        <f t="shared" si="878"/>
        <v>32</v>
      </c>
      <c r="BT208" s="20">
        <f t="shared" si="878"/>
        <v>-5</v>
      </c>
      <c r="BU208" s="147"/>
      <c r="BV208" s="161">
        <f>$V208+$W208*BQ208+$X208*BQ208^2+$Y208*BS208+$Z208*BS208^2+$AA208*BQ208*BS208</f>
        <v>0.89458090089465148</v>
      </c>
      <c r="BW208" s="147">
        <f>$V208+$W208*BR208+$X208*BR208^2+$Y208*BT208+$Z208*BT208^2+$AA208*BR208*BT208</f>
        <v>0.65288120314744968</v>
      </c>
      <c r="BY208" s="20"/>
      <c r="BZ208" s="20"/>
    </row>
    <row r="209" spans="2:78" outlineLevel="1" x14ac:dyDescent="0.25">
      <c r="E209" s="43" t="s">
        <v>753</v>
      </c>
      <c r="F209" s="43" t="s">
        <v>766</v>
      </c>
      <c r="G209" s="45" t="s">
        <v>841</v>
      </c>
      <c r="H209" s="43" t="s">
        <v>805</v>
      </c>
      <c r="I209" s="43" t="s">
        <v>660</v>
      </c>
      <c r="J209" s="43" t="s">
        <v>144</v>
      </c>
      <c r="L209" s="43" t="s">
        <v>777</v>
      </c>
      <c r="M209" s="43" t="s">
        <v>789</v>
      </c>
      <c r="N209" s="43" t="str">
        <f t="shared" si="867"/>
        <v>VRFSysClgEIRBdry_fTwbSI</v>
      </c>
      <c r="O209" s="43" t="s">
        <v>286</v>
      </c>
      <c r="P209" s="43" t="s">
        <v>800</v>
      </c>
      <c r="Q209" s="43" t="s">
        <v>116</v>
      </c>
      <c r="V209" s="61">
        <v>37.830798073405703</v>
      </c>
      <c r="W209" s="46">
        <v>-0.55469607364955575</v>
      </c>
      <c r="AI209" s="43">
        <v>28</v>
      </c>
      <c r="AJ209" s="43">
        <v>15</v>
      </c>
      <c r="AO209" s="43">
        <v>0</v>
      </c>
      <c r="AP209" s="166" t="str">
        <f t="shared" si="868"/>
        <v/>
      </c>
      <c r="AQ209" s="167" t="str">
        <f t="shared" si="869"/>
        <v/>
      </c>
      <c r="AR209" s="166" t="str">
        <f t="shared" si="870"/>
        <v/>
      </c>
      <c r="AS209" s="166" t="str">
        <f t="shared" si="871"/>
        <v/>
      </c>
      <c r="AT209" s="20" t="str">
        <f t="shared" si="872"/>
        <v/>
      </c>
      <c r="AU209" s="43" t="str">
        <f t="shared" si="873"/>
        <v xml:space="preserve">               </v>
      </c>
      <c r="AV209" s="62" t="str">
        <f t="shared" si="855"/>
        <v/>
      </c>
      <c r="AW209" s="20" t="str">
        <f t="shared" si="874"/>
        <v xml:space="preserve">                                                                 </v>
      </c>
      <c r="AX209" s="43" t="str">
        <f t="shared" si="875"/>
        <v/>
      </c>
      <c r="AY209" s="43" t="str">
        <f t="shared" si="875"/>
        <v/>
      </c>
      <c r="AZ209" s="43" t="str">
        <f t="shared" si="875"/>
        <v/>
      </c>
      <c r="BA209" s="43" t="str">
        <f t="shared" si="875"/>
        <v/>
      </c>
      <c r="BB209" s="43" t="str">
        <f t="shared" si="875"/>
        <v/>
      </c>
      <c r="BC209" s="43" t="str">
        <f t="shared" si="875"/>
        <v/>
      </c>
      <c r="BE209" s="20" t="str">
        <f t="shared" si="876"/>
        <v/>
      </c>
      <c r="BF209" s="20" t="str">
        <f t="shared" si="876"/>
        <v/>
      </c>
      <c r="BG209" s="20" t="str">
        <f t="shared" si="876"/>
        <v/>
      </c>
      <c r="BH209" s="20" t="str">
        <f t="shared" si="876"/>
        <v/>
      </c>
      <c r="BI209" s="20" t="str">
        <f t="shared" si="876"/>
        <v/>
      </c>
      <c r="BJ209" s="20" t="str">
        <f t="shared" si="876"/>
        <v/>
      </c>
      <c r="BK209" s="20"/>
      <c r="BL209" s="20"/>
      <c r="BM209" s="43" t="str">
        <f t="shared" si="877"/>
        <v>Twb</v>
      </c>
      <c r="BQ209" s="20">
        <f t="shared" ref="BQ209:BT220" si="881">AI209</f>
        <v>28</v>
      </c>
      <c r="BR209" s="43">
        <f t="shared" si="878"/>
        <v>15</v>
      </c>
      <c r="BS209" s="20"/>
      <c r="BT209" s="20"/>
      <c r="BU209" s="147"/>
      <c r="BV209" s="161">
        <f t="shared" ref="BV209:BW220" si="882">$V209+$W209*BQ209+$X209*BQ209^2+$Y209*BS209+$Z209*BS209^2+$AA209*BQ209*BS209</f>
        <v>22.299308011218141</v>
      </c>
      <c r="BW209" s="147">
        <f t="shared" si="882"/>
        <v>29.510356968662364</v>
      </c>
      <c r="BY209" s="20"/>
      <c r="BZ209" s="20"/>
    </row>
    <row r="210" spans="2:78" outlineLevel="1" x14ac:dyDescent="0.25">
      <c r="E210" s="43" t="s">
        <v>753</v>
      </c>
      <c r="F210" s="43" t="s">
        <v>767</v>
      </c>
      <c r="G210" s="45" t="s">
        <v>841</v>
      </c>
      <c r="H210" s="43" t="s">
        <v>805</v>
      </c>
      <c r="I210" s="43" t="s">
        <v>660</v>
      </c>
      <c r="J210" s="43" t="s">
        <v>144</v>
      </c>
      <c r="L210" s="43" t="s">
        <v>777</v>
      </c>
      <c r="M210" s="43" t="s">
        <v>790</v>
      </c>
      <c r="N210" s="43" t="str">
        <f t="shared" si="867"/>
        <v>VRFSysClgEIRRatio_fTwbToadbHiSI</v>
      </c>
      <c r="O210" s="43" t="s">
        <v>165</v>
      </c>
      <c r="P210" s="43" t="s">
        <v>288</v>
      </c>
      <c r="Q210" s="43" t="s">
        <v>116</v>
      </c>
      <c r="R210" s="43" t="s">
        <v>460</v>
      </c>
      <c r="S210" s="43" t="s">
        <v>799</v>
      </c>
      <c r="V210" s="46">
        <v>-2.8598049434423511E-2</v>
      </c>
      <c r="W210" s="46">
        <v>8.0180654505548302E-2</v>
      </c>
      <c r="X210" s="46">
        <v>-1.8525864652531271E-3</v>
      </c>
      <c r="Y210" s="46">
        <v>-9.3215430514193513E-3</v>
      </c>
      <c r="Z210" s="46">
        <v>5.3111080818192438E-4</v>
      </c>
      <c r="AA210" s="46">
        <v>-2.3427206674931316E-4</v>
      </c>
      <c r="AI210" s="43">
        <v>28</v>
      </c>
      <c r="AJ210" s="43">
        <v>15</v>
      </c>
      <c r="AK210" s="43">
        <v>45</v>
      </c>
      <c r="AL210" s="43">
        <v>22</v>
      </c>
      <c r="AO210" s="43">
        <v>0</v>
      </c>
      <c r="AP210" s="166" t="str">
        <f t="shared" si="868"/>
        <v/>
      </c>
      <c r="AQ210" s="167" t="str">
        <f t="shared" si="869"/>
        <v/>
      </c>
      <c r="AR210" s="166" t="str">
        <f t="shared" si="870"/>
        <v/>
      </c>
      <c r="AS210" s="166" t="str">
        <f t="shared" si="871"/>
        <v/>
      </c>
      <c r="AT210" s="20" t="str">
        <f t="shared" si="872"/>
        <v/>
      </c>
      <c r="AU210" s="43" t="str">
        <f t="shared" si="873"/>
        <v xml:space="preserve">               </v>
      </c>
      <c r="AV210" s="62" t="str">
        <f t="shared" si="855"/>
        <v/>
      </c>
      <c r="AW210" s="20" t="str">
        <f t="shared" si="874"/>
        <v xml:space="preserve">                                                                 </v>
      </c>
      <c r="AX210" s="43" t="str">
        <f t="shared" si="875"/>
        <v/>
      </c>
      <c r="AY210" s="43" t="str">
        <f t="shared" si="875"/>
        <v/>
      </c>
      <c r="AZ210" s="43" t="str">
        <f t="shared" si="875"/>
        <v/>
      </c>
      <c r="BA210" s="43" t="str">
        <f t="shared" si="875"/>
        <v/>
      </c>
      <c r="BB210" s="43" t="str">
        <f t="shared" si="875"/>
        <v/>
      </c>
      <c r="BC210" s="43" t="str">
        <f t="shared" si="875"/>
        <v/>
      </c>
      <c r="BE210" s="20" t="str">
        <f t="shared" si="876"/>
        <v/>
      </c>
      <c r="BF210" s="20" t="str">
        <f t="shared" si="876"/>
        <v/>
      </c>
      <c r="BG210" s="20" t="str">
        <f t="shared" si="876"/>
        <v/>
      </c>
      <c r="BH210" s="20" t="str">
        <f t="shared" si="876"/>
        <v/>
      </c>
      <c r="BI210" s="20" t="str">
        <f t="shared" si="876"/>
        <v/>
      </c>
      <c r="BJ210" s="20" t="str">
        <f t="shared" si="876"/>
        <v/>
      </c>
      <c r="BK210" s="20"/>
      <c r="BL210" s="20"/>
      <c r="BM210" s="43" t="str">
        <f t="shared" si="877"/>
        <v>Twb</v>
      </c>
      <c r="BN210" s="43" t="str">
        <f t="shared" si="877"/>
        <v>Toadb</v>
      </c>
      <c r="BQ210" s="20">
        <f t="shared" si="881"/>
        <v>28</v>
      </c>
      <c r="BR210" s="43">
        <f t="shared" si="878"/>
        <v>15</v>
      </c>
      <c r="BS210" s="20">
        <f t="shared" si="878"/>
        <v>45</v>
      </c>
      <c r="BT210" s="20">
        <f t="shared" si="878"/>
        <v>22</v>
      </c>
      <c r="BU210" s="147"/>
      <c r="BV210" s="161">
        <f t="shared" si="882"/>
        <v>1.1248796331128688</v>
      </c>
      <c r="BW210" s="147">
        <f t="shared" si="882"/>
        <v>0.7319537154683996</v>
      </c>
      <c r="BY210" s="20"/>
      <c r="BZ210" s="20"/>
    </row>
    <row r="211" spans="2:78" outlineLevel="1" x14ac:dyDescent="0.25">
      <c r="E211" s="43" t="s">
        <v>753</v>
      </c>
      <c r="F211" s="43" t="s">
        <v>768</v>
      </c>
      <c r="G211" s="45" t="s">
        <v>841</v>
      </c>
      <c r="H211" s="43" t="s">
        <v>805</v>
      </c>
      <c r="I211" s="43" t="s">
        <v>660</v>
      </c>
      <c r="J211" s="43" t="s">
        <v>144</v>
      </c>
      <c r="L211" s="43" t="s">
        <v>777</v>
      </c>
      <c r="M211" s="43" t="s">
        <v>791</v>
      </c>
      <c r="N211" s="43" t="str">
        <f t="shared" si="867"/>
        <v>VRFSysClgEIRRatio_fPLRSI</v>
      </c>
      <c r="O211" s="43" t="s">
        <v>162</v>
      </c>
      <c r="P211" s="43" t="s">
        <v>288</v>
      </c>
      <c r="Q211" s="43" t="s">
        <v>28</v>
      </c>
      <c r="V211" s="46">
        <v>9.6858760461230597E-2</v>
      </c>
      <c r="W211" s="46">
        <v>2.7701525850679146E-2</v>
      </c>
      <c r="X211" s="46">
        <v>0.8524127953202626</v>
      </c>
      <c r="AI211" s="43">
        <v>1.3</v>
      </c>
      <c r="AJ211" s="43">
        <v>0.2</v>
      </c>
      <c r="AO211" s="43">
        <v>0</v>
      </c>
      <c r="AP211" s="166" t="str">
        <f t="shared" si="868"/>
        <v/>
      </c>
      <c r="AQ211" s="167" t="str">
        <f t="shared" si="869"/>
        <v/>
      </c>
      <c r="AR211" s="166" t="str">
        <f t="shared" si="870"/>
        <v/>
      </c>
      <c r="AS211" s="166" t="str">
        <f t="shared" si="871"/>
        <v/>
      </c>
      <c r="AT211" s="20" t="str">
        <f t="shared" si="872"/>
        <v/>
      </c>
      <c r="AU211" s="43" t="str">
        <f t="shared" si="873"/>
        <v xml:space="preserve">               </v>
      </c>
      <c r="AV211" s="62" t="str">
        <f t="shared" si="855"/>
        <v/>
      </c>
      <c r="AW211" s="20" t="str">
        <f t="shared" si="874"/>
        <v xml:space="preserve">                                                                 </v>
      </c>
      <c r="AX211" s="43" t="str">
        <f t="shared" si="875"/>
        <v/>
      </c>
      <c r="AY211" s="43" t="str">
        <f t="shared" si="875"/>
        <v/>
      </c>
      <c r="AZ211" s="43" t="str">
        <f t="shared" si="875"/>
        <v/>
      </c>
      <c r="BA211" s="43" t="str">
        <f t="shared" si="875"/>
        <v/>
      </c>
      <c r="BB211" s="43" t="str">
        <f t="shared" si="875"/>
        <v/>
      </c>
      <c r="BC211" s="43" t="str">
        <f t="shared" si="875"/>
        <v/>
      </c>
      <c r="BE211" s="20" t="str">
        <f t="shared" si="876"/>
        <v/>
      </c>
      <c r="BF211" s="20" t="str">
        <f t="shared" si="876"/>
        <v/>
      </c>
      <c r="BG211" s="20" t="str">
        <f t="shared" si="876"/>
        <v/>
      </c>
      <c r="BH211" s="20" t="str">
        <f t="shared" si="876"/>
        <v/>
      </c>
      <c r="BI211" s="20" t="str">
        <f t="shared" si="876"/>
        <v/>
      </c>
      <c r="BJ211" s="20" t="str">
        <f t="shared" si="876"/>
        <v/>
      </c>
      <c r="BK211" s="20"/>
      <c r="BL211" s="20"/>
      <c r="BM211" s="43" t="str">
        <f t="shared" si="877"/>
        <v>PLR</v>
      </c>
      <c r="BQ211" s="20">
        <f t="shared" si="881"/>
        <v>1.3</v>
      </c>
      <c r="BR211" s="43">
        <f t="shared" si="878"/>
        <v>0.2</v>
      </c>
      <c r="BS211" s="20"/>
      <c r="BT211" s="20"/>
      <c r="BU211" s="147"/>
      <c r="BV211" s="161">
        <f t="shared" si="882"/>
        <v>1.5734483681583575</v>
      </c>
      <c r="BW211" s="147">
        <f t="shared" si="882"/>
        <v>0.13649557744417695</v>
      </c>
      <c r="BY211" s="20"/>
      <c r="BZ211" s="20"/>
    </row>
    <row r="212" spans="2:78" outlineLevel="1" x14ac:dyDescent="0.25">
      <c r="E212" s="43" t="s">
        <v>753</v>
      </c>
      <c r="F212" s="43" t="s">
        <v>769</v>
      </c>
      <c r="G212" s="45" t="s">
        <v>841</v>
      </c>
      <c r="H212" s="43" t="s">
        <v>805</v>
      </c>
      <c r="I212" s="43" t="s">
        <v>660</v>
      </c>
      <c r="J212" s="43" t="s">
        <v>144</v>
      </c>
      <c r="L212" s="43" t="s">
        <v>777</v>
      </c>
      <c r="M212" s="43" t="s">
        <v>792</v>
      </c>
      <c r="N212" s="43" t="str">
        <f t="shared" si="867"/>
        <v>VRFSysClgEIRRatio_fPLRSI</v>
      </c>
      <c r="O212" s="43" t="s">
        <v>162</v>
      </c>
      <c r="P212" s="43" t="s">
        <v>288</v>
      </c>
      <c r="Q212" s="43" t="s">
        <v>28</v>
      </c>
      <c r="V212" s="46">
        <v>9.6858760461230597E-2</v>
      </c>
      <c r="W212" s="46">
        <v>2.7701525850679146E-2</v>
      </c>
      <c r="X212" s="46">
        <v>0.8524127953202626</v>
      </c>
      <c r="AI212" s="43">
        <v>1.3</v>
      </c>
      <c r="AJ212" s="43">
        <v>0.2</v>
      </c>
      <c r="AO212" s="43">
        <v>0</v>
      </c>
      <c r="AP212" s="166" t="str">
        <f t="shared" si="868"/>
        <v/>
      </c>
      <c r="AQ212" s="167" t="str">
        <f t="shared" si="869"/>
        <v/>
      </c>
      <c r="AR212" s="166" t="str">
        <f t="shared" si="870"/>
        <v/>
      </c>
      <c r="AS212" s="166" t="str">
        <f t="shared" si="871"/>
        <v/>
      </c>
      <c r="AT212" s="20" t="str">
        <f t="shared" si="872"/>
        <v/>
      </c>
      <c r="AU212" s="43" t="str">
        <f t="shared" si="873"/>
        <v xml:space="preserve">               </v>
      </c>
      <c r="AV212" s="62" t="str">
        <f t="shared" si="855"/>
        <v/>
      </c>
      <c r="AW212" s="20" t="str">
        <f t="shared" si="874"/>
        <v xml:space="preserve">                                                                 </v>
      </c>
      <c r="AX212" s="43" t="str">
        <f t="shared" si="875"/>
        <v/>
      </c>
      <c r="AY212" s="43" t="str">
        <f t="shared" si="875"/>
        <v/>
      </c>
      <c r="AZ212" s="43" t="str">
        <f t="shared" si="875"/>
        <v/>
      </c>
      <c r="BA212" s="43" t="str">
        <f t="shared" si="875"/>
        <v/>
      </c>
      <c r="BB212" s="43" t="str">
        <f t="shared" si="875"/>
        <v/>
      </c>
      <c r="BC212" s="43" t="str">
        <f t="shared" si="875"/>
        <v/>
      </c>
      <c r="BE212" s="20" t="str">
        <f t="shared" si="876"/>
        <v/>
      </c>
      <c r="BF212" s="20" t="str">
        <f t="shared" si="876"/>
        <v/>
      </c>
      <c r="BG212" s="20" t="str">
        <f t="shared" si="876"/>
        <v/>
      </c>
      <c r="BH212" s="20" t="str">
        <f t="shared" si="876"/>
        <v/>
      </c>
      <c r="BI212" s="20" t="str">
        <f t="shared" si="876"/>
        <v/>
      </c>
      <c r="BJ212" s="20" t="str">
        <f t="shared" si="876"/>
        <v/>
      </c>
      <c r="BK212" s="20"/>
      <c r="BL212" s="20"/>
      <c r="BM212" s="43" t="str">
        <f t="shared" si="877"/>
        <v>PLR</v>
      </c>
      <c r="BQ212" s="20">
        <f t="shared" si="881"/>
        <v>1.3</v>
      </c>
      <c r="BR212" s="43">
        <f t="shared" si="878"/>
        <v>0.2</v>
      </c>
      <c r="BS212" s="20"/>
      <c r="BT212" s="20"/>
      <c r="BU212" s="147"/>
      <c r="BV212" s="161">
        <f t="shared" si="882"/>
        <v>1.5734483681583575</v>
      </c>
      <c r="BW212" s="147">
        <f t="shared" si="882"/>
        <v>0.13649557744417695</v>
      </c>
      <c r="BY212" s="20"/>
      <c r="BZ212" s="20"/>
    </row>
    <row r="213" spans="2:78" outlineLevel="1" x14ac:dyDescent="0.25">
      <c r="E213" s="43" t="s">
        <v>753</v>
      </c>
      <c r="F213" s="43" t="s">
        <v>803</v>
      </c>
      <c r="G213" s="45" t="s">
        <v>841</v>
      </c>
      <c r="H213" s="43" t="s">
        <v>805</v>
      </c>
      <c r="I213" s="43" t="s">
        <v>660</v>
      </c>
      <c r="J213" s="43" t="s">
        <v>144</v>
      </c>
      <c r="L213" s="43" t="s">
        <v>777</v>
      </c>
      <c r="M213" s="43" t="s">
        <v>813</v>
      </c>
      <c r="N213" s="43" t="str">
        <f t="shared" si="867"/>
        <v>VRFSysClgEIRRatio_fCycRatSI</v>
      </c>
      <c r="O213" s="43" t="s">
        <v>230</v>
      </c>
      <c r="P213" s="43" t="s">
        <v>288</v>
      </c>
      <c r="Q213" s="43" t="s">
        <v>804</v>
      </c>
      <c r="V213" s="46">
        <v>0.85</v>
      </c>
      <c r="W213" s="46">
        <v>0.15</v>
      </c>
      <c r="X213" s="46">
        <v>0</v>
      </c>
      <c r="Y213" s="46">
        <v>0</v>
      </c>
      <c r="AI213" s="43">
        <v>1</v>
      </c>
      <c r="AJ213" s="43">
        <v>0</v>
      </c>
      <c r="AM213" s="45" t="s">
        <v>914</v>
      </c>
      <c r="AO213" s="43">
        <v>0</v>
      </c>
      <c r="AP213" s="166" t="str">
        <f t="shared" si="868"/>
        <v/>
      </c>
      <c r="AQ213" s="167" t="str">
        <f t="shared" si="869"/>
        <v/>
      </c>
      <c r="AR213" s="166" t="str">
        <f t="shared" si="870"/>
        <v/>
      </c>
      <c r="AS213" s="166" t="str">
        <f t="shared" si="871"/>
        <v/>
      </c>
      <c r="AT213" s="20" t="str">
        <f t="shared" si="872"/>
        <v/>
      </c>
      <c r="AU213" s="43" t="str">
        <f t="shared" si="873"/>
        <v xml:space="preserve">               </v>
      </c>
      <c r="AV213" s="62" t="str">
        <f t="shared" si="855"/>
        <v/>
      </c>
      <c r="AW213" s="20" t="str">
        <f t="shared" si="874"/>
        <v xml:space="preserve">                                                                 </v>
      </c>
      <c r="AX213" s="43" t="str">
        <f t="shared" si="875"/>
        <v/>
      </c>
      <c r="AY213" s="43" t="str">
        <f t="shared" si="875"/>
        <v/>
      </c>
      <c r="AZ213" s="43" t="str">
        <f t="shared" si="875"/>
        <v/>
      </c>
      <c r="BA213" s="43" t="str">
        <f t="shared" si="875"/>
        <v/>
      </c>
      <c r="BB213" s="43" t="str">
        <f t="shared" si="875"/>
        <v/>
      </c>
      <c r="BC213" s="43" t="str">
        <f t="shared" si="875"/>
        <v/>
      </c>
      <c r="BE213" s="20" t="str">
        <f t="shared" si="876"/>
        <v/>
      </c>
      <c r="BF213" s="20" t="str">
        <f t="shared" si="876"/>
        <v/>
      </c>
      <c r="BG213" s="20" t="str">
        <f t="shared" si="876"/>
        <v/>
      </c>
      <c r="BH213" s="20" t="str">
        <f t="shared" si="876"/>
        <v/>
      </c>
      <c r="BI213" s="20" t="str">
        <f t="shared" si="876"/>
        <v/>
      </c>
      <c r="BJ213" s="20" t="str">
        <f t="shared" si="876"/>
        <v/>
      </c>
      <c r="BK213" s="20"/>
      <c r="BL213" s="20"/>
      <c r="BM213" s="43" t="str">
        <f t="shared" si="877"/>
        <v>CycRat</v>
      </c>
      <c r="BQ213" s="20">
        <f t="shared" si="881"/>
        <v>1</v>
      </c>
      <c r="BS213" s="20"/>
      <c r="BT213" s="20"/>
      <c r="BU213" s="147"/>
      <c r="BV213" s="161">
        <f>$V213+$W213*BQ213+$X213*BQ213^2+$Y213*BS213+$Z213*BS213^2+$AA213*BQ213*BS213</f>
        <v>1</v>
      </c>
      <c r="BW213" s="147">
        <f t="shared" si="882"/>
        <v>0.85</v>
      </c>
      <c r="BY213" s="20"/>
      <c r="BZ213" s="20"/>
    </row>
    <row r="214" spans="2:78" outlineLevel="1" x14ac:dyDescent="0.25">
      <c r="E214" s="43" t="s">
        <v>753</v>
      </c>
      <c r="F214" s="43" t="s">
        <v>770</v>
      </c>
      <c r="G214" s="45" t="s">
        <v>841</v>
      </c>
      <c r="H214" s="43" t="s">
        <v>807</v>
      </c>
      <c r="I214" s="43" t="s">
        <v>660</v>
      </c>
      <c r="J214" s="43" t="s">
        <v>144</v>
      </c>
      <c r="L214" s="43" t="s">
        <v>777</v>
      </c>
      <c r="M214" s="43" t="s">
        <v>814</v>
      </c>
      <c r="N214" s="43" t="str">
        <f t="shared" si="867"/>
        <v>VRFSysHtRcvryClgEIRRatio_fTwbToadbSI</v>
      </c>
      <c r="O214" s="43" t="s">
        <v>165</v>
      </c>
      <c r="P214" s="43" t="s">
        <v>288</v>
      </c>
      <c r="Q214" s="43" t="s">
        <v>116</v>
      </c>
      <c r="R214" s="43" t="s">
        <v>460</v>
      </c>
      <c r="V214" s="46">
        <v>0.71171783597032667</v>
      </c>
      <c r="W214" s="46">
        <v>-3.6905499171819276E-3</v>
      </c>
      <c r="X214" s="46">
        <v>-5.4441544275302775E-5</v>
      </c>
      <c r="Y214" s="46">
        <v>-4.2622599288942107E-3</v>
      </c>
      <c r="Z214" s="46">
        <v>2.3850131099014776E-4</v>
      </c>
      <c r="AA214" s="46">
        <v>2.467049202990621E-4</v>
      </c>
      <c r="AI214" s="43">
        <v>28</v>
      </c>
      <c r="AJ214" s="43">
        <v>15</v>
      </c>
      <c r="AK214" s="43">
        <v>45</v>
      </c>
      <c r="AL214" s="43">
        <v>-5</v>
      </c>
      <c r="AO214" s="43">
        <v>0</v>
      </c>
      <c r="AP214" s="166" t="str">
        <f t="shared" si="868"/>
        <v/>
      </c>
      <c r="AQ214" s="167" t="str">
        <f t="shared" si="869"/>
        <v/>
      </c>
      <c r="AR214" s="166" t="str">
        <f t="shared" si="870"/>
        <v/>
      </c>
      <c r="AS214" s="166" t="str">
        <f t="shared" si="871"/>
        <v/>
      </c>
      <c r="AT214" s="20" t="str">
        <f t="shared" si="872"/>
        <v/>
      </c>
      <c r="AU214" s="43" t="str">
        <f t="shared" si="873"/>
        <v xml:space="preserve">               </v>
      </c>
      <c r="AV214" s="62" t="str">
        <f t="shared" si="855"/>
        <v/>
      </c>
      <c r="AW214" s="20" t="str">
        <f t="shared" si="874"/>
        <v xml:space="preserve">                                                                 </v>
      </c>
      <c r="AX214" s="43" t="str">
        <f t="shared" ref="AX214:BC225" si="883">IF($AO214=1,IF(ISBLANK(V214),"-",CONCATENATE(TEXT(V214," 0.000000;-0.000000"),"  ")),"")</f>
        <v/>
      </c>
      <c r="AY214" s="43" t="str">
        <f t="shared" si="883"/>
        <v/>
      </c>
      <c r="AZ214" s="43" t="str">
        <f t="shared" si="883"/>
        <v/>
      </c>
      <c r="BA214" s="43" t="str">
        <f t="shared" si="883"/>
        <v/>
      </c>
      <c r="BB214" s="43" t="str">
        <f t="shared" si="883"/>
        <v/>
      </c>
      <c r="BC214" s="43" t="str">
        <f t="shared" si="883"/>
        <v/>
      </c>
      <c r="BE214" s="20" t="str">
        <f t="shared" si="876"/>
        <v/>
      </c>
      <c r="BF214" s="20" t="str">
        <f t="shared" si="876"/>
        <v/>
      </c>
      <c r="BG214" s="20" t="str">
        <f t="shared" si="876"/>
        <v/>
      </c>
      <c r="BH214" s="20" t="str">
        <f t="shared" si="876"/>
        <v/>
      </c>
      <c r="BI214" s="20" t="str">
        <f t="shared" si="876"/>
        <v/>
      </c>
      <c r="BJ214" s="20" t="str">
        <f t="shared" si="876"/>
        <v/>
      </c>
      <c r="BK214" s="20"/>
      <c r="BL214" s="20"/>
      <c r="BM214" s="43" t="str">
        <f t="shared" si="877"/>
        <v>Twb</v>
      </c>
      <c r="BN214" s="43" t="str">
        <f t="shared" si="877"/>
        <v>Toadb</v>
      </c>
      <c r="BQ214" s="20">
        <f t="shared" si="881"/>
        <v>28</v>
      </c>
      <c r="BR214" s="43">
        <f t="shared" si="881"/>
        <v>15</v>
      </c>
      <c r="BS214" s="20">
        <f t="shared" si="881"/>
        <v>45</v>
      </c>
      <c r="BT214" s="20">
        <f t="shared" si="881"/>
        <v>-5</v>
      </c>
      <c r="BU214" s="147"/>
      <c r="BV214" s="161">
        <f t="shared" si="882"/>
        <v>1.1677119251090233</v>
      </c>
      <c r="BW214" s="147">
        <f t="shared" si="882"/>
        <v>0.65288120314744968</v>
      </c>
      <c r="BY214" s="20"/>
      <c r="BZ214" s="20"/>
    </row>
    <row r="215" spans="2:78" outlineLevel="1" x14ac:dyDescent="0.25">
      <c r="E215" s="43" t="s">
        <v>753</v>
      </c>
      <c r="F215" s="43" t="s">
        <v>771</v>
      </c>
      <c r="G215" s="45" t="s">
        <v>841</v>
      </c>
      <c r="H215" s="43" t="s">
        <v>806</v>
      </c>
      <c r="I215" s="43" t="s">
        <v>660</v>
      </c>
      <c r="J215" s="43" t="s">
        <v>144</v>
      </c>
      <c r="L215" s="43" t="s">
        <v>777</v>
      </c>
      <c r="M215" s="43" t="s">
        <v>793</v>
      </c>
      <c r="N215" s="43" t="str">
        <f t="shared" si="867"/>
        <v>VRFSysHtgEIRRatio_fTdbToadbLowSI</v>
      </c>
      <c r="O215" s="43" t="s">
        <v>165</v>
      </c>
      <c r="P215" s="43" t="s">
        <v>288</v>
      </c>
      <c r="Q215" s="43" t="s">
        <v>117</v>
      </c>
      <c r="R215" s="43" t="s">
        <v>460</v>
      </c>
      <c r="S215" s="43" t="s">
        <v>798</v>
      </c>
      <c r="V215" s="46">
        <v>1.3252510737425265</v>
      </c>
      <c r="W215" s="46">
        <v>-3.5855366225108078E-2</v>
      </c>
      <c r="X215" s="46">
        <v>1.3423318668480031E-3</v>
      </c>
      <c r="Y215" s="46">
        <v>-2.1599320570742708E-2</v>
      </c>
      <c r="Z215" s="46">
        <v>-1.4177902651932108E-4</v>
      </c>
      <c r="AA215" s="46">
        <v>-2.1793972544392699E-4</v>
      </c>
      <c r="AI215" s="43">
        <v>25</v>
      </c>
      <c r="AJ215" s="43">
        <v>12</v>
      </c>
      <c r="AK215" s="43">
        <v>7</v>
      </c>
      <c r="AL215" s="43">
        <v>-20</v>
      </c>
      <c r="AO215" s="43">
        <v>0</v>
      </c>
      <c r="AP215" s="166" t="str">
        <f t="shared" si="868"/>
        <v/>
      </c>
      <c r="AQ215" s="167" t="str">
        <f t="shared" si="869"/>
        <v/>
      </c>
      <c r="AR215" s="166" t="str">
        <f t="shared" si="870"/>
        <v/>
      </c>
      <c r="AS215" s="166" t="str">
        <f t="shared" si="871"/>
        <v/>
      </c>
      <c r="AT215" s="20" t="str">
        <f t="shared" si="872"/>
        <v/>
      </c>
      <c r="AU215" s="43" t="str">
        <f t="shared" si="873"/>
        <v xml:space="preserve">               </v>
      </c>
      <c r="AV215" s="62" t="str">
        <f t="shared" si="855"/>
        <v/>
      </c>
      <c r="AW215" s="20" t="str">
        <f t="shared" si="874"/>
        <v xml:space="preserve">                                                                 </v>
      </c>
      <c r="AX215" s="43" t="str">
        <f t="shared" si="883"/>
        <v/>
      </c>
      <c r="AY215" s="43" t="str">
        <f t="shared" si="883"/>
        <v/>
      </c>
      <c r="AZ215" s="43" t="str">
        <f t="shared" si="883"/>
        <v/>
      </c>
      <c r="BA215" s="43" t="str">
        <f t="shared" si="883"/>
        <v/>
      </c>
      <c r="BB215" s="43" t="str">
        <f t="shared" si="883"/>
        <v/>
      </c>
      <c r="BC215" s="43" t="str">
        <f t="shared" si="883"/>
        <v/>
      </c>
      <c r="BE215" s="20" t="str">
        <f t="shared" si="876"/>
        <v/>
      </c>
      <c r="BF215" s="20" t="str">
        <f t="shared" si="876"/>
        <v/>
      </c>
      <c r="BG215" s="20" t="str">
        <f t="shared" si="876"/>
        <v/>
      </c>
      <c r="BH215" s="20" t="str">
        <f t="shared" si="876"/>
        <v/>
      </c>
      <c r="BI215" s="20" t="str">
        <f t="shared" si="876"/>
        <v/>
      </c>
      <c r="BJ215" s="20" t="str">
        <f t="shared" si="876"/>
        <v/>
      </c>
      <c r="BK215" s="20"/>
      <c r="BL215" s="20"/>
      <c r="BM215" s="43" t="str">
        <f t="shared" si="877"/>
        <v>Tdb</v>
      </c>
      <c r="BN215" s="43" t="str">
        <f t="shared" si="877"/>
        <v>Toadb</v>
      </c>
      <c r="BQ215" s="20">
        <f t="shared" si="881"/>
        <v>25</v>
      </c>
      <c r="BR215" s="43">
        <f t="shared" si="881"/>
        <v>12</v>
      </c>
      <c r="BS215" s="20">
        <f t="shared" si="881"/>
        <v>7</v>
      </c>
      <c r="BT215" s="20">
        <f t="shared" si="881"/>
        <v>-20</v>
      </c>
      <c r="BU215" s="147"/>
      <c r="BV215" s="161">
        <f t="shared" si="882"/>
        <v>1.0715424666474938</v>
      </c>
      <c r="BW215" s="147">
        <f t="shared" si="882"/>
        <v>1.5158628027810102</v>
      </c>
      <c r="BY215" s="20"/>
      <c r="BZ215" s="20"/>
    </row>
    <row r="216" spans="2:78" outlineLevel="1" x14ac:dyDescent="0.25">
      <c r="E216" s="43" t="s">
        <v>753</v>
      </c>
      <c r="F216" s="43" t="s">
        <v>772</v>
      </c>
      <c r="G216" s="45" t="s">
        <v>841</v>
      </c>
      <c r="H216" s="43" t="s">
        <v>806</v>
      </c>
      <c r="I216" s="43" t="s">
        <v>660</v>
      </c>
      <c r="J216" s="43" t="s">
        <v>144</v>
      </c>
      <c r="L216" s="43" t="s">
        <v>777</v>
      </c>
      <c r="M216" s="43" t="s">
        <v>794</v>
      </c>
      <c r="N216" s="43" t="str">
        <f t="shared" si="867"/>
        <v>VRFSysHtgEIRBdry_fTdbSI</v>
      </c>
      <c r="O216" s="43" t="s">
        <v>162</v>
      </c>
      <c r="P216" s="43" t="s">
        <v>800</v>
      </c>
      <c r="Q216" s="43" t="s">
        <v>117</v>
      </c>
      <c r="V216" s="61">
        <v>-38.662146343899053</v>
      </c>
      <c r="W216" s="46">
        <v>5.2351709478316586</v>
      </c>
      <c r="X216" s="46">
        <v>-0.15369276785977504</v>
      </c>
      <c r="AI216" s="43">
        <v>25</v>
      </c>
      <c r="AJ216" s="43">
        <v>12</v>
      </c>
      <c r="AO216" s="43">
        <v>0</v>
      </c>
      <c r="AP216" s="166" t="str">
        <f t="shared" si="868"/>
        <v/>
      </c>
      <c r="AQ216" s="167" t="str">
        <f t="shared" si="869"/>
        <v/>
      </c>
      <c r="AR216" s="166" t="str">
        <f t="shared" si="870"/>
        <v/>
      </c>
      <c r="AS216" s="166" t="str">
        <f t="shared" si="871"/>
        <v/>
      </c>
      <c r="AT216" s="20" t="str">
        <f t="shared" si="872"/>
        <v/>
      </c>
      <c r="AU216" s="43" t="str">
        <f t="shared" si="873"/>
        <v xml:space="preserve">               </v>
      </c>
      <c r="AV216" s="62" t="str">
        <f t="shared" si="855"/>
        <v/>
      </c>
      <c r="AW216" s="20" t="str">
        <f t="shared" si="874"/>
        <v xml:space="preserve">                                                                 </v>
      </c>
      <c r="AX216" s="43" t="str">
        <f t="shared" si="883"/>
        <v/>
      </c>
      <c r="AY216" s="43" t="str">
        <f t="shared" si="883"/>
        <v/>
      </c>
      <c r="AZ216" s="43" t="str">
        <f t="shared" si="883"/>
        <v/>
      </c>
      <c r="BA216" s="43" t="str">
        <f t="shared" si="883"/>
        <v/>
      </c>
      <c r="BB216" s="43" t="str">
        <f t="shared" si="883"/>
        <v/>
      </c>
      <c r="BC216" s="43" t="str">
        <f t="shared" si="883"/>
        <v/>
      </c>
      <c r="BE216" s="20" t="str">
        <f t="shared" si="876"/>
        <v/>
      </c>
      <c r="BF216" s="20" t="str">
        <f t="shared" si="876"/>
        <v/>
      </c>
      <c r="BG216" s="20" t="str">
        <f t="shared" si="876"/>
        <v/>
      </c>
      <c r="BH216" s="20" t="str">
        <f t="shared" si="876"/>
        <v/>
      </c>
      <c r="BI216" s="20" t="str">
        <f t="shared" si="876"/>
        <v/>
      </c>
      <c r="BJ216" s="20" t="str">
        <f t="shared" si="876"/>
        <v/>
      </c>
      <c r="BK216" s="20"/>
      <c r="BL216" s="20"/>
      <c r="BM216" s="43" t="str">
        <f t="shared" si="877"/>
        <v>Tdb</v>
      </c>
      <c r="BQ216" s="20">
        <f t="shared" si="881"/>
        <v>25</v>
      </c>
      <c r="BR216" s="43">
        <f t="shared" si="881"/>
        <v>12</v>
      </c>
      <c r="BS216" s="20"/>
      <c r="BT216" s="20"/>
      <c r="BU216" s="147"/>
      <c r="BV216" s="161">
        <f t="shared" si="882"/>
        <v>-3.840852560466999</v>
      </c>
      <c r="BW216" s="147">
        <f t="shared" si="882"/>
        <v>2.0281464582732447</v>
      </c>
      <c r="BY216" s="20"/>
      <c r="BZ216" s="20"/>
    </row>
    <row r="217" spans="2:78" outlineLevel="1" x14ac:dyDescent="0.25">
      <c r="E217" s="43" t="s">
        <v>753</v>
      </c>
      <c r="F217" s="43" t="s">
        <v>773</v>
      </c>
      <c r="G217" s="45" t="s">
        <v>841</v>
      </c>
      <c r="H217" s="43" t="s">
        <v>806</v>
      </c>
      <c r="I217" s="43" t="s">
        <v>660</v>
      </c>
      <c r="J217" s="43" t="s">
        <v>144</v>
      </c>
      <c r="L217" s="43" t="s">
        <v>777</v>
      </c>
      <c r="M217" s="43" t="s">
        <v>795</v>
      </c>
      <c r="N217" s="43" t="str">
        <f t="shared" si="867"/>
        <v>VRFSysHtgEIRRatio_fTdbToadbHiSI</v>
      </c>
      <c r="O217" s="43" t="s">
        <v>165</v>
      </c>
      <c r="P217" s="43" t="s">
        <v>288</v>
      </c>
      <c r="Q217" s="43" t="s">
        <v>117</v>
      </c>
      <c r="R217" s="43" t="s">
        <v>460</v>
      </c>
      <c r="S217" s="43" t="s">
        <v>799</v>
      </c>
      <c r="V217" s="46">
        <v>0.8696914864448636</v>
      </c>
      <c r="W217" s="46">
        <v>1.7188975486905633E-2</v>
      </c>
      <c r="X217" s="46">
        <v>-1.5083441778968623E-4</v>
      </c>
      <c r="Y217" s="46">
        <v>-1.5776789126802623E-2</v>
      </c>
      <c r="Z217" s="46">
        <v>5.8191354904987803E-4</v>
      </c>
      <c r="AA217" s="46">
        <v>-6.9746489602280322E-4</v>
      </c>
      <c r="AI217" s="43">
        <v>25</v>
      </c>
      <c r="AJ217" s="43">
        <v>12</v>
      </c>
      <c r="AK217" s="43">
        <v>16</v>
      </c>
      <c r="AL217" s="43">
        <v>-5</v>
      </c>
      <c r="AO217" s="43">
        <v>0</v>
      </c>
      <c r="AP217" s="166" t="str">
        <f t="shared" si="868"/>
        <v/>
      </c>
      <c r="AQ217" s="167" t="str">
        <f t="shared" si="869"/>
        <v/>
      </c>
      <c r="AR217" s="166" t="str">
        <f t="shared" si="870"/>
        <v/>
      </c>
      <c r="AS217" s="166" t="str">
        <f t="shared" si="871"/>
        <v/>
      </c>
      <c r="AT217" s="20" t="str">
        <f t="shared" si="872"/>
        <v/>
      </c>
      <c r="AU217" s="43" t="str">
        <f t="shared" si="873"/>
        <v xml:space="preserve">               </v>
      </c>
      <c r="AV217" s="62" t="str">
        <f t="shared" si="855"/>
        <v/>
      </c>
      <c r="AW217" s="20" t="str">
        <f t="shared" si="874"/>
        <v xml:space="preserve">                                                                 </v>
      </c>
      <c r="AX217" s="43" t="str">
        <f t="shared" si="883"/>
        <v/>
      </c>
      <c r="AY217" s="43" t="str">
        <f t="shared" si="883"/>
        <v/>
      </c>
      <c r="AZ217" s="43" t="str">
        <f t="shared" si="883"/>
        <v/>
      </c>
      <c r="BA217" s="43" t="str">
        <f t="shared" si="883"/>
        <v/>
      </c>
      <c r="BB217" s="43" t="str">
        <f t="shared" si="883"/>
        <v/>
      </c>
      <c r="BC217" s="43" t="str">
        <f t="shared" si="883"/>
        <v/>
      </c>
      <c r="BE217" s="20" t="str">
        <f t="shared" si="876"/>
        <v/>
      </c>
      <c r="BF217" s="20" t="str">
        <f t="shared" si="876"/>
        <v/>
      </c>
      <c r="BG217" s="20" t="str">
        <f t="shared" si="876"/>
        <v/>
      </c>
      <c r="BH217" s="20" t="str">
        <f t="shared" si="876"/>
        <v/>
      </c>
      <c r="BI217" s="20" t="str">
        <f t="shared" si="876"/>
        <v/>
      </c>
      <c r="BJ217" s="20" t="str">
        <f t="shared" si="876"/>
        <v/>
      </c>
      <c r="BK217" s="20"/>
      <c r="BL217" s="20"/>
      <c r="BM217" s="43" t="str">
        <f t="shared" si="877"/>
        <v>Tdb</v>
      </c>
      <c r="BN217" s="43" t="str">
        <f t="shared" si="877"/>
        <v>Toadb</v>
      </c>
      <c r="BQ217" s="20">
        <f t="shared" si="881"/>
        <v>25</v>
      </c>
      <c r="BR217" s="43">
        <f t="shared" si="881"/>
        <v>12</v>
      </c>
      <c r="BS217" s="20">
        <f t="shared" si="881"/>
        <v>16</v>
      </c>
      <c r="BT217" s="20">
        <f t="shared" si="881"/>
        <v>-5</v>
      </c>
      <c r="BU217" s="147"/>
      <c r="BV217" s="161">
        <f t="shared" si="882"/>
        <v>0.82269964661775608</v>
      </c>
      <c r="BW217" s="147">
        <f t="shared" si="882"/>
        <v>1.1895187142476447</v>
      </c>
      <c r="BY217" s="20"/>
      <c r="BZ217" s="20"/>
    </row>
    <row r="218" spans="2:78" outlineLevel="1" x14ac:dyDescent="0.25">
      <c r="E218" s="43" t="s">
        <v>753</v>
      </c>
      <c r="F218" s="43" t="s">
        <v>774</v>
      </c>
      <c r="G218" s="45" t="s">
        <v>841</v>
      </c>
      <c r="H218" s="43" t="s">
        <v>806</v>
      </c>
      <c r="I218" s="43" t="s">
        <v>660</v>
      </c>
      <c r="J218" s="43" t="s">
        <v>144</v>
      </c>
      <c r="L218" s="43" t="s">
        <v>777</v>
      </c>
      <c r="M218" s="43" t="s">
        <v>796</v>
      </c>
      <c r="N218" s="43" t="str">
        <f t="shared" si="867"/>
        <v>VRFSysHtgEIRRatio_fPLRSI</v>
      </c>
      <c r="O218" s="43" t="s">
        <v>162</v>
      </c>
      <c r="P218" s="43" t="s">
        <v>288</v>
      </c>
      <c r="Q218" s="43" t="s">
        <v>28</v>
      </c>
      <c r="V218" s="46">
        <v>1.0474850632692934E-3</v>
      </c>
      <c r="W218" s="46">
        <v>0.69116791128515909</v>
      </c>
      <c r="X218" s="46">
        <v>0.27364101671439572</v>
      </c>
      <c r="AI218" s="43">
        <v>1.3</v>
      </c>
      <c r="AJ218" s="43">
        <v>0.2</v>
      </c>
      <c r="AO218" s="43">
        <v>0</v>
      </c>
      <c r="AP218" s="166" t="str">
        <f t="shared" si="868"/>
        <v/>
      </c>
      <c r="AQ218" s="167" t="str">
        <f t="shared" si="869"/>
        <v/>
      </c>
      <c r="AR218" s="166" t="str">
        <f t="shared" si="870"/>
        <v/>
      </c>
      <c r="AS218" s="166" t="str">
        <f t="shared" si="871"/>
        <v/>
      </c>
      <c r="AT218" s="20" t="str">
        <f t="shared" si="872"/>
        <v/>
      </c>
      <c r="AU218" s="43" t="str">
        <f t="shared" si="873"/>
        <v xml:space="preserve">               </v>
      </c>
      <c r="AV218" s="62" t="str">
        <f t="shared" si="855"/>
        <v/>
      </c>
      <c r="AW218" s="20" t="str">
        <f t="shared" si="874"/>
        <v xml:space="preserve">                                                                 </v>
      </c>
      <c r="AX218" s="43" t="str">
        <f t="shared" si="883"/>
        <v/>
      </c>
      <c r="AY218" s="43" t="str">
        <f t="shared" si="883"/>
        <v/>
      </c>
      <c r="AZ218" s="43" t="str">
        <f t="shared" si="883"/>
        <v/>
      </c>
      <c r="BA218" s="43" t="str">
        <f t="shared" si="883"/>
        <v/>
      </c>
      <c r="BB218" s="43" t="str">
        <f t="shared" si="883"/>
        <v/>
      </c>
      <c r="BC218" s="43" t="str">
        <f t="shared" si="883"/>
        <v/>
      </c>
      <c r="BE218" s="20" t="str">
        <f t="shared" si="876"/>
        <v/>
      </c>
      <c r="BF218" s="20" t="str">
        <f t="shared" si="876"/>
        <v/>
      </c>
      <c r="BG218" s="20" t="str">
        <f t="shared" si="876"/>
        <v/>
      </c>
      <c r="BH218" s="20" t="str">
        <f t="shared" si="876"/>
        <v/>
      </c>
      <c r="BI218" s="20" t="str">
        <f t="shared" si="876"/>
        <v/>
      </c>
      <c r="BJ218" s="20" t="str">
        <f t="shared" si="876"/>
        <v/>
      </c>
      <c r="BK218" s="20"/>
      <c r="BL218" s="20"/>
      <c r="BM218" s="43" t="str">
        <f t="shared" si="877"/>
        <v>PLR</v>
      </c>
      <c r="BQ218" s="20">
        <f t="shared" si="881"/>
        <v>1.3</v>
      </c>
      <c r="BR218" s="43">
        <f t="shared" si="881"/>
        <v>0.2</v>
      </c>
      <c r="BS218" s="20"/>
      <c r="BT218" s="20"/>
      <c r="BU218" s="147"/>
      <c r="BV218" s="161">
        <f t="shared" si="882"/>
        <v>1.362019087981305</v>
      </c>
      <c r="BW218" s="147">
        <f t="shared" si="882"/>
        <v>0.15022670798887697</v>
      </c>
      <c r="BY218" s="20"/>
      <c r="BZ218" s="20"/>
    </row>
    <row r="219" spans="2:78" outlineLevel="1" x14ac:dyDescent="0.25">
      <c r="E219" s="43" t="s">
        <v>753</v>
      </c>
      <c r="F219" s="43" t="s">
        <v>775</v>
      </c>
      <c r="G219" s="45" t="s">
        <v>841</v>
      </c>
      <c r="H219" s="43" t="s">
        <v>806</v>
      </c>
      <c r="I219" s="43" t="s">
        <v>660</v>
      </c>
      <c r="J219" s="43" t="s">
        <v>144</v>
      </c>
      <c r="L219" s="43" t="s">
        <v>777</v>
      </c>
      <c r="M219" s="43" t="s">
        <v>797</v>
      </c>
      <c r="N219" s="43" t="str">
        <f t="shared" si="867"/>
        <v>VRFSysHtgEIRRatio_fPLRSI</v>
      </c>
      <c r="O219" s="43" t="s">
        <v>162</v>
      </c>
      <c r="P219" s="43" t="s">
        <v>288</v>
      </c>
      <c r="Q219" s="43" t="s">
        <v>28</v>
      </c>
      <c r="V219" s="46">
        <v>1.0474850632692934E-3</v>
      </c>
      <c r="W219" s="46">
        <v>0.69116791128515909</v>
      </c>
      <c r="X219" s="46">
        <v>0.27364101671439572</v>
      </c>
      <c r="AI219" s="43">
        <v>1.3</v>
      </c>
      <c r="AJ219" s="43">
        <v>0.2</v>
      </c>
      <c r="AO219" s="43">
        <v>0</v>
      </c>
      <c r="AP219" s="166" t="str">
        <f t="shared" si="868"/>
        <v/>
      </c>
      <c r="AQ219" s="167" t="str">
        <f t="shared" si="869"/>
        <v/>
      </c>
      <c r="AR219" s="166" t="str">
        <f t="shared" si="870"/>
        <v/>
      </c>
      <c r="AS219" s="166" t="str">
        <f t="shared" si="871"/>
        <v/>
      </c>
      <c r="AT219" s="20" t="str">
        <f t="shared" si="872"/>
        <v/>
      </c>
      <c r="AU219" s="43" t="str">
        <f t="shared" si="873"/>
        <v xml:space="preserve">               </v>
      </c>
      <c r="AV219" s="62" t="str">
        <f t="shared" si="855"/>
        <v/>
      </c>
      <c r="AW219" s="20" t="str">
        <f t="shared" si="874"/>
        <v xml:space="preserve">                                                                 </v>
      </c>
      <c r="AX219" s="43" t="str">
        <f t="shared" si="883"/>
        <v/>
      </c>
      <c r="AY219" s="43" t="str">
        <f t="shared" si="883"/>
        <v/>
      </c>
      <c r="AZ219" s="43" t="str">
        <f t="shared" si="883"/>
        <v/>
      </c>
      <c r="BA219" s="43" t="str">
        <f t="shared" si="883"/>
        <v/>
      </c>
      <c r="BB219" s="43" t="str">
        <f t="shared" si="883"/>
        <v/>
      </c>
      <c r="BC219" s="43" t="str">
        <f t="shared" si="883"/>
        <v/>
      </c>
      <c r="BE219" s="20" t="str">
        <f t="shared" si="876"/>
        <v/>
      </c>
      <c r="BF219" s="20" t="str">
        <f t="shared" si="876"/>
        <v/>
      </c>
      <c r="BG219" s="20" t="str">
        <f t="shared" si="876"/>
        <v/>
      </c>
      <c r="BH219" s="20" t="str">
        <f t="shared" si="876"/>
        <v/>
      </c>
      <c r="BI219" s="20" t="str">
        <f t="shared" si="876"/>
        <v/>
      </c>
      <c r="BJ219" s="20" t="str">
        <f t="shared" si="876"/>
        <v/>
      </c>
      <c r="BK219" s="20"/>
      <c r="BL219" s="20"/>
      <c r="BM219" s="43" t="str">
        <f t="shared" si="877"/>
        <v>PLR</v>
      </c>
      <c r="BQ219" s="20">
        <f t="shared" si="881"/>
        <v>1.3</v>
      </c>
      <c r="BR219" s="43">
        <f t="shared" si="881"/>
        <v>0.2</v>
      </c>
      <c r="BS219" s="20"/>
      <c r="BT219" s="20"/>
      <c r="BU219" s="147"/>
      <c r="BV219" s="161">
        <f t="shared" si="882"/>
        <v>1.362019087981305</v>
      </c>
      <c r="BW219" s="147">
        <f t="shared" si="882"/>
        <v>0.15022670798887697</v>
      </c>
      <c r="BY219" s="20"/>
      <c r="BZ219" s="20"/>
    </row>
    <row r="220" spans="2:78" outlineLevel="1" x14ac:dyDescent="0.25">
      <c r="E220" s="43" t="s">
        <v>753</v>
      </c>
      <c r="F220" s="43" t="s">
        <v>809</v>
      </c>
      <c r="G220" s="45" t="s">
        <v>841</v>
      </c>
      <c r="H220" s="43" t="s">
        <v>806</v>
      </c>
      <c r="I220" s="43" t="s">
        <v>660</v>
      </c>
      <c r="J220" s="43" t="s">
        <v>144</v>
      </c>
      <c r="L220" s="43" t="s">
        <v>777</v>
      </c>
      <c r="M220" s="43" t="s">
        <v>812</v>
      </c>
      <c r="N220" s="43" t="str">
        <f t="shared" si="867"/>
        <v>VRFSysHtgEIRRatio_fCycRatSI</v>
      </c>
      <c r="O220" s="43" t="s">
        <v>230</v>
      </c>
      <c r="P220" s="43" t="s">
        <v>288</v>
      </c>
      <c r="Q220" s="43" t="s">
        <v>804</v>
      </c>
      <c r="V220" s="46">
        <v>0.85</v>
      </c>
      <c r="W220" s="46">
        <v>0.15</v>
      </c>
      <c r="X220" s="46">
        <v>0</v>
      </c>
      <c r="Y220" s="46">
        <v>0</v>
      </c>
      <c r="AI220" s="43">
        <v>1</v>
      </c>
      <c r="AJ220" s="43">
        <v>0</v>
      </c>
      <c r="AM220" s="45" t="s">
        <v>914</v>
      </c>
      <c r="AO220" s="43">
        <v>0</v>
      </c>
      <c r="AP220" s="166" t="str">
        <f t="shared" si="868"/>
        <v/>
      </c>
      <c r="AQ220" s="167" t="str">
        <f t="shared" si="869"/>
        <v/>
      </c>
      <c r="AR220" s="166" t="str">
        <f t="shared" si="870"/>
        <v/>
      </c>
      <c r="AS220" s="166" t="str">
        <f t="shared" si="871"/>
        <v/>
      </c>
      <c r="AT220" s="20" t="str">
        <f t="shared" si="872"/>
        <v/>
      </c>
      <c r="AU220" s="43" t="str">
        <f t="shared" si="873"/>
        <v xml:space="preserve">               </v>
      </c>
      <c r="AV220" s="62" t="str">
        <f t="shared" si="855"/>
        <v/>
      </c>
      <c r="AW220" s="20" t="str">
        <f t="shared" si="874"/>
        <v xml:space="preserve">                                                                 </v>
      </c>
      <c r="AX220" s="43" t="str">
        <f t="shared" si="883"/>
        <v/>
      </c>
      <c r="AY220" s="43" t="str">
        <f t="shared" si="883"/>
        <v/>
      </c>
      <c r="AZ220" s="43" t="str">
        <f t="shared" si="883"/>
        <v/>
      </c>
      <c r="BA220" s="43" t="str">
        <f t="shared" si="883"/>
        <v/>
      </c>
      <c r="BB220" s="43" t="str">
        <f t="shared" si="883"/>
        <v/>
      </c>
      <c r="BC220" s="43" t="str">
        <f t="shared" si="883"/>
        <v/>
      </c>
      <c r="BE220" s="20" t="str">
        <f t="shared" si="876"/>
        <v/>
      </c>
      <c r="BF220" s="20" t="str">
        <f t="shared" si="876"/>
        <v/>
      </c>
      <c r="BG220" s="20" t="str">
        <f t="shared" si="876"/>
        <v/>
      </c>
      <c r="BH220" s="20" t="str">
        <f t="shared" si="876"/>
        <v/>
      </c>
      <c r="BI220" s="20" t="str">
        <f t="shared" si="876"/>
        <v/>
      </c>
      <c r="BJ220" s="20" t="str">
        <f t="shared" si="876"/>
        <v/>
      </c>
      <c r="BK220" s="20"/>
      <c r="BL220" s="20"/>
      <c r="BQ220" s="20">
        <f t="shared" si="881"/>
        <v>1</v>
      </c>
      <c r="BS220" s="20"/>
      <c r="BT220" s="20"/>
      <c r="BU220" s="147"/>
      <c r="BV220" s="161">
        <f t="shared" si="882"/>
        <v>1</v>
      </c>
      <c r="BW220" s="147">
        <f t="shared" si="882"/>
        <v>0.85</v>
      </c>
      <c r="BY220" s="20"/>
      <c r="BZ220" s="20"/>
    </row>
    <row r="221" spans="2:78" outlineLevel="1" x14ac:dyDescent="0.25">
      <c r="E221" s="43" t="s">
        <v>753</v>
      </c>
      <c r="F221" s="43" t="s">
        <v>776</v>
      </c>
      <c r="G221" s="45" t="s">
        <v>841</v>
      </c>
      <c r="H221" s="43" t="s">
        <v>808</v>
      </c>
      <c r="I221" s="43" t="s">
        <v>660</v>
      </c>
      <c r="J221" s="43" t="s">
        <v>144</v>
      </c>
      <c r="L221" s="43" t="s">
        <v>777</v>
      </c>
      <c r="M221" s="43" t="s">
        <v>811</v>
      </c>
      <c r="N221" s="43" t="str">
        <f t="shared" si="867"/>
        <v>VRFSysHtRcvryHtgEIRRatio_fTdbToadbSI</v>
      </c>
      <c r="O221" s="43" t="s">
        <v>165</v>
      </c>
      <c r="P221" s="43" t="s">
        <v>288</v>
      </c>
      <c r="Q221" s="43" t="s">
        <v>117</v>
      </c>
      <c r="R221" s="43" t="s">
        <v>460</v>
      </c>
      <c r="V221" s="46">
        <v>0.8696914864448636</v>
      </c>
      <c r="W221" s="46">
        <v>1.7188975486905633E-2</v>
      </c>
      <c r="X221" s="46">
        <v>-1.5083441778968623E-4</v>
      </c>
      <c r="Y221" s="46">
        <v>-1.5776789126802623E-2</v>
      </c>
      <c r="Z221" s="46">
        <v>5.8191354904987803E-4</v>
      </c>
      <c r="AA221" s="46">
        <v>-6.9746489602280322E-4</v>
      </c>
      <c r="AI221" s="43">
        <v>25</v>
      </c>
      <c r="AJ221" s="43">
        <v>12</v>
      </c>
      <c r="AK221" s="43">
        <v>16</v>
      </c>
      <c r="AL221" s="43">
        <v>-20</v>
      </c>
      <c r="AO221" s="43">
        <v>0</v>
      </c>
      <c r="AP221" s="166" t="str">
        <f t="shared" si="868"/>
        <v/>
      </c>
      <c r="AQ221" s="167" t="str">
        <f t="shared" si="869"/>
        <v/>
      </c>
      <c r="AR221" s="166" t="str">
        <f t="shared" si="870"/>
        <v/>
      </c>
      <c r="AS221" s="166" t="str">
        <f t="shared" si="871"/>
        <v/>
      </c>
      <c r="AT221" s="20" t="str">
        <f t="shared" si="872"/>
        <v/>
      </c>
      <c r="AU221" s="43" t="str">
        <f t="shared" si="873"/>
        <v xml:space="preserve">               </v>
      </c>
      <c r="AV221" s="62" t="str">
        <f t="shared" si="855"/>
        <v/>
      </c>
      <c r="AW221" s="20" t="str">
        <f t="shared" si="874"/>
        <v xml:space="preserve">                                                                 </v>
      </c>
      <c r="AX221" s="43" t="str">
        <f t="shared" si="883"/>
        <v/>
      </c>
      <c r="AY221" s="43" t="str">
        <f t="shared" si="883"/>
        <v/>
      </c>
      <c r="AZ221" s="43" t="str">
        <f t="shared" si="883"/>
        <v/>
      </c>
      <c r="BA221" s="43" t="str">
        <f t="shared" si="883"/>
        <v/>
      </c>
      <c r="BB221" s="43" t="str">
        <f t="shared" si="883"/>
        <v/>
      </c>
      <c r="BC221" s="43" t="str">
        <f t="shared" si="883"/>
        <v/>
      </c>
      <c r="BE221" s="20" t="str">
        <f t="shared" si="876"/>
        <v/>
      </c>
      <c r="BF221" s="20" t="str">
        <f t="shared" si="876"/>
        <v/>
      </c>
      <c r="BG221" s="20" t="str">
        <f t="shared" si="876"/>
        <v/>
      </c>
      <c r="BH221" s="20" t="str">
        <f t="shared" si="876"/>
        <v/>
      </c>
      <c r="BI221" s="20" t="str">
        <f t="shared" si="876"/>
        <v/>
      </c>
      <c r="BJ221" s="20" t="str">
        <f t="shared" si="876"/>
        <v/>
      </c>
      <c r="BK221" s="20"/>
      <c r="BL221" s="20"/>
      <c r="BM221" s="43" t="str">
        <f t="shared" si="877"/>
        <v>Tdb</v>
      </c>
      <c r="BN221" s="43" t="str">
        <f t="shared" si="877"/>
        <v>Toadb</v>
      </c>
      <c r="BQ221" s="20">
        <f>AI221</f>
        <v>25</v>
      </c>
      <c r="BR221" s="43">
        <f t="shared" ref="BR221:BT221" si="884">AJ221</f>
        <v>12</v>
      </c>
      <c r="BS221" s="20">
        <f t="shared" si="884"/>
        <v>16</v>
      </c>
      <c r="BT221" s="20">
        <f t="shared" si="884"/>
        <v>-20</v>
      </c>
      <c r="BU221" s="147"/>
      <c r="BV221" s="161">
        <f>$V221+$W221*BQ221+$X221*BQ221^2+$Y221*BS221+$Z221*BS221^2+$AA221*BQ221*BS221</f>
        <v>0.82269964661775608</v>
      </c>
      <c r="BW221" s="147">
        <f>$V221+$W221*BR221+$X221*BR221^2+$Y221*BT221+$Z221*BT221^2+$AA221*BR221*BT221</f>
        <v>1.7699318133274926</v>
      </c>
      <c r="BY221" s="20"/>
      <c r="BZ221" s="20"/>
    </row>
    <row r="222" spans="2:78" outlineLevel="1" x14ac:dyDescent="0.25">
      <c r="B222" s="43" t="s">
        <v>927</v>
      </c>
      <c r="D222" s="44" t="s">
        <v>816</v>
      </c>
      <c r="E222" s="43" t="s">
        <v>753</v>
      </c>
      <c r="F222" s="43" t="s">
        <v>842</v>
      </c>
      <c r="G222" s="45" t="s">
        <v>841</v>
      </c>
      <c r="H222" s="43" t="s">
        <v>805</v>
      </c>
      <c r="I222" s="43" t="s">
        <v>660</v>
      </c>
      <c r="J222" s="43" t="s">
        <v>144</v>
      </c>
      <c r="L222" s="43" t="s">
        <v>777</v>
      </c>
      <c r="M222" s="43" t="s">
        <v>819</v>
      </c>
      <c r="N222" s="43" t="str">
        <f t="shared" si="867"/>
        <v>VRFSysClgPipeLoss_fLenRatioSI</v>
      </c>
      <c r="O222" s="43" t="s">
        <v>162</v>
      </c>
      <c r="P222" s="43" t="s">
        <v>821</v>
      </c>
      <c r="Q222" s="43" t="s">
        <v>849</v>
      </c>
      <c r="V222" s="46">
        <v>1.0105958905174834</v>
      </c>
      <c r="W222" s="46">
        <v>-1.1410996332361966E-2</v>
      </c>
      <c r="X222" s="46">
        <v>6.383802361392983E-5</v>
      </c>
      <c r="AI222" s="43">
        <v>25</v>
      </c>
      <c r="AJ222" s="43">
        <v>1</v>
      </c>
      <c r="AO222" s="43">
        <v>0</v>
      </c>
      <c r="AP222" s="166" t="str">
        <f t="shared" si="868"/>
        <v/>
      </c>
      <c r="AQ222" s="167" t="str">
        <f t="shared" si="869"/>
        <v/>
      </c>
      <c r="AR222" s="166" t="str">
        <f t="shared" si="870"/>
        <v/>
      </c>
      <c r="AS222" s="166" t="str">
        <f t="shared" si="871"/>
        <v/>
      </c>
      <c r="AT222" s="20" t="str">
        <f t="shared" si="872"/>
        <v/>
      </c>
      <c r="AU222" s="43" t="str">
        <f t="shared" si="873"/>
        <v xml:space="preserve">               </v>
      </c>
      <c r="AV222" s="62" t="str">
        <f t="shared" si="855"/>
        <v/>
      </c>
      <c r="AW222" s="20" t="str">
        <f t="shared" si="874"/>
        <v xml:space="preserve">                                                                 </v>
      </c>
      <c r="AX222" s="43" t="str">
        <f t="shared" si="883"/>
        <v/>
      </c>
      <c r="AY222" s="43" t="str">
        <f t="shared" si="883"/>
        <v/>
      </c>
      <c r="AZ222" s="43" t="str">
        <f t="shared" si="883"/>
        <v/>
      </c>
      <c r="BA222" s="43" t="str">
        <f t="shared" si="883"/>
        <v/>
      </c>
      <c r="BB222" s="43" t="str">
        <f t="shared" si="883"/>
        <v/>
      </c>
      <c r="BC222" s="43" t="str">
        <f t="shared" si="883"/>
        <v/>
      </c>
      <c r="BE222" s="20" t="str">
        <f t="shared" si="876"/>
        <v/>
      </c>
      <c r="BF222" s="20" t="str">
        <f t="shared" si="876"/>
        <v/>
      </c>
      <c r="BG222" s="20" t="str">
        <f t="shared" si="876"/>
        <v/>
      </c>
      <c r="BH222" s="20" t="str">
        <f t="shared" si="876"/>
        <v/>
      </c>
      <c r="BI222" s="20" t="str">
        <f t="shared" si="876"/>
        <v/>
      </c>
      <c r="BJ222" s="20" t="str">
        <f t="shared" si="876"/>
        <v/>
      </c>
      <c r="BK222" s="20"/>
      <c r="BL222" s="20"/>
      <c r="BM222" s="43" t="str">
        <f t="shared" si="877"/>
        <v>LenRatio</v>
      </c>
      <c r="BQ222" s="20"/>
      <c r="BS222" s="20"/>
      <c r="BT222" s="20"/>
      <c r="BU222" s="147"/>
      <c r="BV222" s="161"/>
      <c r="BW222" s="147"/>
      <c r="BY222" s="20"/>
      <c r="BZ222" s="20"/>
    </row>
    <row r="223" spans="2:78" outlineLevel="1" x14ac:dyDescent="0.25">
      <c r="E223" s="43" t="s">
        <v>753</v>
      </c>
      <c r="F223" s="43" t="s">
        <v>843</v>
      </c>
      <c r="G223" s="45" t="s">
        <v>841</v>
      </c>
      <c r="H223" s="43" t="s">
        <v>806</v>
      </c>
      <c r="I223" s="43" t="s">
        <v>660</v>
      </c>
      <c r="J223" s="43" t="s">
        <v>144</v>
      </c>
      <c r="L223" s="43" t="s">
        <v>777</v>
      </c>
      <c r="M223" s="43" t="s">
        <v>820</v>
      </c>
      <c r="N223" s="43" t="str">
        <f t="shared" si="867"/>
        <v>VRFSysHtgPipeLoss_fLenRatioSI</v>
      </c>
      <c r="O223" s="43" t="s">
        <v>162</v>
      </c>
      <c r="P223" s="43" t="s">
        <v>821</v>
      </c>
      <c r="Q223" s="43" t="s">
        <v>849</v>
      </c>
      <c r="V223" s="46">
        <v>1.0015678426442838</v>
      </c>
      <c r="W223" s="46">
        <v>-2.4185540091695274E-3</v>
      </c>
      <c r="X223" s="46">
        <v>-2.0376217630457912E-5</v>
      </c>
      <c r="AI223" s="43">
        <v>25</v>
      </c>
      <c r="AJ223" s="43">
        <v>1</v>
      </c>
      <c r="AO223" s="43">
        <v>0</v>
      </c>
      <c r="AP223" s="166" t="str">
        <f t="shared" si="868"/>
        <v/>
      </c>
      <c r="AQ223" s="167" t="str">
        <f t="shared" si="869"/>
        <v/>
      </c>
      <c r="AR223" s="166" t="str">
        <f t="shared" si="870"/>
        <v/>
      </c>
      <c r="AS223" s="166" t="str">
        <f t="shared" si="871"/>
        <v/>
      </c>
      <c r="AT223" s="20" t="str">
        <f t="shared" si="872"/>
        <v/>
      </c>
      <c r="AU223" s="43" t="str">
        <f t="shared" si="873"/>
        <v xml:space="preserve">               </v>
      </c>
      <c r="AV223" s="62" t="str">
        <f t="shared" si="855"/>
        <v/>
      </c>
      <c r="AW223" s="20" t="str">
        <f t="shared" si="874"/>
        <v xml:space="preserve">                                                                 </v>
      </c>
      <c r="AX223" s="43" t="str">
        <f t="shared" si="883"/>
        <v/>
      </c>
      <c r="AY223" s="43" t="str">
        <f t="shared" si="883"/>
        <v/>
      </c>
      <c r="AZ223" s="43" t="str">
        <f t="shared" si="883"/>
        <v/>
      </c>
      <c r="BA223" s="43" t="str">
        <f t="shared" si="883"/>
        <v/>
      </c>
      <c r="BB223" s="43" t="str">
        <f t="shared" si="883"/>
        <v/>
      </c>
      <c r="BC223" s="43" t="str">
        <f t="shared" si="883"/>
        <v/>
      </c>
      <c r="BE223" s="20" t="str">
        <f t="shared" si="876"/>
        <v/>
      </c>
      <c r="BF223" s="20" t="str">
        <f t="shared" si="876"/>
        <v/>
      </c>
      <c r="BG223" s="20" t="str">
        <f t="shared" si="876"/>
        <v/>
      </c>
      <c r="BH223" s="20" t="str">
        <f t="shared" si="876"/>
        <v/>
      </c>
      <c r="BI223" s="20" t="str">
        <f t="shared" si="876"/>
        <v/>
      </c>
      <c r="BJ223" s="20" t="str">
        <f t="shared" si="876"/>
        <v/>
      </c>
      <c r="BK223" s="20"/>
      <c r="BL223" s="20"/>
      <c r="BM223" s="43" t="str">
        <f t="shared" si="877"/>
        <v>LenRatio</v>
      </c>
      <c r="BQ223" s="20"/>
      <c r="BS223" s="20"/>
      <c r="BT223" s="20"/>
      <c r="BU223" s="147"/>
      <c r="BV223" s="161"/>
      <c r="BW223" s="147"/>
      <c r="BY223" s="20"/>
      <c r="BZ223" s="20"/>
    </row>
    <row r="224" spans="2:78" outlineLevel="1" x14ac:dyDescent="0.25">
      <c r="E224" s="43" t="s">
        <v>753</v>
      </c>
      <c r="F224" s="43" t="s">
        <v>844</v>
      </c>
      <c r="G224" s="45" t="s">
        <v>841</v>
      </c>
      <c r="H224" s="43" t="s">
        <v>805</v>
      </c>
      <c r="I224" s="43" t="s">
        <v>660</v>
      </c>
      <c r="J224" s="43" t="s">
        <v>144</v>
      </c>
      <c r="L224" s="43" t="s">
        <v>777</v>
      </c>
      <c r="M224" s="43" t="s">
        <v>846</v>
      </c>
      <c r="N224" s="43" t="str">
        <f t="shared" si="867"/>
        <v>VRFSysClgPipeLoss_fHeightSI</v>
      </c>
      <c r="O224" s="43" t="s">
        <v>286</v>
      </c>
      <c r="P224" s="43" t="s">
        <v>821</v>
      </c>
      <c r="Q224" s="43" t="s">
        <v>848</v>
      </c>
      <c r="V224" s="46">
        <v>1.0022713238282841</v>
      </c>
      <c r="W224" s="46">
        <v>-5.4610620502684628E-4</v>
      </c>
      <c r="AI224" s="43">
        <v>70</v>
      </c>
      <c r="AJ224" s="43">
        <v>0</v>
      </c>
      <c r="AO224" s="43">
        <v>0</v>
      </c>
      <c r="AP224" s="166" t="str">
        <f t="shared" si="868"/>
        <v/>
      </c>
      <c r="AQ224" s="167" t="str">
        <f t="shared" si="869"/>
        <v/>
      </c>
      <c r="AR224" s="166" t="str">
        <f t="shared" si="870"/>
        <v/>
      </c>
      <c r="AS224" s="166" t="str">
        <f t="shared" si="871"/>
        <v/>
      </c>
      <c r="AT224" s="20" t="str">
        <f t="shared" si="872"/>
        <v/>
      </c>
      <c r="AU224" s="43" t="str">
        <f t="shared" si="873"/>
        <v xml:space="preserve">               </v>
      </c>
      <c r="AV224" s="62" t="str">
        <f t="shared" si="855"/>
        <v/>
      </c>
      <c r="AW224" s="20" t="str">
        <f t="shared" si="874"/>
        <v xml:space="preserve">                                                                 </v>
      </c>
      <c r="AX224" s="43" t="str">
        <f t="shared" si="883"/>
        <v/>
      </c>
      <c r="AY224" s="43" t="str">
        <f t="shared" si="883"/>
        <v/>
      </c>
      <c r="AZ224" s="43" t="str">
        <f t="shared" si="883"/>
        <v/>
      </c>
      <c r="BA224" s="43" t="str">
        <f t="shared" si="883"/>
        <v/>
      </c>
      <c r="BB224" s="43" t="str">
        <f t="shared" si="883"/>
        <v/>
      </c>
      <c r="BC224" s="43" t="str">
        <f t="shared" si="883"/>
        <v/>
      </c>
      <c r="BE224" s="20" t="str">
        <f t="shared" si="876"/>
        <v/>
      </c>
      <c r="BF224" s="20" t="str">
        <f t="shared" si="876"/>
        <v/>
      </c>
      <c r="BG224" s="20" t="str">
        <f t="shared" si="876"/>
        <v/>
      </c>
      <c r="BH224" s="20" t="str">
        <f t="shared" si="876"/>
        <v/>
      </c>
      <c r="BI224" s="20" t="str">
        <f t="shared" si="876"/>
        <v/>
      </c>
      <c r="BJ224" s="20" t="str">
        <f t="shared" si="876"/>
        <v/>
      </c>
      <c r="BK224" s="20"/>
      <c r="BL224" s="20"/>
      <c r="BM224" s="43" t="str">
        <f t="shared" si="877"/>
        <v>Height</v>
      </c>
      <c r="BQ224" s="20"/>
      <c r="BS224" s="20"/>
      <c r="BT224" s="20"/>
      <c r="BU224" s="147"/>
      <c r="BV224" s="161"/>
      <c r="BW224" s="147"/>
      <c r="BY224" s="20"/>
      <c r="BZ224" s="20"/>
    </row>
    <row r="225" spans="2:78" outlineLevel="1" x14ac:dyDescent="0.25">
      <c r="E225" s="43" t="s">
        <v>753</v>
      </c>
      <c r="F225" s="43" t="s">
        <v>845</v>
      </c>
      <c r="G225" s="45" t="s">
        <v>841</v>
      </c>
      <c r="H225" s="43" t="s">
        <v>806</v>
      </c>
      <c r="I225" s="43" t="s">
        <v>660</v>
      </c>
      <c r="J225" s="43" t="s">
        <v>144</v>
      </c>
      <c r="L225" s="43" t="s">
        <v>777</v>
      </c>
      <c r="M225" s="43" t="s">
        <v>847</v>
      </c>
      <c r="N225" s="43" t="str">
        <f t="shared" si="867"/>
        <v>VRFSysHtgPipeLoss_fHeightSI</v>
      </c>
      <c r="O225" s="43" t="s">
        <v>286</v>
      </c>
      <c r="P225" s="43" t="s">
        <v>821</v>
      </c>
      <c r="Q225" s="43" t="s">
        <v>848</v>
      </c>
      <c r="V225" s="46">
        <v>1.000520041897258</v>
      </c>
      <c r="W225" s="46">
        <v>-1.6844886345871259E-4</v>
      </c>
      <c r="AI225" s="43">
        <v>70</v>
      </c>
      <c r="AJ225" s="43">
        <v>0</v>
      </c>
      <c r="AO225" s="43">
        <v>0</v>
      </c>
      <c r="AP225" s="166" t="str">
        <f t="shared" si="868"/>
        <v/>
      </c>
      <c r="AQ225" s="167" t="str">
        <f t="shared" si="869"/>
        <v/>
      </c>
      <c r="AR225" s="166" t="str">
        <f t="shared" si="870"/>
        <v/>
      </c>
      <c r="AS225" s="166" t="str">
        <f t="shared" si="871"/>
        <v/>
      </c>
      <c r="AT225" s="20" t="str">
        <f t="shared" si="872"/>
        <v/>
      </c>
      <c r="AU225" s="43" t="str">
        <f t="shared" si="873"/>
        <v xml:space="preserve">               </v>
      </c>
      <c r="AV225" s="62" t="str">
        <f t="shared" si="855"/>
        <v/>
      </c>
      <c r="AW225" s="20" t="str">
        <f t="shared" si="874"/>
        <v xml:space="preserve">                                                                 </v>
      </c>
      <c r="AX225" s="43" t="str">
        <f t="shared" si="883"/>
        <v/>
      </c>
      <c r="AY225" s="43" t="str">
        <f t="shared" si="883"/>
        <v/>
      </c>
      <c r="AZ225" s="43" t="str">
        <f t="shared" si="883"/>
        <v/>
      </c>
      <c r="BA225" s="43" t="str">
        <f t="shared" si="883"/>
        <v/>
      </c>
      <c r="BB225" s="43" t="str">
        <f t="shared" si="883"/>
        <v/>
      </c>
      <c r="BC225" s="43" t="str">
        <f t="shared" si="883"/>
        <v/>
      </c>
      <c r="BE225" s="20" t="str">
        <f t="shared" si="876"/>
        <v/>
      </c>
      <c r="BF225" s="20" t="str">
        <f t="shared" si="876"/>
        <v/>
      </c>
      <c r="BG225" s="20" t="str">
        <f t="shared" si="876"/>
        <v/>
      </c>
      <c r="BH225" s="20" t="str">
        <f t="shared" si="876"/>
        <v/>
      </c>
      <c r="BI225" s="20" t="str">
        <f t="shared" si="876"/>
        <v/>
      </c>
      <c r="BJ225" s="20" t="str">
        <f t="shared" si="876"/>
        <v/>
      </c>
      <c r="BK225" s="20"/>
      <c r="BL225" s="20"/>
      <c r="BM225" s="43" t="str">
        <f t="shared" si="877"/>
        <v>Height</v>
      </c>
      <c r="BQ225" s="20"/>
      <c r="BS225" s="20"/>
      <c r="BT225" s="20"/>
      <c r="BU225" s="147"/>
      <c r="BV225" s="161"/>
      <c r="BW225" s="147"/>
      <c r="BY225" s="20"/>
      <c r="BZ225" s="20"/>
    </row>
    <row r="226" spans="2:78" outlineLevel="1" x14ac:dyDescent="0.25">
      <c r="B226" s="43" t="s">
        <v>810</v>
      </c>
      <c r="D226" s="44" t="s">
        <v>758</v>
      </c>
      <c r="E226" s="43" t="s">
        <v>913</v>
      </c>
      <c r="F226" s="43" t="s">
        <v>754</v>
      </c>
      <c r="G226" s="45" t="s">
        <v>841</v>
      </c>
      <c r="H226" s="43" t="s">
        <v>805</v>
      </c>
      <c r="I226" s="43" t="s">
        <v>660</v>
      </c>
      <c r="J226" s="43" t="s">
        <v>912</v>
      </c>
      <c r="L226" s="43" t="s">
        <v>777</v>
      </c>
      <c r="M226" s="43" t="s">
        <v>778</v>
      </c>
      <c r="N226" s="43" t="str">
        <f t="shared" ref="N226:N235" si="885">IF(ISBLANK(E226),"-",E226&amp;H226&amp;P226&amp;"_f"&amp;Q226&amp;R226&amp;S226&amp;T226&amp;U226&amp;I226)</f>
        <v>OSDef-VRFSysClgQRatio_fTwbToadbLowSI</v>
      </c>
      <c r="O226" s="43" t="s">
        <v>165</v>
      </c>
      <c r="P226" s="43" t="s">
        <v>160</v>
      </c>
      <c r="Q226" s="43" t="s">
        <v>116</v>
      </c>
      <c r="R226" s="43" t="s">
        <v>460</v>
      </c>
      <c r="S226" s="43" t="s">
        <v>798</v>
      </c>
      <c r="V226" s="61">
        <v>0.57688269199999997</v>
      </c>
      <c r="W226" s="46">
        <v>1.7447951999999999E-2</v>
      </c>
      <c r="X226" s="46">
        <v>5.8326899999999997E-4</v>
      </c>
      <c r="Y226" s="46">
        <v>-1.76324E-6</v>
      </c>
      <c r="Z226" s="46">
        <v>-7.4739999999999996E-9</v>
      </c>
      <c r="AA226" s="46">
        <v>-1.3041299999999999E-7</v>
      </c>
      <c r="AI226" s="43">
        <v>24</v>
      </c>
      <c r="AJ226" s="43">
        <v>15</v>
      </c>
      <c r="AK226" s="43">
        <v>23</v>
      </c>
      <c r="AL226" s="43">
        <v>-5</v>
      </c>
      <c r="AM226" s="45" t="s">
        <v>915</v>
      </c>
      <c r="AO226" s="43">
        <v>0</v>
      </c>
      <c r="AP226" s="166" t="str">
        <f t="shared" ref="AP226:AP235" si="886">IF(AO226=1,CONCATENATE(AQ226,AR226,AS226),"")</f>
        <v/>
      </c>
      <c r="AQ226" s="167" t="str">
        <f t="shared" ref="AQ226:AQ234" si="887">IF(AO226=1,CONCATENATE(AT226,AU226,AV226,AW226,IF(AX226="-","",$AX$15&amp;AX226),IF(AY226="-","",$AY$15&amp;AY226),IF(AZ226="-","",$AZ$15&amp;AZ226),IF(BA226="-","",$BA$15&amp;BA226),IF(BB226="-","",$BB$15&amp;BB226),IF(BC226="-","",$BC$15&amp;BC226)),"")</f>
        <v/>
      </c>
      <c r="AR226" s="166" t="str">
        <f t="shared" ref="AR226:AR235" si="888">IF(AO226=1,CONCATENATE(BD226,IF(BE226="-","",$BE$15&amp;BE226),IF(BF226="-","",$BF$15&amp;BF226),IF(BG226="-","",$BG$15&amp;BG226),IF(BH226="-","",$BH$15&amp;BH226),IF(BI226="-","",$BI$15&amp;BI226),IF(BJ226="-","",$BJ$15&amp;BJ226)),"")</f>
        <v/>
      </c>
      <c r="AS226" s="166" t="str">
        <f t="shared" ref="AS226:AS234" si="889">IF(AO226=1,CHAR(13)&amp;CHAR(10)&amp;"..","")</f>
        <v/>
      </c>
      <c r="AT226" s="20" t="str">
        <f t="shared" ref="AT226:AT234" si="890">IF(AO226=1,VLOOKUP(O226,$AT$2:$AV$13,2,0),"")</f>
        <v/>
      </c>
      <c r="AU226" s="43" t="str">
        <f t="shared" ref="AU226:AU251" si="891">REPT(" ",AU$14-LEN(AT226))</f>
        <v xml:space="preserve">               </v>
      </c>
      <c r="AV226" s="62" t="str">
        <f t="shared" ref="AV226:AV251" si="892">IF(AO226=1,CONCATENATE("""",N226,""""),"")</f>
        <v/>
      </c>
      <c r="AW226" s="20" t="str">
        <f t="shared" ref="AW226:AW234" si="893">REPT(" ",$AW$14-LEN(AV226))</f>
        <v xml:space="preserve">                                                                 </v>
      </c>
      <c r="AX226" s="43" t="str">
        <f t="shared" ref="AX226:AX234" si="894">IF($AO226=1,IF(ISBLANK(V226),"-",CONCATENATE(TEXT(V226," 0.000000;-0.000000"),"  ")),"")</f>
        <v/>
      </c>
      <c r="AY226" s="43" t="str">
        <f t="shared" ref="AY226:AY234" si="895">IF($AO226=1,IF(ISBLANK(W226),"-",CONCATENATE(TEXT(W226," 0.000000;-0.000000"),"  ")),"")</f>
        <v/>
      </c>
      <c r="AZ226" s="43" t="str">
        <f t="shared" ref="AZ226:AZ234" si="896">IF($AO226=1,IF(ISBLANK(X226),"-",CONCATENATE(TEXT(X226," 0.000000;-0.000000"),"  ")),"")</f>
        <v/>
      </c>
      <c r="BA226" s="43" t="str">
        <f t="shared" ref="BA226:BA234" si="897">IF($AO226=1,IF(ISBLANK(Y226),"-",CONCATENATE(TEXT(Y226," 0.000000;-0.000000"),"  ")),"")</f>
        <v/>
      </c>
      <c r="BB226" s="43" t="str">
        <f t="shared" ref="BB226:BB234" si="898">IF($AO226=1,IF(ISBLANK(Z226),"-",CONCATENATE(TEXT(Z226," 0.000000;-0.000000"),"  ")),"")</f>
        <v/>
      </c>
      <c r="BC226" s="43" t="str">
        <f t="shared" ref="BC226:BC234" si="899">IF($AO226=1,IF(ISBLANK(AA226),"-",CONCATENATE(TEXT(AA226," 0.000000;-0.000000"),"  ")),"")</f>
        <v/>
      </c>
      <c r="BD226" s="43" t="str">
        <f t="shared" ref="BD226:BD234" si="900">IF(MAX(AG226:AL226)=0,REPT(" ",1),CHAR(13)&amp;CHAR(10)&amp;REPT(" ",BD$14))</f>
        <v xml:space="preserve">_x000D_
                                                                                </v>
      </c>
      <c r="BE226" s="20" t="str">
        <f t="shared" ref="BE226:BE251" si="901">IF($AO226=1,IF(AG226="","-",CONCATENATE(TEXT(AG226,"0.000"),"   ")),"")</f>
        <v/>
      </c>
      <c r="BF226" s="20" t="str">
        <f t="shared" ref="BF226:BF251" si="902">IF($AO226=1,IF(AH226="","-",CONCATENATE(TEXT(AH226,"0.000"),"   ")),"")</f>
        <v/>
      </c>
      <c r="BG226" s="20" t="str">
        <f t="shared" ref="BG226:BG251" si="903">IF($AO226=1,IF(AI226="","-",CONCATENATE(TEXT(AI226,"0.000"),"   ")),"")</f>
        <v/>
      </c>
      <c r="BH226" s="20" t="str">
        <f t="shared" ref="BH226:BH251" si="904">IF($AO226=1,IF(AJ226="","-",CONCATENATE(TEXT(AJ226,"0.000"),"   ")),"")</f>
        <v/>
      </c>
      <c r="BI226" s="20" t="str">
        <f t="shared" ref="BI226:BI251" si="905">IF($AO226=1,IF(AK226="","-",CONCATENATE(TEXT(AK226,"0.000"),"   ")),"")</f>
        <v/>
      </c>
      <c r="BJ226" s="20" t="str">
        <f t="shared" ref="BJ226:BJ251" si="906">IF($AO226=1,IF(AL226="","-",CONCATENATE(TEXT(AL226,"0.000"),"   ")),"")</f>
        <v/>
      </c>
      <c r="BK226" s="20"/>
      <c r="BL226" s="20"/>
      <c r="BM226" s="43" t="str">
        <f>Q226</f>
        <v>Twb</v>
      </c>
      <c r="BN226" s="43" t="str">
        <f>R226</f>
        <v>Toadb</v>
      </c>
      <c r="BO226" s="43">
        <v>1</v>
      </c>
      <c r="BQ226" s="20"/>
      <c r="BR226" s="43">
        <v>0</v>
      </c>
      <c r="BS226" s="20"/>
      <c r="BT226" s="20"/>
      <c r="BU226" s="147">
        <f t="shared" ref="BU226:BU251" si="907">$V226+$W226*BO226+$X226*BO226^2</f>
        <v>0.59491391300000007</v>
      </c>
      <c r="BV226" s="161"/>
      <c r="BW226" s="147">
        <f t="shared" ref="BW226:BW251" si="908">$V226+$W226*BR226+$X226*BR226^2</f>
        <v>0.57688269199999997</v>
      </c>
      <c r="BY226" s="20"/>
      <c r="BZ226" s="20"/>
    </row>
    <row r="227" spans="2:78" outlineLevel="1" x14ac:dyDescent="0.25">
      <c r="E227" s="43" t="s">
        <v>913</v>
      </c>
      <c r="F227" s="43" t="s">
        <v>755</v>
      </c>
      <c r="G227" s="45" t="s">
        <v>841</v>
      </c>
      <c r="H227" s="43" t="s">
        <v>805</v>
      </c>
      <c r="I227" s="43" t="s">
        <v>660</v>
      </c>
      <c r="J227" s="43" t="s">
        <v>912</v>
      </c>
      <c r="L227" s="43" t="s">
        <v>777</v>
      </c>
      <c r="M227" s="43" t="s">
        <v>779</v>
      </c>
      <c r="N227" s="43" t="str">
        <f t="shared" si="885"/>
        <v>OSDef-VRFSysClgCapBdry_fToadbSI</v>
      </c>
      <c r="O227" s="43" t="s">
        <v>230</v>
      </c>
      <c r="P227" s="43" t="s">
        <v>801</v>
      </c>
      <c r="Q227" s="43" t="s">
        <v>460</v>
      </c>
      <c r="V227" s="61">
        <v>25.73</v>
      </c>
      <c r="W227" s="46">
        <v>-3.1500430000000003E-2</v>
      </c>
      <c r="X227" s="46">
        <v>-1.416595E-2</v>
      </c>
      <c r="Y227" s="46">
        <v>0</v>
      </c>
      <c r="AI227" s="43">
        <v>30</v>
      </c>
      <c r="AJ227" s="43">
        <v>11</v>
      </c>
      <c r="AM227" s="45" t="s">
        <v>915</v>
      </c>
      <c r="AO227" s="43">
        <v>0</v>
      </c>
      <c r="AP227" s="166" t="str">
        <f t="shared" si="886"/>
        <v/>
      </c>
      <c r="AQ227" s="167" t="str">
        <f t="shared" si="887"/>
        <v/>
      </c>
      <c r="AR227" s="166" t="str">
        <f t="shared" si="888"/>
        <v/>
      </c>
      <c r="AS227" s="166" t="str">
        <f t="shared" si="889"/>
        <v/>
      </c>
      <c r="AT227" s="20" t="str">
        <f t="shared" si="890"/>
        <v/>
      </c>
      <c r="AU227" s="43" t="str">
        <f t="shared" si="891"/>
        <v xml:space="preserve">               </v>
      </c>
      <c r="AV227" s="62" t="str">
        <f t="shared" si="892"/>
        <v/>
      </c>
      <c r="AW227" s="20" t="str">
        <f t="shared" si="893"/>
        <v xml:space="preserve">                                                                 </v>
      </c>
      <c r="AX227" s="43" t="str">
        <f t="shared" si="894"/>
        <v/>
      </c>
      <c r="AY227" s="43" t="str">
        <f t="shared" si="895"/>
        <v/>
      </c>
      <c r="AZ227" s="43" t="str">
        <f t="shared" si="896"/>
        <v/>
      </c>
      <c r="BA227" s="43" t="str">
        <f t="shared" si="897"/>
        <v/>
      </c>
      <c r="BB227" s="43" t="str">
        <f t="shared" si="898"/>
        <v/>
      </c>
      <c r="BC227" s="43" t="str">
        <f t="shared" si="899"/>
        <v/>
      </c>
      <c r="BD227" s="43" t="str">
        <f t="shared" si="900"/>
        <v xml:space="preserve">_x000D_
                                                                                </v>
      </c>
      <c r="BE227" s="20" t="str">
        <f t="shared" si="901"/>
        <v/>
      </c>
      <c r="BF227" s="20" t="str">
        <f t="shared" si="902"/>
        <v/>
      </c>
      <c r="BG227" s="20" t="str">
        <f t="shared" si="903"/>
        <v/>
      </c>
      <c r="BH227" s="20" t="str">
        <f t="shared" si="904"/>
        <v/>
      </c>
      <c r="BI227" s="20" t="str">
        <f t="shared" si="905"/>
        <v/>
      </c>
      <c r="BJ227" s="20" t="str">
        <f t="shared" si="906"/>
        <v/>
      </c>
      <c r="BK227" s="20"/>
      <c r="BL227" s="20"/>
      <c r="BM227" s="43" t="str">
        <f t="shared" ref="BM227:BM233" si="909">Q227</f>
        <v>Toadb</v>
      </c>
      <c r="BO227" s="43">
        <v>1</v>
      </c>
      <c r="BQ227" s="20"/>
      <c r="BR227" s="43">
        <v>0</v>
      </c>
      <c r="BS227" s="20"/>
      <c r="BT227" s="20"/>
      <c r="BU227" s="147">
        <f t="shared" si="907"/>
        <v>25.68433362</v>
      </c>
      <c r="BV227" s="161"/>
      <c r="BW227" s="147">
        <f t="shared" si="908"/>
        <v>25.73</v>
      </c>
      <c r="BY227" s="20"/>
      <c r="BZ227" s="20"/>
    </row>
    <row r="228" spans="2:78" outlineLevel="1" x14ac:dyDescent="0.25">
      <c r="E228" s="43" t="s">
        <v>913</v>
      </c>
      <c r="F228" s="43" t="s">
        <v>756</v>
      </c>
      <c r="G228" s="45" t="s">
        <v>841</v>
      </c>
      <c r="H228" s="43" t="s">
        <v>805</v>
      </c>
      <c r="I228" s="43" t="s">
        <v>660</v>
      </c>
      <c r="J228" s="43" t="s">
        <v>912</v>
      </c>
      <c r="L228" s="43" t="s">
        <v>777</v>
      </c>
      <c r="M228" s="43" t="s">
        <v>780</v>
      </c>
      <c r="N228" s="43" t="str">
        <f t="shared" si="885"/>
        <v>OSDef-VRFSysClgQRatio_fTdbToadbHiSI</v>
      </c>
      <c r="O228" s="43" t="s">
        <v>165</v>
      </c>
      <c r="P228" s="43" t="s">
        <v>160</v>
      </c>
      <c r="Q228" s="43" t="s">
        <v>117</v>
      </c>
      <c r="R228" s="43" t="s">
        <v>460</v>
      </c>
      <c r="S228" s="43" t="s">
        <v>799</v>
      </c>
      <c r="U228" s="46"/>
      <c r="V228" s="61">
        <v>0.68673580000000001</v>
      </c>
      <c r="W228" s="46">
        <v>2.07631E-2</v>
      </c>
      <c r="X228" s="46">
        <v>5.4469999999999996E-4</v>
      </c>
      <c r="Y228" s="46">
        <v>-1.6218000000000001E-3</v>
      </c>
      <c r="Z228" s="46">
        <v>-4.2590000000000002E-7</v>
      </c>
      <c r="AA228" s="46">
        <v>-3.392E-4</v>
      </c>
      <c r="AI228" s="43">
        <v>24</v>
      </c>
      <c r="AJ228" s="43">
        <v>15</v>
      </c>
      <c r="AK228" s="43">
        <v>43</v>
      </c>
      <c r="AL228" s="43">
        <v>16</v>
      </c>
      <c r="AM228" s="45" t="s">
        <v>915</v>
      </c>
      <c r="AO228" s="43">
        <v>0</v>
      </c>
      <c r="AP228" s="166" t="str">
        <f t="shared" si="886"/>
        <v/>
      </c>
      <c r="AQ228" s="167" t="str">
        <f t="shared" si="887"/>
        <v/>
      </c>
      <c r="AR228" s="166" t="str">
        <f t="shared" si="888"/>
        <v/>
      </c>
      <c r="AS228" s="166" t="str">
        <f t="shared" si="889"/>
        <v/>
      </c>
      <c r="AT228" s="20" t="str">
        <f t="shared" si="890"/>
        <v/>
      </c>
      <c r="AU228" s="43" t="str">
        <f t="shared" si="891"/>
        <v xml:space="preserve">               </v>
      </c>
      <c r="AV228" s="62" t="str">
        <f t="shared" si="892"/>
        <v/>
      </c>
      <c r="AW228" s="20" t="str">
        <f t="shared" si="893"/>
        <v xml:space="preserve">                                                                 </v>
      </c>
      <c r="AX228" s="43" t="str">
        <f t="shared" si="894"/>
        <v/>
      </c>
      <c r="AY228" s="43" t="str">
        <f t="shared" si="895"/>
        <v/>
      </c>
      <c r="AZ228" s="43" t="str">
        <f t="shared" si="896"/>
        <v/>
      </c>
      <c r="BA228" s="43" t="str">
        <f t="shared" si="897"/>
        <v/>
      </c>
      <c r="BB228" s="43" t="str">
        <f t="shared" si="898"/>
        <v/>
      </c>
      <c r="BC228" s="43" t="str">
        <f t="shared" si="899"/>
        <v/>
      </c>
      <c r="BD228" s="43" t="str">
        <f t="shared" si="900"/>
        <v xml:space="preserve">_x000D_
                                                                                </v>
      </c>
      <c r="BE228" s="20" t="str">
        <f t="shared" si="901"/>
        <v/>
      </c>
      <c r="BF228" s="20" t="str">
        <f t="shared" si="902"/>
        <v/>
      </c>
      <c r="BG228" s="20" t="str">
        <f t="shared" si="903"/>
        <v/>
      </c>
      <c r="BH228" s="20" t="str">
        <f t="shared" si="904"/>
        <v/>
      </c>
      <c r="BI228" s="20" t="str">
        <f t="shared" si="905"/>
        <v/>
      </c>
      <c r="BJ228" s="20" t="str">
        <f t="shared" si="906"/>
        <v/>
      </c>
      <c r="BK228" s="20"/>
      <c r="BL228" s="20"/>
      <c r="BM228" s="43" t="str">
        <f t="shared" si="909"/>
        <v>Tdb</v>
      </c>
      <c r="BN228" s="43" t="str">
        <f t="shared" ref="BN228" si="910">R228</f>
        <v>Toadb</v>
      </c>
      <c r="BO228" s="43">
        <v>1</v>
      </c>
      <c r="BQ228" s="20"/>
      <c r="BR228" s="43">
        <v>0</v>
      </c>
      <c r="BS228" s="20"/>
      <c r="BT228" s="20"/>
      <c r="BU228" s="147">
        <f t="shared" si="907"/>
        <v>0.7080436</v>
      </c>
      <c r="BV228" s="161"/>
      <c r="BW228" s="147">
        <f t="shared" si="908"/>
        <v>0.68673580000000001</v>
      </c>
      <c r="BY228" s="20"/>
      <c r="BZ228" s="20"/>
    </row>
    <row r="229" spans="2:78" outlineLevel="1" x14ac:dyDescent="0.25">
      <c r="E229" s="43" t="s">
        <v>913</v>
      </c>
      <c r="F229" s="43" t="s">
        <v>757</v>
      </c>
      <c r="G229" s="45" t="s">
        <v>841</v>
      </c>
      <c r="H229" s="43" t="s">
        <v>805</v>
      </c>
      <c r="J229" s="43" t="s">
        <v>912</v>
      </c>
      <c r="L229" s="43" t="s">
        <v>777</v>
      </c>
      <c r="M229" s="43" t="s">
        <v>781</v>
      </c>
      <c r="N229" s="43" t="str">
        <f t="shared" si="885"/>
        <v>OSDef-VRFSysClgQRatio_fCombRat</v>
      </c>
      <c r="O229" s="43" t="s">
        <v>230</v>
      </c>
      <c r="P229" s="43" t="s">
        <v>160</v>
      </c>
      <c r="Q229" s="43" t="s">
        <v>802</v>
      </c>
      <c r="U229" s="46"/>
      <c r="V229" s="61">
        <v>0.57659326300000002</v>
      </c>
      <c r="W229" s="46">
        <v>0.63494086969999997</v>
      </c>
      <c r="X229" s="46">
        <v>-0.3076093963</v>
      </c>
      <c r="Y229" s="46">
        <v>9.6075263600000002E-2</v>
      </c>
      <c r="AI229" s="43">
        <v>1.5</v>
      </c>
      <c r="AJ229" s="43">
        <v>1</v>
      </c>
      <c r="AM229" s="45" t="s">
        <v>915</v>
      </c>
      <c r="AO229" s="43">
        <v>0</v>
      </c>
      <c r="AP229" s="166" t="str">
        <f t="shared" si="886"/>
        <v/>
      </c>
      <c r="AQ229" s="167" t="str">
        <f t="shared" si="887"/>
        <v/>
      </c>
      <c r="AR229" s="166" t="str">
        <f t="shared" si="888"/>
        <v/>
      </c>
      <c r="AS229" s="166" t="str">
        <f t="shared" si="889"/>
        <v/>
      </c>
      <c r="AT229" s="20" t="str">
        <f t="shared" si="890"/>
        <v/>
      </c>
      <c r="AU229" s="43" t="str">
        <f t="shared" si="891"/>
        <v xml:space="preserve">               </v>
      </c>
      <c r="AV229" s="62" t="str">
        <f t="shared" si="892"/>
        <v/>
      </c>
      <c r="AW229" s="20" t="str">
        <f t="shared" si="893"/>
        <v xml:space="preserve">                                                                 </v>
      </c>
      <c r="AX229" s="43" t="str">
        <f t="shared" si="894"/>
        <v/>
      </c>
      <c r="AY229" s="43" t="str">
        <f t="shared" si="895"/>
        <v/>
      </c>
      <c r="AZ229" s="43" t="str">
        <f t="shared" si="896"/>
        <v/>
      </c>
      <c r="BA229" s="43" t="str">
        <f t="shared" si="897"/>
        <v/>
      </c>
      <c r="BB229" s="43" t="str">
        <f t="shared" si="898"/>
        <v/>
      </c>
      <c r="BC229" s="43" t="str">
        <f t="shared" si="899"/>
        <v/>
      </c>
      <c r="BD229" s="43" t="str">
        <f t="shared" si="900"/>
        <v xml:space="preserve">_x000D_
                                                                                </v>
      </c>
      <c r="BE229" s="20" t="str">
        <f t="shared" si="901"/>
        <v/>
      </c>
      <c r="BF229" s="20" t="str">
        <f t="shared" si="902"/>
        <v/>
      </c>
      <c r="BG229" s="20" t="str">
        <f t="shared" si="903"/>
        <v/>
      </c>
      <c r="BH229" s="20" t="str">
        <f t="shared" si="904"/>
        <v/>
      </c>
      <c r="BI229" s="20" t="str">
        <f t="shared" si="905"/>
        <v/>
      </c>
      <c r="BJ229" s="20" t="str">
        <f t="shared" si="906"/>
        <v/>
      </c>
      <c r="BK229" s="20"/>
      <c r="BL229" s="20"/>
      <c r="BM229" s="43" t="str">
        <f t="shared" si="909"/>
        <v>CombRat</v>
      </c>
      <c r="BO229" s="43">
        <v>1</v>
      </c>
      <c r="BQ229" s="20"/>
      <c r="BR229" s="43">
        <v>0</v>
      </c>
      <c r="BS229" s="20"/>
      <c r="BT229" s="20"/>
      <c r="BU229" s="147">
        <f t="shared" si="907"/>
        <v>0.90392473640000004</v>
      </c>
      <c r="BV229" s="161"/>
      <c r="BW229" s="147">
        <f t="shared" si="908"/>
        <v>0.57659326300000002</v>
      </c>
      <c r="BY229" s="20"/>
      <c r="BZ229" s="20"/>
    </row>
    <row r="230" spans="2:78" outlineLevel="1" x14ac:dyDescent="0.25">
      <c r="E230" s="43" t="s">
        <v>913</v>
      </c>
      <c r="F230" s="43" t="s">
        <v>762</v>
      </c>
      <c r="G230" s="45" t="s">
        <v>841</v>
      </c>
      <c r="H230" s="43" t="s">
        <v>807</v>
      </c>
      <c r="I230" s="43" t="s">
        <v>660</v>
      </c>
      <c r="J230" s="43" t="s">
        <v>912</v>
      </c>
      <c r="L230" s="43" t="s">
        <v>777</v>
      </c>
      <c r="M230" s="43" t="s">
        <v>786</v>
      </c>
      <c r="N230" s="43" t="str">
        <f t="shared" si="885"/>
        <v>OSDef-VRFSysHtRcvryClgQRatio_fTwbToadbSI</v>
      </c>
      <c r="O230" s="43" t="s">
        <v>165</v>
      </c>
      <c r="P230" s="43" t="s">
        <v>160</v>
      </c>
      <c r="Q230" s="43" t="s">
        <v>116</v>
      </c>
      <c r="R230" s="43" t="s">
        <v>460</v>
      </c>
      <c r="U230" s="46"/>
      <c r="V230" s="61">
        <v>0.9</v>
      </c>
      <c r="W230" s="46">
        <v>0</v>
      </c>
      <c r="X230" s="46">
        <v>0</v>
      </c>
      <c r="Y230" s="46">
        <v>0</v>
      </c>
      <c r="Z230" s="46">
        <v>0</v>
      </c>
      <c r="AA230" s="46">
        <v>0</v>
      </c>
      <c r="AI230" s="43">
        <v>1</v>
      </c>
      <c r="AJ230" s="43">
        <v>0</v>
      </c>
      <c r="AM230" s="45" t="s">
        <v>915</v>
      </c>
      <c r="AO230" s="43">
        <v>0</v>
      </c>
      <c r="AP230" s="166" t="str">
        <f t="shared" si="886"/>
        <v/>
      </c>
      <c r="AQ230" s="167" t="str">
        <f t="shared" si="887"/>
        <v/>
      </c>
      <c r="AR230" s="166" t="str">
        <f t="shared" si="888"/>
        <v/>
      </c>
      <c r="AS230" s="166" t="str">
        <f t="shared" si="889"/>
        <v/>
      </c>
      <c r="AT230" s="20" t="str">
        <f t="shared" si="890"/>
        <v/>
      </c>
      <c r="AU230" s="43" t="str">
        <f t="shared" si="891"/>
        <v xml:space="preserve">               </v>
      </c>
      <c r="AV230" s="62" t="str">
        <f t="shared" si="892"/>
        <v/>
      </c>
      <c r="AW230" s="20" t="str">
        <f t="shared" si="893"/>
        <v xml:space="preserve">                                                                 </v>
      </c>
      <c r="AX230" s="43" t="str">
        <f t="shared" si="894"/>
        <v/>
      </c>
      <c r="AY230" s="43" t="str">
        <f t="shared" si="895"/>
        <v/>
      </c>
      <c r="AZ230" s="43" t="str">
        <f t="shared" si="896"/>
        <v/>
      </c>
      <c r="BA230" s="43" t="str">
        <f t="shared" si="897"/>
        <v/>
      </c>
      <c r="BB230" s="43" t="str">
        <f t="shared" si="898"/>
        <v/>
      </c>
      <c r="BC230" s="43" t="str">
        <f t="shared" si="899"/>
        <v/>
      </c>
      <c r="BD230" s="43" t="str">
        <f t="shared" si="900"/>
        <v xml:space="preserve">_x000D_
                                                                                </v>
      </c>
      <c r="BE230" s="20" t="str">
        <f t="shared" si="901"/>
        <v/>
      </c>
      <c r="BF230" s="20" t="str">
        <f t="shared" si="902"/>
        <v/>
      </c>
      <c r="BG230" s="20" t="str">
        <f t="shared" si="903"/>
        <v/>
      </c>
      <c r="BH230" s="20" t="str">
        <f t="shared" si="904"/>
        <v/>
      </c>
      <c r="BI230" s="20" t="str">
        <f t="shared" si="905"/>
        <v/>
      </c>
      <c r="BJ230" s="20" t="str">
        <f t="shared" si="906"/>
        <v/>
      </c>
      <c r="BK230" s="20"/>
      <c r="BL230" s="20"/>
      <c r="BM230" s="43" t="str">
        <f t="shared" si="909"/>
        <v>Twb</v>
      </c>
      <c r="BN230" s="43" t="str">
        <f t="shared" ref="BN230:BN231" si="911">R230</f>
        <v>Toadb</v>
      </c>
      <c r="BO230" s="43">
        <v>1</v>
      </c>
      <c r="BQ230" s="20"/>
      <c r="BR230" s="43">
        <v>0</v>
      </c>
      <c r="BS230" s="20"/>
      <c r="BT230" s="20"/>
      <c r="BU230" s="147">
        <f t="shared" si="907"/>
        <v>0.9</v>
      </c>
      <c r="BV230" s="161"/>
      <c r="BW230" s="147">
        <f t="shared" si="908"/>
        <v>0.9</v>
      </c>
      <c r="BY230" s="20"/>
      <c r="BZ230" s="20"/>
    </row>
    <row r="231" spans="2:78" outlineLevel="1" x14ac:dyDescent="0.25">
      <c r="E231" s="43" t="s">
        <v>913</v>
      </c>
      <c r="F231" s="43" t="s">
        <v>759</v>
      </c>
      <c r="G231" s="45" t="s">
        <v>841</v>
      </c>
      <c r="H231" s="43" t="s">
        <v>806</v>
      </c>
      <c r="I231" s="43" t="s">
        <v>660</v>
      </c>
      <c r="J231" s="43" t="s">
        <v>912</v>
      </c>
      <c r="L231" s="43" t="s">
        <v>777</v>
      </c>
      <c r="M231" s="43" t="s">
        <v>782</v>
      </c>
      <c r="N231" s="43" t="str">
        <f t="shared" si="885"/>
        <v>OSDef-VRFSysHtgQRatio_fTwbToadbLowSI</v>
      </c>
      <c r="O231" s="43" t="s">
        <v>165</v>
      </c>
      <c r="P231" s="43" t="s">
        <v>160</v>
      </c>
      <c r="Q231" s="43" t="s">
        <v>116</v>
      </c>
      <c r="R231" s="43" t="s">
        <v>460</v>
      </c>
      <c r="S231" s="43" t="s">
        <v>798</v>
      </c>
      <c r="U231" s="46"/>
      <c r="V231" s="61">
        <v>1.012090154</v>
      </c>
      <c r="W231" s="46">
        <v>-1.2467553000000001E-3</v>
      </c>
      <c r="X231" s="46">
        <v>-1.2718469999999999E-4</v>
      </c>
      <c r="Y231" s="43">
        <v>2.67564328E-2</v>
      </c>
      <c r="Z231" s="173">
        <v>-4.9859999999999998E-7</v>
      </c>
      <c r="AA231" s="43">
        <v>-2.6352390000000003E-4</v>
      </c>
      <c r="AI231" s="43">
        <v>27.2</v>
      </c>
      <c r="AJ231" s="43">
        <v>21.1</v>
      </c>
      <c r="AK231" s="43">
        <v>3.33</v>
      </c>
      <c r="AL231" s="43">
        <v>-20</v>
      </c>
      <c r="AM231" s="45" t="s">
        <v>915</v>
      </c>
      <c r="AO231" s="43">
        <v>0</v>
      </c>
      <c r="AP231" s="166" t="str">
        <f t="shared" si="886"/>
        <v/>
      </c>
      <c r="AQ231" s="167" t="str">
        <f t="shared" si="887"/>
        <v/>
      </c>
      <c r="AR231" s="166" t="str">
        <f t="shared" si="888"/>
        <v/>
      </c>
      <c r="AS231" s="166" t="str">
        <f t="shared" si="889"/>
        <v/>
      </c>
      <c r="AT231" s="20" t="str">
        <f t="shared" si="890"/>
        <v/>
      </c>
      <c r="AU231" s="43" t="str">
        <f t="shared" si="891"/>
        <v xml:space="preserve">               </v>
      </c>
      <c r="AV231" s="62" t="str">
        <f t="shared" si="892"/>
        <v/>
      </c>
      <c r="AW231" s="20" t="str">
        <f t="shared" si="893"/>
        <v xml:space="preserve">                                                                 </v>
      </c>
      <c r="AX231" s="43" t="str">
        <f t="shared" si="894"/>
        <v/>
      </c>
      <c r="AY231" s="43" t="str">
        <f t="shared" si="895"/>
        <v/>
      </c>
      <c r="AZ231" s="43" t="str">
        <f t="shared" si="896"/>
        <v/>
      </c>
      <c r="BA231" s="43" t="str">
        <f t="shared" si="897"/>
        <v/>
      </c>
      <c r="BB231" s="43" t="str">
        <f t="shared" si="898"/>
        <v/>
      </c>
      <c r="BC231" s="43" t="str">
        <f t="shared" si="899"/>
        <v/>
      </c>
      <c r="BD231" s="43" t="str">
        <f t="shared" si="900"/>
        <v xml:space="preserve">_x000D_
                                                                                </v>
      </c>
      <c r="BE231" s="20" t="str">
        <f t="shared" si="901"/>
        <v/>
      </c>
      <c r="BF231" s="20" t="str">
        <f t="shared" si="902"/>
        <v/>
      </c>
      <c r="BG231" s="20" t="str">
        <f t="shared" si="903"/>
        <v/>
      </c>
      <c r="BH231" s="20" t="str">
        <f t="shared" si="904"/>
        <v/>
      </c>
      <c r="BI231" s="20" t="str">
        <f t="shared" si="905"/>
        <v/>
      </c>
      <c r="BJ231" s="20" t="str">
        <f t="shared" si="906"/>
        <v/>
      </c>
      <c r="BK231" s="20"/>
      <c r="BL231" s="20"/>
      <c r="BM231" s="43" t="str">
        <f t="shared" si="909"/>
        <v>Twb</v>
      </c>
      <c r="BN231" s="43" t="str">
        <f t="shared" si="911"/>
        <v>Toadb</v>
      </c>
      <c r="BO231" s="43">
        <v>1</v>
      </c>
      <c r="BQ231" s="20"/>
      <c r="BR231" s="43">
        <v>0</v>
      </c>
      <c r="BS231" s="20"/>
      <c r="BT231" s="20"/>
      <c r="BU231" s="147">
        <f t="shared" si="907"/>
        <v>1.0107162140000001</v>
      </c>
      <c r="BV231" s="161"/>
      <c r="BW231" s="147">
        <f t="shared" si="908"/>
        <v>1.012090154</v>
      </c>
      <c r="BY231" s="20"/>
      <c r="BZ231" s="20"/>
    </row>
    <row r="232" spans="2:78" outlineLevel="1" x14ac:dyDescent="0.25">
      <c r="E232" s="43" t="s">
        <v>913</v>
      </c>
      <c r="F232" s="43" t="s">
        <v>815</v>
      </c>
      <c r="G232" s="45" t="s">
        <v>841</v>
      </c>
      <c r="H232" s="43" t="s">
        <v>806</v>
      </c>
      <c r="I232" s="43" t="s">
        <v>660</v>
      </c>
      <c r="J232" s="43" t="s">
        <v>912</v>
      </c>
      <c r="L232" s="43" t="s">
        <v>777</v>
      </c>
      <c r="M232" s="43" t="s">
        <v>783</v>
      </c>
      <c r="N232" s="43" t="str">
        <f t="shared" si="885"/>
        <v>OSDef-VRFSysHtgCapBdry_fToadbSI</v>
      </c>
      <c r="O232" s="43" t="s">
        <v>230</v>
      </c>
      <c r="P232" s="43" t="s">
        <v>801</v>
      </c>
      <c r="Q232" s="43" t="s">
        <v>460</v>
      </c>
      <c r="U232" s="46"/>
      <c r="V232" s="61">
        <v>58.576999999999998</v>
      </c>
      <c r="W232" s="46">
        <v>-3.0255000000000001</v>
      </c>
      <c r="X232" s="46">
        <v>1.9300000000000001E-2</v>
      </c>
      <c r="Y232" s="46">
        <v>0</v>
      </c>
      <c r="AI232" s="43">
        <v>23.9</v>
      </c>
      <c r="AJ232" s="43">
        <v>15</v>
      </c>
      <c r="AM232" s="45" t="s">
        <v>915</v>
      </c>
      <c r="AO232" s="43">
        <v>0</v>
      </c>
      <c r="AP232" s="166" t="str">
        <f t="shared" si="886"/>
        <v/>
      </c>
      <c r="AQ232" s="167" t="str">
        <f t="shared" si="887"/>
        <v/>
      </c>
      <c r="AR232" s="166" t="str">
        <f t="shared" si="888"/>
        <v/>
      </c>
      <c r="AS232" s="166" t="str">
        <f t="shared" si="889"/>
        <v/>
      </c>
      <c r="AT232" s="20" t="str">
        <f t="shared" si="890"/>
        <v/>
      </c>
      <c r="AU232" s="43" t="str">
        <f t="shared" si="891"/>
        <v xml:space="preserve">               </v>
      </c>
      <c r="AV232" s="62" t="str">
        <f t="shared" si="892"/>
        <v/>
      </c>
      <c r="AW232" s="20" t="str">
        <f t="shared" si="893"/>
        <v xml:space="preserve">                                                                 </v>
      </c>
      <c r="AX232" s="43" t="str">
        <f t="shared" si="894"/>
        <v/>
      </c>
      <c r="AY232" s="43" t="str">
        <f t="shared" si="895"/>
        <v/>
      </c>
      <c r="AZ232" s="43" t="str">
        <f t="shared" si="896"/>
        <v/>
      </c>
      <c r="BA232" s="43" t="str">
        <f t="shared" si="897"/>
        <v/>
      </c>
      <c r="BB232" s="43" t="str">
        <f t="shared" si="898"/>
        <v/>
      </c>
      <c r="BC232" s="43" t="str">
        <f t="shared" si="899"/>
        <v/>
      </c>
      <c r="BD232" s="43" t="str">
        <f t="shared" si="900"/>
        <v xml:space="preserve">_x000D_
                                                                                </v>
      </c>
      <c r="BE232" s="20" t="str">
        <f t="shared" si="901"/>
        <v/>
      </c>
      <c r="BF232" s="20" t="str">
        <f t="shared" si="902"/>
        <v/>
      </c>
      <c r="BG232" s="20" t="str">
        <f t="shared" si="903"/>
        <v/>
      </c>
      <c r="BH232" s="20" t="str">
        <f t="shared" si="904"/>
        <v/>
      </c>
      <c r="BI232" s="20" t="str">
        <f t="shared" si="905"/>
        <v/>
      </c>
      <c r="BJ232" s="20" t="str">
        <f t="shared" si="906"/>
        <v/>
      </c>
      <c r="BK232" s="20"/>
      <c r="BL232" s="20"/>
      <c r="BM232" s="43" t="str">
        <f t="shared" si="909"/>
        <v>Toadb</v>
      </c>
      <c r="BO232" s="43">
        <v>1</v>
      </c>
      <c r="BQ232" s="20"/>
      <c r="BR232" s="43">
        <v>0</v>
      </c>
      <c r="BS232" s="20"/>
      <c r="BT232" s="20"/>
      <c r="BU232" s="147">
        <f t="shared" si="907"/>
        <v>55.570799999999998</v>
      </c>
      <c r="BV232" s="161"/>
      <c r="BW232" s="147">
        <f t="shared" si="908"/>
        <v>58.576999999999998</v>
      </c>
      <c r="BY232" s="20"/>
      <c r="BZ232" s="20"/>
    </row>
    <row r="233" spans="2:78" outlineLevel="1" x14ac:dyDescent="0.25">
      <c r="E233" s="43" t="s">
        <v>913</v>
      </c>
      <c r="F233" s="43" t="s">
        <v>760</v>
      </c>
      <c r="G233" s="45" t="s">
        <v>841</v>
      </c>
      <c r="H233" s="43" t="s">
        <v>806</v>
      </c>
      <c r="I233" s="43" t="s">
        <v>660</v>
      </c>
      <c r="J233" s="43" t="s">
        <v>912</v>
      </c>
      <c r="L233" s="43" t="s">
        <v>777</v>
      </c>
      <c r="M233" s="43" t="s">
        <v>784</v>
      </c>
      <c r="N233" s="43" t="str">
        <f t="shared" si="885"/>
        <v>OSDef-VRFSysHtgQRatio_fTwbToadbHiSI</v>
      </c>
      <c r="O233" s="43" t="s">
        <v>165</v>
      </c>
      <c r="P233" s="43" t="s">
        <v>160</v>
      </c>
      <c r="Q233" s="43" t="s">
        <v>116</v>
      </c>
      <c r="R233" s="43" t="s">
        <v>460</v>
      </c>
      <c r="S233" s="43" t="s">
        <v>799</v>
      </c>
      <c r="U233" s="46"/>
      <c r="V233" s="61">
        <v>2.5859872367999999</v>
      </c>
      <c r="W233" s="46">
        <v>-9.5322710099999999E-2</v>
      </c>
      <c r="X233" s="46">
        <v>9.5532880000000003E-4</v>
      </c>
      <c r="Y233" s="46">
        <v>0</v>
      </c>
      <c r="Z233" s="46">
        <v>0</v>
      </c>
      <c r="AA233" s="46">
        <v>0</v>
      </c>
      <c r="AI233" s="43">
        <v>27.2</v>
      </c>
      <c r="AJ233" s="43">
        <v>21.1</v>
      </c>
      <c r="AK233" s="43">
        <v>15</v>
      </c>
      <c r="AL233" s="43">
        <v>-9.44</v>
      </c>
      <c r="AM233" s="45" t="s">
        <v>915</v>
      </c>
      <c r="AO233" s="43">
        <v>0</v>
      </c>
      <c r="AP233" s="166" t="str">
        <f t="shared" si="886"/>
        <v/>
      </c>
      <c r="AQ233" s="167" t="str">
        <f t="shared" si="887"/>
        <v/>
      </c>
      <c r="AR233" s="166" t="str">
        <f t="shared" si="888"/>
        <v/>
      </c>
      <c r="AS233" s="166" t="str">
        <f t="shared" si="889"/>
        <v/>
      </c>
      <c r="AT233" s="20" t="str">
        <f t="shared" si="890"/>
        <v/>
      </c>
      <c r="AU233" s="43" t="str">
        <f t="shared" si="891"/>
        <v xml:space="preserve">               </v>
      </c>
      <c r="AV233" s="62" t="str">
        <f t="shared" si="892"/>
        <v/>
      </c>
      <c r="AW233" s="20" t="str">
        <f t="shared" si="893"/>
        <v xml:space="preserve">                                                                 </v>
      </c>
      <c r="AX233" s="43" t="str">
        <f t="shared" si="894"/>
        <v/>
      </c>
      <c r="AY233" s="43" t="str">
        <f t="shared" si="895"/>
        <v/>
      </c>
      <c r="AZ233" s="43" t="str">
        <f t="shared" si="896"/>
        <v/>
      </c>
      <c r="BA233" s="43" t="str">
        <f t="shared" si="897"/>
        <v/>
      </c>
      <c r="BB233" s="43" t="str">
        <f t="shared" si="898"/>
        <v/>
      </c>
      <c r="BC233" s="43" t="str">
        <f t="shared" si="899"/>
        <v/>
      </c>
      <c r="BD233" s="43" t="str">
        <f t="shared" si="900"/>
        <v xml:space="preserve">_x000D_
                                                                                </v>
      </c>
      <c r="BE233" s="20" t="str">
        <f t="shared" si="901"/>
        <v/>
      </c>
      <c r="BF233" s="20" t="str">
        <f t="shared" si="902"/>
        <v/>
      </c>
      <c r="BG233" s="20" t="str">
        <f t="shared" si="903"/>
        <v/>
      </c>
      <c r="BH233" s="20" t="str">
        <f t="shared" si="904"/>
        <v/>
      </c>
      <c r="BI233" s="20" t="str">
        <f t="shared" si="905"/>
        <v/>
      </c>
      <c r="BJ233" s="20" t="str">
        <f t="shared" si="906"/>
        <v/>
      </c>
      <c r="BK233" s="20"/>
      <c r="BL233" s="20"/>
      <c r="BM233" s="43" t="str">
        <f t="shared" si="909"/>
        <v>Twb</v>
      </c>
      <c r="BN233" s="43" t="str">
        <f t="shared" ref="BN233" si="912">R233</f>
        <v>Toadb</v>
      </c>
      <c r="BO233" s="43">
        <v>1</v>
      </c>
      <c r="BQ233" s="20"/>
      <c r="BR233" s="43">
        <v>0</v>
      </c>
      <c r="BS233" s="20"/>
      <c r="BT233" s="20"/>
      <c r="BU233" s="147">
        <f t="shared" si="907"/>
        <v>2.4916198554999998</v>
      </c>
      <c r="BV233" s="161"/>
      <c r="BW233" s="147">
        <f t="shared" si="908"/>
        <v>2.5859872367999999</v>
      </c>
      <c r="BY233" s="20"/>
      <c r="BZ233" s="20"/>
    </row>
    <row r="234" spans="2:78" outlineLevel="1" x14ac:dyDescent="0.25">
      <c r="E234" s="43" t="s">
        <v>913</v>
      </c>
      <c r="F234" s="43" t="s">
        <v>761</v>
      </c>
      <c r="G234" s="45" t="s">
        <v>841</v>
      </c>
      <c r="H234" s="43" t="s">
        <v>806</v>
      </c>
      <c r="J234" s="43" t="s">
        <v>912</v>
      </c>
      <c r="L234" s="43" t="s">
        <v>777</v>
      </c>
      <c r="M234" s="43" t="s">
        <v>785</v>
      </c>
      <c r="N234" s="43" t="str">
        <f t="shared" si="885"/>
        <v>OSDef-VRFSysHtgQRatio_fCombRat</v>
      </c>
      <c r="O234" s="43" t="s">
        <v>230</v>
      </c>
      <c r="P234" s="43" t="s">
        <v>160</v>
      </c>
      <c r="Q234" s="43" t="s">
        <v>802</v>
      </c>
      <c r="V234" s="61">
        <v>0.76671966039999995</v>
      </c>
      <c r="W234" s="46">
        <v>0.26173020190000001</v>
      </c>
      <c r="X234" s="46">
        <v>-1.5911024499999999E-2</v>
      </c>
      <c r="Y234" s="46">
        <v>-1.25388376E-2</v>
      </c>
      <c r="AI234" s="43">
        <v>1.5</v>
      </c>
      <c r="AJ234" s="43">
        <v>1</v>
      </c>
      <c r="AM234" s="45" t="s">
        <v>915</v>
      </c>
      <c r="AO234" s="43">
        <v>0</v>
      </c>
      <c r="AP234" s="166" t="str">
        <f t="shared" si="886"/>
        <v/>
      </c>
      <c r="AQ234" s="167" t="str">
        <f t="shared" si="887"/>
        <v/>
      </c>
      <c r="AR234" s="166" t="str">
        <f t="shared" si="888"/>
        <v/>
      </c>
      <c r="AS234" s="166" t="str">
        <f t="shared" si="889"/>
        <v/>
      </c>
      <c r="AT234" s="20" t="str">
        <f t="shared" si="890"/>
        <v/>
      </c>
      <c r="AU234" s="43" t="str">
        <f t="shared" si="891"/>
        <v xml:space="preserve">               </v>
      </c>
      <c r="AV234" s="62" t="str">
        <f t="shared" si="892"/>
        <v/>
      </c>
      <c r="AW234" s="20" t="str">
        <f t="shared" si="893"/>
        <v xml:space="preserve">                                                                 </v>
      </c>
      <c r="AX234" s="43" t="str">
        <f t="shared" si="894"/>
        <v/>
      </c>
      <c r="AY234" s="43" t="str">
        <f t="shared" si="895"/>
        <v/>
      </c>
      <c r="AZ234" s="43" t="str">
        <f t="shared" si="896"/>
        <v/>
      </c>
      <c r="BA234" s="43" t="str">
        <f t="shared" si="897"/>
        <v/>
      </c>
      <c r="BB234" s="43" t="str">
        <f t="shared" si="898"/>
        <v/>
      </c>
      <c r="BC234" s="43" t="str">
        <f t="shared" si="899"/>
        <v/>
      </c>
      <c r="BD234" s="43" t="str">
        <f t="shared" si="900"/>
        <v xml:space="preserve">_x000D_
                                                                                </v>
      </c>
      <c r="BE234" s="20" t="str">
        <f t="shared" si="901"/>
        <v/>
      </c>
      <c r="BF234" s="20" t="str">
        <f t="shared" si="902"/>
        <v/>
      </c>
      <c r="BG234" s="20" t="str">
        <f t="shared" si="903"/>
        <v/>
      </c>
      <c r="BH234" s="20" t="str">
        <f t="shared" si="904"/>
        <v/>
      </c>
      <c r="BI234" s="20" t="str">
        <f t="shared" si="905"/>
        <v/>
      </c>
      <c r="BJ234" s="20" t="str">
        <f t="shared" si="906"/>
        <v/>
      </c>
      <c r="BK234" s="20"/>
      <c r="BL234" s="20"/>
      <c r="BM234" s="43" t="str">
        <f t="shared" ref="BM234:BM235" si="913">Q234</f>
        <v>CombRat</v>
      </c>
      <c r="BO234" s="43">
        <v>1</v>
      </c>
      <c r="BQ234" s="20"/>
      <c r="BR234" s="43">
        <v>0</v>
      </c>
      <c r="BS234" s="20"/>
      <c r="BT234" s="20"/>
      <c r="BU234" s="147">
        <f t="shared" si="907"/>
        <v>1.0125388378</v>
      </c>
      <c r="BV234" s="161"/>
      <c r="BW234" s="147">
        <f t="shared" si="908"/>
        <v>0.76671966039999995</v>
      </c>
      <c r="BY234" s="20"/>
      <c r="BZ234" s="20"/>
    </row>
    <row r="235" spans="2:78" outlineLevel="1" x14ac:dyDescent="0.25">
      <c r="E235" s="43" t="s">
        <v>913</v>
      </c>
      <c r="F235" s="43" t="s">
        <v>763</v>
      </c>
      <c r="G235" s="45" t="s">
        <v>841</v>
      </c>
      <c r="H235" s="43" t="s">
        <v>808</v>
      </c>
      <c r="I235" s="43" t="s">
        <v>660</v>
      </c>
      <c r="J235" s="43" t="s">
        <v>912</v>
      </c>
      <c r="L235" s="43" t="s">
        <v>777</v>
      </c>
      <c r="M235" s="43" t="s">
        <v>787</v>
      </c>
      <c r="N235" s="43" t="str">
        <f t="shared" si="885"/>
        <v>OSDef-VRFSysHtRcvryHtgQRatio_fTwbToadbSI</v>
      </c>
      <c r="O235" s="43" t="s">
        <v>165</v>
      </c>
      <c r="P235" s="43" t="s">
        <v>160</v>
      </c>
      <c r="Q235" s="43" t="s">
        <v>116</v>
      </c>
      <c r="R235" s="43" t="s">
        <v>460</v>
      </c>
      <c r="V235" s="61">
        <v>0.9</v>
      </c>
      <c r="W235" s="46">
        <v>0</v>
      </c>
      <c r="X235" s="46">
        <v>0</v>
      </c>
      <c r="Y235" s="46">
        <v>0</v>
      </c>
      <c r="Z235" s="46">
        <v>0</v>
      </c>
      <c r="AA235" s="46">
        <v>0</v>
      </c>
      <c r="AI235" s="43">
        <v>1</v>
      </c>
      <c r="AJ235" s="43">
        <v>0</v>
      </c>
      <c r="AM235" s="45" t="s">
        <v>915</v>
      </c>
      <c r="AO235" s="43">
        <v>0</v>
      </c>
      <c r="AP235" s="166" t="str">
        <f t="shared" si="886"/>
        <v/>
      </c>
      <c r="AQ235" s="167" t="str">
        <f t="shared" ref="AQ235" si="914">IF(AO235=1,CONCATENATE(AT235,AU235,AV235,AW235,IF(AX235="-","",$AX$15&amp;AX235),IF(AY235="-","",$AY$15&amp;AY235),IF(AZ235="-","",$AZ$15&amp;AZ235),IF(BA235="-","",$BA$15&amp;BA235),IF(BB235="-","",$BB$15&amp;BB235),IF(BC235="-","",$BC$15&amp;BC235)),"")</f>
        <v/>
      </c>
      <c r="AR235" s="166" t="str">
        <f t="shared" si="888"/>
        <v/>
      </c>
      <c r="AS235" s="166" t="str">
        <f t="shared" ref="AS235" si="915">IF(AO235=1,CHAR(13)&amp;CHAR(10)&amp;"..","")</f>
        <v/>
      </c>
      <c r="AT235" s="20" t="str">
        <f t="shared" ref="AT235" si="916">IF(AO235=1,VLOOKUP(O235,$AT$2:$AV$13,2,0),"")</f>
        <v/>
      </c>
      <c r="AU235" s="43" t="str">
        <f t="shared" si="891"/>
        <v xml:space="preserve">               </v>
      </c>
      <c r="AV235" s="62" t="str">
        <f t="shared" si="892"/>
        <v/>
      </c>
      <c r="AW235" s="20"/>
      <c r="AX235" s="43" t="str">
        <f t="shared" ref="AX235:AX260" si="917">IF($AO235=1,IF(ISBLANK(V235),"-",CONCATENATE(TEXT(V235," 0.000000;-0.000000"),"  ")),"")</f>
        <v/>
      </c>
      <c r="AY235" s="43" t="str">
        <f t="shared" ref="AY235:AY260" si="918">IF($AO235=1,IF(ISBLANK(W235),"-",CONCATENATE(TEXT(W235," 0.000000;-0.000000"),"  ")),"")</f>
        <v/>
      </c>
      <c r="AZ235" s="43" t="str">
        <f t="shared" ref="AZ235:AZ260" si="919">IF($AO235=1,IF(ISBLANK(X235),"-",CONCATENATE(TEXT(X235," 0.000000;-0.000000"),"  ")),"")</f>
        <v/>
      </c>
      <c r="BA235" s="43" t="str">
        <f t="shared" ref="BA235:BA260" si="920">IF($AO235=1,IF(ISBLANK(Y235),"-",CONCATENATE(TEXT(Y235," 0.000000;-0.000000"),"  ")),"")</f>
        <v/>
      </c>
      <c r="BE235" s="20" t="str">
        <f t="shared" si="901"/>
        <v/>
      </c>
      <c r="BF235" s="20" t="str">
        <f t="shared" si="902"/>
        <v/>
      </c>
      <c r="BG235" s="20" t="str">
        <f t="shared" si="903"/>
        <v/>
      </c>
      <c r="BH235" s="20" t="str">
        <f t="shared" si="904"/>
        <v/>
      </c>
      <c r="BI235" s="20" t="str">
        <f t="shared" si="905"/>
        <v/>
      </c>
      <c r="BJ235" s="20" t="str">
        <f t="shared" si="906"/>
        <v/>
      </c>
      <c r="BK235" s="20"/>
      <c r="BL235" s="20"/>
      <c r="BM235" s="43" t="str">
        <f t="shared" si="913"/>
        <v>Twb</v>
      </c>
      <c r="BN235" s="43" t="str">
        <f t="shared" ref="BN235" si="921">R235</f>
        <v>Toadb</v>
      </c>
      <c r="BO235" s="43">
        <v>1</v>
      </c>
      <c r="BQ235" s="20"/>
      <c r="BR235" s="43">
        <v>0</v>
      </c>
      <c r="BS235" s="20"/>
      <c r="BT235" s="20"/>
      <c r="BU235" s="147">
        <f t="shared" si="907"/>
        <v>0.9</v>
      </c>
      <c r="BV235" s="161"/>
      <c r="BW235" s="147">
        <f t="shared" si="908"/>
        <v>0.9</v>
      </c>
      <c r="BY235" s="20"/>
      <c r="BZ235" s="20"/>
    </row>
    <row r="236" spans="2:78" outlineLevel="1" x14ac:dyDescent="0.25">
      <c r="B236" s="43" t="s">
        <v>810</v>
      </c>
      <c r="D236" s="44" t="s">
        <v>764</v>
      </c>
      <c r="E236" s="43" t="s">
        <v>913</v>
      </c>
      <c r="F236" s="43" t="s">
        <v>765</v>
      </c>
      <c r="G236" s="45" t="s">
        <v>841</v>
      </c>
      <c r="H236" s="43" t="s">
        <v>805</v>
      </c>
      <c r="I236" s="43" t="s">
        <v>660</v>
      </c>
      <c r="J236" s="43" t="s">
        <v>912</v>
      </c>
      <c r="L236" s="43" t="s">
        <v>777</v>
      </c>
      <c r="M236" s="43" t="s">
        <v>788</v>
      </c>
      <c r="N236" s="43" t="str">
        <f t="shared" ref="N236:N261" si="922">IF(ISBLANK(E236),"-",E236&amp;H236&amp;P236&amp;"_f"&amp;Q236&amp;R236&amp;S236&amp;T236&amp;U236&amp;I236)</f>
        <v>OSDef-VRFSysClgEIRRatio_fTwbToadbLowSI</v>
      </c>
      <c r="O236" s="43" t="s">
        <v>165</v>
      </c>
      <c r="P236" s="43" t="s">
        <v>288</v>
      </c>
      <c r="Q236" s="43" t="s">
        <v>116</v>
      </c>
      <c r="R236" s="43" t="s">
        <v>460</v>
      </c>
      <c r="S236" s="43" t="s">
        <v>798</v>
      </c>
      <c r="V236" s="43">
        <v>0.98901054099999997</v>
      </c>
      <c r="W236" s="43">
        <v>-2.3479670000000001E-2</v>
      </c>
      <c r="X236" s="43">
        <v>1.9971100000000001E-4</v>
      </c>
      <c r="Y236" s="43">
        <v>5.9683360000000003E-3</v>
      </c>
      <c r="Z236" s="173">
        <v>-1.0289E-7</v>
      </c>
      <c r="AA236" s="43">
        <v>-1.5686000000000001E-4</v>
      </c>
      <c r="AI236" s="43">
        <v>24</v>
      </c>
      <c r="AJ236" s="43">
        <v>15</v>
      </c>
      <c r="AK236" s="43">
        <v>23</v>
      </c>
      <c r="AL236" s="43">
        <v>-5</v>
      </c>
      <c r="AM236" s="45" t="s">
        <v>915</v>
      </c>
      <c r="AO236" s="43">
        <v>0</v>
      </c>
      <c r="AP236" s="166" t="str">
        <f t="shared" ref="AP236:AP261" si="923">IF(AO236=1,CONCATENATE(AQ236,AR236,AS236),"")</f>
        <v/>
      </c>
      <c r="AQ236" s="167" t="str">
        <f t="shared" ref="AQ236:AQ261" si="924">IF(AO236=1,CONCATENATE(AT236,AU236,AV236,AW236,IF(AX236="-","",$AX$15&amp;AX236),IF(AY236="-","",$AY$15&amp;AY236),IF(AZ236="-","",$AZ$15&amp;AZ236),IF(BA236="-","",$BA$15&amp;BA236),IF(BB236="-","",$BB$15&amp;BB236),IF(BC236="-","",$BC$15&amp;BC236)),"")</f>
        <v/>
      </c>
      <c r="AR236" s="166" t="str">
        <f t="shared" ref="AR236:AR248" si="925">IF(AO236=1,CONCATENATE(BD236,IF(BE236="-","",$BE$15&amp;BE236),IF(BF236="-","",$BF$15&amp;BF236),IF(BG236="-","",$BG$15&amp;BG236),IF(BH236="-","",$BH$15&amp;BH236),IF(BI236="-","",$BI$15&amp;BI236),IF(BJ236="-","",$BJ$15&amp;BJ236)),"")</f>
        <v/>
      </c>
      <c r="AS236" s="166" t="str">
        <f t="shared" ref="AS236:AS261" si="926">IF(AO236=1,CHAR(13)&amp;CHAR(10)&amp;"..","")</f>
        <v/>
      </c>
      <c r="AT236" s="20" t="str">
        <f t="shared" ref="AT236:AT261" si="927">IF(AO236=1,VLOOKUP(O236,$AT$2:$AV$13,2,0),"")</f>
        <v/>
      </c>
      <c r="AU236" s="43" t="str">
        <f t="shared" si="891"/>
        <v xml:space="preserve">               </v>
      </c>
      <c r="AV236" s="62" t="str">
        <f t="shared" si="892"/>
        <v/>
      </c>
      <c r="AW236" s="20" t="str">
        <f t="shared" ref="AW236:AW260" si="928">REPT(" ",$AW$14-LEN(AV236))</f>
        <v xml:space="preserve">                                                                 </v>
      </c>
      <c r="AX236" s="43" t="str">
        <f t="shared" si="917"/>
        <v/>
      </c>
      <c r="AY236" s="43" t="str">
        <f t="shared" si="918"/>
        <v/>
      </c>
      <c r="AZ236" s="43" t="str">
        <f t="shared" si="919"/>
        <v/>
      </c>
      <c r="BA236" s="43" t="str">
        <f t="shared" si="920"/>
        <v/>
      </c>
      <c r="BB236" s="43" t="str">
        <f t="shared" ref="BB236:BB260" si="929">IF($AO236=1,IF(ISBLANK(Z236),"-",CONCATENATE(TEXT(Z236," 0.000000;-0.000000"),"  ")),"")</f>
        <v/>
      </c>
      <c r="BC236" s="43" t="str">
        <f t="shared" ref="BC236:BC260" si="930">IF($AO236=1,IF(ISBLANK(AA236),"-",CONCATENATE(TEXT(AA236," 0.000000;-0.000000"),"  ")),"")</f>
        <v/>
      </c>
      <c r="BD236" s="43" t="str">
        <f t="shared" ref="BD236:BD260" si="931">IF(MAX(AG236:AL236)=0,REPT(" ",1),CHAR(13)&amp;CHAR(10)&amp;REPT(" ",BD$14))</f>
        <v xml:space="preserve">_x000D_
                                                                                </v>
      </c>
      <c r="BE236" s="20" t="str">
        <f t="shared" si="901"/>
        <v/>
      </c>
      <c r="BF236" s="20" t="str">
        <f t="shared" si="902"/>
        <v/>
      </c>
      <c r="BG236" s="20" t="str">
        <f t="shared" si="903"/>
        <v/>
      </c>
      <c r="BH236" s="20" t="str">
        <f t="shared" si="904"/>
        <v/>
      </c>
      <c r="BI236" s="20" t="str">
        <f t="shared" si="905"/>
        <v/>
      </c>
      <c r="BJ236" s="20" t="str">
        <f t="shared" si="906"/>
        <v/>
      </c>
      <c r="BK236" s="20"/>
      <c r="BL236" s="20"/>
      <c r="BM236" s="43" t="str">
        <f>Q236</f>
        <v>Twb</v>
      </c>
      <c r="BN236" s="43" t="str">
        <f>R236</f>
        <v>Toadb</v>
      </c>
      <c r="BO236" s="43">
        <v>1</v>
      </c>
      <c r="BQ236" s="20"/>
      <c r="BR236" s="43">
        <v>0</v>
      </c>
      <c r="BS236" s="20"/>
      <c r="BT236" s="20"/>
      <c r="BU236" s="147">
        <f t="shared" si="907"/>
        <v>0.96573058200000006</v>
      </c>
      <c r="BV236" s="161"/>
      <c r="BW236" s="147">
        <f t="shared" si="908"/>
        <v>0.98901054099999997</v>
      </c>
      <c r="BY236" s="20"/>
      <c r="BZ236" s="20"/>
    </row>
    <row r="237" spans="2:78" outlineLevel="1" x14ac:dyDescent="0.25">
      <c r="E237" s="43" t="s">
        <v>913</v>
      </c>
      <c r="F237" s="43" t="s">
        <v>766</v>
      </c>
      <c r="G237" s="45" t="s">
        <v>841</v>
      </c>
      <c r="H237" s="43" t="s">
        <v>805</v>
      </c>
      <c r="I237" s="43" t="s">
        <v>660</v>
      </c>
      <c r="J237" s="43" t="s">
        <v>912</v>
      </c>
      <c r="L237" s="43" t="s">
        <v>777</v>
      </c>
      <c r="M237" s="43" t="s">
        <v>789</v>
      </c>
      <c r="N237" s="43" t="str">
        <f t="shared" si="922"/>
        <v>OSDef-VRFSysClgEIRBdry_fToadbSI</v>
      </c>
      <c r="O237" s="43" t="s">
        <v>230</v>
      </c>
      <c r="P237" s="43" t="s">
        <v>800</v>
      </c>
      <c r="Q237" s="43" t="s">
        <v>460</v>
      </c>
      <c r="V237" s="43">
        <v>25.734737750000001</v>
      </c>
      <c r="W237" s="43">
        <v>-3.1500430000000003E-2</v>
      </c>
      <c r="X237" s="43">
        <v>-1.416595E-2</v>
      </c>
      <c r="AI237" s="43">
        <v>24</v>
      </c>
      <c r="AJ237" s="43">
        <v>15</v>
      </c>
      <c r="AM237" s="45" t="s">
        <v>915</v>
      </c>
      <c r="AO237" s="43">
        <v>0</v>
      </c>
      <c r="AP237" s="166" t="str">
        <f t="shared" si="923"/>
        <v/>
      </c>
      <c r="AQ237" s="167" t="str">
        <f t="shared" si="924"/>
        <v/>
      </c>
      <c r="AR237" s="166" t="str">
        <f t="shared" si="925"/>
        <v/>
      </c>
      <c r="AS237" s="166" t="str">
        <f t="shared" si="926"/>
        <v/>
      </c>
      <c r="AT237" s="20" t="str">
        <f t="shared" si="927"/>
        <v/>
      </c>
      <c r="AU237" s="43" t="str">
        <f t="shared" si="891"/>
        <v xml:space="preserve">               </v>
      </c>
      <c r="AV237" s="62" t="str">
        <f t="shared" si="892"/>
        <v/>
      </c>
      <c r="AW237" s="20" t="str">
        <f t="shared" si="928"/>
        <v xml:space="preserve">                                                                 </v>
      </c>
      <c r="AX237" s="43" t="str">
        <f t="shared" si="917"/>
        <v/>
      </c>
      <c r="AY237" s="43" t="str">
        <f t="shared" si="918"/>
        <v/>
      </c>
      <c r="AZ237" s="43" t="str">
        <f t="shared" si="919"/>
        <v/>
      </c>
      <c r="BA237" s="43" t="str">
        <f t="shared" si="920"/>
        <v/>
      </c>
      <c r="BB237" s="43" t="str">
        <f t="shared" si="929"/>
        <v/>
      </c>
      <c r="BC237" s="43" t="str">
        <f t="shared" si="930"/>
        <v/>
      </c>
      <c r="BD237" s="43" t="str">
        <f t="shared" si="931"/>
        <v xml:space="preserve">_x000D_
                                                                                </v>
      </c>
      <c r="BE237" s="20" t="str">
        <f t="shared" si="901"/>
        <v/>
      </c>
      <c r="BF237" s="20" t="str">
        <f t="shared" si="902"/>
        <v/>
      </c>
      <c r="BG237" s="20" t="str">
        <f t="shared" si="903"/>
        <v/>
      </c>
      <c r="BH237" s="20" t="str">
        <f t="shared" si="904"/>
        <v/>
      </c>
      <c r="BI237" s="20" t="str">
        <f t="shared" si="905"/>
        <v/>
      </c>
      <c r="BJ237" s="20" t="str">
        <f t="shared" si="906"/>
        <v/>
      </c>
      <c r="BK237" s="20"/>
      <c r="BL237" s="20"/>
      <c r="BM237" s="43" t="str">
        <f t="shared" ref="BM237:BM251" si="932">Q237</f>
        <v>Toadb</v>
      </c>
      <c r="BO237" s="43">
        <v>1</v>
      </c>
      <c r="BQ237" s="20"/>
      <c r="BR237" s="43">
        <v>0</v>
      </c>
      <c r="BS237" s="20"/>
      <c r="BT237" s="20"/>
      <c r="BU237" s="147">
        <f t="shared" si="907"/>
        <v>25.689071370000001</v>
      </c>
      <c r="BV237" s="161"/>
      <c r="BW237" s="147">
        <f t="shared" si="908"/>
        <v>25.734737750000001</v>
      </c>
      <c r="BY237" s="20"/>
      <c r="BZ237" s="20"/>
    </row>
    <row r="238" spans="2:78" outlineLevel="1" x14ac:dyDescent="0.25">
      <c r="E238" s="43" t="s">
        <v>913</v>
      </c>
      <c r="F238" s="43" t="s">
        <v>767</v>
      </c>
      <c r="G238" s="45" t="s">
        <v>841</v>
      </c>
      <c r="H238" s="43" t="s">
        <v>805</v>
      </c>
      <c r="I238" s="43" t="s">
        <v>660</v>
      </c>
      <c r="J238" s="43" t="s">
        <v>912</v>
      </c>
      <c r="L238" s="43" t="s">
        <v>777</v>
      </c>
      <c r="M238" s="43" t="s">
        <v>790</v>
      </c>
      <c r="N238" s="43" t="str">
        <f t="shared" si="922"/>
        <v>OSDef-VRFSysClgEIRRatio_fTwbToadbHiSI</v>
      </c>
      <c r="O238" s="43" t="s">
        <v>165</v>
      </c>
      <c r="P238" s="43" t="s">
        <v>288</v>
      </c>
      <c r="Q238" s="43" t="s">
        <v>116</v>
      </c>
      <c r="R238" s="43" t="s">
        <v>460</v>
      </c>
      <c r="S238" s="43" t="s">
        <v>799</v>
      </c>
      <c r="V238" s="43">
        <v>-1.4395110176000001</v>
      </c>
      <c r="W238" s="43">
        <v>0.16198504590000001</v>
      </c>
      <c r="X238" s="173">
        <v>-3.4911781000000002E-3</v>
      </c>
      <c r="Y238" s="43">
        <v>2.6944264499999999E-2</v>
      </c>
      <c r="Z238" s="43">
        <v>1.3461629999999999E-4</v>
      </c>
      <c r="AA238" s="43">
        <v>-6.7149410000000005E-4</v>
      </c>
      <c r="AI238" s="43">
        <v>23.9</v>
      </c>
      <c r="AJ238" s="43">
        <v>15</v>
      </c>
      <c r="AK238" s="43">
        <v>43.3</v>
      </c>
      <c r="AL238" s="43">
        <v>16.8</v>
      </c>
      <c r="AM238" s="45" t="s">
        <v>915</v>
      </c>
      <c r="AO238" s="43">
        <v>0</v>
      </c>
      <c r="AP238" s="166" t="str">
        <f t="shared" si="923"/>
        <v/>
      </c>
      <c r="AQ238" s="167" t="str">
        <f t="shared" si="924"/>
        <v/>
      </c>
      <c r="AR238" s="166" t="str">
        <f t="shared" si="925"/>
        <v/>
      </c>
      <c r="AS238" s="166" t="str">
        <f t="shared" si="926"/>
        <v/>
      </c>
      <c r="AT238" s="20" t="str">
        <f t="shared" si="927"/>
        <v/>
      </c>
      <c r="AU238" s="43" t="str">
        <f t="shared" si="891"/>
        <v xml:space="preserve">               </v>
      </c>
      <c r="AV238" s="62" t="str">
        <f t="shared" si="892"/>
        <v/>
      </c>
      <c r="AW238" s="20" t="str">
        <f t="shared" si="928"/>
        <v xml:space="preserve">                                                                 </v>
      </c>
      <c r="AX238" s="43" t="str">
        <f t="shared" si="917"/>
        <v/>
      </c>
      <c r="AY238" s="43" t="str">
        <f t="shared" si="918"/>
        <v/>
      </c>
      <c r="AZ238" s="43" t="str">
        <f t="shared" si="919"/>
        <v/>
      </c>
      <c r="BA238" s="43" t="str">
        <f t="shared" si="920"/>
        <v/>
      </c>
      <c r="BB238" s="43" t="str">
        <f t="shared" si="929"/>
        <v/>
      </c>
      <c r="BC238" s="43" t="str">
        <f t="shared" si="930"/>
        <v/>
      </c>
      <c r="BD238" s="43" t="str">
        <f t="shared" si="931"/>
        <v xml:space="preserve">_x000D_
                                                                                </v>
      </c>
      <c r="BE238" s="20" t="str">
        <f t="shared" si="901"/>
        <v/>
      </c>
      <c r="BF238" s="20" t="str">
        <f t="shared" si="902"/>
        <v/>
      </c>
      <c r="BG238" s="20" t="str">
        <f t="shared" si="903"/>
        <v/>
      </c>
      <c r="BH238" s="20" t="str">
        <f t="shared" si="904"/>
        <v/>
      </c>
      <c r="BI238" s="20" t="str">
        <f t="shared" si="905"/>
        <v/>
      </c>
      <c r="BJ238" s="20" t="str">
        <f t="shared" si="906"/>
        <v/>
      </c>
      <c r="BK238" s="20"/>
      <c r="BL238" s="20"/>
      <c r="BM238" s="43" t="str">
        <f t="shared" si="932"/>
        <v>Twb</v>
      </c>
      <c r="BN238" s="43" t="str">
        <f>R238</f>
        <v>Toadb</v>
      </c>
      <c r="BO238" s="43">
        <v>1</v>
      </c>
      <c r="BQ238" s="20"/>
      <c r="BR238" s="43">
        <v>0</v>
      </c>
      <c r="BS238" s="20"/>
      <c r="BT238" s="20"/>
      <c r="BU238" s="147">
        <f t="shared" si="907"/>
        <v>-1.2810171498</v>
      </c>
      <c r="BV238" s="161"/>
      <c r="BW238" s="147">
        <f t="shared" si="908"/>
        <v>-1.4395110176000001</v>
      </c>
      <c r="BY238" s="20"/>
      <c r="BZ238" s="20"/>
    </row>
    <row r="239" spans="2:78" outlineLevel="1" x14ac:dyDescent="0.25">
      <c r="E239" s="43" t="s">
        <v>913</v>
      </c>
      <c r="F239" s="43" t="s">
        <v>768</v>
      </c>
      <c r="G239" s="45" t="s">
        <v>841</v>
      </c>
      <c r="H239" s="43" t="s">
        <v>805</v>
      </c>
      <c r="I239" s="43" t="s">
        <v>660</v>
      </c>
      <c r="J239" s="43" t="s">
        <v>912</v>
      </c>
      <c r="L239" s="43" t="s">
        <v>777</v>
      </c>
      <c r="M239" s="43" t="s">
        <v>791</v>
      </c>
      <c r="N239" s="43" t="str">
        <f t="shared" si="922"/>
        <v>OSDef-VRFSysClgEIRRatio_fPLRLowSI</v>
      </c>
      <c r="O239" s="43" t="s">
        <v>230</v>
      </c>
      <c r="P239" s="43" t="s">
        <v>288</v>
      </c>
      <c r="Q239" s="43" t="s">
        <v>28</v>
      </c>
      <c r="R239" s="43" t="s">
        <v>798</v>
      </c>
      <c r="V239" s="43">
        <v>0.45412261920000002</v>
      </c>
      <c r="W239" s="173">
        <v>-0.17296870810000001</v>
      </c>
      <c r="X239" s="43">
        <v>1.0828661346999999</v>
      </c>
      <c r="Y239" s="43">
        <v>-0.36184808969999999</v>
      </c>
      <c r="AI239" s="43">
        <v>1</v>
      </c>
      <c r="AJ239" s="43">
        <v>0.5</v>
      </c>
      <c r="AM239" s="45" t="s">
        <v>915</v>
      </c>
      <c r="AO239" s="43">
        <v>0</v>
      </c>
      <c r="AP239" s="166" t="str">
        <f t="shared" si="923"/>
        <v/>
      </c>
      <c r="AQ239" s="167" t="str">
        <f t="shared" si="924"/>
        <v/>
      </c>
      <c r="AR239" s="166" t="str">
        <f t="shared" si="925"/>
        <v/>
      </c>
      <c r="AS239" s="166" t="str">
        <f t="shared" si="926"/>
        <v/>
      </c>
      <c r="AT239" s="20" t="str">
        <f t="shared" si="927"/>
        <v/>
      </c>
      <c r="AU239" s="43" t="str">
        <f t="shared" si="891"/>
        <v xml:space="preserve">               </v>
      </c>
      <c r="AV239" s="62" t="str">
        <f t="shared" si="892"/>
        <v/>
      </c>
      <c r="AW239" s="20" t="str">
        <f t="shared" si="928"/>
        <v xml:space="preserve">                                                                 </v>
      </c>
      <c r="AX239" s="43" t="str">
        <f t="shared" si="917"/>
        <v/>
      </c>
      <c r="AY239" s="43" t="str">
        <f t="shared" si="918"/>
        <v/>
      </c>
      <c r="AZ239" s="43" t="str">
        <f t="shared" si="919"/>
        <v/>
      </c>
      <c r="BA239" s="43" t="str">
        <f t="shared" si="920"/>
        <v/>
      </c>
      <c r="BB239" s="43" t="str">
        <f t="shared" si="929"/>
        <v/>
      </c>
      <c r="BC239" s="43" t="str">
        <f t="shared" si="930"/>
        <v/>
      </c>
      <c r="BD239" s="43" t="str">
        <f t="shared" si="931"/>
        <v xml:space="preserve">_x000D_
                                                                                </v>
      </c>
      <c r="BE239" s="20" t="str">
        <f t="shared" si="901"/>
        <v/>
      </c>
      <c r="BF239" s="20" t="str">
        <f t="shared" si="902"/>
        <v/>
      </c>
      <c r="BG239" s="20" t="str">
        <f t="shared" si="903"/>
        <v/>
      </c>
      <c r="BH239" s="20" t="str">
        <f t="shared" si="904"/>
        <v/>
      </c>
      <c r="BI239" s="20" t="str">
        <f t="shared" si="905"/>
        <v/>
      </c>
      <c r="BJ239" s="20" t="str">
        <f t="shared" si="906"/>
        <v/>
      </c>
      <c r="BK239" s="20"/>
      <c r="BL239" s="20"/>
      <c r="BM239" s="43" t="str">
        <f t="shared" si="932"/>
        <v>PLR</v>
      </c>
      <c r="BN239" s="43" t="str">
        <f>R239</f>
        <v>Low</v>
      </c>
      <c r="BO239" s="43">
        <v>1</v>
      </c>
      <c r="BQ239" s="20"/>
      <c r="BR239" s="43">
        <v>0</v>
      </c>
      <c r="BS239" s="20"/>
      <c r="BT239" s="20"/>
      <c r="BU239" s="147">
        <f t="shared" si="907"/>
        <v>1.3640200457999998</v>
      </c>
      <c r="BV239" s="161"/>
      <c r="BW239" s="147">
        <f t="shared" si="908"/>
        <v>0.45412261920000002</v>
      </c>
      <c r="BY239" s="20"/>
      <c r="BZ239" s="20"/>
    </row>
    <row r="240" spans="2:78" outlineLevel="1" x14ac:dyDescent="0.25">
      <c r="E240" s="43" t="s">
        <v>913</v>
      </c>
      <c r="F240" s="43" t="s">
        <v>769</v>
      </c>
      <c r="G240" s="45" t="s">
        <v>841</v>
      </c>
      <c r="H240" s="43" t="s">
        <v>805</v>
      </c>
      <c r="I240" s="43" t="s">
        <v>660</v>
      </c>
      <c r="J240" s="43" t="s">
        <v>912</v>
      </c>
      <c r="L240" s="43" t="s">
        <v>777</v>
      </c>
      <c r="M240" s="43" t="s">
        <v>792</v>
      </c>
      <c r="N240" s="43" t="str">
        <f t="shared" si="922"/>
        <v>OSDef-VRFSysClgEIRRatio_fPLRHiSI</v>
      </c>
      <c r="O240" s="43" t="s">
        <v>230</v>
      </c>
      <c r="P240" s="43" t="s">
        <v>288</v>
      </c>
      <c r="Q240" s="43" t="s">
        <v>28</v>
      </c>
      <c r="R240" s="43" t="s">
        <v>799</v>
      </c>
      <c r="U240" s="173"/>
      <c r="V240" s="46">
        <v>1</v>
      </c>
      <c r="W240" s="46">
        <v>0</v>
      </c>
      <c r="X240" s="46">
        <v>0</v>
      </c>
      <c r="Y240" s="46">
        <v>0</v>
      </c>
      <c r="AI240" s="43">
        <v>1</v>
      </c>
      <c r="AJ240" s="43">
        <v>1.5</v>
      </c>
      <c r="AM240" s="45" t="s">
        <v>915</v>
      </c>
      <c r="AO240" s="43">
        <v>0</v>
      </c>
      <c r="AP240" s="166" t="str">
        <f t="shared" si="923"/>
        <v/>
      </c>
      <c r="AQ240" s="167" t="str">
        <f t="shared" si="924"/>
        <v/>
      </c>
      <c r="AR240" s="166" t="str">
        <f t="shared" si="925"/>
        <v/>
      </c>
      <c r="AS240" s="166" t="str">
        <f t="shared" si="926"/>
        <v/>
      </c>
      <c r="AT240" s="20" t="str">
        <f t="shared" si="927"/>
        <v/>
      </c>
      <c r="AU240" s="43" t="str">
        <f t="shared" si="891"/>
        <v xml:space="preserve">               </v>
      </c>
      <c r="AV240" s="62" t="str">
        <f t="shared" si="892"/>
        <v/>
      </c>
      <c r="AW240" s="20" t="str">
        <f t="shared" si="928"/>
        <v xml:space="preserve">                                                                 </v>
      </c>
      <c r="AX240" s="43" t="str">
        <f t="shared" si="917"/>
        <v/>
      </c>
      <c r="AY240" s="43" t="str">
        <f t="shared" si="918"/>
        <v/>
      </c>
      <c r="AZ240" s="43" t="str">
        <f t="shared" si="919"/>
        <v/>
      </c>
      <c r="BA240" s="43" t="str">
        <f t="shared" si="920"/>
        <v/>
      </c>
      <c r="BB240" s="43" t="str">
        <f t="shared" si="929"/>
        <v/>
      </c>
      <c r="BC240" s="43" t="str">
        <f t="shared" si="930"/>
        <v/>
      </c>
      <c r="BD240" s="43" t="str">
        <f t="shared" si="931"/>
        <v xml:space="preserve">_x000D_
                                                                                </v>
      </c>
      <c r="BE240" s="20" t="str">
        <f t="shared" si="901"/>
        <v/>
      </c>
      <c r="BF240" s="20" t="str">
        <f t="shared" si="902"/>
        <v/>
      </c>
      <c r="BG240" s="20" t="str">
        <f t="shared" si="903"/>
        <v/>
      </c>
      <c r="BH240" s="20" t="str">
        <f t="shared" si="904"/>
        <v/>
      </c>
      <c r="BI240" s="20" t="str">
        <f t="shared" si="905"/>
        <v/>
      </c>
      <c r="BJ240" s="20" t="str">
        <f t="shared" si="906"/>
        <v/>
      </c>
      <c r="BK240" s="20"/>
      <c r="BL240" s="20"/>
      <c r="BM240" s="43" t="str">
        <f t="shared" si="932"/>
        <v>PLR</v>
      </c>
      <c r="BN240" s="43" t="str">
        <f>R240</f>
        <v>Hi</v>
      </c>
      <c r="BO240" s="43">
        <v>1</v>
      </c>
      <c r="BQ240" s="20"/>
      <c r="BR240" s="43">
        <v>0</v>
      </c>
      <c r="BS240" s="20"/>
      <c r="BT240" s="20"/>
      <c r="BU240" s="147">
        <f t="shared" si="907"/>
        <v>1</v>
      </c>
      <c r="BV240" s="161"/>
      <c r="BW240" s="147">
        <f t="shared" si="908"/>
        <v>1</v>
      </c>
      <c r="BY240" s="20"/>
      <c r="BZ240" s="20"/>
    </row>
    <row r="241" spans="2:78" outlineLevel="1" x14ac:dyDescent="0.25">
      <c r="E241" s="43" t="s">
        <v>913</v>
      </c>
      <c r="F241" s="43" t="s">
        <v>803</v>
      </c>
      <c r="G241" s="45" t="s">
        <v>841</v>
      </c>
      <c r="H241" s="43" t="s">
        <v>805</v>
      </c>
      <c r="I241" s="43" t="s">
        <v>660</v>
      </c>
      <c r="J241" s="43" t="s">
        <v>912</v>
      </c>
      <c r="L241" s="43" t="s">
        <v>777</v>
      </c>
      <c r="M241" s="43" t="s">
        <v>813</v>
      </c>
      <c r="N241" s="43" t="str">
        <f t="shared" si="922"/>
        <v>OSDef-VRFSysClgEIRRatio_fCycRatSI</v>
      </c>
      <c r="O241" s="43" t="s">
        <v>230</v>
      </c>
      <c r="P241" s="43" t="s">
        <v>288</v>
      </c>
      <c r="Q241" s="43" t="s">
        <v>804</v>
      </c>
      <c r="V241" s="46">
        <v>0.85</v>
      </c>
      <c r="W241" s="46">
        <v>0.15</v>
      </c>
      <c r="X241" s="46">
        <v>0</v>
      </c>
      <c r="Y241" s="46">
        <v>0</v>
      </c>
      <c r="AI241" s="43">
        <v>1</v>
      </c>
      <c r="AJ241" s="43">
        <v>0</v>
      </c>
      <c r="AM241" s="45" t="s">
        <v>915</v>
      </c>
      <c r="AO241" s="43">
        <v>0</v>
      </c>
      <c r="AP241" s="166" t="str">
        <f t="shared" si="923"/>
        <v/>
      </c>
      <c r="AQ241" s="167" t="str">
        <f t="shared" si="924"/>
        <v/>
      </c>
      <c r="AR241" s="166" t="str">
        <f t="shared" si="925"/>
        <v/>
      </c>
      <c r="AS241" s="166" t="str">
        <f t="shared" si="926"/>
        <v/>
      </c>
      <c r="AT241" s="20" t="str">
        <f t="shared" si="927"/>
        <v/>
      </c>
      <c r="AU241" s="43" t="str">
        <f t="shared" si="891"/>
        <v xml:space="preserve">               </v>
      </c>
      <c r="AV241" s="62" t="str">
        <f t="shared" si="892"/>
        <v/>
      </c>
      <c r="AW241" s="20" t="str">
        <f t="shared" si="928"/>
        <v xml:space="preserve">                                                                 </v>
      </c>
      <c r="AX241" s="43" t="str">
        <f t="shared" si="917"/>
        <v/>
      </c>
      <c r="AY241" s="43" t="str">
        <f t="shared" si="918"/>
        <v/>
      </c>
      <c r="AZ241" s="43" t="str">
        <f t="shared" si="919"/>
        <v/>
      </c>
      <c r="BA241" s="43" t="str">
        <f t="shared" si="920"/>
        <v/>
      </c>
      <c r="BB241" s="43" t="str">
        <f t="shared" si="929"/>
        <v/>
      </c>
      <c r="BC241" s="43" t="str">
        <f t="shared" si="930"/>
        <v/>
      </c>
      <c r="BD241" s="43" t="str">
        <f t="shared" si="931"/>
        <v xml:space="preserve">_x000D_
                                                                                </v>
      </c>
      <c r="BE241" s="20" t="str">
        <f t="shared" si="901"/>
        <v/>
      </c>
      <c r="BF241" s="20" t="str">
        <f t="shared" si="902"/>
        <v/>
      </c>
      <c r="BG241" s="20" t="str">
        <f t="shared" si="903"/>
        <v/>
      </c>
      <c r="BH241" s="20" t="str">
        <f t="shared" si="904"/>
        <v/>
      </c>
      <c r="BI241" s="20" t="str">
        <f t="shared" si="905"/>
        <v/>
      </c>
      <c r="BJ241" s="20" t="str">
        <f t="shared" si="906"/>
        <v/>
      </c>
      <c r="BK241" s="20"/>
      <c r="BL241" s="20"/>
      <c r="BM241" s="43" t="str">
        <f t="shared" si="932"/>
        <v>CycRat</v>
      </c>
      <c r="BO241" s="43">
        <v>1</v>
      </c>
      <c r="BQ241" s="20"/>
      <c r="BR241" s="43">
        <v>0</v>
      </c>
      <c r="BS241" s="20"/>
      <c r="BT241" s="20"/>
      <c r="BU241" s="147">
        <f t="shared" si="907"/>
        <v>1</v>
      </c>
      <c r="BV241" s="161"/>
      <c r="BW241" s="147">
        <f t="shared" si="908"/>
        <v>0.85</v>
      </c>
      <c r="BY241" s="20"/>
      <c r="BZ241" s="20"/>
    </row>
    <row r="242" spans="2:78" outlineLevel="1" x14ac:dyDescent="0.25">
      <c r="E242" s="43" t="s">
        <v>913</v>
      </c>
      <c r="F242" s="43" t="s">
        <v>770</v>
      </c>
      <c r="G242" s="45" t="s">
        <v>841</v>
      </c>
      <c r="H242" s="43" t="s">
        <v>807</v>
      </c>
      <c r="I242" s="43" t="s">
        <v>660</v>
      </c>
      <c r="J242" s="43" t="s">
        <v>912</v>
      </c>
      <c r="L242" s="43" t="s">
        <v>777</v>
      </c>
      <c r="M242" s="43" t="s">
        <v>814</v>
      </c>
      <c r="N242" s="43" t="str">
        <f t="shared" si="922"/>
        <v>OSDef-VRFSysHtRcvryClgEIRRatio_fTwbToadbSI</v>
      </c>
      <c r="O242" s="43" t="s">
        <v>165</v>
      </c>
      <c r="P242" s="43" t="s">
        <v>288</v>
      </c>
      <c r="Q242" s="43" t="s">
        <v>116</v>
      </c>
      <c r="R242" s="43" t="s">
        <v>460</v>
      </c>
      <c r="V242" s="46">
        <v>1.1000000000000001</v>
      </c>
      <c r="W242" s="46">
        <v>0</v>
      </c>
      <c r="X242" s="46">
        <v>0</v>
      </c>
      <c r="Y242" s="46">
        <v>0</v>
      </c>
      <c r="Z242" s="46">
        <v>0</v>
      </c>
      <c r="AA242" s="46">
        <v>0</v>
      </c>
      <c r="AI242" s="43">
        <v>1</v>
      </c>
      <c r="AJ242" s="43">
        <v>0</v>
      </c>
      <c r="AM242" s="45" t="s">
        <v>915</v>
      </c>
      <c r="AO242" s="43">
        <v>0</v>
      </c>
      <c r="AP242" s="166" t="str">
        <f t="shared" si="923"/>
        <v/>
      </c>
      <c r="AQ242" s="167" t="str">
        <f t="shared" si="924"/>
        <v/>
      </c>
      <c r="AR242" s="166" t="str">
        <f t="shared" si="925"/>
        <v/>
      </c>
      <c r="AS242" s="166" t="str">
        <f t="shared" si="926"/>
        <v/>
      </c>
      <c r="AT242" s="20" t="str">
        <f t="shared" si="927"/>
        <v/>
      </c>
      <c r="AU242" s="43" t="str">
        <f t="shared" si="891"/>
        <v xml:space="preserve">               </v>
      </c>
      <c r="AV242" s="62" t="str">
        <f t="shared" si="892"/>
        <v/>
      </c>
      <c r="AW242" s="20" t="str">
        <f t="shared" si="928"/>
        <v xml:space="preserve">                                                                 </v>
      </c>
      <c r="AX242" s="43" t="str">
        <f t="shared" si="917"/>
        <v/>
      </c>
      <c r="AY242" s="43" t="str">
        <f t="shared" si="918"/>
        <v/>
      </c>
      <c r="AZ242" s="43" t="str">
        <f t="shared" si="919"/>
        <v/>
      </c>
      <c r="BA242" s="43" t="str">
        <f t="shared" si="920"/>
        <v/>
      </c>
      <c r="BB242" s="43" t="str">
        <f t="shared" si="929"/>
        <v/>
      </c>
      <c r="BC242" s="43" t="str">
        <f t="shared" si="930"/>
        <v/>
      </c>
      <c r="BD242" s="43" t="str">
        <f t="shared" si="931"/>
        <v xml:space="preserve">_x000D_
                                                                                </v>
      </c>
      <c r="BE242" s="20" t="str">
        <f t="shared" si="901"/>
        <v/>
      </c>
      <c r="BF242" s="20" t="str">
        <f t="shared" si="902"/>
        <v/>
      </c>
      <c r="BG242" s="20" t="str">
        <f t="shared" si="903"/>
        <v/>
      </c>
      <c r="BH242" s="20" t="str">
        <f t="shared" si="904"/>
        <v/>
      </c>
      <c r="BI242" s="20" t="str">
        <f t="shared" si="905"/>
        <v/>
      </c>
      <c r="BJ242" s="20" t="str">
        <f t="shared" si="906"/>
        <v/>
      </c>
      <c r="BK242" s="20"/>
      <c r="BL242" s="20"/>
      <c r="BM242" s="43" t="str">
        <f t="shared" si="932"/>
        <v>Twb</v>
      </c>
      <c r="BN242" s="43" t="str">
        <f>R242</f>
        <v>Toadb</v>
      </c>
      <c r="BO242" s="43">
        <v>1</v>
      </c>
      <c r="BQ242" s="20"/>
      <c r="BR242" s="43">
        <v>0</v>
      </c>
      <c r="BS242" s="20"/>
      <c r="BT242" s="20"/>
      <c r="BU242" s="147">
        <f t="shared" si="907"/>
        <v>1.1000000000000001</v>
      </c>
      <c r="BV242" s="161"/>
      <c r="BW242" s="147">
        <f t="shared" si="908"/>
        <v>1.1000000000000001</v>
      </c>
      <c r="BY242" s="20"/>
      <c r="BZ242" s="20"/>
    </row>
    <row r="243" spans="2:78" outlineLevel="1" x14ac:dyDescent="0.25">
      <c r="E243" s="43" t="s">
        <v>913</v>
      </c>
      <c r="F243" s="43" t="s">
        <v>771</v>
      </c>
      <c r="G243" s="45" t="s">
        <v>841</v>
      </c>
      <c r="H243" s="43" t="s">
        <v>806</v>
      </c>
      <c r="I243" s="43" t="s">
        <v>660</v>
      </c>
      <c r="J243" s="43" t="s">
        <v>912</v>
      </c>
      <c r="L243" s="43" t="s">
        <v>777</v>
      </c>
      <c r="M243" s="43" t="s">
        <v>793</v>
      </c>
      <c r="N243" s="43" t="str">
        <f t="shared" si="922"/>
        <v>OSDef-VRFSysHtgEIRRatio_fTwbToadbLowSI</v>
      </c>
      <c r="O243" s="43" t="s">
        <v>165</v>
      </c>
      <c r="P243" s="43" t="s">
        <v>288</v>
      </c>
      <c r="Q243" s="43" t="s">
        <v>116</v>
      </c>
      <c r="R243" s="43" t="s">
        <v>460</v>
      </c>
      <c r="S243" s="43" t="s">
        <v>798</v>
      </c>
      <c r="V243" s="43">
        <v>0.72242926829999998</v>
      </c>
      <c r="W243" s="43">
        <v>3.4566627999999999E-3</v>
      </c>
      <c r="X243" s="43">
        <v>6.5070280000000002E-4</v>
      </c>
      <c r="Y243" s="43">
        <v>-2.6435361999999998E-3</v>
      </c>
      <c r="Z243" s="43">
        <v>1.2464766E-3</v>
      </c>
      <c r="AA243" s="43">
        <v>-1.009161E-4</v>
      </c>
      <c r="AI243" s="43">
        <v>27.2</v>
      </c>
      <c r="AJ243" s="43">
        <v>21.1</v>
      </c>
      <c r="AK243" s="43">
        <v>3.33</v>
      </c>
      <c r="AL243" s="43">
        <v>-20</v>
      </c>
      <c r="AM243" s="45" t="s">
        <v>915</v>
      </c>
      <c r="AO243" s="43">
        <v>0</v>
      </c>
      <c r="AP243" s="166" t="str">
        <f t="shared" si="923"/>
        <v/>
      </c>
      <c r="AQ243" s="167" t="str">
        <f t="shared" si="924"/>
        <v/>
      </c>
      <c r="AR243" s="166" t="str">
        <f t="shared" si="925"/>
        <v/>
      </c>
      <c r="AS243" s="166" t="str">
        <f t="shared" si="926"/>
        <v/>
      </c>
      <c r="AT243" s="20" t="str">
        <f t="shared" si="927"/>
        <v/>
      </c>
      <c r="AU243" s="43" t="str">
        <f t="shared" si="891"/>
        <v xml:space="preserve">               </v>
      </c>
      <c r="AV243" s="62" t="str">
        <f t="shared" si="892"/>
        <v/>
      </c>
      <c r="AW243" s="20" t="str">
        <f t="shared" si="928"/>
        <v xml:space="preserve">                                                                 </v>
      </c>
      <c r="AX243" s="43" t="str">
        <f t="shared" si="917"/>
        <v/>
      </c>
      <c r="AY243" s="43" t="str">
        <f t="shared" si="918"/>
        <v/>
      </c>
      <c r="AZ243" s="43" t="str">
        <f t="shared" si="919"/>
        <v/>
      </c>
      <c r="BA243" s="43" t="str">
        <f t="shared" si="920"/>
        <v/>
      </c>
      <c r="BB243" s="43" t="str">
        <f t="shared" si="929"/>
        <v/>
      </c>
      <c r="BC243" s="43" t="str">
        <f t="shared" si="930"/>
        <v/>
      </c>
      <c r="BD243" s="43" t="str">
        <f t="shared" si="931"/>
        <v xml:space="preserve">_x000D_
                                                                                </v>
      </c>
      <c r="BE243" s="20" t="str">
        <f t="shared" si="901"/>
        <v/>
      </c>
      <c r="BF243" s="20" t="str">
        <f t="shared" si="902"/>
        <v/>
      </c>
      <c r="BG243" s="20" t="str">
        <f t="shared" si="903"/>
        <v/>
      </c>
      <c r="BH243" s="20" t="str">
        <f t="shared" si="904"/>
        <v/>
      </c>
      <c r="BI243" s="20" t="str">
        <f t="shared" si="905"/>
        <v/>
      </c>
      <c r="BJ243" s="20" t="str">
        <f t="shared" si="906"/>
        <v/>
      </c>
      <c r="BK243" s="20"/>
      <c r="BL243" s="20"/>
      <c r="BM243" s="43" t="str">
        <f t="shared" si="932"/>
        <v>Twb</v>
      </c>
      <c r="BN243" s="43" t="str">
        <f>R243</f>
        <v>Toadb</v>
      </c>
      <c r="BO243" s="43">
        <v>1</v>
      </c>
      <c r="BQ243" s="20"/>
      <c r="BR243" s="43">
        <v>0</v>
      </c>
      <c r="BS243" s="20"/>
      <c r="BT243" s="20"/>
      <c r="BU243" s="147">
        <f t="shared" si="907"/>
        <v>0.72653663390000001</v>
      </c>
      <c r="BV243" s="161"/>
      <c r="BW243" s="147">
        <f t="shared" si="908"/>
        <v>0.72242926829999998</v>
      </c>
      <c r="BY243" s="20"/>
      <c r="BZ243" s="20"/>
    </row>
    <row r="244" spans="2:78" outlineLevel="1" x14ac:dyDescent="0.25">
      <c r="E244" s="43" t="s">
        <v>913</v>
      </c>
      <c r="F244" s="43" t="s">
        <v>772</v>
      </c>
      <c r="G244" s="45" t="s">
        <v>841</v>
      </c>
      <c r="H244" s="43" t="s">
        <v>806</v>
      </c>
      <c r="I244" s="43" t="s">
        <v>660</v>
      </c>
      <c r="J244" s="43" t="s">
        <v>912</v>
      </c>
      <c r="L244" s="43" t="s">
        <v>777</v>
      </c>
      <c r="M244" s="43" t="s">
        <v>794</v>
      </c>
      <c r="N244" s="43" t="str">
        <f t="shared" si="922"/>
        <v>OSDef-VRFSysHtgEIRBdry_fToadbSI</v>
      </c>
      <c r="O244" s="43" t="s">
        <v>230</v>
      </c>
      <c r="P244" s="43" t="s">
        <v>800</v>
      </c>
      <c r="Q244" s="43" t="s">
        <v>460</v>
      </c>
      <c r="V244" s="43">
        <v>58.576999999999998</v>
      </c>
      <c r="W244" s="43">
        <v>-3.0255000000000001</v>
      </c>
      <c r="X244" s="43">
        <v>1.9300000000000001E-2</v>
      </c>
      <c r="Y244" s="43">
        <v>0</v>
      </c>
      <c r="AI244" s="43">
        <v>23.9</v>
      </c>
      <c r="AJ244" s="43">
        <v>15</v>
      </c>
      <c r="AM244" s="45" t="s">
        <v>915</v>
      </c>
      <c r="AO244" s="43">
        <v>0</v>
      </c>
      <c r="AP244" s="166" t="str">
        <f t="shared" si="923"/>
        <v/>
      </c>
      <c r="AQ244" s="167" t="str">
        <f t="shared" si="924"/>
        <v/>
      </c>
      <c r="AR244" s="166" t="str">
        <f t="shared" si="925"/>
        <v/>
      </c>
      <c r="AS244" s="166" t="str">
        <f t="shared" si="926"/>
        <v/>
      </c>
      <c r="AT244" s="20" t="str">
        <f t="shared" si="927"/>
        <v/>
      </c>
      <c r="AU244" s="43" t="str">
        <f t="shared" si="891"/>
        <v xml:space="preserve">               </v>
      </c>
      <c r="AV244" s="62" t="str">
        <f t="shared" si="892"/>
        <v/>
      </c>
      <c r="AW244" s="20" t="str">
        <f t="shared" si="928"/>
        <v xml:space="preserve">                                                                 </v>
      </c>
      <c r="AX244" s="43" t="str">
        <f t="shared" si="917"/>
        <v/>
      </c>
      <c r="AY244" s="43" t="str">
        <f t="shared" si="918"/>
        <v/>
      </c>
      <c r="AZ244" s="43" t="str">
        <f t="shared" si="919"/>
        <v/>
      </c>
      <c r="BA244" s="43" t="str">
        <f t="shared" si="920"/>
        <v/>
      </c>
      <c r="BB244" s="43" t="str">
        <f t="shared" si="929"/>
        <v/>
      </c>
      <c r="BC244" s="43" t="str">
        <f t="shared" si="930"/>
        <v/>
      </c>
      <c r="BD244" s="43" t="str">
        <f t="shared" si="931"/>
        <v xml:space="preserve">_x000D_
                                                                                </v>
      </c>
      <c r="BE244" s="20" t="str">
        <f t="shared" si="901"/>
        <v/>
      </c>
      <c r="BF244" s="20" t="str">
        <f t="shared" si="902"/>
        <v/>
      </c>
      <c r="BG244" s="20" t="str">
        <f t="shared" si="903"/>
        <v/>
      </c>
      <c r="BH244" s="20" t="str">
        <f t="shared" si="904"/>
        <v/>
      </c>
      <c r="BI244" s="20" t="str">
        <f t="shared" si="905"/>
        <v/>
      </c>
      <c r="BJ244" s="20" t="str">
        <f t="shared" si="906"/>
        <v/>
      </c>
      <c r="BK244" s="20"/>
      <c r="BL244" s="20"/>
      <c r="BM244" s="43" t="str">
        <f t="shared" si="932"/>
        <v>Toadb</v>
      </c>
      <c r="BO244" s="43">
        <v>1</v>
      </c>
      <c r="BQ244" s="20"/>
      <c r="BR244" s="43">
        <v>0</v>
      </c>
      <c r="BS244" s="20"/>
      <c r="BT244" s="20"/>
      <c r="BU244" s="147">
        <f t="shared" si="907"/>
        <v>55.570799999999998</v>
      </c>
      <c r="BV244" s="161"/>
      <c r="BW244" s="147">
        <f t="shared" si="908"/>
        <v>58.576999999999998</v>
      </c>
      <c r="BY244" s="20"/>
      <c r="BZ244" s="20"/>
    </row>
    <row r="245" spans="2:78" outlineLevel="1" x14ac:dyDescent="0.25">
      <c r="E245" s="43" t="s">
        <v>913</v>
      </c>
      <c r="F245" s="43" t="s">
        <v>773</v>
      </c>
      <c r="G245" s="45" t="s">
        <v>841</v>
      </c>
      <c r="H245" s="43" t="s">
        <v>806</v>
      </c>
      <c r="I245" s="43" t="s">
        <v>660</v>
      </c>
      <c r="J245" s="43" t="s">
        <v>912</v>
      </c>
      <c r="L245" s="43" t="s">
        <v>777</v>
      </c>
      <c r="M245" s="43" t="s">
        <v>795</v>
      </c>
      <c r="N245" s="43" t="str">
        <f t="shared" si="922"/>
        <v>OSDef-VRFSysHtgEIRRatio_fTwbToadbHiSI</v>
      </c>
      <c r="O245" s="43" t="s">
        <v>165</v>
      </c>
      <c r="P245" s="43" t="s">
        <v>288</v>
      </c>
      <c r="Q245" s="43" t="s">
        <v>116</v>
      </c>
      <c r="R245" s="43" t="s">
        <v>460</v>
      </c>
      <c r="S245" s="43" t="s">
        <v>799</v>
      </c>
      <c r="V245" s="43">
        <v>1.3885703646000001</v>
      </c>
      <c r="W245" s="43">
        <v>-2.29771462E-2</v>
      </c>
      <c r="X245" s="43">
        <v>5.3727400000000002E-4</v>
      </c>
      <c r="Y245" s="43">
        <v>-2.7393696200000001E-2</v>
      </c>
      <c r="Z245" s="43">
        <v>4.0304259999999998E-4</v>
      </c>
      <c r="AA245" s="173">
        <v>-5.9786E-5</v>
      </c>
      <c r="AI245" s="43">
        <v>27.2</v>
      </c>
      <c r="AJ245" s="43">
        <v>21.1</v>
      </c>
      <c r="AK245" s="43">
        <v>1</v>
      </c>
      <c r="AL245" s="43">
        <v>0</v>
      </c>
      <c r="AM245" s="45" t="s">
        <v>915</v>
      </c>
      <c r="AO245" s="43">
        <v>0</v>
      </c>
      <c r="AP245" s="166" t="str">
        <f t="shared" si="923"/>
        <v/>
      </c>
      <c r="AQ245" s="167" t="str">
        <f t="shared" si="924"/>
        <v/>
      </c>
      <c r="AR245" s="166" t="str">
        <f t="shared" si="925"/>
        <v/>
      </c>
      <c r="AS245" s="166" t="str">
        <f t="shared" si="926"/>
        <v/>
      </c>
      <c r="AT245" s="20" t="str">
        <f t="shared" si="927"/>
        <v/>
      </c>
      <c r="AU245" s="43" t="str">
        <f t="shared" si="891"/>
        <v xml:space="preserve">               </v>
      </c>
      <c r="AV245" s="62" t="str">
        <f t="shared" si="892"/>
        <v/>
      </c>
      <c r="AW245" s="20" t="str">
        <f t="shared" si="928"/>
        <v xml:space="preserve">                                                                 </v>
      </c>
      <c r="AX245" s="43" t="str">
        <f t="shared" si="917"/>
        <v/>
      </c>
      <c r="AY245" s="43" t="str">
        <f t="shared" si="918"/>
        <v/>
      </c>
      <c r="AZ245" s="43" t="str">
        <f t="shared" si="919"/>
        <v/>
      </c>
      <c r="BA245" s="43" t="str">
        <f t="shared" si="920"/>
        <v/>
      </c>
      <c r="BB245" s="43" t="str">
        <f t="shared" si="929"/>
        <v/>
      </c>
      <c r="BC245" s="43" t="str">
        <f t="shared" si="930"/>
        <v/>
      </c>
      <c r="BD245" s="43" t="str">
        <f t="shared" si="931"/>
        <v xml:space="preserve">_x000D_
                                                                                </v>
      </c>
      <c r="BE245" s="20" t="str">
        <f t="shared" si="901"/>
        <v/>
      </c>
      <c r="BF245" s="20" t="str">
        <f t="shared" si="902"/>
        <v/>
      </c>
      <c r="BG245" s="20" t="str">
        <f t="shared" si="903"/>
        <v/>
      </c>
      <c r="BH245" s="20" t="str">
        <f t="shared" si="904"/>
        <v/>
      </c>
      <c r="BI245" s="20" t="str">
        <f t="shared" si="905"/>
        <v/>
      </c>
      <c r="BJ245" s="20" t="str">
        <f t="shared" si="906"/>
        <v/>
      </c>
      <c r="BK245" s="20"/>
      <c r="BL245" s="20"/>
      <c r="BM245" s="43" t="str">
        <f t="shared" si="932"/>
        <v>Twb</v>
      </c>
      <c r="BN245" s="43" t="str">
        <f>R245</f>
        <v>Toadb</v>
      </c>
      <c r="BO245" s="43">
        <v>1</v>
      </c>
      <c r="BQ245" s="20"/>
      <c r="BR245" s="43">
        <v>0</v>
      </c>
      <c r="BS245" s="20"/>
      <c r="BT245" s="20"/>
      <c r="BU245" s="147">
        <f t="shared" si="907"/>
        <v>1.3661304924000002</v>
      </c>
      <c r="BV245" s="161"/>
      <c r="BW245" s="147">
        <f t="shared" si="908"/>
        <v>1.3885703646000001</v>
      </c>
      <c r="BY245" s="20"/>
      <c r="BZ245" s="20"/>
    </row>
    <row r="246" spans="2:78" outlineLevel="1" x14ac:dyDescent="0.25">
      <c r="E246" s="43" t="s">
        <v>913</v>
      </c>
      <c r="F246" s="43" t="s">
        <v>774</v>
      </c>
      <c r="G246" s="45" t="s">
        <v>841</v>
      </c>
      <c r="H246" s="43" t="s">
        <v>806</v>
      </c>
      <c r="I246" s="43" t="s">
        <v>660</v>
      </c>
      <c r="J246" s="43" t="s">
        <v>912</v>
      </c>
      <c r="L246" s="43" t="s">
        <v>777</v>
      </c>
      <c r="M246" s="43" t="s">
        <v>796</v>
      </c>
      <c r="N246" s="43" t="str">
        <f t="shared" si="922"/>
        <v>OSDef-VRFSysHtgEIRRatio_fPLRLowSI</v>
      </c>
      <c r="O246" s="43" t="s">
        <v>230</v>
      </c>
      <c r="P246" s="43" t="s">
        <v>288</v>
      </c>
      <c r="Q246" s="43" t="s">
        <v>28</v>
      </c>
      <c r="R246" s="43" t="s">
        <v>798</v>
      </c>
      <c r="V246" s="43">
        <v>0.39247420249999998</v>
      </c>
      <c r="W246" s="43">
        <v>7.6016373999999998E-2</v>
      </c>
      <c r="X246" s="43">
        <v>0.69832357830000003</v>
      </c>
      <c r="Y246" s="43">
        <v>-0.16884078129999999</v>
      </c>
      <c r="AI246" s="43">
        <v>1</v>
      </c>
      <c r="AJ246" s="43">
        <v>0.5</v>
      </c>
      <c r="AM246" s="45" t="s">
        <v>915</v>
      </c>
      <c r="AO246" s="43">
        <v>0</v>
      </c>
      <c r="AP246" s="166" t="str">
        <f t="shared" si="923"/>
        <v/>
      </c>
      <c r="AQ246" s="167" t="str">
        <f t="shared" si="924"/>
        <v/>
      </c>
      <c r="AR246" s="166" t="str">
        <f t="shared" si="925"/>
        <v/>
      </c>
      <c r="AS246" s="166" t="str">
        <f t="shared" si="926"/>
        <v/>
      </c>
      <c r="AT246" s="20" t="str">
        <f t="shared" si="927"/>
        <v/>
      </c>
      <c r="AU246" s="43" t="str">
        <f t="shared" si="891"/>
        <v xml:space="preserve">               </v>
      </c>
      <c r="AV246" s="62" t="str">
        <f t="shared" si="892"/>
        <v/>
      </c>
      <c r="AW246" s="20" t="str">
        <f t="shared" si="928"/>
        <v xml:space="preserve">                                                                 </v>
      </c>
      <c r="AX246" s="43" t="str">
        <f t="shared" si="917"/>
        <v/>
      </c>
      <c r="AY246" s="43" t="str">
        <f t="shared" si="918"/>
        <v/>
      </c>
      <c r="AZ246" s="43" t="str">
        <f t="shared" si="919"/>
        <v/>
      </c>
      <c r="BA246" s="43" t="str">
        <f t="shared" si="920"/>
        <v/>
      </c>
      <c r="BB246" s="43" t="str">
        <f t="shared" si="929"/>
        <v/>
      </c>
      <c r="BC246" s="43" t="str">
        <f t="shared" si="930"/>
        <v/>
      </c>
      <c r="BD246" s="43" t="str">
        <f t="shared" si="931"/>
        <v xml:space="preserve">_x000D_
                                                                                </v>
      </c>
      <c r="BE246" s="20" t="str">
        <f t="shared" si="901"/>
        <v/>
      </c>
      <c r="BF246" s="20" t="str">
        <f t="shared" si="902"/>
        <v/>
      </c>
      <c r="BG246" s="20" t="str">
        <f t="shared" si="903"/>
        <v/>
      </c>
      <c r="BH246" s="20" t="str">
        <f t="shared" si="904"/>
        <v/>
      </c>
      <c r="BI246" s="20" t="str">
        <f t="shared" si="905"/>
        <v/>
      </c>
      <c r="BJ246" s="20" t="str">
        <f t="shared" si="906"/>
        <v/>
      </c>
      <c r="BK246" s="20"/>
      <c r="BL246" s="20"/>
      <c r="BM246" s="43" t="str">
        <f t="shared" si="932"/>
        <v>PLR</v>
      </c>
      <c r="BN246" s="43" t="str">
        <f>R246</f>
        <v>Low</v>
      </c>
      <c r="BO246" s="43">
        <v>1</v>
      </c>
      <c r="BQ246" s="20"/>
      <c r="BR246" s="43">
        <v>0</v>
      </c>
      <c r="BS246" s="20"/>
      <c r="BT246" s="20"/>
      <c r="BU246" s="147">
        <f t="shared" si="907"/>
        <v>1.1668141547999999</v>
      </c>
      <c r="BV246" s="161"/>
      <c r="BW246" s="147">
        <f t="shared" si="908"/>
        <v>0.39247420249999998</v>
      </c>
      <c r="BY246" s="20"/>
      <c r="BZ246" s="20"/>
    </row>
    <row r="247" spans="2:78" outlineLevel="1" x14ac:dyDescent="0.25">
      <c r="E247" s="43" t="s">
        <v>913</v>
      </c>
      <c r="F247" s="43" t="s">
        <v>775</v>
      </c>
      <c r="G247" s="45" t="s">
        <v>841</v>
      </c>
      <c r="H247" s="43" t="s">
        <v>806</v>
      </c>
      <c r="I247" s="43" t="s">
        <v>660</v>
      </c>
      <c r="J247" s="43" t="s">
        <v>912</v>
      </c>
      <c r="L247" s="43" t="s">
        <v>777</v>
      </c>
      <c r="M247" s="43" t="s">
        <v>797</v>
      </c>
      <c r="N247" s="43" t="str">
        <f t="shared" si="922"/>
        <v>OSDef-VRFSysHtgEIRRatio_fPLRHiSI</v>
      </c>
      <c r="O247" s="43" t="s">
        <v>230</v>
      </c>
      <c r="P247" s="43" t="s">
        <v>288</v>
      </c>
      <c r="Q247" s="43" t="s">
        <v>28</v>
      </c>
      <c r="R247" s="43" t="s">
        <v>799</v>
      </c>
      <c r="V247" s="46">
        <v>1</v>
      </c>
      <c r="W247" s="46">
        <v>0</v>
      </c>
      <c r="X247" s="46">
        <v>0</v>
      </c>
      <c r="Y247" s="46">
        <v>0</v>
      </c>
      <c r="AI247" s="43">
        <v>1.5</v>
      </c>
      <c r="AJ247" s="43">
        <v>1</v>
      </c>
      <c r="AM247" t="s">
        <v>915</v>
      </c>
      <c r="AO247" s="43">
        <v>0</v>
      </c>
      <c r="AP247" s="166" t="str">
        <f t="shared" si="923"/>
        <v/>
      </c>
      <c r="AQ247" s="167" t="str">
        <f t="shared" si="924"/>
        <v/>
      </c>
      <c r="AR247" s="166" t="str">
        <f t="shared" si="925"/>
        <v/>
      </c>
      <c r="AS247" s="166" t="str">
        <f t="shared" si="926"/>
        <v/>
      </c>
      <c r="AT247" s="20" t="str">
        <f t="shared" si="927"/>
        <v/>
      </c>
      <c r="AU247" s="43" t="str">
        <f t="shared" si="891"/>
        <v xml:space="preserve">               </v>
      </c>
      <c r="AV247" s="62" t="str">
        <f t="shared" si="892"/>
        <v/>
      </c>
      <c r="AW247" s="20" t="str">
        <f t="shared" si="928"/>
        <v xml:space="preserve">                                                                 </v>
      </c>
      <c r="AX247" s="43" t="str">
        <f t="shared" si="917"/>
        <v/>
      </c>
      <c r="AY247" s="43" t="str">
        <f t="shared" si="918"/>
        <v/>
      </c>
      <c r="AZ247" s="43" t="str">
        <f t="shared" si="919"/>
        <v/>
      </c>
      <c r="BA247" s="43" t="str">
        <f t="shared" si="920"/>
        <v/>
      </c>
      <c r="BB247" s="43" t="str">
        <f t="shared" si="929"/>
        <v/>
      </c>
      <c r="BC247" s="43" t="str">
        <f t="shared" si="930"/>
        <v/>
      </c>
      <c r="BD247" s="43" t="str">
        <f t="shared" si="931"/>
        <v xml:space="preserve">_x000D_
                                                                                </v>
      </c>
      <c r="BE247" s="20" t="str">
        <f t="shared" si="901"/>
        <v/>
      </c>
      <c r="BF247" s="20" t="str">
        <f t="shared" si="902"/>
        <v/>
      </c>
      <c r="BG247" s="20" t="str">
        <f t="shared" si="903"/>
        <v/>
      </c>
      <c r="BH247" s="20" t="str">
        <f t="shared" si="904"/>
        <v/>
      </c>
      <c r="BI247" s="20" t="str">
        <f t="shared" si="905"/>
        <v/>
      </c>
      <c r="BJ247" s="20" t="str">
        <f t="shared" si="906"/>
        <v/>
      </c>
      <c r="BK247" s="20"/>
      <c r="BL247" s="20"/>
      <c r="BM247" s="43" t="str">
        <f t="shared" si="932"/>
        <v>PLR</v>
      </c>
      <c r="BN247" s="43" t="str">
        <f>R247</f>
        <v>Hi</v>
      </c>
      <c r="BO247" s="43">
        <v>1</v>
      </c>
      <c r="BQ247" s="20"/>
      <c r="BR247" s="43">
        <v>0</v>
      </c>
      <c r="BS247" s="20"/>
      <c r="BT247" s="20"/>
      <c r="BU247" s="147">
        <f t="shared" si="907"/>
        <v>1</v>
      </c>
      <c r="BV247" s="161"/>
      <c r="BW247" s="147">
        <f t="shared" si="908"/>
        <v>1</v>
      </c>
      <c r="BY247" s="20"/>
      <c r="BZ247" s="20"/>
    </row>
    <row r="248" spans="2:78" outlineLevel="1" x14ac:dyDescent="0.25">
      <c r="E248" s="43" t="s">
        <v>913</v>
      </c>
      <c r="F248" s="43" t="s">
        <v>809</v>
      </c>
      <c r="G248" s="45" t="s">
        <v>841</v>
      </c>
      <c r="H248" s="43" t="s">
        <v>806</v>
      </c>
      <c r="I248" s="43" t="s">
        <v>660</v>
      </c>
      <c r="J248" s="43" t="s">
        <v>912</v>
      </c>
      <c r="L248" s="43" t="s">
        <v>777</v>
      </c>
      <c r="M248" s="43" t="s">
        <v>812</v>
      </c>
      <c r="N248" s="43" t="str">
        <f t="shared" si="922"/>
        <v>OSDef-VRFSysHtgEIRRatio_fCycRatSI</v>
      </c>
      <c r="O248" s="43" t="s">
        <v>230</v>
      </c>
      <c r="P248" s="43" t="s">
        <v>288</v>
      </c>
      <c r="Q248" s="43" t="s">
        <v>804</v>
      </c>
      <c r="V248" s="46">
        <v>0.85</v>
      </c>
      <c r="W248" s="46">
        <v>0.15</v>
      </c>
      <c r="X248" s="46">
        <v>0</v>
      </c>
      <c r="Y248" s="46">
        <v>0</v>
      </c>
      <c r="AI248" s="43">
        <v>1</v>
      </c>
      <c r="AJ248" s="43">
        <v>0</v>
      </c>
      <c r="AM248" t="s">
        <v>915</v>
      </c>
      <c r="AO248" s="43">
        <v>0</v>
      </c>
      <c r="AP248" s="166" t="str">
        <f t="shared" si="923"/>
        <v/>
      </c>
      <c r="AQ248" s="167" t="str">
        <f t="shared" si="924"/>
        <v/>
      </c>
      <c r="AR248" s="166" t="str">
        <f t="shared" si="925"/>
        <v/>
      </c>
      <c r="AS248" s="166" t="str">
        <f t="shared" si="926"/>
        <v/>
      </c>
      <c r="AT248" s="20" t="str">
        <f t="shared" si="927"/>
        <v/>
      </c>
      <c r="AU248" s="43" t="str">
        <f t="shared" si="891"/>
        <v xml:space="preserve">               </v>
      </c>
      <c r="AV248" s="62" t="str">
        <f t="shared" si="892"/>
        <v/>
      </c>
      <c r="AW248" s="20" t="str">
        <f t="shared" si="928"/>
        <v xml:space="preserve">                                                                 </v>
      </c>
      <c r="AX248" s="43" t="str">
        <f t="shared" si="917"/>
        <v/>
      </c>
      <c r="AY248" s="43" t="str">
        <f t="shared" si="918"/>
        <v/>
      </c>
      <c r="AZ248" s="43" t="str">
        <f t="shared" si="919"/>
        <v/>
      </c>
      <c r="BA248" s="43" t="str">
        <f t="shared" si="920"/>
        <v/>
      </c>
      <c r="BB248" s="43" t="str">
        <f t="shared" si="929"/>
        <v/>
      </c>
      <c r="BC248" s="43" t="str">
        <f t="shared" si="930"/>
        <v/>
      </c>
      <c r="BD248" s="43" t="str">
        <f t="shared" si="931"/>
        <v xml:space="preserve">_x000D_
                                                                                </v>
      </c>
      <c r="BE248" s="20" t="str">
        <f t="shared" si="901"/>
        <v/>
      </c>
      <c r="BF248" s="20" t="str">
        <f t="shared" si="902"/>
        <v/>
      </c>
      <c r="BG248" s="20" t="str">
        <f t="shared" si="903"/>
        <v/>
      </c>
      <c r="BH248" s="20" t="str">
        <f t="shared" si="904"/>
        <v/>
      </c>
      <c r="BI248" s="20" t="str">
        <f t="shared" si="905"/>
        <v/>
      </c>
      <c r="BJ248" s="20" t="str">
        <f t="shared" si="906"/>
        <v/>
      </c>
      <c r="BK248" s="20"/>
      <c r="BL248" s="20"/>
      <c r="BM248" s="43" t="str">
        <f t="shared" si="932"/>
        <v>CycRat</v>
      </c>
      <c r="BO248" s="43">
        <v>1</v>
      </c>
      <c r="BQ248" s="20"/>
      <c r="BR248" s="43">
        <v>0</v>
      </c>
      <c r="BS248" s="20"/>
      <c r="BT248" s="20"/>
      <c r="BU248" s="147">
        <f t="shared" si="907"/>
        <v>1</v>
      </c>
      <c r="BV248" s="161"/>
      <c r="BW248" s="147">
        <f t="shared" si="908"/>
        <v>0.85</v>
      </c>
      <c r="BY248" s="20"/>
      <c r="BZ248" s="20"/>
    </row>
    <row r="249" spans="2:78" outlineLevel="1" x14ac:dyDescent="0.25">
      <c r="E249" s="43" t="s">
        <v>913</v>
      </c>
      <c r="F249" s="43" t="s">
        <v>776</v>
      </c>
      <c r="G249" s="45" t="s">
        <v>841</v>
      </c>
      <c r="H249" s="43" t="s">
        <v>808</v>
      </c>
      <c r="I249" s="43" t="s">
        <v>660</v>
      </c>
      <c r="J249" s="43" t="s">
        <v>912</v>
      </c>
      <c r="L249" s="43" t="s">
        <v>777</v>
      </c>
      <c r="M249" s="43" t="s">
        <v>811</v>
      </c>
      <c r="N249" s="43" t="str">
        <f t="shared" si="922"/>
        <v>OSDef-VRFSysHtRcvryHtgEIRRatio_fTwbToadbSI</v>
      </c>
      <c r="O249" s="43" t="s">
        <v>165</v>
      </c>
      <c r="P249" s="43" t="s">
        <v>288</v>
      </c>
      <c r="Q249" s="43" t="s">
        <v>116</v>
      </c>
      <c r="R249" s="43" t="s">
        <v>460</v>
      </c>
      <c r="V249" s="46">
        <v>1.1000000000000001</v>
      </c>
      <c r="W249" s="46">
        <v>0</v>
      </c>
      <c r="X249" s="46">
        <v>0</v>
      </c>
      <c r="Y249" s="46">
        <v>0</v>
      </c>
      <c r="Z249" s="46">
        <v>0</v>
      </c>
      <c r="AA249" s="46">
        <v>0</v>
      </c>
      <c r="AI249" s="43">
        <v>1</v>
      </c>
      <c r="AJ249" s="43">
        <v>0</v>
      </c>
      <c r="AM249" t="s">
        <v>915</v>
      </c>
      <c r="AO249" s="43">
        <v>0</v>
      </c>
      <c r="AP249" s="166" t="str">
        <f t="shared" si="923"/>
        <v/>
      </c>
      <c r="AQ249" s="167" t="str">
        <f t="shared" si="924"/>
        <v/>
      </c>
      <c r="AR249" s="166" t="str">
        <f t="shared" ref="AR249" si="933">IF(AO249=1,CONCATENATE(BD249,IF(BE249="-","",$BE$15&amp;BE249),IF(BF249="-","",$BF$15&amp;BF249),IF(BG249="-","",$BG$15&amp;BG249),IF(BH249="-","",$BH$15&amp;BH249),IF(BI249="-","",$BI$15&amp;BI249),IF(BJ249="-","",$BJ$15&amp;BJ249)),"")</f>
        <v/>
      </c>
      <c r="AS249" s="166" t="str">
        <f t="shared" si="926"/>
        <v/>
      </c>
      <c r="AT249" s="20" t="str">
        <f t="shared" si="927"/>
        <v/>
      </c>
      <c r="AU249" s="43" t="str">
        <f t="shared" si="891"/>
        <v xml:space="preserve">               </v>
      </c>
      <c r="AV249" s="62" t="str">
        <f t="shared" si="892"/>
        <v/>
      </c>
      <c r="AW249" s="20" t="str">
        <f t="shared" si="928"/>
        <v xml:space="preserve">                                                                 </v>
      </c>
      <c r="AX249" s="43" t="str">
        <f t="shared" si="917"/>
        <v/>
      </c>
      <c r="AY249" s="43" t="str">
        <f t="shared" si="918"/>
        <v/>
      </c>
      <c r="AZ249" s="43" t="str">
        <f t="shared" si="919"/>
        <v/>
      </c>
      <c r="BA249" s="43" t="str">
        <f t="shared" si="920"/>
        <v/>
      </c>
      <c r="BB249" s="43" t="str">
        <f t="shared" si="929"/>
        <v/>
      </c>
      <c r="BC249" s="43" t="str">
        <f t="shared" si="930"/>
        <v/>
      </c>
      <c r="BD249" s="43" t="str">
        <f t="shared" si="931"/>
        <v xml:space="preserve">_x000D_
                                                                                </v>
      </c>
      <c r="BE249" s="20" t="str">
        <f t="shared" si="901"/>
        <v/>
      </c>
      <c r="BF249" s="20" t="str">
        <f t="shared" si="902"/>
        <v/>
      </c>
      <c r="BG249" s="20" t="str">
        <f t="shared" si="903"/>
        <v/>
      </c>
      <c r="BH249" s="20" t="str">
        <f t="shared" si="904"/>
        <v/>
      </c>
      <c r="BI249" s="20" t="str">
        <f t="shared" si="905"/>
        <v/>
      </c>
      <c r="BJ249" s="20" t="str">
        <f t="shared" si="906"/>
        <v/>
      </c>
      <c r="BK249" s="20"/>
      <c r="BL249" s="20"/>
      <c r="BM249" s="43" t="str">
        <f t="shared" si="932"/>
        <v>Twb</v>
      </c>
      <c r="BN249" s="43" t="str">
        <f>R249</f>
        <v>Toadb</v>
      </c>
      <c r="BO249" s="43">
        <v>1</v>
      </c>
      <c r="BQ249" s="20"/>
      <c r="BR249" s="43">
        <v>0</v>
      </c>
      <c r="BS249" s="20"/>
      <c r="BT249" s="20"/>
      <c r="BU249" s="147">
        <f t="shared" si="907"/>
        <v>1.1000000000000001</v>
      </c>
      <c r="BV249" s="161"/>
      <c r="BW249" s="147">
        <f t="shared" si="908"/>
        <v>1.1000000000000001</v>
      </c>
      <c r="BY249" s="20"/>
      <c r="BZ249" s="20"/>
    </row>
    <row r="250" spans="2:78" outlineLevel="1" x14ac:dyDescent="0.25">
      <c r="B250" s="43" t="s">
        <v>810</v>
      </c>
      <c r="D250" s="44" t="s">
        <v>816</v>
      </c>
      <c r="E250" s="43" t="s">
        <v>913</v>
      </c>
      <c r="F250" s="43" t="s">
        <v>817</v>
      </c>
      <c r="G250" s="45" t="s">
        <v>841</v>
      </c>
      <c r="H250" s="43" t="s">
        <v>805</v>
      </c>
      <c r="I250" s="43" t="s">
        <v>660</v>
      </c>
      <c r="J250" s="43" t="s">
        <v>912</v>
      </c>
      <c r="L250" s="43" t="s">
        <v>777</v>
      </c>
      <c r="M250" s="43" t="s">
        <v>819</v>
      </c>
      <c r="N250" s="43" t="str">
        <f t="shared" si="922"/>
        <v>OSDef-VRFSysClgPipeLoss_fLenSI</v>
      </c>
      <c r="O250" s="43" t="s">
        <v>165</v>
      </c>
      <c r="P250" s="43" t="s">
        <v>821</v>
      </c>
      <c r="Q250" s="43" t="s">
        <v>822</v>
      </c>
      <c r="V250" s="46">
        <v>2.0388158624999999</v>
      </c>
      <c r="W250" s="46">
        <v>-2.4260645000000001E-3</v>
      </c>
      <c r="X250" s="46">
        <v>3.5512E-6</v>
      </c>
      <c r="Y250" s="46">
        <v>-1.6858129771999999</v>
      </c>
      <c r="Z250" s="46">
        <v>0.66870335800000003</v>
      </c>
      <c r="AA250" s="46">
        <v>-4.5705999999999999E-5</v>
      </c>
      <c r="AI250" s="43">
        <v>182.88</v>
      </c>
      <c r="AJ250" s="43">
        <v>7.62</v>
      </c>
      <c r="AK250" s="43">
        <v>1.5</v>
      </c>
      <c r="AL250" s="43">
        <v>0.8</v>
      </c>
      <c r="AM250" t="s">
        <v>915</v>
      </c>
      <c r="AO250" s="43">
        <v>0</v>
      </c>
      <c r="AP250" s="166" t="str">
        <f t="shared" si="923"/>
        <v/>
      </c>
      <c r="AQ250" s="167" t="str">
        <f t="shared" si="924"/>
        <v/>
      </c>
      <c r="AR250" s="166" t="str">
        <f t="shared" ref="AR250:AR275" si="934">IF(AO250=1,CONCATENATE(BD250,IF(BE250="-","",$BE$15&amp;BE250),IF(BF250="-","",$BF$15&amp;BF250),IF(BG250="-","",$BG$15&amp;BG250),IF(BH250="-","",$BH$15&amp;BH250),IF(BI250="-","",$BI$15&amp;BI250),IF(BJ250="-","",$BJ$15&amp;BJ250)),"")</f>
        <v/>
      </c>
      <c r="AS250" s="166" t="str">
        <f t="shared" si="926"/>
        <v/>
      </c>
      <c r="AT250" s="20" t="str">
        <f t="shared" si="927"/>
        <v/>
      </c>
      <c r="AU250" s="43" t="str">
        <f t="shared" si="891"/>
        <v xml:space="preserve">               </v>
      </c>
      <c r="AV250" s="62" t="str">
        <f t="shared" si="892"/>
        <v/>
      </c>
      <c r="AW250" s="20" t="str">
        <f t="shared" si="928"/>
        <v xml:space="preserve">                                                                 </v>
      </c>
      <c r="AX250" s="43" t="str">
        <f t="shared" si="917"/>
        <v/>
      </c>
      <c r="AY250" s="43" t="str">
        <f t="shared" si="918"/>
        <v/>
      </c>
      <c r="AZ250" s="43" t="str">
        <f t="shared" si="919"/>
        <v/>
      </c>
      <c r="BA250" s="43" t="str">
        <f t="shared" si="920"/>
        <v/>
      </c>
      <c r="BB250" s="43" t="str">
        <f t="shared" si="929"/>
        <v/>
      </c>
      <c r="BC250" s="43" t="str">
        <f t="shared" si="930"/>
        <v/>
      </c>
      <c r="BD250" s="43" t="str">
        <f t="shared" si="931"/>
        <v xml:space="preserve">_x000D_
                                                                                </v>
      </c>
      <c r="BE250" s="20" t="str">
        <f t="shared" si="901"/>
        <v/>
      </c>
      <c r="BF250" s="20" t="str">
        <f t="shared" si="902"/>
        <v/>
      </c>
      <c r="BG250" s="20" t="str">
        <f t="shared" si="903"/>
        <v/>
      </c>
      <c r="BH250" s="20" t="str">
        <f t="shared" si="904"/>
        <v/>
      </c>
      <c r="BI250" s="20" t="str">
        <f t="shared" si="905"/>
        <v/>
      </c>
      <c r="BJ250" s="20" t="str">
        <f t="shared" si="906"/>
        <v/>
      </c>
      <c r="BK250" s="20"/>
      <c r="BL250" s="20"/>
      <c r="BM250" s="43" t="str">
        <f t="shared" si="932"/>
        <v>Len</v>
      </c>
      <c r="BO250" s="43">
        <v>1</v>
      </c>
      <c r="BQ250" s="20"/>
      <c r="BR250" s="43">
        <v>0</v>
      </c>
      <c r="BS250" s="20"/>
      <c r="BT250" s="20"/>
      <c r="BU250" s="147">
        <f t="shared" si="907"/>
        <v>2.0363933491999999</v>
      </c>
      <c r="BV250" s="161"/>
      <c r="BW250" s="147">
        <f t="shared" si="908"/>
        <v>2.0388158624999999</v>
      </c>
      <c r="BY250" s="20"/>
      <c r="BZ250" s="20"/>
    </row>
    <row r="251" spans="2:78" outlineLevel="1" x14ac:dyDescent="0.25">
      <c r="E251" s="43" t="s">
        <v>913</v>
      </c>
      <c r="F251" s="43" t="s">
        <v>818</v>
      </c>
      <c r="G251" s="45" t="s">
        <v>841</v>
      </c>
      <c r="H251" s="43" t="s">
        <v>806</v>
      </c>
      <c r="I251" s="43" t="s">
        <v>660</v>
      </c>
      <c r="J251" s="43" t="s">
        <v>912</v>
      </c>
      <c r="L251" s="43" t="s">
        <v>777</v>
      </c>
      <c r="M251" s="43" t="s">
        <v>820</v>
      </c>
      <c r="N251" s="43" t="str">
        <f t="shared" si="922"/>
        <v>OSDef-VRFSysHtgPipeLoss_fLenSI</v>
      </c>
      <c r="O251" s="43" t="s">
        <v>165</v>
      </c>
      <c r="P251" s="43" t="s">
        <v>821</v>
      </c>
      <c r="Q251" s="43" t="s">
        <v>822</v>
      </c>
      <c r="V251" s="46">
        <v>1</v>
      </c>
      <c r="W251" s="46">
        <v>0</v>
      </c>
      <c r="X251" s="46">
        <v>0</v>
      </c>
      <c r="Y251" s="46">
        <v>0</v>
      </c>
      <c r="Z251" s="46">
        <v>0</v>
      </c>
      <c r="AA251" s="46">
        <v>0</v>
      </c>
      <c r="AI251" s="43">
        <v>1</v>
      </c>
      <c r="AJ251" s="43">
        <v>0</v>
      </c>
      <c r="AK251" s="43">
        <v>1</v>
      </c>
      <c r="AL251" s="43">
        <v>0</v>
      </c>
      <c r="AM251" t="s">
        <v>915</v>
      </c>
      <c r="AO251" s="43">
        <v>0</v>
      </c>
      <c r="AP251" s="166" t="str">
        <f t="shared" si="923"/>
        <v/>
      </c>
      <c r="AQ251" s="167" t="str">
        <f t="shared" si="924"/>
        <v/>
      </c>
      <c r="AR251" s="166" t="str">
        <f t="shared" si="934"/>
        <v/>
      </c>
      <c r="AS251" s="166" t="str">
        <f t="shared" si="926"/>
        <v/>
      </c>
      <c r="AT251" s="20" t="str">
        <f t="shared" si="927"/>
        <v/>
      </c>
      <c r="AU251" s="43" t="str">
        <f t="shared" si="891"/>
        <v xml:space="preserve">               </v>
      </c>
      <c r="AV251" s="62" t="str">
        <f t="shared" si="892"/>
        <v/>
      </c>
      <c r="AW251" s="20" t="str">
        <f t="shared" si="928"/>
        <v xml:space="preserve">                                                                 </v>
      </c>
      <c r="AX251" s="43" t="str">
        <f t="shared" si="917"/>
        <v/>
      </c>
      <c r="AY251" s="43" t="str">
        <f t="shared" si="918"/>
        <v/>
      </c>
      <c r="AZ251" s="43" t="str">
        <f t="shared" si="919"/>
        <v/>
      </c>
      <c r="BA251" s="43" t="str">
        <f t="shared" si="920"/>
        <v/>
      </c>
      <c r="BB251" s="43" t="str">
        <f t="shared" si="929"/>
        <v/>
      </c>
      <c r="BC251" s="43" t="str">
        <f t="shared" si="930"/>
        <v/>
      </c>
      <c r="BD251" s="43" t="str">
        <f t="shared" si="931"/>
        <v xml:space="preserve">_x000D_
                                                                                </v>
      </c>
      <c r="BE251" s="20" t="str">
        <f t="shared" si="901"/>
        <v/>
      </c>
      <c r="BF251" s="20" t="str">
        <f t="shared" si="902"/>
        <v/>
      </c>
      <c r="BG251" s="20" t="str">
        <f t="shared" si="903"/>
        <v/>
      </c>
      <c r="BH251" s="20" t="str">
        <f t="shared" si="904"/>
        <v/>
      </c>
      <c r="BI251" s="20" t="str">
        <f t="shared" si="905"/>
        <v/>
      </c>
      <c r="BJ251" s="20" t="str">
        <f t="shared" si="906"/>
        <v/>
      </c>
      <c r="BK251" s="20"/>
      <c r="BL251" s="20"/>
      <c r="BM251" s="43" t="str">
        <f t="shared" si="932"/>
        <v>Len</v>
      </c>
      <c r="BO251" s="43">
        <v>1</v>
      </c>
      <c r="BQ251" s="20"/>
      <c r="BR251" s="43">
        <v>0</v>
      </c>
      <c r="BS251" s="20"/>
      <c r="BT251" s="20"/>
      <c r="BU251" s="147">
        <f t="shared" si="907"/>
        <v>1</v>
      </c>
      <c r="BV251" s="161"/>
      <c r="BW251" s="147">
        <f t="shared" si="908"/>
        <v>1</v>
      </c>
      <c r="BY251" s="20"/>
      <c r="BZ251" s="20"/>
    </row>
    <row r="252" spans="2:78" outlineLevel="1" x14ac:dyDescent="0.25">
      <c r="B252" s="43" t="s">
        <v>926</v>
      </c>
      <c r="D252" s="44" t="s">
        <v>758</v>
      </c>
      <c r="E252" s="43" t="s">
        <v>923</v>
      </c>
      <c r="F252" s="43" t="s">
        <v>754</v>
      </c>
      <c r="G252" s="45" t="s">
        <v>841</v>
      </c>
      <c r="H252" s="43" t="s">
        <v>805</v>
      </c>
      <c r="I252" s="43" t="s">
        <v>660</v>
      </c>
      <c r="J252" s="43" t="s">
        <v>912</v>
      </c>
      <c r="L252" s="43" t="s">
        <v>777</v>
      </c>
      <c r="M252" s="43" t="s">
        <v>778</v>
      </c>
      <c r="N252" s="43" t="str">
        <f t="shared" si="922"/>
        <v>EPDef-VRFSysClgQRatio_fTwbToadbLowSI</v>
      </c>
      <c r="O252" s="43" t="s">
        <v>165</v>
      </c>
      <c r="P252" s="43" t="s">
        <v>160</v>
      </c>
      <c r="Q252" s="43" t="s">
        <v>116</v>
      </c>
      <c r="R252" s="43" t="s">
        <v>460</v>
      </c>
      <c r="S252" s="43" t="s">
        <v>798</v>
      </c>
      <c r="V252" s="61">
        <v>0.57688300000000003</v>
      </c>
      <c r="W252" s="46">
        <v>1.7448000000000002E-2</v>
      </c>
      <c r="X252" s="46">
        <v>5.8299999999999997E-4</v>
      </c>
      <c r="Y252" s="46">
        <v>-1.9999999999999999E-6</v>
      </c>
      <c r="Z252" s="46">
        <v>0</v>
      </c>
      <c r="AA252" s="46">
        <v>0</v>
      </c>
      <c r="AI252" s="43">
        <v>24</v>
      </c>
      <c r="AJ252" s="43">
        <v>15</v>
      </c>
      <c r="AK252" s="43">
        <v>23</v>
      </c>
      <c r="AL252" s="43">
        <v>-5</v>
      </c>
      <c r="AM252" t="s">
        <v>925</v>
      </c>
      <c r="AO252" s="43">
        <v>1</v>
      </c>
      <c r="AP252" s="166" t="str">
        <f t="shared" si="923"/>
        <v>CrvDblQuad     "EPDef-VRFSysClgQRatio_fTwbToadbLowSI"                           Coef1 =  0.576883  Coef2 =  0.017448  Coef3 =  0.000583  Coef4 = -0.000002  Coef5 =  0.000000  Coef6 =  0.000000  _x000D_
                                                                                MaxVar1 = 24.000   MinVar1 = 15.000   MaxVar2 = 23.000   MinVar2 = -5.000   _x000D_
..</v>
      </c>
      <c r="AQ252" s="167" t="str">
        <f t="shared" si="924"/>
        <v xml:space="preserve">CrvDblQuad     "EPDef-VRFSysClgQRatio_fTwbToadbLowSI"                           Coef1 =  0.576883  Coef2 =  0.017448  Coef3 =  0.000583  Coef4 = -0.000002  Coef5 =  0.000000  Coef6 =  0.000000  </v>
      </c>
      <c r="AR252" s="166" t="str">
        <f t="shared" si="934"/>
        <v xml:space="preserve">_x000D_
                                                                                MaxVar1 = 24.000   MinVar1 = 15.000   MaxVar2 = 23.000   MinVar2 = -5.000   </v>
      </c>
      <c r="AS252" s="166" t="str">
        <f t="shared" si="926"/>
        <v>_x000D_
..</v>
      </c>
      <c r="AT252" s="20" t="str">
        <f t="shared" si="927"/>
        <v>CrvDblQuad</v>
      </c>
      <c r="AU252" s="43" t="str">
        <f t="shared" ref="AU252:AU277" si="935">REPT(" ",AU$14-LEN(AT252))</f>
        <v xml:space="preserve">     </v>
      </c>
      <c r="AV252" s="62" t="str">
        <f t="shared" ref="AV252:AV277" si="936">IF(AO252=1,CONCATENATE("""",N252,""""),"")</f>
        <v>"EPDef-VRFSysClgQRatio_fTwbToadbLowSI"</v>
      </c>
      <c r="AW252" s="20" t="str">
        <f t="shared" si="928"/>
        <v xml:space="preserve">                           </v>
      </c>
      <c r="AX252" s="43" t="str">
        <f t="shared" si="917"/>
        <v xml:space="preserve"> 0.576883  </v>
      </c>
      <c r="AY252" s="43" t="str">
        <f t="shared" si="918"/>
        <v xml:space="preserve"> 0.017448  </v>
      </c>
      <c r="AZ252" s="43" t="str">
        <f t="shared" si="919"/>
        <v xml:space="preserve"> 0.000583  </v>
      </c>
      <c r="BA252" s="43" t="str">
        <f t="shared" si="920"/>
        <v xml:space="preserve">-0.000002  </v>
      </c>
      <c r="BB252" s="43" t="str">
        <f t="shared" si="929"/>
        <v xml:space="preserve"> 0.000000  </v>
      </c>
      <c r="BC252" s="43" t="str">
        <f t="shared" si="930"/>
        <v xml:space="preserve"> 0.000000  </v>
      </c>
      <c r="BD252" s="43" t="str">
        <f t="shared" si="931"/>
        <v xml:space="preserve">_x000D_
                                                                                </v>
      </c>
      <c r="BE252" s="20" t="str">
        <f t="shared" ref="BE252:BE277" si="937">IF($AO252=1,IF(AG252="","-",CONCATENATE(TEXT(AG252,"0.000"),"   ")),"")</f>
        <v>-</v>
      </c>
      <c r="BF252" s="20" t="str">
        <f t="shared" ref="BF252:BF277" si="938">IF($AO252=1,IF(AH252="","-",CONCATENATE(TEXT(AH252,"0.000"),"   ")),"")</f>
        <v>-</v>
      </c>
      <c r="BG252" s="20" t="str">
        <f t="shared" ref="BG252:BG277" si="939">IF($AO252=1,IF(AI252="","-",CONCATENATE(TEXT(AI252,"0.000"),"   ")),"")</f>
        <v xml:space="preserve">24.000   </v>
      </c>
      <c r="BH252" s="20" t="str">
        <f t="shared" ref="BH252:BH277" si="940">IF($AO252=1,IF(AJ252="","-",CONCATENATE(TEXT(AJ252,"0.000"),"   ")),"")</f>
        <v xml:space="preserve">15.000   </v>
      </c>
      <c r="BI252" s="20" t="str">
        <f t="shared" ref="BI252:BI277" si="941">IF($AO252=1,IF(AK252="","-",CONCATENATE(TEXT(AK252,"0.000"),"   ")),"")</f>
        <v xml:space="preserve">23.000   </v>
      </c>
      <c r="BJ252" s="20" t="str">
        <f t="shared" ref="BJ252:BJ277" si="942">IF($AO252=1,IF(AL252="","-",CONCATENATE(TEXT(AL252,"0.000"),"   ")),"")</f>
        <v xml:space="preserve">-5.000   </v>
      </c>
      <c r="BK252" s="20"/>
      <c r="BL252" s="20"/>
      <c r="BM252" s="43" t="str">
        <f>Q252</f>
        <v>Twb</v>
      </c>
      <c r="BN252" s="43" t="str">
        <f>R252</f>
        <v>Toadb</v>
      </c>
      <c r="BO252" s="43">
        <v>1</v>
      </c>
      <c r="BQ252" s="20"/>
      <c r="BR252" s="43">
        <v>0</v>
      </c>
      <c r="BS252" s="20"/>
      <c r="BT252" s="20"/>
      <c r="BU252" s="147">
        <f t="shared" ref="BU252:BU277" si="943">$V252+$W252*BO252+$X252*BO252^2</f>
        <v>0.59491400000000005</v>
      </c>
      <c r="BV252" s="161"/>
      <c r="BW252" s="147">
        <f t="shared" ref="BW252:BW277" si="944">$V252+$W252*BR252+$X252*BR252^2</f>
        <v>0.57688300000000003</v>
      </c>
      <c r="BY252" s="20"/>
      <c r="BZ252" s="20"/>
    </row>
    <row r="253" spans="2:78" outlineLevel="1" x14ac:dyDescent="0.25">
      <c r="E253" s="43" t="s">
        <v>923</v>
      </c>
      <c r="F253" s="43" t="s">
        <v>755</v>
      </c>
      <c r="G253" s="45" t="s">
        <v>841</v>
      </c>
      <c r="H253" s="43" t="s">
        <v>805</v>
      </c>
      <c r="I253" s="43" t="s">
        <v>660</v>
      </c>
      <c r="J253" s="43" t="s">
        <v>912</v>
      </c>
      <c r="L253" s="43" t="s">
        <v>777</v>
      </c>
      <c r="M253" s="43" t="s">
        <v>779</v>
      </c>
      <c r="N253" s="43" t="str">
        <f t="shared" si="922"/>
        <v>EPDef-VRFSysClgCapBdry_fToadbSI</v>
      </c>
      <c r="O253" s="43" t="s">
        <v>230</v>
      </c>
      <c r="P253" s="43" t="s">
        <v>801</v>
      </c>
      <c r="Q253" s="43" t="s">
        <v>460</v>
      </c>
      <c r="V253" s="61">
        <v>25.73</v>
      </c>
      <c r="W253" s="46">
        <v>-3.15E-2</v>
      </c>
      <c r="X253" s="46">
        <v>-1.4166E-2</v>
      </c>
      <c r="Y253" s="46">
        <v>0</v>
      </c>
      <c r="AI253" s="43">
        <v>30</v>
      </c>
      <c r="AJ253" s="43">
        <v>11</v>
      </c>
      <c r="AM253" t="s">
        <v>925</v>
      </c>
      <c r="AO253" s="43">
        <v>1</v>
      </c>
      <c r="AP253" s="166" t="str">
        <f t="shared" si="923"/>
        <v>CrvCubic       "EPDef-VRFSysClgCapBdry_fToadbSI"                                Coef1 =  25.730000  Coef2 = -0.031500  Coef3 = -0.014166  Coef4 =  0.000000  _x000D_
                                                                                MaxVar1 = 30.000   MinVar1 = 11.000   _x000D_
..</v>
      </c>
      <c r="AQ253" s="167" t="str">
        <f t="shared" si="924"/>
        <v xml:space="preserve">CrvCubic       "EPDef-VRFSysClgCapBdry_fToadbSI"                                Coef1 =  25.730000  Coef2 = -0.031500  Coef3 = -0.014166  Coef4 =  0.000000  </v>
      </c>
      <c r="AR253" s="166" t="str">
        <f t="shared" si="934"/>
        <v xml:space="preserve">_x000D_
                                                                                MaxVar1 = 30.000   MinVar1 = 11.000   </v>
      </c>
      <c r="AS253" s="166" t="str">
        <f t="shared" si="926"/>
        <v>_x000D_
..</v>
      </c>
      <c r="AT253" s="20" t="str">
        <f t="shared" si="927"/>
        <v>CrvCubic</v>
      </c>
      <c r="AU253" s="43" t="str">
        <f t="shared" si="935"/>
        <v xml:space="preserve">       </v>
      </c>
      <c r="AV253" s="62" t="str">
        <f t="shared" si="936"/>
        <v>"EPDef-VRFSysClgCapBdry_fToadbSI"</v>
      </c>
      <c r="AW253" s="20" t="str">
        <f t="shared" si="928"/>
        <v xml:space="preserve">                                </v>
      </c>
      <c r="AX253" s="43" t="str">
        <f t="shared" si="917"/>
        <v xml:space="preserve"> 25.730000  </v>
      </c>
      <c r="AY253" s="43" t="str">
        <f t="shared" si="918"/>
        <v xml:space="preserve">-0.031500  </v>
      </c>
      <c r="AZ253" s="43" t="str">
        <f t="shared" si="919"/>
        <v xml:space="preserve">-0.014166  </v>
      </c>
      <c r="BA253" s="43" t="str">
        <f t="shared" si="920"/>
        <v xml:space="preserve"> 0.000000  </v>
      </c>
      <c r="BB253" s="43" t="str">
        <f t="shared" si="929"/>
        <v>-</v>
      </c>
      <c r="BC253" s="43" t="str">
        <f t="shared" si="930"/>
        <v>-</v>
      </c>
      <c r="BD253" s="43" t="str">
        <f t="shared" si="931"/>
        <v xml:space="preserve">_x000D_
                                                                                </v>
      </c>
      <c r="BE253" s="20" t="str">
        <f t="shared" si="937"/>
        <v>-</v>
      </c>
      <c r="BF253" s="20" t="str">
        <f t="shared" si="938"/>
        <v>-</v>
      </c>
      <c r="BG253" s="20" t="str">
        <f t="shared" si="939"/>
        <v xml:space="preserve">30.000   </v>
      </c>
      <c r="BH253" s="20" t="str">
        <f t="shared" si="940"/>
        <v xml:space="preserve">11.000   </v>
      </c>
      <c r="BI253" s="20" t="str">
        <f t="shared" si="941"/>
        <v>-</v>
      </c>
      <c r="BJ253" s="20" t="str">
        <f t="shared" si="942"/>
        <v>-</v>
      </c>
      <c r="BK253" s="20"/>
      <c r="BL253" s="20"/>
      <c r="BM253" s="43" t="str">
        <f t="shared" ref="BM253:BM261" si="945">Q253</f>
        <v>Toadb</v>
      </c>
      <c r="BO253" s="43">
        <v>1</v>
      </c>
      <c r="BQ253" s="20"/>
      <c r="BR253" s="43">
        <v>0</v>
      </c>
      <c r="BS253" s="20"/>
      <c r="BT253" s="20"/>
      <c r="BU253" s="147">
        <f t="shared" si="943"/>
        <v>25.684334</v>
      </c>
      <c r="BV253" s="161"/>
      <c r="BW253" s="147">
        <f t="shared" si="944"/>
        <v>25.73</v>
      </c>
      <c r="BY253" s="20"/>
      <c r="BZ253" s="20"/>
    </row>
    <row r="254" spans="2:78" outlineLevel="1" x14ac:dyDescent="0.25">
      <c r="E254" s="43" t="s">
        <v>923</v>
      </c>
      <c r="F254" s="43" t="s">
        <v>756</v>
      </c>
      <c r="G254" s="45" t="s">
        <v>841</v>
      </c>
      <c r="H254" s="43" t="s">
        <v>805</v>
      </c>
      <c r="I254" s="43" t="s">
        <v>660</v>
      </c>
      <c r="J254" s="43" t="s">
        <v>912</v>
      </c>
      <c r="L254" s="43" t="s">
        <v>777</v>
      </c>
      <c r="M254" s="43" t="s">
        <v>780</v>
      </c>
      <c r="N254" s="43" t="str">
        <f t="shared" si="922"/>
        <v>EPDef-VRFSysClgQRatio_fTdbToadbHiSI</v>
      </c>
      <c r="O254" s="43" t="s">
        <v>165</v>
      </c>
      <c r="P254" s="43" t="s">
        <v>160</v>
      </c>
      <c r="Q254" s="43" t="s">
        <v>117</v>
      </c>
      <c r="R254" s="43" t="s">
        <v>460</v>
      </c>
      <c r="S254" s="43" t="s">
        <v>799</v>
      </c>
      <c r="U254" s="46"/>
      <c r="V254" s="61">
        <v>0.68673600000000001</v>
      </c>
      <c r="W254" s="46">
        <v>2.0763E-2</v>
      </c>
      <c r="X254" s="46">
        <v>5.4500000000000002E-4</v>
      </c>
      <c r="Y254" s="46">
        <v>-1.622E-3</v>
      </c>
      <c r="Z254" s="46">
        <v>0</v>
      </c>
      <c r="AA254" s="46">
        <v>-3.39E-4</v>
      </c>
      <c r="AI254" s="43">
        <v>24</v>
      </c>
      <c r="AJ254" s="43">
        <v>15</v>
      </c>
      <c r="AK254" s="43">
        <v>43</v>
      </c>
      <c r="AL254" s="43">
        <v>16</v>
      </c>
      <c r="AM254" t="s">
        <v>925</v>
      </c>
      <c r="AO254" s="43">
        <v>1</v>
      </c>
      <c r="AP254" s="166" t="str">
        <f t="shared" si="923"/>
        <v>CrvDblQuad     "EPDef-VRFSysClgQRatio_fTdbToadbHiSI"                            Coef1 =  0.686736  Coef2 =  0.020763  Coef3 =  0.000545  Coef4 = -0.001622  Coef5 =  0.000000  Coef6 = -0.000339  _x000D_
                                                                                MaxVar1 = 24.000   MinVar1 = 15.000   MaxVar2 = 43.000   MinVar2 = 16.000   _x000D_
..</v>
      </c>
      <c r="AQ254" s="167" t="str">
        <f t="shared" si="924"/>
        <v xml:space="preserve">CrvDblQuad     "EPDef-VRFSysClgQRatio_fTdbToadbHiSI"                            Coef1 =  0.686736  Coef2 =  0.020763  Coef3 =  0.000545  Coef4 = -0.001622  Coef5 =  0.000000  Coef6 = -0.000339  </v>
      </c>
      <c r="AR254" s="166" t="str">
        <f t="shared" si="934"/>
        <v xml:space="preserve">_x000D_
                                                                                MaxVar1 = 24.000   MinVar1 = 15.000   MaxVar2 = 43.000   MinVar2 = 16.000   </v>
      </c>
      <c r="AS254" s="166" t="str">
        <f t="shared" si="926"/>
        <v>_x000D_
..</v>
      </c>
      <c r="AT254" s="20" t="str">
        <f t="shared" si="927"/>
        <v>CrvDblQuad</v>
      </c>
      <c r="AU254" s="43" t="str">
        <f t="shared" si="935"/>
        <v xml:space="preserve">     </v>
      </c>
      <c r="AV254" s="62" t="str">
        <f t="shared" si="936"/>
        <v>"EPDef-VRFSysClgQRatio_fTdbToadbHiSI"</v>
      </c>
      <c r="AW254" s="20" t="str">
        <f t="shared" si="928"/>
        <v xml:space="preserve">                            </v>
      </c>
      <c r="AX254" s="43" t="str">
        <f t="shared" si="917"/>
        <v xml:space="preserve"> 0.686736  </v>
      </c>
      <c r="AY254" s="43" t="str">
        <f t="shared" si="918"/>
        <v xml:space="preserve"> 0.020763  </v>
      </c>
      <c r="AZ254" s="43" t="str">
        <f t="shared" si="919"/>
        <v xml:space="preserve"> 0.000545  </v>
      </c>
      <c r="BA254" s="43" t="str">
        <f t="shared" si="920"/>
        <v xml:space="preserve">-0.001622  </v>
      </c>
      <c r="BB254" s="43" t="str">
        <f t="shared" si="929"/>
        <v xml:space="preserve"> 0.000000  </v>
      </c>
      <c r="BC254" s="43" t="str">
        <f t="shared" si="930"/>
        <v xml:space="preserve">-0.000339  </v>
      </c>
      <c r="BD254" s="43" t="str">
        <f t="shared" si="931"/>
        <v xml:space="preserve">_x000D_
                                                                                </v>
      </c>
      <c r="BE254" s="20" t="str">
        <f t="shared" si="937"/>
        <v>-</v>
      </c>
      <c r="BF254" s="20" t="str">
        <f t="shared" si="938"/>
        <v>-</v>
      </c>
      <c r="BG254" s="20" t="str">
        <f t="shared" si="939"/>
        <v xml:space="preserve">24.000   </v>
      </c>
      <c r="BH254" s="20" t="str">
        <f t="shared" si="940"/>
        <v xml:space="preserve">15.000   </v>
      </c>
      <c r="BI254" s="20" t="str">
        <f t="shared" si="941"/>
        <v xml:space="preserve">43.000   </v>
      </c>
      <c r="BJ254" s="20" t="str">
        <f t="shared" si="942"/>
        <v xml:space="preserve">16.000   </v>
      </c>
      <c r="BK254" s="20"/>
      <c r="BL254" s="20"/>
      <c r="BM254" s="43" t="str">
        <f t="shared" si="945"/>
        <v>Tdb</v>
      </c>
      <c r="BN254" s="43" t="str">
        <f t="shared" ref="BN254" si="946">R254</f>
        <v>Toadb</v>
      </c>
      <c r="BO254" s="43">
        <v>1</v>
      </c>
      <c r="BQ254" s="20"/>
      <c r="BR254" s="43">
        <v>0</v>
      </c>
      <c r="BS254" s="20"/>
      <c r="BT254" s="20"/>
      <c r="BU254" s="147">
        <f t="shared" si="943"/>
        <v>0.70804400000000001</v>
      </c>
      <c r="BV254" s="161"/>
      <c r="BW254" s="147">
        <f t="shared" si="944"/>
        <v>0.68673600000000001</v>
      </c>
      <c r="BY254" s="20"/>
      <c r="BZ254" s="20"/>
    </row>
    <row r="255" spans="2:78" outlineLevel="1" x14ac:dyDescent="0.25">
      <c r="E255" s="43" t="s">
        <v>923</v>
      </c>
      <c r="F255" s="43" t="s">
        <v>757</v>
      </c>
      <c r="G255" s="45" t="s">
        <v>841</v>
      </c>
      <c r="H255" s="43" t="s">
        <v>805</v>
      </c>
      <c r="J255" s="43" t="s">
        <v>912</v>
      </c>
      <c r="L255" s="43" t="s">
        <v>777</v>
      </c>
      <c r="M255" s="43" t="s">
        <v>781</v>
      </c>
      <c r="N255" s="43" t="str">
        <f t="shared" si="922"/>
        <v>EPDef-VRFSysClgQRatio_fCombRat</v>
      </c>
      <c r="O255" s="43" t="s">
        <v>286</v>
      </c>
      <c r="P255" s="43" t="s">
        <v>160</v>
      </c>
      <c r="Q255" s="43" t="s">
        <v>802</v>
      </c>
      <c r="U255" s="46"/>
      <c r="V255" s="61">
        <v>0.61805500000000002</v>
      </c>
      <c r="W255" s="46">
        <v>0.38194499999999998</v>
      </c>
      <c r="AI255" s="43">
        <v>1.5</v>
      </c>
      <c r="AJ255" s="43">
        <v>1</v>
      </c>
      <c r="AM255" t="s">
        <v>925</v>
      </c>
      <c r="AO255" s="43">
        <v>1</v>
      </c>
      <c r="AP255" s="166" t="str">
        <f t="shared" si="923"/>
        <v>CrvLin         "EPDef-VRFSysClgQRatio_fCombRat"                                 Coef1 =  0.618055  Coef2 =  0.381945  _x000D_
                                                                                MaxVar1 = 1.500   MinVar1 = 1.000   _x000D_
..</v>
      </c>
      <c r="AQ255" s="167" t="str">
        <f t="shared" si="924"/>
        <v xml:space="preserve">CrvLin         "EPDef-VRFSysClgQRatio_fCombRat"                                 Coef1 =  0.618055  Coef2 =  0.381945  </v>
      </c>
      <c r="AR255" s="166" t="str">
        <f t="shared" si="934"/>
        <v xml:space="preserve">_x000D_
                                                                                MaxVar1 = 1.500   MinVar1 = 1.000   </v>
      </c>
      <c r="AS255" s="166" t="str">
        <f t="shared" si="926"/>
        <v>_x000D_
..</v>
      </c>
      <c r="AT255" s="20" t="str">
        <f t="shared" si="927"/>
        <v>CrvLin</v>
      </c>
      <c r="AU255" s="43" t="str">
        <f t="shared" si="935"/>
        <v xml:space="preserve">         </v>
      </c>
      <c r="AV255" s="62" t="str">
        <f t="shared" si="936"/>
        <v>"EPDef-VRFSysClgQRatio_fCombRat"</v>
      </c>
      <c r="AW255" s="20" t="str">
        <f t="shared" si="928"/>
        <v xml:space="preserve">                                 </v>
      </c>
      <c r="AX255" s="43" t="str">
        <f t="shared" si="917"/>
        <v xml:space="preserve"> 0.618055  </v>
      </c>
      <c r="AY255" s="43" t="str">
        <f t="shared" si="918"/>
        <v xml:space="preserve"> 0.381945  </v>
      </c>
      <c r="AZ255" s="43" t="str">
        <f t="shared" si="919"/>
        <v>-</v>
      </c>
      <c r="BA255" s="43" t="str">
        <f t="shared" si="920"/>
        <v>-</v>
      </c>
      <c r="BB255" s="43" t="str">
        <f t="shared" si="929"/>
        <v>-</v>
      </c>
      <c r="BC255" s="43" t="str">
        <f t="shared" si="930"/>
        <v>-</v>
      </c>
      <c r="BD255" s="43" t="str">
        <f t="shared" si="931"/>
        <v xml:space="preserve">_x000D_
                                                                                </v>
      </c>
      <c r="BE255" s="20" t="str">
        <f t="shared" si="937"/>
        <v>-</v>
      </c>
      <c r="BF255" s="20" t="str">
        <f t="shared" si="938"/>
        <v>-</v>
      </c>
      <c r="BG255" s="20" t="str">
        <f t="shared" si="939"/>
        <v xml:space="preserve">1.500   </v>
      </c>
      <c r="BH255" s="20" t="str">
        <f t="shared" si="940"/>
        <v xml:space="preserve">1.000   </v>
      </c>
      <c r="BI255" s="20" t="str">
        <f t="shared" si="941"/>
        <v>-</v>
      </c>
      <c r="BJ255" s="20" t="str">
        <f t="shared" si="942"/>
        <v>-</v>
      </c>
      <c r="BK255" s="20"/>
      <c r="BL255" s="20"/>
      <c r="BM255" s="43" t="str">
        <f t="shared" si="945"/>
        <v>CombRat</v>
      </c>
      <c r="BO255" s="43">
        <v>1</v>
      </c>
      <c r="BQ255" s="20"/>
      <c r="BR255" s="43">
        <v>0</v>
      </c>
      <c r="BS255" s="20"/>
      <c r="BT255" s="20"/>
      <c r="BU255" s="147">
        <f t="shared" si="943"/>
        <v>1</v>
      </c>
      <c r="BV255" s="161"/>
      <c r="BW255" s="147">
        <f t="shared" si="944"/>
        <v>0.61805500000000002</v>
      </c>
      <c r="BY255" s="20"/>
      <c r="BZ255" s="20"/>
    </row>
    <row r="256" spans="2:78" outlineLevel="1" x14ac:dyDescent="0.25">
      <c r="B256" s="184"/>
      <c r="E256" s="43" t="s">
        <v>923</v>
      </c>
      <c r="F256" s="43" t="s">
        <v>762</v>
      </c>
      <c r="G256" s="45" t="s">
        <v>841</v>
      </c>
      <c r="H256" s="43" t="s">
        <v>807</v>
      </c>
      <c r="I256" s="43" t="s">
        <v>660</v>
      </c>
      <c r="J256" s="43" t="s">
        <v>912</v>
      </c>
      <c r="L256" s="43" t="s">
        <v>777</v>
      </c>
      <c r="M256" s="43" t="s">
        <v>786</v>
      </c>
      <c r="N256" s="43" t="str">
        <f t="shared" si="922"/>
        <v>EPDef-VRFSysHtRcvryClgQRatio_fTwbToadbSI</v>
      </c>
      <c r="O256" s="43" t="s">
        <v>165</v>
      </c>
      <c r="P256" s="43" t="s">
        <v>160</v>
      </c>
      <c r="Q256" s="43" t="s">
        <v>116</v>
      </c>
      <c r="R256" s="43" t="s">
        <v>460</v>
      </c>
      <c r="U256" s="46"/>
      <c r="V256" s="61">
        <v>0.9</v>
      </c>
      <c r="W256" s="46">
        <v>0</v>
      </c>
      <c r="X256" s="46">
        <v>0</v>
      </c>
      <c r="Y256" s="46">
        <v>0</v>
      </c>
      <c r="Z256" s="46">
        <v>0</v>
      </c>
      <c r="AA256" s="46">
        <v>0</v>
      </c>
      <c r="AI256" s="43">
        <v>1</v>
      </c>
      <c r="AJ256" s="43">
        <v>0</v>
      </c>
      <c r="AM256" s="40" t="s">
        <v>924</v>
      </c>
      <c r="AO256" s="43">
        <v>1</v>
      </c>
      <c r="AP256" s="166" t="str">
        <f t="shared" si="923"/>
        <v>CrvDblQuad     "EPDef-VRFSysHtRcvryClgQRatio_fTwbToadbSI"                       Coef1 =  0.900000  Coef2 =  0.000000  Coef3 =  0.000000  Coef4 =  0.000000  Coef5 =  0.000000  Coef6 =  0.000000  _x000D_
                                                                                MaxVar1 = 1.000   MinVar1 = 0.000   _x000D_
..</v>
      </c>
      <c r="AQ256" s="167" t="str">
        <f t="shared" si="924"/>
        <v xml:space="preserve">CrvDblQuad     "EPDef-VRFSysHtRcvryClgQRatio_fTwbToadbSI"                       Coef1 =  0.900000  Coef2 =  0.000000  Coef3 =  0.000000  Coef4 =  0.000000  Coef5 =  0.000000  Coef6 =  0.000000  </v>
      </c>
      <c r="AR256" s="166" t="str">
        <f t="shared" si="934"/>
        <v xml:space="preserve">_x000D_
                                                                                MaxVar1 = 1.000   MinVar1 = 0.000   </v>
      </c>
      <c r="AS256" s="166" t="str">
        <f t="shared" si="926"/>
        <v>_x000D_
..</v>
      </c>
      <c r="AT256" s="20" t="str">
        <f t="shared" si="927"/>
        <v>CrvDblQuad</v>
      </c>
      <c r="AU256" s="43" t="str">
        <f t="shared" si="935"/>
        <v xml:space="preserve">     </v>
      </c>
      <c r="AV256" s="62" t="str">
        <f t="shared" si="936"/>
        <v>"EPDef-VRFSysHtRcvryClgQRatio_fTwbToadbSI"</v>
      </c>
      <c r="AW256" s="20" t="str">
        <f t="shared" si="928"/>
        <v xml:space="preserve">                       </v>
      </c>
      <c r="AX256" s="43" t="str">
        <f t="shared" si="917"/>
        <v xml:space="preserve"> 0.900000  </v>
      </c>
      <c r="AY256" s="43" t="str">
        <f t="shared" si="918"/>
        <v xml:space="preserve"> 0.000000  </v>
      </c>
      <c r="AZ256" s="43" t="str">
        <f t="shared" si="919"/>
        <v xml:space="preserve"> 0.000000  </v>
      </c>
      <c r="BA256" s="43" t="str">
        <f t="shared" si="920"/>
        <v xml:space="preserve"> 0.000000  </v>
      </c>
      <c r="BB256" s="43" t="str">
        <f t="shared" si="929"/>
        <v xml:space="preserve"> 0.000000  </v>
      </c>
      <c r="BC256" s="43" t="str">
        <f t="shared" si="930"/>
        <v xml:space="preserve"> 0.000000  </v>
      </c>
      <c r="BD256" s="43" t="str">
        <f t="shared" si="931"/>
        <v xml:space="preserve">_x000D_
                                                                                </v>
      </c>
      <c r="BE256" s="20" t="str">
        <f t="shared" si="937"/>
        <v>-</v>
      </c>
      <c r="BF256" s="20" t="str">
        <f t="shared" si="938"/>
        <v>-</v>
      </c>
      <c r="BG256" s="20" t="str">
        <f t="shared" si="939"/>
        <v xml:space="preserve">1.000   </v>
      </c>
      <c r="BH256" s="20" t="str">
        <f t="shared" si="940"/>
        <v xml:space="preserve">0.000   </v>
      </c>
      <c r="BI256" s="20" t="str">
        <f t="shared" si="941"/>
        <v>-</v>
      </c>
      <c r="BJ256" s="20" t="str">
        <f t="shared" si="942"/>
        <v>-</v>
      </c>
      <c r="BK256" s="20"/>
      <c r="BL256" s="20"/>
      <c r="BM256" s="43" t="str">
        <f t="shared" si="945"/>
        <v>Twb</v>
      </c>
      <c r="BN256" s="43" t="str">
        <f t="shared" ref="BN256:BN257" si="947">R256</f>
        <v>Toadb</v>
      </c>
      <c r="BO256" s="43">
        <v>1</v>
      </c>
      <c r="BQ256" s="20"/>
      <c r="BR256" s="43">
        <v>0</v>
      </c>
      <c r="BS256" s="20"/>
      <c r="BT256" s="20"/>
      <c r="BU256" s="147">
        <f t="shared" si="943"/>
        <v>0.9</v>
      </c>
      <c r="BV256" s="161"/>
      <c r="BW256" s="147">
        <f t="shared" si="944"/>
        <v>0.9</v>
      </c>
      <c r="BY256" s="20"/>
      <c r="BZ256" s="20"/>
    </row>
    <row r="257" spans="2:78" outlineLevel="1" x14ac:dyDescent="0.25">
      <c r="E257" s="43" t="s">
        <v>923</v>
      </c>
      <c r="F257" s="43" t="s">
        <v>759</v>
      </c>
      <c r="G257" s="45" t="s">
        <v>841</v>
      </c>
      <c r="H257" s="43" t="s">
        <v>806</v>
      </c>
      <c r="I257" s="43" t="s">
        <v>660</v>
      </c>
      <c r="J257" s="43" t="s">
        <v>912</v>
      </c>
      <c r="L257" s="43" t="s">
        <v>777</v>
      </c>
      <c r="M257" s="43" t="s">
        <v>782</v>
      </c>
      <c r="N257" s="43" t="str">
        <f t="shared" si="922"/>
        <v>EPDef-VRFSysHtgQRatio_fTwbToadbLowSI</v>
      </c>
      <c r="O257" s="43" t="s">
        <v>165</v>
      </c>
      <c r="P257" s="43" t="s">
        <v>160</v>
      </c>
      <c r="Q257" s="43" t="s">
        <v>116</v>
      </c>
      <c r="R257" s="43" t="s">
        <v>460</v>
      </c>
      <c r="S257" s="43" t="s">
        <v>798</v>
      </c>
      <c r="U257" s="46"/>
      <c r="V257" s="61">
        <v>1.0145999999999999</v>
      </c>
      <c r="W257" s="46">
        <v>-2.5070000000000001E-3</v>
      </c>
      <c r="X257" s="46">
        <v>-1.4200000000000001E-4</v>
      </c>
      <c r="Y257" s="43">
        <v>2.6931594999999999E-2</v>
      </c>
      <c r="Z257" s="173">
        <v>1.84E-6</v>
      </c>
      <c r="AA257" s="43">
        <v>-3.5814700000000001E-4</v>
      </c>
      <c r="AI257" s="43">
        <v>27</v>
      </c>
      <c r="AJ257" s="43">
        <v>15</v>
      </c>
      <c r="AK257" s="43">
        <v>15</v>
      </c>
      <c r="AL257" s="43">
        <v>-20</v>
      </c>
      <c r="AM257" t="s">
        <v>925</v>
      </c>
      <c r="AO257" s="43">
        <v>1</v>
      </c>
      <c r="AP257" s="166" t="str">
        <f t="shared" si="923"/>
        <v>CrvDblQuad     "EPDef-VRFSysHtgQRatio_fTwbToadbLowSI"                           Coef1 =  1.014600  Coef2 = -0.002507  Coef3 = -0.000142  Coef4 =  0.026932  Coef5 =  0.000002  Coef6 = -0.000358  _x000D_
                                                                                MaxVar1 = 27.000   MinVar1 = 15.000   MaxVar2 = 15.000   MinVar2 = -20.000   _x000D_
..</v>
      </c>
      <c r="AQ257" s="167" t="str">
        <f t="shared" si="924"/>
        <v xml:space="preserve">CrvDblQuad     "EPDef-VRFSysHtgQRatio_fTwbToadbLowSI"                           Coef1 =  1.014600  Coef2 = -0.002507  Coef3 = -0.000142  Coef4 =  0.026932  Coef5 =  0.000002  Coef6 = -0.000358  </v>
      </c>
      <c r="AR257" s="166" t="str">
        <f t="shared" si="934"/>
        <v xml:space="preserve">_x000D_
                                                                                MaxVar1 = 27.000   MinVar1 = 15.000   MaxVar2 = 15.000   MinVar2 = -20.000   </v>
      </c>
      <c r="AS257" s="166" t="str">
        <f t="shared" si="926"/>
        <v>_x000D_
..</v>
      </c>
      <c r="AT257" s="20" t="str">
        <f t="shared" si="927"/>
        <v>CrvDblQuad</v>
      </c>
      <c r="AU257" s="43" t="str">
        <f t="shared" si="935"/>
        <v xml:space="preserve">     </v>
      </c>
      <c r="AV257" s="62" t="str">
        <f t="shared" si="936"/>
        <v>"EPDef-VRFSysHtgQRatio_fTwbToadbLowSI"</v>
      </c>
      <c r="AW257" s="20" t="str">
        <f t="shared" si="928"/>
        <v xml:space="preserve">                           </v>
      </c>
      <c r="AX257" s="43" t="str">
        <f t="shared" si="917"/>
        <v xml:space="preserve"> 1.014600  </v>
      </c>
      <c r="AY257" s="43" t="str">
        <f t="shared" si="918"/>
        <v xml:space="preserve">-0.002507  </v>
      </c>
      <c r="AZ257" s="43" t="str">
        <f t="shared" si="919"/>
        <v xml:space="preserve">-0.000142  </v>
      </c>
      <c r="BA257" s="43" t="str">
        <f t="shared" si="920"/>
        <v xml:space="preserve"> 0.026932  </v>
      </c>
      <c r="BB257" s="43" t="str">
        <f t="shared" si="929"/>
        <v xml:space="preserve"> 0.000002  </v>
      </c>
      <c r="BC257" s="43" t="str">
        <f t="shared" si="930"/>
        <v xml:space="preserve">-0.000358  </v>
      </c>
      <c r="BD257" s="43" t="str">
        <f t="shared" si="931"/>
        <v xml:space="preserve">_x000D_
                                                                                </v>
      </c>
      <c r="BE257" s="20" t="str">
        <f t="shared" si="937"/>
        <v>-</v>
      </c>
      <c r="BF257" s="20" t="str">
        <f t="shared" si="938"/>
        <v>-</v>
      </c>
      <c r="BG257" s="20" t="str">
        <f t="shared" si="939"/>
        <v xml:space="preserve">27.000   </v>
      </c>
      <c r="BH257" s="20" t="str">
        <f t="shared" si="940"/>
        <v xml:space="preserve">15.000   </v>
      </c>
      <c r="BI257" s="20" t="str">
        <f t="shared" si="941"/>
        <v xml:space="preserve">15.000   </v>
      </c>
      <c r="BJ257" s="20" t="str">
        <f t="shared" si="942"/>
        <v xml:space="preserve">-20.000   </v>
      </c>
      <c r="BK257" s="20"/>
      <c r="BL257" s="20"/>
      <c r="BM257" s="43" t="str">
        <f t="shared" si="945"/>
        <v>Twb</v>
      </c>
      <c r="BN257" s="43" t="str">
        <f t="shared" si="947"/>
        <v>Toadb</v>
      </c>
      <c r="BO257" s="43">
        <v>1</v>
      </c>
      <c r="BQ257" s="20"/>
      <c r="BR257" s="43">
        <v>0</v>
      </c>
      <c r="BS257" s="20"/>
      <c r="BT257" s="20"/>
      <c r="BU257" s="147">
        <f t="shared" si="943"/>
        <v>1.0119509999999998</v>
      </c>
      <c r="BV257" s="161"/>
      <c r="BW257" s="147">
        <f t="shared" si="944"/>
        <v>1.0145999999999999</v>
      </c>
      <c r="BY257" s="20"/>
      <c r="BZ257" s="20"/>
    </row>
    <row r="258" spans="2:78" outlineLevel="1" x14ac:dyDescent="0.25">
      <c r="E258" s="43" t="s">
        <v>923</v>
      </c>
      <c r="F258" s="43" t="s">
        <v>815</v>
      </c>
      <c r="G258" s="45" t="s">
        <v>841</v>
      </c>
      <c r="H258" s="43" t="s">
        <v>806</v>
      </c>
      <c r="I258" s="43" t="s">
        <v>660</v>
      </c>
      <c r="J258" s="43" t="s">
        <v>912</v>
      </c>
      <c r="L258" s="43" t="s">
        <v>777</v>
      </c>
      <c r="M258" s="43" t="s">
        <v>783</v>
      </c>
      <c r="N258" s="43" t="str">
        <f t="shared" si="922"/>
        <v>EPDef-VRFSysHtgCapBdry_fToadbSI</v>
      </c>
      <c r="O258" s="43" t="s">
        <v>230</v>
      </c>
      <c r="P258" s="43" t="s">
        <v>801</v>
      </c>
      <c r="Q258" s="43" t="s">
        <v>460</v>
      </c>
      <c r="U258" s="46"/>
      <c r="V258" s="61">
        <v>-7.6000880000000004</v>
      </c>
      <c r="W258" s="46">
        <v>3.0508999999999999</v>
      </c>
      <c r="X258" s="46">
        <v>-0.116284</v>
      </c>
      <c r="AI258" s="43">
        <v>27</v>
      </c>
      <c r="AJ258" s="43">
        <v>15</v>
      </c>
      <c r="AM258" t="s">
        <v>925</v>
      </c>
      <c r="AO258" s="43">
        <v>1</v>
      </c>
      <c r="AP258" s="166" t="str">
        <f t="shared" si="923"/>
        <v>CrvCubic       "EPDef-VRFSysHtgCapBdry_fToadbSI"                                Coef1 = -7.600088  Coef2 =  3.050900  Coef3 = -0.116284  _x000D_
                                                                                MaxVar1 = 27.000   MinVar1 = 15.000   _x000D_
..</v>
      </c>
      <c r="AQ258" s="167" t="str">
        <f t="shared" si="924"/>
        <v xml:space="preserve">CrvCubic       "EPDef-VRFSysHtgCapBdry_fToadbSI"                                Coef1 = -7.600088  Coef2 =  3.050900  Coef3 = -0.116284  </v>
      </c>
      <c r="AR258" s="166" t="str">
        <f t="shared" si="934"/>
        <v xml:space="preserve">_x000D_
                                                                                MaxVar1 = 27.000   MinVar1 = 15.000   </v>
      </c>
      <c r="AS258" s="166" t="str">
        <f t="shared" si="926"/>
        <v>_x000D_
..</v>
      </c>
      <c r="AT258" s="20" t="str">
        <f t="shared" si="927"/>
        <v>CrvCubic</v>
      </c>
      <c r="AU258" s="43" t="str">
        <f t="shared" si="935"/>
        <v xml:space="preserve">       </v>
      </c>
      <c r="AV258" s="62" t="str">
        <f t="shared" si="936"/>
        <v>"EPDef-VRFSysHtgCapBdry_fToadbSI"</v>
      </c>
      <c r="AW258" s="20" t="str">
        <f t="shared" si="928"/>
        <v xml:space="preserve">                                </v>
      </c>
      <c r="AX258" s="43" t="str">
        <f t="shared" si="917"/>
        <v xml:space="preserve">-7.600088  </v>
      </c>
      <c r="AY258" s="43" t="str">
        <f t="shared" si="918"/>
        <v xml:space="preserve"> 3.050900  </v>
      </c>
      <c r="AZ258" s="43" t="str">
        <f t="shared" si="919"/>
        <v xml:space="preserve">-0.116284  </v>
      </c>
      <c r="BA258" s="43" t="str">
        <f t="shared" si="920"/>
        <v>-</v>
      </c>
      <c r="BB258" s="43" t="str">
        <f t="shared" si="929"/>
        <v>-</v>
      </c>
      <c r="BC258" s="43" t="str">
        <f t="shared" si="930"/>
        <v>-</v>
      </c>
      <c r="BD258" s="43" t="str">
        <f t="shared" si="931"/>
        <v xml:space="preserve">_x000D_
                                                                                </v>
      </c>
      <c r="BE258" s="20" t="str">
        <f t="shared" si="937"/>
        <v>-</v>
      </c>
      <c r="BF258" s="20" t="str">
        <f t="shared" si="938"/>
        <v>-</v>
      </c>
      <c r="BG258" s="20" t="str">
        <f t="shared" si="939"/>
        <v xml:space="preserve">27.000   </v>
      </c>
      <c r="BH258" s="20" t="str">
        <f t="shared" si="940"/>
        <v xml:space="preserve">15.000   </v>
      </c>
      <c r="BI258" s="20" t="str">
        <f t="shared" si="941"/>
        <v>-</v>
      </c>
      <c r="BJ258" s="20" t="str">
        <f t="shared" si="942"/>
        <v>-</v>
      </c>
      <c r="BK258" s="20"/>
      <c r="BL258" s="20"/>
      <c r="BM258" s="43" t="str">
        <f t="shared" si="945"/>
        <v>Toadb</v>
      </c>
      <c r="BO258" s="43">
        <v>1</v>
      </c>
      <c r="BQ258" s="20"/>
      <c r="BR258" s="43">
        <v>0</v>
      </c>
      <c r="BS258" s="20"/>
      <c r="BT258" s="20"/>
      <c r="BU258" s="147">
        <f t="shared" si="943"/>
        <v>-4.6654720000000012</v>
      </c>
      <c r="BV258" s="161"/>
      <c r="BW258" s="147">
        <f t="shared" si="944"/>
        <v>-7.6000880000000004</v>
      </c>
      <c r="BY258" s="20"/>
      <c r="BZ258" s="20"/>
    </row>
    <row r="259" spans="2:78" outlineLevel="1" x14ac:dyDescent="0.25">
      <c r="E259" s="43" t="s">
        <v>923</v>
      </c>
      <c r="F259" s="43" t="s">
        <v>760</v>
      </c>
      <c r="G259" s="45" t="s">
        <v>841</v>
      </c>
      <c r="H259" s="43" t="s">
        <v>806</v>
      </c>
      <c r="I259" s="43" t="s">
        <v>660</v>
      </c>
      <c r="J259" s="43" t="s">
        <v>912</v>
      </c>
      <c r="L259" s="43" t="s">
        <v>777</v>
      </c>
      <c r="M259" s="43" t="s">
        <v>784</v>
      </c>
      <c r="N259" s="43" t="str">
        <f t="shared" si="922"/>
        <v>EPDef-VRFSysHtgQRatio_fTwbToadbHiSI</v>
      </c>
      <c r="O259" s="43" t="s">
        <v>165</v>
      </c>
      <c r="P259" s="43" t="s">
        <v>160</v>
      </c>
      <c r="Q259" s="43" t="s">
        <v>116</v>
      </c>
      <c r="R259" s="43" t="s">
        <v>460</v>
      </c>
      <c r="S259" s="43" t="s">
        <v>799</v>
      </c>
      <c r="U259" s="46"/>
      <c r="V259" s="61">
        <v>1.161135</v>
      </c>
      <c r="W259" s="46">
        <v>2.7479E-2</v>
      </c>
      <c r="X259" s="46">
        <v>-1.688E-3</v>
      </c>
      <c r="Y259" s="46">
        <v>1.7830000000000001E-3</v>
      </c>
      <c r="Z259" s="46">
        <v>1.9999999999999999E-6</v>
      </c>
      <c r="AA259" s="46">
        <v>-6.8999999999999997E-5</v>
      </c>
      <c r="AI259" s="43">
        <v>27</v>
      </c>
      <c r="AJ259" s="43">
        <v>15</v>
      </c>
      <c r="AK259" s="43">
        <v>15</v>
      </c>
      <c r="AL259" s="43">
        <v>-10</v>
      </c>
      <c r="AM259" t="s">
        <v>925</v>
      </c>
      <c r="AO259" s="43">
        <v>1</v>
      </c>
      <c r="AP259" s="166" t="str">
        <f t="shared" si="923"/>
        <v>CrvDblQuad     "EPDef-VRFSysHtgQRatio_fTwbToadbHiSI"                            Coef1 =  1.161135  Coef2 =  0.027479  Coef3 = -0.001688  Coef4 =  0.001783  Coef5 =  0.000002  Coef6 = -0.000069  _x000D_
                                                                                MaxVar1 = 27.000   MinVar1 = 15.000   MaxVar2 = 15.000   MinVar2 = -10.000   _x000D_
..</v>
      </c>
      <c r="AQ259" s="167" t="str">
        <f t="shared" si="924"/>
        <v xml:space="preserve">CrvDblQuad     "EPDef-VRFSysHtgQRatio_fTwbToadbHiSI"                            Coef1 =  1.161135  Coef2 =  0.027479  Coef3 = -0.001688  Coef4 =  0.001783  Coef5 =  0.000002  Coef6 = -0.000069  </v>
      </c>
      <c r="AR259" s="166" t="str">
        <f t="shared" si="934"/>
        <v xml:space="preserve">_x000D_
                                                                                MaxVar1 = 27.000   MinVar1 = 15.000   MaxVar2 = 15.000   MinVar2 = -10.000   </v>
      </c>
      <c r="AS259" s="166" t="str">
        <f t="shared" si="926"/>
        <v>_x000D_
..</v>
      </c>
      <c r="AT259" s="20" t="str">
        <f t="shared" si="927"/>
        <v>CrvDblQuad</v>
      </c>
      <c r="AU259" s="43" t="str">
        <f t="shared" si="935"/>
        <v xml:space="preserve">     </v>
      </c>
      <c r="AV259" s="62" t="str">
        <f t="shared" si="936"/>
        <v>"EPDef-VRFSysHtgQRatio_fTwbToadbHiSI"</v>
      </c>
      <c r="AW259" s="20" t="str">
        <f t="shared" si="928"/>
        <v xml:space="preserve">                            </v>
      </c>
      <c r="AX259" s="43" t="str">
        <f t="shared" si="917"/>
        <v xml:space="preserve"> 1.161135  </v>
      </c>
      <c r="AY259" s="43" t="str">
        <f t="shared" si="918"/>
        <v xml:space="preserve"> 0.027479  </v>
      </c>
      <c r="AZ259" s="43" t="str">
        <f t="shared" si="919"/>
        <v xml:space="preserve">-0.001688  </v>
      </c>
      <c r="BA259" s="43" t="str">
        <f t="shared" si="920"/>
        <v xml:space="preserve"> 0.001783  </v>
      </c>
      <c r="BB259" s="43" t="str">
        <f t="shared" si="929"/>
        <v xml:space="preserve"> 0.000002  </v>
      </c>
      <c r="BC259" s="43" t="str">
        <f t="shared" si="930"/>
        <v xml:space="preserve">-0.000069  </v>
      </c>
      <c r="BD259" s="43" t="str">
        <f t="shared" si="931"/>
        <v xml:space="preserve">_x000D_
                                                                                </v>
      </c>
      <c r="BE259" s="20" t="str">
        <f t="shared" si="937"/>
        <v>-</v>
      </c>
      <c r="BF259" s="20" t="str">
        <f t="shared" si="938"/>
        <v>-</v>
      </c>
      <c r="BG259" s="20" t="str">
        <f t="shared" si="939"/>
        <v xml:space="preserve">27.000   </v>
      </c>
      <c r="BH259" s="20" t="str">
        <f t="shared" si="940"/>
        <v xml:space="preserve">15.000   </v>
      </c>
      <c r="BI259" s="20" t="str">
        <f t="shared" si="941"/>
        <v xml:space="preserve">15.000   </v>
      </c>
      <c r="BJ259" s="20" t="str">
        <f t="shared" si="942"/>
        <v xml:space="preserve">-10.000   </v>
      </c>
      <c r="BK259" s="20"/>
      <c r="BL259" s="20"/>
      <c r="BM259" s="43" t="str">
        <f t="shared" si="945"/>
        <v>Twb</v>
      </c>
      <c r="BN259" s="43" t="str">
        <f t="shared" ref="BN259" si="948">R259</f>
        <v>Toadb</v>
      </c>
      <c r="BO259" s="43">
        <v>1</v>
      </c>
      <c r="BQ259" s="20"/>
      <c r="BR259" s="43">
        <v>0</v>
      </c>
      <c r="BS259" s="20"/>
      <c r="BT259" s="20"/>
      <c r="BU259" s="147">
        <f t="shared" si="943"/>
        <v>1.1869260000000001</v>
      </c>
      <c r="BV259" s="161"/>
      <c r="BW259" s="147">
        <f t="shared" si="944"/>
        <v>1.161135</v>
      </c>
      <c r="BY259" s="20"/>
      <c r="BZ259" s="20"/>
    </row>
    <row r="260" spans="2:78" outlineLevel="1" x14ac:dyDescent="0.25">
      <c r="E260" s="43" t="s">
        <v>923</v>
      </c>
      <c r="F260" s="43" t="s">
        <v>761</v>
      </c>
      <c r="G260" s="45" t="s">
        <v>841</v>
      </c>
      <c r="H260" s="43" t="s">
        <v>806</v>
      </c>
      <c r="J260" s="43" t="s">
        <v>912</v>
      </c>
      <c r="L260" s="43" t="s">
        <v>777</v>
      </c>
      <c r="M260" s="43" t="s">
        <v>785</v>
      </c>
      <c r="N260" s="43" t="str">
        <f t="shared" si="922"/>
        <v>EPDef-VRFSysHtgQRatio_fCombRat</v>
      </c>
      <c r="O260" s="43" t="s">
        <v>286</v>
      </c>
      <c r="P260" s="43" t="s">
        <v>160</v>
      </c>
      <c r="Q260" s="43" t="s">
        <v>802</v>
      </c>
      <c r="V260" s="61">
        <v>0.96033999999999997</v>
      </c>
      <c r="W260" s="46">
        <v>3.9660000000000001E-2</v>
      </c>
      <c r="AI260" s="43">
        <v>1.5</v>
      </c>
      <c r="AJ260" s="43">
        <v>1</v>
      </c>
      <c r="AM260" t="s">
        <v>925</v>
      </c>
      <c r="AO260" s="43">
        <v>1</v>
      </c>
      <c r="AP260" s="166" t="str">
        <f t="shared" si="923"/>
        <v>CrvLin         "EPDef-VRFSysHtgQRatio_fCombRat"                                 Coef1 =  0.960340  Coef2 =  0.039660  _x000D_
                                                                                MaxVar1 = 1.500   MinVar1 = 1.000   _x000D_
..</v>
      </c>
      <c r="AQ260" s="167" t="str">
        <f t="shared" si="924"/>
        <v xml:space="preserve">CrvLin         "EPDef-VRFSysHtgQRatio_fCombRat"                                 Coef1 =  0.960340  Coef2 =  0.039660  </v>
      </c>
      <c r="AR260" s="166" t="str">
        <f t="shared" si="934"/>
        <v xml:space="preserve">_x000D_
                                                                                MaxVar1 = 1.500   MinVar1 = 1.000   </v>
      </c>
      <c r="AS260" s="166" t="str">
        <f t="shared" si="926"/>
        <v>_x000D_
..</v>
      </c>
      <c r="AT260" s="20" t="str">
        <f t="shared" si="927"/>
        <v>CrvLin</v>
      </c>
      <c r="AU260" s="43" t="str">
        <f t="shared" si="935"/>
        <v xml:space="preserve">         </v>
      </c>
      <c r="AV260" s="62" t="str">
        <f t="shared" si="936"/>
        <v>"EPDef-VRFSysHtgQRatio_fCombRat"</v>
      </c>
      <c r="AW260" s="20" t="str">
        <f t="shared" si="928"/>
        <v xml:space="preserve">                                 </v>
      </c>
      <c r="AX260" s="43" t="str">
        <f t="shared" si="917"/>
        <v xml:space="preserve"> 0.960340  </v>
      </c>
      <c r="AY260" s="43" t="str">
        <f t="shared" si="918"/>
        <v xml:space="preserve"> 0.039660  </v>
      </c>
      <c r="AZ260" s="43" t="str">
        <f t="shared" si="919"/>
        <v>-</v>
      </c>
      <c r="BA260" s="43" t="str">
        <f t="shared" si="920"/>
        <v>-</v>
      </c>
      <c r="BB260" s="43" t="str">
        <f t="shared" si="929"/>
        <v>-</v>
      </c>
      <c r="BC260" s="43" t="str">
        <f t="shared" si="930"/>
        <v>-</v>
      </c>
      <c r="BD260" s="43" t="str">
        <f t="shared" si="931"/>
        <v xml:space="preserve">_x000D_
                                                                                </v>
      </c>
      <c r="BE260" s="20" t="str">
        <f t="shared" si="937"/>
        <v>-</v>
      </c>
      <c r="BF260" s="20" t="str">
        <f t="shared" si="938"/>
        <v>-</v>
      </c>
      <c r="BG260" s="20" t="str">
        <f t="shared" si="939"/>
        <v xml:space="preserve">1.500   </v>
      </c>
      <c r="BH260" s="20" t="str">
        <f t="shared" si="940"/>
        <v xml:space="preserve">1.000   </v>
      </c>
      <c r="BI260" s="20" t="str">
        <f t="shared" si="941"/>
        <v>-</v>
      </c>
      <c r="BJ260" s="20" t="str">
        <f t="shared" si="942"/>
        <v>-</v>
      </c>
      <c r="BK260" s="20"/>
      <c r="BL260" s="20"/>
      <c r="BM260" s="43" t="str">
        <f t="shared" si="945"/>
        <v>CombRat</v>
      </c>
      <c r="BO260" s="43">
        <v>1</v>
      </c>
      <c r="BQ260" s="20"/>
      <c r="BR260" s="43">
        <v>0</v>
      </c>
      <c r="BS260" s="20"/>
      <c r="BT260" s="20"/>
      <c r="BU260" s="147">
        <f t="shared" si="943"/>
        <v>1</v>
      </c>
      <c r="BV260" s="161"/>
      <c r="BW260" s="147">
        <f t="shared" si="944"/>
        <v>0.96033999999999997</v>
      </c>
      <c r="BY260" s="20"/>
      <c r="BZ260" s="20"/>
    </row>
    <row r="261" spans="2:78" outlineLevel="1" x14ac:dyDescent="0.25">
      <c r="B261" s="184"/>
      <c r="E261" s="43" t="s">
        <v>923</v>
      </c>
      <c r="F261" s="43" t="s">
        <v>763</v>
      </c>
      <c r="G261" s="45" t="s">
        <v>841</v>
      </c>
      <c r="H261" s="43" t="s">
        <v>808</v>
      </c>
      <c r="I261" s="43" t="s">
        <v>660</v>
      </c>
      <c r="J261" s="43" t="s">
        <v>912</v>
      </c>
      <c r="L261" s="43" t="s">
        <v>777</v>
      </c>
      <c r="M261" s="43" t="s">
        <v>787</v>
      </c>
      <c r="N261" s="43" t="str">
        <f t="shared" si="922"/>
        <v>EPDef-VRFSysHtRcvryHtgQRatio_fTwbToadbSI</v>
      </c>
      <c r="O261" s="43" t="s">
        <v>165</v>
      </c>
      <c r="P261" s="43" t="s">
        <v>160</v>
      </c>
      <c r="Q261" s="43" t="s">
        <v>116</v>
      </c>
      <c r="R261" s="43" t="s">
        <v>460</v>
      </c>
      <c r="V261" s="61">
        <v>0.9</v>
      </c>
      <c r="W261" s="46">
        <v>0</v>
      </c>
      <c r="X261" s="46">
        <v>0</v>
      </c>
      <c r="Y261" s="46">
        <v>0</v>
      </c>
      <c r="Z261" s="46">
        <v>0</v>
      </c>
      <c r="AA261" s="46">
        <v>0</v>
      </c>
      <c r="AI261" s="43">
        <v>1</v>
      </c>
      <c r="AJ261" s="43">
        <v>0</v>
      </c>
      <c r="AM261" s="40" t="s">
        <v>924</v>
      </c>
      <c r="AO261" s="43">
        <v>1</v>
      </c>
      <c r="AP261" s="166" t="str">
        <f t="shared" si="923"/>
        <v>CrvDblQuad     "EPDef-VRFSysHtRcvryHtgQRatio_fTwbToadbSI"Coef1 =  0.900000  Coef2 =  0.000000  Coef3 =  0.000000  Coef4 =  0.000000  Coef5 = Coef6 = MaxVar1 = 1.000   MinVar1 = 0.000   _x000D_
..</v>
      </c>
      <c r="AQ261" s="167" t="str">
        <f t="shared" si="924"/>
        <v xml:space="preserve">CrvDblQuad     "EPDef-VRFSysHtRcvryHtgQRatio_fTwbToadbSI"Coef1 =  0.900000  Coef2 =  0.000000  Coef3 =  0.000000  Coef4 =  0.000000  Coef5 = Coef6 = </v>
      </c>
      <c r="AR261" s="166" t="str">
        <f t="shared" si="934"/>
        <v xml:space="preserve">MaxVar1 = 1.000   MinVar1 = 0.000   </v>
      </c>
      <c r="AS261" s="166" t="str">
        <f t="shared" si="926"/>
        <v>_x000D_
..</v>
      </c>
      <c r="AT261" s="20" t="str">
        <f t="shared" si="927"/>
        <v>CrvDblQuad</v>
      </c>
      <c r="AU261" s="43" t="str">
        <f t="shared" si="935"/>
        <v xml:space="preserve">     </v>
      </c>
      <c r="AV261" s="62" t="str">
        <f t="shared" si="936"/>
        <v>"EPDef-VRFSysHtRcvryHtgQRatio_fTwbToadbSI"</v>
      </c>
      <c r="AW261" s="20"/>
      <c r="AX261" s="43" t="str">
        <f t="shared" ref="AX261:AX277" si="949">IF($AO261=1,IF(ISBLANK(V261),"-",CONCATENATE(TEXT(V261," 0.000000;-0.000000"),"  ")),"")</f>
        <v xml:space="preserve"> 0.900000  </v>
      </c>
      <c r="AY261" s="43" t="str">
        <f t="shared" ref="AY261:AY277" si="950">IF($AO261=1,IF(ISBLANK(W261),"-",CONCATENATE(TEXT(W261," 0.000000;-0.000000"),"  ")),"")</f>
        <v xml:space="preserve"> 0.000000  </v>
      </c>
      <c r="AZ261" s="43" t="str">
        <f t="shared" ref="AZ261:AZ277" si="951">IF($AO261=1,IF(ISBLANK(X261),"-",CONCATENATE(TEXT(X261," 0.000000;-0.000000"),"  ")),"")</f>
        <v xml:space="preserve"> 0.000000  </v>
      </c>
      <c r="BA261" s="43" t="str">
        <f t="shared" ref="BA261:BA277" si="952">IF($AO261=1,IF(ISBLANK(Y261),"-",CONCATENATE(TEXT(Y261," 0.000000;-0.000000"),"  ")),"")</f>
        <v xml:space="preserve"> 0.000000  </v>
      </c>
      <c r="BE261" s="20" t="str">
        <f t="shared" si="937"/>
        <v>-</v>
      </c>
      <c r="BF261" s="20" t="str">
        <f t="shared" si="938"/>
        <v>-</v>
      </c>
      <c r="BG261" s="20" t="str">
        <f t="shared" si="939"/>
        <v xml:space="preserve">1.000   </v>
      </c>
      <c r="BH261" s="20" t="str">
        <f t="shared" si="940"/>
        <v xml:space="preserve">0.000   </v>
      </c>
      <c r="BI261" s="20" t="str">
        <f t="shared" si="941"/>
        <v>-</v>
      </c>
      <c r="BJ261" s="20" t="str">
        <f t="shared" si="942"/>
        <v>-</v>
      </c>
      <c r="BK261" s="20"/>
      <c r="BL261" s="20"/>
      <c r="BM261" s="43" t="str">
        <f t="shared" si="945"/>
        <v>Twb</v>
      </c>
      <c r="BN261" s="43" t="str">
        <f t="shared" ref="BN261" si="953">R261</f>
        <v>Toadb</v>
      </c>
      <c r="BO261" s="43">
        <v>1</v>
      </c>
      <c r="BQ261" s="20"/>
      <c r="BR261" s="43">
        <v>0</v>
      </c>
      <c r="BS261" s="20"/>
      <c r="BT261" s="20"/>
      <c r="BU261" s="147">
        <f t="shared" si="943"/>
        <v>0.9</v>
      </c>
      <c r="BV261" s="161"/>
      <c r="BW261" s="147">
        <f t="shared" si="944"/>
        <v>0.9</v>
      </c>
      <c r="BY261" s="20"/>
      <c r="BZ261" s="20"/>
    </row>
    <row r="262" spans="2:78" outlineLevel="1" x14ac:dyDescent="0.25">
      <c r="B262" s="43" t="s">
        <v>926</v>
      </c>
      <c r="D262" s="44" t="s">
        <v>764</v>
      </c>
      <c r="E262" s="43" t="s">
        <v>923</v>
      </c>
      <c r="F262" s="43" t="s">
        <v>765</v>
      </c>
      <c r="G262" s="45" t="s">
        <v>841</v>
      </c>
      <c r="H262" s="43" t="s">
        <v>805</v>
      </c>
      <c r="I262" s="43" t="s">
        <v>660</v>
      </c>
      <c r="J262" s="43" t="s">
        <v>912</v>
      </c>
      <c r="L262" s="43" t="s">
        <v>777</v>
      </c>
      <c r="M262" s="43" t="s">
        <v>788</v>
      </c>
      <c r="N262" s="43" t="str">
        <f t="shared" ref="N262:N277" si="954">IF(ISBLANK(E262),"-",E262&amp;H262&amp;P262&amp;"_f"&amp;Q262&amp;R262&amp;S262&amp;T262&amp;U262&amp;I262)</f>
        <v>EPDef-VRFSysClgEIRRatio_fTwbToadbLowSI</v>
      </c>
      <c r="O262" s="43" t="s">
        <v>165</v>
      </c>
      <c r="P262" s="43" t="s">
        <v>288</v>
      </c>
      <c r="Q262" s="43" t="s">
        <v>116</v>
      </c>
      <c r="R262" s="43" t="s">
        <v>460</v>
      </c>
      <c r="S262" s="43" t="s">
        <v>798</v>
      </c>
      <c r="V262" s="43">
        <v>0.98901054099999997</v>
      </c>
      <c r="W262" s="43">
        <v>-2.3479670000000001E-2</v>
      </c>
      <c r="X262" s="43">
        <v>1.9971100000000001E-4</v>
      </c>
      <c r="Y262" s="43">
        <v>5.9683360000000003E-3</v>
      </c>
      <c r="Z262" s="173">
        <v>-1.03E-7</v>
      </c>
      <c r="AA262" s="43">
        <v>-1.5686000000000001E-4</v>
      </c>
      <c r="AI262" s="43">
        <v>24</v>
      </c>
      <c r="AJ262" s="43">
        <v>15</v>
      </c>
      <c r="AK262" s="43">
        <v>23</v>
      </c>
      <c r="AL262" s="43">
        <v>-5</v>
      </c>
      <c r="AM262" t="s">
        <v>925</v>
      </c>
      <c r="AO262" s="43">
        <v>1</v>
      </c>
      <c r="AP262" s="166" t="str">
        <f t="shared" ref="AP262:AP277" si="955">IF(AO262=1,CONCATENATE(AQ262,AR262,AS262),"")</f>
        <v>CrvDblQuad     "EPDef-VRFSysClgEIRRatio_fTwbToadbLowSI"                         Coef1 =  0.989011  Coef2 = -0.023480  Coef3 =  0.000200  Coef4 =  0.005968  Coef5 = -0.000000  Coef6 = -0.000157  _x000D_
                                                                                MaxVar1 = 24.000   MinVar1 = 15.000   MaxVar2 = 23.000   MinVar2 = -5.000   _x000D_
..</v>
      </c>
      <c r="AQ262" s="167" t="str">
        <f t="shared" ref="AQ262:AQ277" si="956">IF(AO262=1,CONCATENATE(AT262,AU262,AV262,AW262,IF(AX262="-","",$AX$15&amp;AX262),IF(AY262="-","",$AY$15&amp;AY262),IF(AZ262="-","",$AZ$15&amp;AZ262),IF(BA262="-","",$BA$15&amp;BA262),IF(BB262="-","",$BB$15&amp;BB262),IF(BC262="-","",$BC$15&amp;BC262)),"")</f>
        <v xml:space="preserve">CrvDblQuad     "EPDef-VRFSysClgEIRRatio_fTwbToadbLowSI"                         Coef1 =  0.989011  Coef2 = -0.023480  Coef3 =  0.000200  Coef4 =  0.005968  Coef5 = -0.000000  Coef6 = -0.000157  </v>
      </c>
      <c r="AR262" s="166" t="str">
        <f t="shared" si="934"/>
        <v xml:space="preserve">_x000D_
                                                                                MaxVar1 = 24.000   MinVar1 = 15.000   MaxVar2 = 23.000   MinVar2 = -5.000   </v>
      </c>
      <c r="AS262" s="166" t="str">
        <f t="shared" ref="AS262:AS277" si="957">IF(AO262=1,CHAR(13)&amp;CHAR(10)&amp;"..","")</f>
        <v>_x000D_
..</v>
      </c>
      <c r="AT262" s="20" t="str">
        <f t="shared" ref="AT262:AT277" si="958">IF(AO262=1,VLOOKUP(O262,$AT$2:$AV$13,2,0),"")</f>
        <v>CrvDblQuad</v>
      </c>
      <c r="AU262" s="43" t="str">
        <f t="shared" si="935"/>
        <v xml:space="preserve">     </v>
      </c>
      <c r="AV262" s="62" t="str">
        <f t="shared" si="936"/>
        <v>"EPDef-VRFSysClgEIRRatio_fTwbToadbLowSI"</v>
      </c>
      <c r="AW262" s="20" t="str">
        <f t="shared" ref="AW262:AW277" si="959">REPT(" ",$AW$14-LEN(AV262))</f>
        <v xml:space="preserve">                         </v>
      </c>
      <c r="AX262" s="43" t="str">
        <f t="shared" si="949"/>
        <v xml:space="preserve"> 0.989011  </v>
      </c>
      <c r="AY262" s="43" t="str">
        <f t="shared" si="950"/>
        <v xml:space="preserve">-0.023480  </v>
      </c>
      <c r="AZ262" s="43" t="str">
        <f t="shared" si="951"/>
        <v xml:space="preserve"> 0.000200  </v>
      </c>
      <c r="BA262" s="43" t="str">
        <f t="shared" si="952"/>
        <v xml:space="preserve"> 0.005968  </v>
      </c>
      <c r="BB262" s="43" t="str">
        <f t="shared" ref="BB262:BB277" si="960">IF($AO262=1,IF(ISBLANK(Z262),"-",CONCATENATE(TEXT(Z262," 0.000000;-0.000000"),"  ")),"")</f>
        <v xml:space="preserve">-0.000000  </v>
      </c>
      <c r="BC262" s="43" t="str">
        <f t="shared" ref="BC262:BC277" si="961">IF($AO262=1,IF(ISBLANK(AA262),"-",CONCATENATE(TEXT(AA262," 0.000000;-0.000000"),"  ")),"")</f>
        <v xml:space="preserve">-0.000157  </v>
      </c>
      <c r="BD262" s="43" t="str">
        <f t="shared" ref="BD262:BD277" si="962">IF(MAX(AG262:AL262)=0,REPT(" ",1),CHAR(13)&amp;CHAR(10)&amp;REPT(" ",BD$14))</f>
        <v xml:space="preserve">_x000D_
                                                                                </v>
      </c>
      <c r="BE262" s="20" t="str">
        <f t="shared" si="937"/>
        <v>-</v>
      </c>
      <c r="BF262" s="20" t="str">
        <f t="shared" si="938"/>
        <v>-</v>
      </c>
      <c r="BG262" s="20" t="str">
        <f t="shared" si="939"/>
        <v xml:space="preserve">24.000   </v>
      </c>
      <c r="BH262" s="20" t="str">
        <f t="shared" si="940"/>
        <v xml:space="preserve">15.000   </v>
      </c>
      <c r="BI262" s="20" t="str">
        <f t="shared" si="941"/>
        <v xml:space="preserve">23.000   </v>
      </c>
      <c r="BJ262" s="20" t="str">
        <f t="shared" si="942"/>
        <v xml:space="preserve">-5.000   </v>
      </c>
      <c r="BK262" s="20"/>
      <c r="BL262" s="20"/>
      <c r="BM262" s="43" t="str">
        <f>Q262</f>
        <v>Twb</v>
      </c>
      <c r="BN262" s="43" t="str">
        <f>R262</f>
        <v>Toadb</v>
      </c>
      <c r="BO262" s="43">
        <v>1</v>
      </c>
      <c r="BQ262" s="20"/>
      <c r="BR262" s="43">
        <v>0</v>
      </c>
      <c r="BS262" s="20"/>
      <c r="BT262" s="20"/>
      <c r="BU262" s="147">
        <f t="shared" si="943"/>
        <v>0.96573058200000006</v>
      </c>
      <c r="BV262" s="161"/>
      <c r="BW262" s="147">
        <f t="shared" si="944"/>
        <v>0.98901054099999997</v>
      </c>
      <c r="BY262" s="20"/>
      <c r="BZ262" s="20"/>
    </row>
    <row r="263" spans="2:78" outlineLevel="1" x14ac:dyDescent="0.25">
      <c r="E263" s="43" t="s">
        <v>923</v>
      </c>
      <c r="F263" s="43" t="s">
        <v>766</v>
      </c>
      <c r="G263" s="45" t="s">
        <v>841</v>
      </c>
      <c r="H263" s="43" t="s">
        <v>805</v>
      </c>
      <c r="I263" s="43" t="s">
        <v>660</v>
      </c>
      <c r="J263" s="43" t="s">
        <v>912</v>
      </c>
      <c r="L263" s="43" t="s">
        <v>777</v>
      </c>
      <c r="M263" s="43" t="s">
        <v>789</v>
      </c>
      <c r="N263" s="43" t="str">
        <f t="shared" si="954"/>
        <v>EPDef-VRFSysClgEIRBdry_fToadbSI</v>
      </c>
      <c r="O263" s="43" t="s">
        <v>230</v>
      </c>
      <c r="P263" s="43" t="s">
        <v>800</v>
      </c>
      <c r="Q263" s="43" t="s">
        <v>460</v>
      </c>
      <c r="V263" s="43">
        <v>25.734737750000001</v>
      </c>
      <c r="W263" s="43">
        <v>-3.1500430000000003E-2</v>
      </c>
      <c r="X263" s="43">
        <v>-1.416595E-2</v>
      </c>
      <c r="Y263" s="46">
        <v>0</v>
      </c>
      <c r="AI263" s="43">
        <v>24</v>
      </c>
      <c r="AJ263" s="43">
        <v>15</v>
      </c>
      <c r="AM263" t="s">
        <v>925</v>
      </c>
      <c r="AO263" s="43">
        <v>1</v>
      </c>
      <c r="AP263" s="166" t="str">
        <f t="shared" si="955"/>
        <v>CrvCubic       "EPDef-VRFSysClgEIRBdry_fToadbSI"                                Coef1 =  25.734738  Coef2 = -0.031500  Coef3 = -0.014166  Coef4 =  0.000000  _x000D_
                                                                                MaxVar1 = 24.000   MinVar1 = 15.000   _x000D_
..</v>
      </c>
      <c r="AQ263" s="167" t="str">
        <f t="shared" si="956"/>
        <v xml:space="preserve">CrvCubic       "EPDef-VRFSysClgEIRBdry_fToadbSI"                                Coef1 =  25.734738  Coef2 = -0.031500  Coef3 = -0.014166  Coef4 =  0.000000  </v>
      </c>
      <c r="AR263" s="166" t="str">
        <f t="shared" si="934"/>
        <v xml:space="preserve">_x000D_
                                                                                MaxVar1 = 24.000   MinVar1 = 15.000   </v>
      </c>
      <c r="AS263" s="166" t="str">
        <f t="shared" si="957"/>
        <v>_x000D_
..</v>
      </c>
      <c r="AT263" s="20" t="str">
        <f t="shared" si="958"/>
        <v>CrvCubic</v>
      </c>
      <c r="AU263" s="43" t="str">
        <f t="shared" si="935"/>
        <v xml:space="preserve">       </v>
      </c>
      <c r="AV263" s="62" t="str">
        <f t="shared" si="936"/>
        <v>"EPDef-VRFSysClgEIRBdry_fToadbSI"</v>
      </c>
      <c r="AW263" s="20" t="str">
        <f t="shared" si="959"/>
        <v xml:space="preserve">                                </v>
      </c>
      <c r="AX263" s="43" t="str">
        <f t="shared" si="949"/>
        <v xml:space="preserve"> 25.734738  </v>
      </c>
      <c r="AY263" s="43" t="str">
        <f t="shared" si="950"/>
        <v xml:space="preserve">-0.031500  </v>
      </c>
      <c r="AZ263" s="43" t="str">
        <f t="shared" si="951"/>
        <v xml:space="preserve">-0.014166  </v>
      </c>
      <c r="BA263" s="43" t="str">
        <f t="shared" si="952"/>
        <v xml:space="preserve"> 0.000000  </v>
      </c>
      <c r="BB263" s="43" t="str">
        <f t="shared" si="960"/>
        <v>-</v>
      </c>
      <c r="BC263" s="43" t="str">
        <f t="shared" si="961"/>
        <v>-</v>
      </c>
      <c r="BD263" s="43" t="str">
        <f t="shared" si="962"/>
        <v xml:space="preserve">_x000D_
                                                                                </v>
      </c>
      <c r="BE263" s="20" t="str">
        <f t="shared" si="937"/>
        <v>-</v>
      </c>
      <c r="BF263" s="20" t="str">
        <f t="shared" si="938"/>
        <v>-</v>
      </c>
      <c r="BG263" s="20" t="str">
        <f t="shared" si="939"/>
        <v xml:space="preserve">24.000   </v>
      </c>
      <c r="BH263" s="20" t="str">
        <f t="shared" si="940"/>
        <v xml:space="preserve">15.000   </v>
      </c>
      <c r="BI263" s="20" t="str">
        <f t="shared" si="941"/>
        <v>-</v>
      </c>
      <c r="BJ263" s="20" t="str">
        <f t="shared" si="942"/>
        <v>-</v>
      </c>
      <c r="BK263" s="20"/>
      <c r="BL263" s="20"/>
      <c r="BM263" s="43" t="str">
        <f t="shared" ref="BM263:BM277" si="963">Q263</f>
        <v>Toadb</v>
      </c>
      <c r="BO263" s="43">
        <v>1</v>
      </c>
      <c r="BQ263" s="20"/>
      <c r="BR263" s="43">
        <v>0</v>
      </c>
      <c r="BS263" s="20"/>
      <c r="BT263" s="20"/>
      <c r="BU263" s="147">
        <f t="shared" si="943"/>
        <v>25.689071370000001</v>
      </c>
      <c r="BV263" s="161"/>
      <c r="BW263" s="147">
        <f t="shared" si="944"/>
        <v>25.734737750000001</v>
      </c>
      <c r="BY263" s="20"/>
      <c r="BZ263" s="20"/>
    </row>
    <row r="264" spans="2:78" outlineLevel="1" x14ac:dyDescent="0.25">
      <c r="E264" s="43" t="s">
        <v>923</v>
      </c>
      <c r="F264" s="43" t="s">
        <v>767</v>
      </c>
      <c r="G264" s="45" t="s">
        <v>841</v>
      </c>
      <c r="H264" s="43" t="s">
        <v>805</v>
      </c>
      <c r="I264" s="43" t="s">
        <v>660</v>
      </c>
      <c r="J264" s="43" t="s">
        <v>912</v>
      </c>
      <c r="L264" s="43" t="s">
        <v>777</v>
      </c>
      <c r="M264" s="43" t="s">
        <v>790</v>
      </c>
      <c r="N264" s="43" t="str">
        <f t="shared" si="954"/>
        <v>EPDef-VRFSysClgEIRRatio_fTwbToadbHiSI</v>
      </c>
      <c r="O264" s="43" t="s">
        <v>165</v>
      </c>
      <c r="P264" s="43" t="s">
        <v>288</v>
      </c>
      <c r="Q264" s="43" t="s">
        <v>116</v>
      </c>
      <c r="R264" s="43" t="s">
        <v>460</v>
      </c>
      <c r="S264" s="43" t="s">
        <v>799</v>
      </c>
      <c r="V264" s="43">
        <v>0.1435147</v>
      </c>
      <c r="W264" s="43">
        <v>1.8600350000000002E-2</v>
      </c>
      <c r="X264" s="173">
        <v>-3.9500000000000001E-4</v>
      </c>
      <c r="Y264" s="43">
        <v>2.485219E-2</v>
      </c>
      <c r="Z264" s="43">
        <v>1.6328999999999999E-4</v>
      </c>
      <c r="AA264" s="43">
        <v>-6.244E-4</v>
      </c>
      <c r="AI264" s="43">
        <v>24</v>
      </c>
      <c r="AJ264" s="43">
        <v>15</v>
      </c>
      <c r="AK264" s="43">
        <v>43</v>
      </c>
      <c r="AL264" s="43">
        <v>16</v>
      </c>
      <c r="AM264" t="s">
        <v>925</v>
      </c>
      <c r="AO264" s="43">
        <v>1</v>
      </c>
      <c r="AP264" s="166" t="str">
        <f t="shared" si="955"/>
        <v>CrvDblQuad     "EPDef-VRFSysClgEIRRatio_fTwbToadbHiSI"                          Coef1 =  0.143515  Coef2 =  0.018600  Coef3 = -0.000395  Coef4 =  0.024852  Coef5 =  0.000163  Coef6 = -0.000624  _x000D_
                                                                                MaxVar1 = 24.000   MinVar1 = 15.000   MaxVar2 = 43.000   MinVar2 = 16.000   _x000D_
..</v>
      </c>
      <c r="AQ264" s="167" t="str">
        <f t="shared" si="956"/>
        <v xml:space="preserve">CrvDblQuad     "EPDef-VRFSysClgEIRRatio_fTwbToadbHiSI"                          Coef1 =  0.143515  Coef2 =  0.018600  Coef3 = -0.000395  Coef4 =  0.024852  Coef5 =  0.000163  Coef6 = -0.000624  </v>
      </c>
      <c r="AR264" s="166" t="str">
        <f t="shared" si="934"/>
        <v xml:space="preserve">_x000D_
                                                                                MaxVar1 = 24.000   MinVar1 = 15.000   MaxVar2 = 43.000   MinVar2 = 16.000   </v>
      </c>
      <c r="AS264" s="166" t="str">
        <f t="shared" si="957"/>
        <v>_x000D_
..</v>
      </c>
      <c r="AT264" s="20" t="str">
        <f t="shared" si="958"/>
        <v>CrvDblQuad</v>
      </c>
      <c r="AU264" s="43" t="str">
        <f t="shared" si="935"/>
        <v xml:space="preserve">     </v>
      </c>
      <c r="AV264" s="62" t="str">
        <f t="shared" si="936"/>
        <v>"EPDef-VRFSysClgEIRRatio_fTwbToadbHiSI"</v>
      </c>
      <c r="AW264" s="20" t="str">
        <f t="shared" si="959"/>
        <v xml:space="preserve">                          </v>
      </c>
      <c r="AX264" s="43" t="str">
        <f t="shared" si="949"/>
        <v xml:space="preserve"> 0.143515  </v>
      </c>
      <c r="AY264" s="43" t="str">
        <f t="shared" si="950"/>
        <v xml:space="preserve"> 0.018600  </v>
      </c>
      <c r="AZ264" s="43" t="str">
        <f t="shared" si="951"/>
        <v xml:space="preserve">-0.000395  </v>
      </c>
      <c r="BA264" s="43" t="str">
        <f t="shared" si="952"/>
        <v xml:space="preserve"> 0.024852  </v>
      </c>
      <c r="BB264" s="43" t="str">
        <f t="shared" si="960"/>
        <v xml:space="preserve"> 0.000163  </v>
      </c>
      <c r="BC264" s="43" t="str">
        <f t="shared" si="961"/>
        <v xml:space="preserve">-0.000624  </v>
      </c>
      <c r="BD264" s="43" t="str">
        <f t="shared" si="962"/>
        <v xml:space="preserve">_x000D_
                                                                                </v>
      </c>
      <c r="BE264" s="20" t="str">
        <f t="shared" si="937"/>
        <v>-</v>
      </c>
      <c r="BF264" s="20" t="str">
        <f t="shared" si="938"/>
        <v>-</v>
      </c>
      <c r="BG264" s="20" t="str">
        <f t="shared" si="939"/>
        <v xml:space="preserve">24.000   </v>
      </c>
      <c r="BH264" s="20" t="str">
        <f t="shared" si="940"/>
        <v xml:space="preserve">15.000   </v>
      </c>
      <c r="BI264" s="20" t="str">
        <f t="shared" si="941"/>
        <v xml:space="preserve">43.000   </v>
      </c>
      <c r="BJ264" s="20" t="str">
        <f t="shared" si="942"/>
        <v xml:space="preserve">16.000   </v>
      </c>
      <c r="BK264" s="20"/>
      <c r="BL264" s="20"/>
      <c r="BM264" s="43" t="str">
        <f t="shared" si="963"/>
        <v>Twb</v>
      </c>
      <c r="BN264" s="43" t="str">
        <f>R264</f>
        <v>Toadb</v>
      </c>
      <c r="BO264" s="43">
        <v>1</v>
      </c>
      <c r="BQ264" s="20"/>
      <c r="BR264" s="43">
        <v>0</v>
      </c>
      <c r="BS264" s="20"/>
      <c r="BT264" s="20"/>
      <c r="BU264" s="147">
        <f t="shared" si="943"/>
        <v>0.16172004999999998</v>
      </c>
      <c r="BV264" s="161"/>
      <c r="BW264" s="147">
        <f t="shared" si="944"/>
        <v>0.1435147</v>
      </c>
      <c r="BY264" s="20"/>
      <c r="BZ264" s="20"/>
    </row>
    <row r="265" spans="2:78" outlineLevel="1" x14ac:dyDescent="0.25">
      <c r="E265" s="43" t="s">
        <v>923</v>
      </c>
      <c r="F265" s="43" t="s">
        <v>768</v>
      </c>
      <c r="G265" s="45" t="s">
        <v>841</v>
      </c>
      <c r="H265" s="43" t="s">
        <v>805</v>
      </c>
      <c r="I265" s="43" t="s">
        <v>660</v>
      </c>
      <c r="J265" s="43" t="s">
        <v>912</v>
      </c>
      <c r="L265" s="43" t="s">
        <v>777</v>
      </c>
      <c r="M265" s="43" t="s">
        <v>791</v>
      </c>
      <c r="N265" s="43" t="str">
        <f t="shared" si="954"/>
        <v>EPDef-VRFSysClgEIRRatio_fPLRLowSI</v>
      </c>
      <c r="O265" s="43" t="s">
        <v>230</v>
      </c>
      <c r="P265" s="43" t="s">
        <v>288</v>
      </c>
      <c r="Q265" s="43" t="s">
        <v>28</v>
      </c>
      <c r="R265" s="43" t="s">
        <v>798</v>
      </c>
      <c r="V265" s="43">
        <v>0.46281230000000001</v>
      </c>
      <c r="W265" s="173">
        <v>-1.04</v>
      </c>
      <c r="X265" s="43">
        <v>2.1749099699999999</v>
      </c>
      <c r="Y265" s="43">
        <v>-0.5974817</v>
      </c>
      <c r="AI265" s="43">
        <v>1</v>
      </c>
      <c r="AJ265" s="43">
        <v>0</v>
      </c>
      <c r="AM265" t="s">
        <v>925</v>
      </c>
      <c r="AO265" s="43">
        <v>1</v>
      </c>
      <c r="AP265" s="166" t="str">
        <f t="shared" si="955"/>
        <v>CrvCubic       "EPDef-VRFSysClgEIRRatio_fPLRLowSI"                              Coef1 =  0.462812  Coef2 = -1.040000  Coef3 =  2.174910  Coef4 = -0.597482  _x000D_
                                                                                MaxVar1 = 1.000   MinVar1 = 0.000   _x000D_
..</v>
      </c>
      <c r="AQ265" s="167" t="str">
        <f t="shared" si="956"/>
        <v xml:space="preserve">CrvCubic       "EPDef-VRFSysClgEIRRatio_fPLRLowSI"                              Coef1 =  0.462812  Coef2 = -1.040000  Coef3 =  2.174910  Coef4 = -0.597482  </v>
      </c>
      <c r="AR265" s="166" t="str">
        <f t="shared" si="934"/>
        <v xml:space="preserve">_x000D_
                                                                                MaxVar1 = 1.000   MinVar1 = 0.000   </v>
      </c>
      <c r="AS265" s="166" t="str">
        <f t="shared" si="957"/>
        <v>_x000D_
..</v>
      </c>
      <c r="AT265" s="20" t="str">
        <f t="shared" si="958"/>
        <v>CrvCubic</v>
      </c>
      <c r="AU265" s="43" t="str">
        <f t="shared" si="935"/>
        <v xml:space="preserve">       </v>
      </c>
      <c r="AV265" s="62" t="str">
        <f t="shared" si="936"/>
        <v>"EPDef-VRFSysClgEIRRatio_fPLRLowSI"</v>
      </c>
      <c r="AW265" s="20" t="str">
        <f t="shared" si="959"/>
        <v xml:space="preserve">                              </v>
      </c>
      <c r="AX265" s="43" t="str">
        <f t="shared" si="949"/>
        <v xml:space="preserve"> 0.462812  </v>
      </c>
      <c r="AY265" s="43" t="str">
        <f t="shared" si="950"/>
        <v xml:space="preserve">-1.040000  </v>
      </c>
      <c r="AZ265" s="43" t="str">
        <f t="shared" si="951"/>
        <v xml:space="preserve"> 2.174910  </v>
      </c>
      <c r="BA265" s="43" t="str">
        <f t="shared" si="952"/>
        <v xml:space="preserve">-0.597482  </v>
      </c>
      <c r="BB265" s="43" t="str">
        <f t="shared" si="960"/>
        <v>-</v>
      </c>
      <c r="BC265" s="43" t="str">
        <f t="shared" si="961"/>
        <v>-</v>
      </c>
      <c r="BD265" s="43" t="str">
        <f t="shared" si="962"/>
        <v xml:space="preserve">_x000D_
                                                                                </v>
      </c>
      <c r="BE265" s="20" t="str">
        <f t="shared" si="937"/>
        <v>-</v>
      </c>
      <c r="BF265" s="20" t="str">
        <f t="shared" si="938"/>
        <v>-</v>
      </c>
      <c r="BG265" s="20" t="str">
        <f t="shared" si="939"/>
        <v xml:space="preserve">1.000   </v>
      </c>
      <c r="BH265" s="20" t="str">
        <f t="shared" si="940"/>
        <v xml:space="preserve">0.000   </v>
      </c>
      <c r="BI265" s="20" t="str">
        <f t="shared" si="941"/>
        <v>-</v>
      </c>
      <c r="BJ265" s="20" t="str">
        <f t="shared" si="942"/>
        <v>-</v>
      </c>
      <c r="BK265" s="20"/>
      <c r="BL265" s="20"/>
      <c r="BM265" s="43" t="str">
        <f t="shared" si="963"/>
        <v>PLR</v>
      </c>
      <c r="BN265" s="43" t="str">
        <f>R265</f>
        <v>Low</v>
      </c>
      <c r="BO265" s="43">
        <v>1</v>
      </c>
      <c r="BQ265" s="20"/>
      <c r="BR265" s="43">
        <v>0</v>
      </c>
      <c r="BS265" s="20"/>
      <c r="BT265" s="20"/>
      <c r="BU265" s="147">
        <f t="shared" si="943"/>
        <v>1.5977222699999998</v>
      </c>
      <c r="BV265" s="161"/>
      <c r="BW265" s="147">
        <f t="shared" si="944"/>
        <v>0.46281230000000001</v>
      </c>
      <c r="BY265" s="20"/>
      <c r="BZ265" s="20"/>
    </row>
    <row r="266" spans="2:78" outlineLevel="1" x14ac:dyDescent="0.25">
      <c r="E266" s="43" t="s">
        <v>923</v>
      </c>
      <c r="F266" s="43" t="s">
        <v>769</v>
      </c>
      <c r="G266" s="45" t="s">
        <v>841</v>
      </c>
      <c r="H266" s="43" t="s">
        <v>805</v>
      </c>
      <c r="I266" s="43" t="s">
        <v>660</v>
      </c>
      <c r="J266" s="43" t="s">
        <v>912</v>
      </c>
      <c r="L266" s="43" t="s">
        <v>777</v>
      </c>
      <c r="M266" s="43" t="s">
        <v>792</v>
      </c>
      <c r="N266" s="43" t="str">
        <f t="shared" si="954"/>
        <v>EPDef-VRFSysClgEIRRatio_fPLRHiSI</v>
      </c>
      <c r="O266" s="43" t="s">
        <v>162</v>
      </c>
      <c r="P266" s="43" t="s">
        <v>288</v>
      </c>
      <c r="Q266" s="43" t="s">
        <v>28</v>
      </c>
      <c r="R266" s="43" t="s">
        <v>799</v>
      </c>
      <c r="U266" s="173"/>
      <c r="V266" s="46">
        <v>1</v>
      </c>
      <c r="W266" s="46">
        <v>0</v>
      </c>
      <c r="X266" s="46">
        <v>0</v>
      </c>
      <c r="AI266" s="43">
        <v>1.5</v>
      </c>
      <c r="AJ266" s="43">
        <v>1</v>
      </c>
      <c r="AM266" t="s">
        <v>925</v>
      </c>
      <c r="AO266" s="43">
        <v>1</v>
      </c>
      <c r="AP266" s="166" t="str">
        <f t="shared" si="955"/>
        <v>CrvQuad        "EPDef-VRFSysClgEIRRatio_fPLRHiSI"                               Coef1 =  1.000000  Coef2 =  0.000000  Coef3 =  0.000000  _x000D_
                                                                                MaxVar1 = 1.500   MinVar1 = 1.000   _x000D_
..</v>
      </c>
      <c r="AQ266" s="167" t="str">
        <f t="shared" si="956"/>
        <v xml:space="preserve">CrvQuad        "EPDef-VRFSysClgEIRRatio_fPLRHiSI"                               Coef1 =  1.000000  Coef2 =  0.000000  Coef3 =  0.000000  </v>
      </c>
      <c r="AR266" s="166" t="str">
        <f t="shared" si="934"/>
        <v xml:space="preserve">_x000D_
                                                                                MaxVar1 = 1.500   MinVar1 = 1.000   </v>
      </c>
      <c r="AS266" s="166" t="str">
        <f t="shared" si="957"/>
        <v>_x000D_
..</v>
      </c>
      <c r="AT266" s="20" t="str">
        <f t="shared" si="958"/>
        <v>CrvQuad</v>
      </c>
      <c r="AU266" s="43" t="str">
        <f t="shared" si="935"/>
        <v xml:space="preserve">        </v>
      </c>
      <c r="AV266" s="62" t="str">
        <f t="shared" si="936"/>
        <v>"EPDef-VRFSysClgEIRRatio_fPLRHiSI"</v>
      </c>
      <c r="AW266" s="20" t="str">
        <f t="shared" si="959"/>
        <v xml:space="preserve">                               </v>
      </c>
      <c r="AX266" s="43" t="str">
        <f t="shared" si="949"/>
        <v xml:space="preserve"> 1.000000  </v>
      </c>
      <c r="AY266" s="43" t="str">
        <f t="shared" si="950"/>
        <v xml:space="preserve"> 0.000000  </v>
      </c>
      <c r="AZ266" s="43" t="str">
        <f t="shared" si="951"/>
        <v xml:space="preserve"> 0.000000  </v>
      </c>
      <c r="BA266" s="43" t="str">
        <f t="shared" si="952"/>
        <v>-</v>
      </c>
      <c r="BB266" s="43" t="str">
        <f t="shared" si="960"/>
        <v>-</v>
      </c>
      <c r="BC266" s="43" t="str">
        <f t="shared" si="961"/>
        <v>-</v>
      </c>
      <c r="BD266" s="43" t="str">
        <f t="shared" si="962"/>
        <v xml:space="preserve">_x000D_
                                                                                </v>
      </c>
      <c r="BE266" s="20" t="str">
        <f t="shared" si="937"/>
        <v>-</v>
      </c>
      <c r="BF266" s="20" t="str">
        <f t="shared" si="938"/>
        <v>-</v>
      </c>
      <c r="BG266" s="20" t="str">
        <f t="shared" si="939"/>
        <v xml:space="preserve">1.500   </v>
      </c>
      <c r="BH266" s="20" t="str">
        <f t="shared" si="940"/>
        <v xml:space="preserve">1.000   </v>
      </c>
      <c r="BI266" s="20" t="str">
        <f t="shared" si="941"/>
        <v>-</v>
      </c>
      <c r="BJ266" s="20" t="str">
        <f t="shared" si="942"/>
        <v>-</v>
      </c>
      <c r="BK266" s="20"/>
      <c r="BL266" s="20"/>
      <c r="BM266" s="43" t="str">
        <f t="shared" si="963"/>
        <v>PLR</v>
      </c>
      <c r="BN266" s="43" t="str">
        <f>R266</f>
        <v>Hi</v>
      </c>
      <c r="BO266" s="43">
        <v>1</v>
      </c>
      <c r="BQ266" s="20"/>
      <c r="BR266" s="43">
        <v>0</v>
      </c>
      <c r="BS266" s="20"/>
      <c r="BT266" s="20"/>
      <c r="BU266" s="147">
        <f t="shared" si="943"/>
        <v>1</v>
      </c>
      <c r="BV266" s="161"/>
      <c r="BW266" s="147">
        <f t="shared" si="944"/>
        <v>1</v>
      </c>
      <c r="BY266" s="20"/>
      <c r="BZ266" s="20"/>
    </row>
    <row r="267" spans="2:78" outlineLevel="1" x14ac:dyDescent="0.25">
      <c r="E267" s="43" t="s">
        <v>923</v>
      </c>
      <c r="F267" s="43" t="s">
        <v>803</v>
      </c>
      <c r="G267" s="45" t="s">
        <v>841</v>
      </c>
      <c r="H267" s="43" t="s">
        <v>805</v>
      </c>
      <c r="I267" s="43" t="s">
        <v>660</v>
      </c>
      <c r="J267" s="43" t="s">
        <v>912</v>
      </c>
      <c r="L267" s="43" t="s">
        <v>777</v>
      </c>
      <c r="M267" s="43" t="s">
        <v>813</v>
      </c>
      <c r="N267" s="43" t="str">
        <f t="shared" si="954"/>
        <v>EPDef-VRFSysClgEIRRatio_fCycRatSI</v>
      </c>
      <c r="O267" s="43" t="s">
        <v>162</v>
      </c>
      <c r="P267" s="43" t="s">
        <v>288</v>
      </c>
      <c r="Q267" s="43" t="s">
        <v>804</v>
      </c>
      <c r="V267" s="46">
        <v>0.85</v>
      </c>
      <c r="W267" s="46">
        <v>0.15</v>
      </c>
      <c r="X267" s="46">
        <v>0</v>
      </c>
      <c r="AI267" s="43">
        <v>1</v>
      </c>
      <c r="AJ267" s="43">
        <v>0</v>
      </c>
      <c r="AM267" t="s">
        <v>925</v>
      </c>
      <c r="AO267" s="43">
        <v>1</v>
      </c>
      <c r="AP267" s="166" t="str">
        <f t="shared" si="955"/>
        <v>CrvQuad        "EPDef-VRFSysClgEIRRatio_fCycRatSI"                              Coef1 =  0.850000  Coef2 =  0.150000  Coef3 =  0.000000  _x000D_
                                                                                MaxVar1 = 1.000   MinVar1 = 0.000   _x000D_
..</v>
      </c>
      <c r="AQ267" s="167" t="str">
        <f t="shared" si="956"/>
        <v xml:space="preserve">CrvQuad        "EPDef-VRFSysClgEIRRatio_fCycRatSI"                              Coef1 =  0.850000  Coef2 =  0.150000  Coef3 =  0.000000  </v>
      </c>
      <c r="AR267" s="166" t="str">
        <f t="shared" si="934"/>
        <v xml:space="preserve">_x000D_
                                                                                MaxVar1 = 1.000   MinVar1 = 0.000   </v>
      </c>
      <c r="AS267" s="166" t="str">
        <f t="shared" si="957"/>
        <v>_x000D_
..</v>
      </c>
      <c r="AT267" s="20" t="str">
        <f t="shared" si="958"/>
        <v>CrvQuad</v>
      </c>
      <c r="AU267" s="43" t="str">
        <f t="shared" si="935"/>
        <v xml:space="preserve">        </v>
      </c>
      <c r="AV267" s="62" t="str">
        <f t="shared" si="936"/>
        <v>"EPDef-VRFSysClgEIRRatio_fCycRatSI"</v>
      </c>
      <c r="AW267" s="20" t="str">
        <f t="shared" si="959"/>
        <v xml:space="preserve">                              </v>
      </c>
      <c r="AX267" s="43" t="str">
        <f t="shared" si="949"/>
        <v xml:space="preserve"> 0.850000  </v>
      </c>
      <c r="AY267" s="43" t="str">
        <f t="shared" si="950"/>
        <v xml:space="preserve"> 0.150000  </v>
      </c>
      <c r="AZ267" s="43" t="str">
        <f t="shared" si="951"/>
        <v xml:space="preserve"> 0.000000  </v>
      </c>
      <c r="BA267" s="43" t="str">
        <f t="shared" si="952"/>
        <v>-</v>
      </c>
      <c r="BB267" s="43" t="str">
        <f t="shared" si="960"/>
        <v>-</v>
      </c>
      <c r="BC267" s="43" t="str">
        <f t="shared" si="961"/>
        <v>-</v>
      </c>
      <c r="BD267" s="43" t="str">
        <f t="shared" si="962"/>
        <v xml:space="preserve">_x000D_
                                                                                </v>
      </c>
      <c r="BE267" s="20" t="str">
        <f t="shared" si="937"/>
        <v>-</v>
      </c>
      <c r="BF267" s="20" t="str">
        <f t="shared" si="938"/>
        <v>-</v>
      </c>
      <c r="BG267" s="20" t="str">
        <f t="shared" si="939"/>
        <v xml:space="preserve">1.000   </v>
      </c>
      <c r="BH267" s="20" t="str">
        <f t="shared" si="940"/>
        <v xml:space="preserve">0.000   </v>
      </c>
      <c r="BI267" s="20" t="str">
        <f t="shared" si="941"/>
        <v>-</v>
      </c>
      <c r="BJ267" s="20" t="str">
        <f t="shared" si="942"/>
        <v>-</v>
      </c>
      <c r="BK267" s="20"/>
      <c r="BL267" s="20"/>
      <c r="BM267" s="43" t="str">
        <f t="shared" si="963"/>
        <v>CycRat</v>
      </c>
      <c r="BO267" s="43">
        <v>1</v>
      </c>
      <c r="BQ267" s="20"/>
      <c r="BR267" s="43">
        <v>0</v>
      </c>
      <c r="BS267" s="20"/>
      <c r="BT267" s="20"/>
      <c r="BU267" s="147">
        <f t="shared" si="943"/>
        <v>1</v>
      </c>
      <c r="BV267" s="161"/>
      <c r="BW267" s="147">
        <f t="shared" si="944"/>
        <v>0.85</v>
      </c>
      <c r="BY267" s="20"/>
      <c r="BZ267" s="20"/>
    </row>
    <row r="268" spans="2:78" outlineLevel="1" x14ac:dyDescent="0.25">
      <c r="B268" s="184"/>
      <c r="E268" s="43" t="s">
        <v>923</v>
      </c>
      <c r="F268" s="43" t="s">
        <v>770</v>
      </c>
      <c r="G268" s="45" t="s">
        <v>841</v>
      </c>
      <c r="H268" s="43" t="s">
        <v>807</v>
      </c>
      <c r="I268" s="43" t="s">
        <v>660</v>
      </c>
      <c r="J268" s="43" t="s">
        <v>912</v>
      </c>
      <c r="L268" s="43" t="s">
        <v>777</v>
      </c>
      <c r="M268" s="43" t="s">
        <v>814</v>
      </c>
      <c r="N268" s="43" t="str">
        <f t="shared" si="954"/>
        <v>EPDef-VRFSysHtRcvryClgEIRRatio_fTwbToadbSI</v>
      </c>
      <c r="O268" s="43" t="s">
        <v>165</v>
      </c>
      <c r="P268" s="43" t="s">
        <v>288</v>
      </c>
      <c r="Q268" s="43" t="s">
        <v>116</v>
      </c>
      <c r="R268" s="43" t="s">
        <v>460</v>
      </c>
      <c r="V268" s="46">
        <v>1.1000000000000001</v>
      </c>
      <c r="W268" s="46">
        <v>0</v>
      </c>
      <c r="X268" s="46">
        <v>0</v>
      </c>
      <c r="Y268" s="46">
        <v>0</v>
      </c>
      <c r="Z268" s="46">
        <v>0</v>
      </c>
      <c r="AA268" s="46">
        <v>0</v>
      </c>
      <c r="AI268" s="43">
        <v>1</v>
      </c>
      <c r="AJ268" s="43">
        <v>0</v>
      </c>
      <c r="AM268" s="40" t="s">
        <v>924</v>
      </c>
      <c r="AO268" s="43">
        <v>1</v>
      </c>
      <c r="AP268" s="166" t="str">
        <f t="shared" si="955"/>
        <v>CrvDblQuad     "EPDef-VRFSysHtRcvryClgEIRRatio_fTwbToadbSI"                     Coef1 =  1.100000  Coef2 =  0.000000  Coef3 =  0.000000  Coef4 =  0.000000  Coef5 =  0.000000  Coef6 =  0.000000  _x000D_
                                                                                MaxVar1 = 1.000   MinVar1 = 0.000   _x000D_
..</v>
      </c>
      <c r="AQ268" s="167" t="str">
        <f t="shared" si="956"/>
        <v xml:space="preserve">CrvDblQuad     "EPDef-VRFSysHtRcvryClgEIRRatio_fTwbToadbSI"                     Coef1 =  1.100000  Coef2 =  0.000000  Coef3 =  0.000000  Coef4 =  0.000000  Coef5 =  0.000000  Coef6 =  0.000000  </v>
      </c>
      <c r="AR268" s="166" t="str">
        <f t="shared" si="934"/>
        <v xml:space="preserve">_x000D_
                                                                                MaxVar1 = 1.000   MinVar1 = 0.000   </v>
      </c>
      <c r="AS268" s="166" t="str">
        <f t="shared" si="957"/>
        <v>_x000D_
..</v>
      </c>
      <c r="AT268" s="20" t="str">
        <f t="shared" si="958"/>
        <v>CrvDblQuad</v>
      </c>
      <c r="AU268" s="43" t="str">
        <f t="shared" si="935"/>
        <v xml:space="preserve">     </v>
      </c>
      <c r="AV268" s="62" t="str">
        <f t="shared" si="936"/>
        <v>"EPDef-VRFSysHtRcvryClgEIRRatio_fTwbToadbSI"</v>
      </c>
      <c r="AW268" s="20" t="str">
        <f t="shared" si="959"/>
        <v xml:space="preserve">                     </v>
      </c>
      <c r="AX268" s="43" t="str">
        <f t="shared" si="949"/>
        <v xml:space="preserve"> 1.100000  </v>
      </c>
      <c r="AY268" s="43" t="str">
        <f t="shared" si="950"/>
        <v xml:space="preserve"> 0.000000  </v>
      </c>
      <c r="AZ268" s="43" t="str">
        <f t="shared" si="951"/>
        <v xml:space="preserve"> 0.000000  </v>
      </c>
      <c r="BA268" s="43" t="str">
        <f t="shared" si="952"/>
        <v xml:space="preserve"> 0.000000  </v>
      </c>
      <c r="BB268" s="43" t="str">
        <f t="shared" si="960"/>
        <v xml:space="preserve"> 0.000000  </v>
      </c>
      <c r="BC268" s="43" t="str">
        <f t="shared" si="961"/>
        <v xml:space="preserve"> 0.000000  </v>
      </c>
      <c r="BD268" s="43" t="str">
        <f t="shared" si="962"/>
        <v xml:space="preserve">_x000D_
                                                                                </v>
      </c>
      <c r="BE268" s="20" t="str">
        <f t="shared" si="937"/>
        <v>-</v>
      </c>
      <c r="BF268" s="20" t="str">
        <f t="shared" si="938"/>
        <v>-</v>
      </c>
      <c r="BG268" s="20" t="str">
        <f t="shared" si="939"/>
        <v xml:space="preserve">1.000   </v>
      </c>
      <c r="BH268" s="20" t="str">
        <f t="shared" si="940"/>
        <v xml:space="preserve">0.000   </v>
      </c>
      <c r="BI268" s="20" t="str">
        <f t="shared" si="941"/>
        <v>-</v>
      </c>
      <c r="BJ268" s="20" t="str">
        <f t="shared" si="942"/>
        <v>-</v>
      </c>
      <c r="BK268" s="20"/>
      <c r="BL268" s="20"/>
      <c r="BM268" s="43" t="str">
        <f t="shared" si="963"/>
        <v>Twb</v>
      </c>
      <c r="BN268" s="43" t="str">
        <f>R268</f>
        <v>Toadb</v>
      </c>
      <c r="BO268" s="43">
        <v>1</v>
      </c>
      <c r="BQ268" s="20"/>
      <c r="BR268" s="43">
        <v>0</v>
      </c>
      <c r="BS268" s="20"/>
      <c r="BT268" s="20"/>
      <c r="BU268" s="147">
        <f t="shared" si="943"/>
        <v>1.1000000000000001</v>
      </c>
      <c r="BV268" s="161"/>
      <c r="BW268" s="147">
        <f t="shared" si="944"/>
        <v>1.1000000000000001</v>
      </c>
      <c r="BY268" s="20"/>
      <c r="BZ268" s="20"/>
    </row>
    <row r="269" spans="2:78" outlineLevel="1" x14ac:dyDescent="0.25">
      <c r="E269" s="43" t="s">
        <v>923</v>
      </c>
      <c r="F269" s="43" t="s">
        <v>771</v>
      </c>
      <c r="G269" s="45" t="s">
        <v>841</v>
      </c>
      <c r="H269" s="43" t="s">
        <v>806</v>
      </c>
      <c r="I269" s="43" t="s">
        <v>660</v>
      </c>
      <c r="J269" s="43" t="s">
        <v>912</v>
      </c>
      <c r="L269" s="43" t="s">
        <v>777</v>
      </c>
      <c r="M269" s="43" t="s">
        <v>793</v>
      </c>
      <c r="N269" s="43" t="str">
        <f t="shared" si="954"/>
        <v>EPDef-VRFSysHtgEIRRatio_fTwbToadbLowSI</v>
      </c>
      <c r="O269" s="43" t="s">
        <v>165</v>
      </c>
      <c r="P269" s="43" t="s">
        <v>288</v>
      </c>
      <c r="Q269" s="43" t="s">
        <v>116</v>
      </c>
      <c r="R269" s="43" t="s">
        <v>460</v>
      </c>
      <c r="S269" s="43" t="s">
        <v>798</v>
      </c>
      <c r="V269" s="48">
        <f>0.87465501/0.8847564161</f>
        <v>0.988582839393777</v>
      </c>
      <c r="W269" s="48">
        <f>-0.01319754/0.8847564161</f>
        <v>-1.491658015680142E-2</v>
      </c>
      <c r="X269" s="48">
        <f>0.00110307/0.8847564161</f>
        <v>1.2467499301811505E-3</v>
      </c>
      <c r="Y269" s="48">
        <f>-0.0133118/0.8847564161</f>
        <v>-1.5045723046212335E-2</v>
      </c>
      <c r="Z269" s="48">
        <f>0.00089017/0.8847564161</f>
        <v>1.0061187280493123E-3</v>
      </c>
      <c r="AA269" s="48">
        <f>-0.00012766/0.8847564161</f>
        <v>-1.4428830091193278E-4</v>
      </c>
      <c r="AB269" s="48"/>
      <c r="AC269" s="48"/>
      <c r="AD269" s="48"/>
      <c r="AE269" s="48"/>
      <c r="AF269" s="48"/>
      <c r="AG269" s="48"/>
      <c r="AH269" s="48"/>
      <c r="AI269" s="48">
        <v>27</v>
      </c>
      <c r="AJ269" s="48">
        <v>15</v>
      </c>
      <c r="AK269" s="48">
        <v>12</v>
      </c>
      <c r="AL269" s="48">
        <v>-20</v>
      </c>
      <c r="AM269" s="40" t="s">
        <v>925</v>
      </c>
      <c r="AO269" s="43">
        <v>1</v>
      </c>
      <c r="AP269" s="166" t="str">
        <f t="shared" si="955"/>
        <v>CrvDblQuad     "EPDef-VRFSysHtgEIRRatio_fTwbToadbLowSI"                         Coef1 =  0.988583  Coef2 = -0.014917  Coef3 =  0.001247  Coef4 = -0.015046  Coef5 =  0.001006  Coef6 = -0.000144  _x000D_
                                                                                MaxVar1 = 27.000   MinVar1 = 15.000   MaxVar2 = 12.000   MinVar2 = -20.000   _x000D_
..</v>
      </c>
      <c r="AQ269" s="167" t="str">
        <f t="shared" si="956"/>
        <v xml:space="preserve">CrvDblQuad     "EPDef-VRFSysHtgEIRRatio_fTwbToadbLowSI"                         Coef1 =  0.988583  Coef2 = -0.014917  Coef3 =  0.001247  Coef4 = -0.015046  Coef5 =  0.001006  Coef6 = -0.000144  </v>
      </c>
      <c r="AR269" s="166" t="str">
        <f t="shared" si="934"/>
        <v xml:space="preserve">_x000D_
                                                                                MaxVar1 = 27.000   MinVar1 = 15.000   MaxVar2 = 12.000   MinVar2 = -20.000   </v>
      </c>
      <c r="AS269" s="166" t="str">
        <f t="shared" si="957"/>
        <v>_x000D_
..</v>
      </c>
      <c r="AT269" s="20" t="str">
        <f t="shared" si="958"/>
        <v>CrvDblQuad</v>
      </c>
      <c r="AU269" s="43" t="str">
        <f t="shared" si="935"/>
        <v xml:space="preserve">     </v>
      </c>
      <c r="AV269" s="62" t="str">
        <f t="shared" si="936"/>
        <v>"EPDef-VRFSysHtgEIRRatio_fTwbToadbLowSI"</v>
      </c>
      <c r="AW269" s="20" t="str">
        <f t="shared" si="959"/>
        <v xml:space="preserve">                         </v>
      </c>
      <c r="AX269" s="43" t="str">
        <f t="shared" si="949"/>
        <v xml:space="preserve"> 0.988583  </v>
      </c>
      <c r="AY269" s="43" t="str">
        <f t="shared" si="950"/>
        <v xml:space="preserve">-0.014917  </v>
      </c>
      <c r="AZ269" s="43" t="str">
        <f t="shared" si="951"/>
        <v xml:space="preserve"> 0.001247  </v>
      </c>
      <c r="BA269" s="43" t="str">
        <f t="shared" si="952"/>
        <v xml:space="preserve">-0.015046  </v>
      </c>
      <c r="BB269" s="43" t="str">
        <f t="shared" si="960"/>
        <v xml:space="preserve"> 0.001006  </v>
      </c>
      <c r="BC269" s="43" t="str">
        <f t="shared" si="961"/>
        <v xml:space="preserve">-0.000144  </v>
      </c>
      <c r="BD269" s="43" t="str">
        <f t="shared" si="962"/>
        <v xml:space="preserve">_x000D_
                                                                                </v>
      </c>
      <c r="BE269" s="20" t="str">
        <f t="shared" si="937"/>
        <v>-</v>
      </c>
      <c r="BF269" s="20" t="str">
        <f t="shared" si="938"/>
        <v>-</v>
      </c>
      <c r="BG269" s="20" t="str">
        <f t="shared" si="939"/>
        <v xml:space="preserve">27.000   </v>
      </c>
      <c r="BH269" s="20" t="str">
        <f t="shared" si="940"/>
        <v xml:space="preserve">15.000   </v>
      </c>
      <c r="BI269" s="20" t="str">
        <f t="shared" si="941"/>
        <v xml:space="preserve">12.000   </v>
      </c>
      <c r="BJ269" s="20" t="str">
        <f t="shared" si="942"/>
        <v xml:space="preserve">-20.000   </v>
      </c>
      <c r="BK269" s="20"/>
      <c r="BL269" s="20"/>
      <c r="BM269" s="43" t="str">
        <f t="shared" si="963"/>
        <v>Twb</v>
      </c>
      <c r="BN269" s="43" t="str">
        <f>R269</f>
        <v>Toadb</v>
      </c>
      <c r="BO269" s="43">
        <v>1</v>
      </c>
      <c r="BQ269" s="20"/>
      <c r="BR269" s="43">
        <v>0</v>
      </c>
      <c r="BS269" s="20"/>
      <c r="BT269" s="20"/>
      <c r="BU269" s="147">
        <f t="shared" si="943"/>
        <v>0.97491300916715673</v>
      </c>
      <c r="BV269" s="161"/>
      <c r="BW269" s="147">
        <f t="shared" si="944"/>
        <v>0.988582839393777</v>
      </c>
      <c r="BY269" s="20"/>
      <c r="BZ269" s="20"/>
    </row>
    <row r="270" spans="2:78" outlineLevel="1" x14ac:dyDescent="0.25">
      <c r="E270" s="43" t="s">
        <v>923</v>
      </c>
      <c r="F270" s="43" t="s">
        <v>772</v>
      </c>
      <c r="G270" s="45" t="s">
        <v>841</v>
      </c>
      <c r="H270" s="43" t="s">
        <v>806</v>
      </c>
      <c r="I270" s="43" t="s">
        <v>660</v>
      </c>
      <c r="J270" s="43" t="s">
        <v>912</v>
      </c>
      <c r="L270" s="43" t="s">
        <v>777</v>
      </c>
      <c r="M270" s="43" t="s">
        <v>794</v>
      </c>
      <c r="N270" s="43" t="str">
        <f t="shared" si="954"/>
        <v>EPDef-VRFSysHtgEIRBdry_fToadbSI</v>
      </c>
      <c r="O270" s="43" t="s">
        <v>230</v>
      </c>
      <c r="P270" s="43" t="s">
        <v>800</v>
      </c>
      <c r="Q270" s="43" t="s">
        <v>460</v>
      </c>
      <c r="V270" s="43">
        <v>-7.6000882000000001</v>
      </c>
      <c r="W270" s="43">
        <v>3.0509001599999999</v>
      </c>
      <c r="X270" s="43">
        <v>-0.1162844</v>
      </c>
      <c r="Y270" s="43">
        <v>0</v>
      </c>
      <c r="AI270" s="43">
        <v>27</v>
      </c>
      <c r="AJ270" s="43">
        <v>15</v>
      </c>
      <c r="AM270" t="s">
        <v>925</v>
      </c>
      <c r="AO270" s="43">
        <v>1</v>
      </c>
      <c r="AP270" s="166" t="str">
        <f t="shared" si="955"/>
        <v>CrvCubic       "EPDef-VRFSysHtgEIRBdry_fToadbSI"                                Coef1 = -7.600088  Coef2 =  3.050900  Coef3 = -0.116284  Coef4 =  0.000000  _x000D_
                                                                                MaxVar1 = 27.000   MinVar1 = 15.000   _x000D_
..</v>
      </c>
      <c r="AQ270" s="167" t="str">
        <f t="shared" si="956"/>
        <v xml:space="preserve">CrvCubic       "EPDef-VRFSysHtgEIRBdry_fToadbSI"                                Coef1 = -7.600088  Coef2 =  3.050900  Coef3 = -0.116284  Coef4 =  0.000000  </v>
      </c>
      <c r="AR270" s="166" t="str">
        <f t="shared" si="934"/>
        <v xml:space="preserve">_x000D_
                                                                                MaxVar1 = 27.000   MinVar1 = 15.000   </v>
      </c>
      <c r="AS270" s="166" t="str">
        <f t="shared" si="957"/>
        <v>_x000D_
..</v>
      </c>
      <c r="AT270" s="20" t="str">
        <f t="shared" si="958"/>
        <v>CrvCubic</v>
      </c>
      <c r="AU270" s="43" t="str">
        <f t="shared" si="935"/>
        <v xml:space="preserve">       </v>
      </c>
      <c r="AV270" s="62" t="str">
        <f t="shared" si="936"/>
        <v>"EPDef-VRFSysHtgEIRBdry_fToadbSI"</v>
      </c>
      <c r="AW270" s="20" t="str">
        <f t="shared" si="959"/>
        <v xml:space="preserve">                                </v>
      </c>
      <c r="AX270" s="43" t="str">
        <f t="shared" si="949"/>
        <v xml:space="preserve">-7.600088  </v>
      </c>
      <c r="AY270" s="43" t="str">
        <f t="shared" si="950"/>
        <v xml:space="preserve"> 3.050900  </v>
      </c>
      <c r="AZ270" s="43" t="str">
        <f t="shared" si="951"/>
        <v xml:space="preserve">-0.116284  </v>
      </c>
      <c r="BA270" s="43" t="str">
        <f t="shared" si="952"/>
        <v xml:space="preserve"> 0.000000  </v>
      </c>
      <c r="BB270" s="43" t="str">
        <f t="shared" si="960"/>
        <v>-</v>
      </c>
      <c r="BC270" s="43" t="str">
        <f t="shared" si="961"/>
        <v>-</v>
      </c>
      <c r="BD270" s="43" t="str">
        <f t="shared" si="962"/>
        <v xml:space="preserve">_x000D_
                                                                                </v>
      </c>
      <c r="BE270" s="20" t="str">
        <f t="shared" si="937"/>
        <v>-</v>
      </c>
      <c r="BF270" s="20" t="str">
        <f t="shared" si="938"/>
        <v>-</v>
      </c>
      <c r="BG270" s="20" t="str">
        <f t="shared" si="939"/>
        <v xml:space="preserve">27.000   </v>
      </c>
      <c r="BH270" s="20" t="str">
        <f t="shared" si="940"/>
        <v xml:space="preserve">15.000   </v>
      </c>
      <c r="BI270" s="20" t="str">
        <f t="shared" si="941"/>
        <v>-</v>
      </c>
      <c r="BJ270" s="20" t="str">
        <f t="shared" si="942"/>
        <v>-</v>
      </c>
      <c r="BK270" s="20"/>
      <c r="BL270" s="20"/>
      <c r="BM270" s="43" t="str">
        <f t="shared" si="963"/>
        <v>Toadb</v>
      </c>
      <c r="BO270" s="43">
        <v>1</v>
      </c>
      <c r="BQ270" s="20"/>
      <c r="BR270" s="43">
        <v>0</v>
      </c>
      <c r="BS270" s="20"/>
      <c r="BT270" s="20"/>
      <c r="BU270" s="147">
        <f t="shared" si="943"/>
        <v>-4.6654724400000003</v>
      </c>
      <c r="BV270" s="161"/>
      <c r="BW270" s="147">
        <f t="shared" si="944"/>
        <v>-7.6000882000000001</v>
      </c>
      <c r="BY270" s="20"/>
      <c r="BZ270" s="20"/>
    </row>
    <row r="271" spans="2:78" outlineLevel="1" x14ac:dyDescent="0.25">
      <c r="E271" s="43" t="s">
        <v>923</v>
      </c>
      <c r="F271" s="43" t="s">
        <v>773</v>
      </c>
      <c r="G271" s="45" t="s">
        <v>841</v>
      </c>
      <c r="H271" s="43" t="s">
        <v>806</v>
      </c>
      <c r="I271" s="43" t="s">
        <v>660</v>
      </c>
      <c r="J271" s="43" t="s">
        <v>912</v>
      </c>
      <c r="L271" s="43" t="s">
        <v>777</v>
      </c>
      <c r="M271" s="43" t="s">
        <v>795</v>
      </c>
      <c r="N271" s="43" t="str">
        <f t="shared" si="954"/>
        <v>EPDef-VRFSysHtgEIRRatio_fTwbToadbHiSI</v>
      </c>
      <c r="O271" s="43" t="s">
        <v>165</v>
      </c>
      <c r="P271" s="43" t="s">
        <v>288</v>
      </c>
      <c r="Q271" s="43" t="s">
        <v>116</v>
      </c>
      <c r="R271" s="43" t="s">
        <v>460</v>
      </c>
      <c r="S271" s="43" t="s">
        <v>799</v>
      </c>
      <c r="V271" s="48">
        <f>2.504005146/0.8847564161</f>
        <v>2.8301633087190674</v>
      </c>
      <c r="W271" s="48">
        <f>-0.05736767/0.8847564161</f>
        <v>-6.4840072313774547E-2</v>
      </c>
      <c r="X271" s="323">
        <f>0.0000407/0.8847564161</f>
        <v>4.6001361797866706E-5</v>
      </c>
      <c r="Y271" s="48">
        <f>-0.12959669/0.8847564161</f>
        <v>-0.14647725367311976</v>
      </c>
      <c r="Z271" s="48">
        <f>0.00135839/0.8847564161</f>
        <v>1.535326532005016E-3</v>
      </c>
      <c r="AA271" s="323">
        <f>0.00317/0.8847564161</f>
        <v>3.5829070491213135E-3</v>
      </c>
      <c r="AB271" s="48"/>
      <c r="AC271" s="48"/>
      <c r="AD271" s="48"/>
      <c r="AE271" s="48"/>
      <c r="AF271" s="48"/>
      <c r="AG271" s="48"/>
      <c r="AH271" s="48"/>
      <c r="AI271" s="48">
        <v>27</v>
      </c>
      <c r="AJ271" s="48">
        <v>15</v>
      </c>
      <c r="AK271" s="48">
        <v>15</v>
      </c>
      <c r="AL271" s="48">
        <v>-10</v>
      </c>
      <c r="AM271" s="40" t="s">
        <v>925</v>
      </c>
      <c r="AO271" s="43">
        <v>1</v>
      </c>
      <c r="AP271" s="166" t="str">
        <f t="shared" si="955"/>
        <v>CrvDblQuad     "EPDef-VRFSysHtgEIRRatio_fTwbToadbHiSI"                          Coef1 =  2.830163  Coef2 = -0.064840  Coef3 =  0.000046  Coef4 = -0.146477  Coef5 =  0.001535  Coef6 =  0.003583  _x000D_
                                                                                MaxVar1 = 27.000   MinVar1 = 15.000   MaxVar2 = 15.000   MinVar2 = -10.000   _x000D_
..</v>
      </c>
      <c r="AQ271" s="167" t="str">
        <f t="shared" si="956"/>
        <v xml:space="preserve">CrvDblQuad     "EPDef-VRFSysHtgEIRRatio_fTwbToadbHiSI"                          Coef1 =  2.830163  Coef2 = -0.064840  Coef3 =  0.000046  Coef4 = -0.146477  Coef5 =  0.001535  Coef6 =  0.003583  </v>
      </c>
      <c r="AR271" s="166" t="str">
        <f t="shared" si="934"/>
        <v xml:space="preserve">_x000D_
                                                                                MaxVar1 = 27.000   MinVar1 = 15.000   MaxVar2 = 15.000   MinVar2 = -10.000   </v>
      </c>
      <c r="AS271" s="166" t="str">
        <f t="shared" si="957"/>
        <v>_x000D_
..</v>
      </c>
      <c r="AT271" s="20" t="str">
        <f t="shared" si="958"/>
        <v>CrvDblQuad</v>
      </c>
      <c r="AU271" s="43" t="str">
        <f t="shared" si="935"/>
        <v xml:space="preserve">     </v>
      </c>
      <c r="AV271" s="62" t="str">
        <f t="shared" si="936"/>
        <v>"EPDef-VRFSysHtgEIRRatio_fTwbToadbHiSI"</v>
      </c>
      <c r="AW271" s="20" t="str">
        <f t="shared" si="959"/>
        <v xml:space="preserve">                          </v>
      </c>
      <c r="AX271" s="43" t="str">
        <f t="shared" si="949"/>
        <v xml:space="preserve"> 2.830163  </v>
      </c>
      <c r="AY271" s="43" t="str">
        <f t="shared" si="950"/>
        <v xml:space="preserve">-0.064840  </v>
      </c>
      <c r="AZ271" s="43" t="str">
        <f t="shared" si="951"/>
        <v xml:space="preserve"> 0.000046  </v>
      </c>
      <c r="BA271" s="43" t="str">
        <f t="shared" si="952"/>
        <v xml:space="preserve">-0.146477  </v>
      </c>
      <c r="BB271" s="43" t="str">
        <f t="shared" si="960"/>
        <v xml:space="preserve"> 0.001535  </v>
      </c>
      <c r="BC271" s="43" t="str">
        <f t="shared" si="961"/>
        <v xml:space="preserve"> 0.003583  </v>
      </c>
      <c r="BD271" s="43" t="str">
        <f t="shared" si="962"/>
        <v xml:space="preserve">_x000D_
                                                                                </v>
      </c>
      <c r="BE271" s="20" t="str">
        <f t="shared" si="937"/>
        <v>-</v>
      </c>
      <c r="BF271" s="20" t="str">
        <f t="shared" si="938"/>
        <v>-</v>
      </c>
      <c r="BG271" s="20" t="str">
        <f t="shared" si="939"/>
        <v xml:space="preserve">27.000   </v>
      </c>
      <c r="BH271" s="20" t="str">
        <f t="shared" si="940"/>
        <v xml:space="preserve">15.000   </v>
      </c>
      <c r="BI271" s="20" t="str">
        <f t="shared" si="941"/>
        <v xml:space="preserve">15.000   </v>
      </c>
      <c r="BJ271" s="20" t="str">
        <f t="shared" si="942"/>
        <v xml:space="preserve">-10.000   </v>
      </c>
      <c r="BK271" s="20"/>
      <c r="BL271" s="20"/>
      <c r="BM271" s="43" t="str">
        <f t="shared" si="963"/>
        <v>Twb</v>
      </c>
      <c r="BN271" s="43" t="str">
        <f>R271</f>
        <v>Toadb</v>
      </c>
      <c r="BO271" s="43">
        <v>1</v>
      </c>
      <c r="BQ271" s="20"/>
      <c r="BR271" s="43">
        <v>0</v>
      </c>
      <c r="BS271" s="20"/>
      <c r="BT271" s="20"/>
      <c r="BU271" s="147">
        <f t="shared" si="943"/>
        <v>2.7653692377670906</v>
      </c>
      <c r="BV271" s="161"/>
      <c r="BW271" s="147">
        <f t="shared" si="944"/>
        <v>2.8301633087190674</v>
      </c>
      <c r="BY271" s="20"/>
      <c r="BZ271" s="20"/>
    </row>
    <row r="272" spans="2:78" outlineLevel="1" x14ac:dyDescent="0.25">
      <c r="E272" s="43" t="s">
        <v>923</v>
      </c>
      <c r="F272" s="43" t="s">
        <v>774</v>
      </c>
      <c r="G272" s="45" t="s">
        <v>841</v>
      </c>
      <c r="H272" s="43" t="s">
        <v>806</v>
      </c>
      <c r="I272" s="43" t="s">
        <v>660</v>
      </c>
      <c r="J272" s="43" t="s">
        <v>912</v>
      </c>
      <c r="L272" s="43" t="s">
        <v>777</v>
      </c>
      <c r="M272" s="43" t="s">
        <v>796</v>
      </c>
      <c r="N272" s="43" t="str">
        <f t="shared" si="954"/>
        <v>EPDef-VRFSysHtgEIRRatio_fPLRLowSI</v>
      </c>
      <c r="O272" s="43" t="s">
        <v>230</v>
      </c>
      <c r="P272" s="43" t="s">
        <v>288</v>
      </c>
      <c r="Q272" s="43" t="s">
        <v>28</v>
      </c>
      <c r="R272" s="43" t="s">
        <v>798</v>
      </c>
      <c r="V272" s="43">
        <v>0.1400093</v>
      </c>
      <c r="W272" s="43">
        <v>0.64150019999999996</v>
      </c>
      <c r="X272" s="43">
        <v>0.13390469999999999</v>
      </c>
      <c r="Y272" s="43">
        <v>8.4585900000000006E-2</v>
      </c>
      <c r="AI272" s="43">
        <v>1</v>
      </c>
      <c r="AJ272" s="43">
        <v>0</v>
      </c>
      <c r="AM272" t="s">
        <v>925</v>
      </c>
      <c r="AO272" s="43">
        <v>1</v>
      </c>
      <c r="AP272" s="166" t="str">
        <f t="shared" si="955"/>
        <v>CrvCubic       "EPDef-VRFSysHtgEIRRatio_fPLRLowSI"                              Coef1 =  0.140009  Coef2 =  0.641500  Coef3 =  0.133905  Coef4 =  0.084586  _x000D_
                                                                                MaxVar1 = 1.000   MinVar1 = 0.000   _x000D_
..</v>
      </c>
      <c r="AQ272" s="167" t="str">
        <f t="shared" si="956"/>
        <v xml:space="preserve">CrvCubic       "EPDef-VRFSysHtgEIRRatio_fPLRLowSI"                              Coef1 =  0.140009  Coef2 =  0.641500  Coef3 =  0.133905  Coef4 =  0.084586  </v>
      </c>
      <c r="AR272" s="166" t="str">
        <f t="shared" si="934"/>
        <v xml:space="preserve">_x000D_
                                                                                MaxVar1 = 1.000   MinVar1 = 0.000   </v>
      </c>
      <c r="AS272" s="166" t="str">
        <f t="shared" si="957"/>
        <v>_x000D_
..</v>
      </c>
      <c r="AT272" s="20" t="str">
        <f t="shared" si="958"/>
        <v>CrvCubic</v>
      </c>
      <c r="AU272" s="43" t="str">
        <f t="shared" si="935"/>
        <v xml:space="preserve">       </v>
      </c>
      <c r="AV272" s="62" t="str">
        <f t="shared" si="936"/>
        <v>"EPDef-VRFSysHtgEIRRatio_fPLRLowSI"</v>
      </c>
      <c r="AW272" s="20" t="str">
        <f t="shared" si="959"/>
        <v xml:space="preserve">                              </v>
      </c>
      <c r="AX272" s="43" t="str">
        <f t="shared" si="949"/>
        <v xml:space="preserve"> 0.140009  </v>
      </c>
      <c r="AY272" s="43" t="str">
        <f t="shared" si="950"/>
        <v xml:space="preserve"> 0.641500  </v>
      </c>
      <c r="AZ272" s="43" t="str">
        <f t="shared" si="951"/>
        <v xml:space="preserve"> 0.133905  </v>
      </c>
      <c r="BA272" s="43" t="str">
        <f t="shared" si="952"/>
        <v xml:space="preserve"> 0.084586  </v>
      </c>
      <c r="BB272" s="43" t="str">
        <f t="shared" si="960"/>
        <v>-</v>
      </c>
      <c r="BC272" s="43" t="str">
        <f t="shared" si="961"/>
        <v>-</v>
      </c>
      <c r="BD272" s="43" t="str">
        <f t="shared" si="962"/>
        <v xml:space="preserve">_x000D_
                                                                                </v>
      </c>
      <c r="BE272" s="20" t="str">
        <f t="shared" si="937"/>
        <v>-</v>
      </c>
      <c r="BF272" s="20" t="str">
        <f t="shared" si="938"/>
        <v>-</v>
      </c>
      <c r="BG272" s="20" t="str">
        <f t="shared" si="939"/>
        <v xml:space="preserve">1.000   </v>
      </c>
      <c r="BH272" s="20" t="str">
        <f t="shared" si="940"/>
        <v xml:space="preserve">0.000   </v>
      </c>
      <c r="BI272" s="20" t="str">
        <f t="shared" si="941"/>
        <v>-</v>
      </c>
      <c r="BJ272" s="20" t="str">
        <f t="shared" si="942"/>
        <v>-</v>
      </c>
      <c r="BK272" s="20"/>
      <c r="BL272" s="20"/>
      <c r="BM272" s="43" t="str">
        <f t="shared" si="963"/>
        <v>PLR</v>
      </c>
      <c r="BN272" s="43" t="str">
        <f>R272</f>
        <v>Low</v>
      </c>
      <c r="BO272" s="43">
        <v>1</v>
      </c>
      <c r="BQ272" s="20"/>
      <c r="BR272" s="43">
        <v>0</v>
      </c>
      <c r="BS272" s="20"/>
      <c r="BT272" s="20"/>
      <c r="BU272" s="147">
        <f t="shared" si="943"/>
        <v>0.91541419999999996</v>
      </c>
      <c r="BV272" s="161"/>
      <c r="BW272" s="147">
        <f t="shared" si="944"/>
        <v>0.1400093</v>
      </c>
      <c r="BY272" s="20"/>
      <c r="BZ272" s="20"/>
    </row>
    <row r="273" spans="2:78" outlineLevel="1" x14ac:dyDescent="0.25">
      <c r="E273" s="43" t="s">
        <v>923</v>
      </c>
      <c r="F273" s="43" t="s">
        <v>775</v>
      </c>
      <c r="G273" s="45" t="s">
        <v>841</v>
      </c>
      <c r="H273" s="43" t="s">
        <v>806</v>
      </c>
      <c r="I273" s="43" t="s">
        <v>660</v>
      </c>
      <c r="J273" s="43" t="s">
        <v>912</v>
      </c>
      <c r="L273" s="43" t="s">
        <v>777</v>
      </c>
      <c r="M273" s="43" t="s">
        <v>797</v>
      </c>
      <c r="N273" s="43" t="str">
        <f t="shared" si="954"/>
        <v>EPDef-VRFSysHtgEIRRatio_fPLRHiSI</v>
      </c>
      <c r="O273" s="43" t="s">
        <v>162</v>
      </c>
      <c r="P273" s="43" t="s">
        <v>288</v>
      </c>
      <c r="Q273" s="43" t="s">
        <v>28</v>
      </c>
      <c r="R273" s="43" t="s">
        <v>799</v>
      </c>
      <c r="V273" s="46">
        <v>2.4294359999999999</v>
      </c>
      <c r="W273" s="46">
        <v>-2.235887</v>
      </c>
      <c r="X273" s="46">
        <v>0.80645199999999995</v>
      </c>
      <c r="AI273" s="43">
        <v>1.5</v>
      </c>
      <c r="AJ273" s="43">
        <v>1</v>
      </c>
      <c r="AM273" t="s">
        <v>925</v>
      </c>
      <c r="AO273" s="43">
        <v>1</v>
      </c>
      <c r="AP273" s="166" t="str">
        <f t="shared" si="955"/>
        <v>CrvQuad        "EPDef-VRFSysHtgEIRRatio_fPLRHiSI"                               Coef1 =  2.429436  Coef2 = -2.235887  Coef3 =  0.806452  _x000D_
                                                                                MaxVar1 = 1.500   MinVar1 = 1.000   _x000D_
..</v>
      </c>
      <c r="AQ273" s="167" t="str">
        <f t="shared" si="956"/>
        <v xml:space="preserve">CrvQuad        "EPDef-VRFSysHtgEIRRatio_fPLRHiSI"                               Coef1 =  2.429436  Coef2 = -2.235887  Coef3 =  0.806452  </v>
      </c>
      <c r="AR273" s="166" t="str">
        <f t="shared" si="934"/>
        <v xml:space="preserve">_x000D_
                                                                                MaxVar1 = 1.500   MinVar1 = 1.000   </v>
      </c>
      <c r="AS273" s="166" t="str">
        <f t="shared" si="957"/>
        <v>_x000D_
..</v>
      </c>
      <c r="AT273" s="20" t="str">
        <f t="shared" si="958"/>
        <v>CrvQuad</v>
      </c>
      <c r="AU273" s="43" t="str">
        <f t="shared" si="935"/>
        <v xml:space="preserve">        </v>
      </c>
      <c r="AV273" s="62" t="str">
        <f t="shared" si="936"/>
        <v>"EPDef-VRFSysHtgEIRRatio_fPLRHiSI"</v>
      </c>
      <c r="AW273" s="20" t="str">
        <f t="shared" si="959"/>
        <v xml:space="preserve">                               </v>
      </c>
      <c r="AX273" s="43" t="str">
        <f t="shared" si="949"/>
        <v xml:space="preserve"> 2.429436  </v>
      </c>
      <c r="AY273" s="43" t="str">
        <f t="shared" si="950"/>
        <v xml:space="preserve">-2.235887  </v>
      </c>
      <c r="AZ273" s="43" t="str">
        <f t="shared" si="951"/>
        <v xml:space="preserve"> 0.806452  </v>
      </c>
      <c r="BA273" s="43" t="str">
        <f t="shared" si="952"/>
        <v>-</v>
      </c>
      <c r="BB273" s="43" t="str">
        <f t="shared" si="960"/>
        <v>-</v>
      </c>
      <c r="BC273" s="43" t="str">
        <f t="shared" si="961"/>
        <v>-</v>
      </c>
      <c r="BD273" s="43" t="str">
        <f t="shared" si="962"/>
        <v xml:space="preserve">_x000D_
                                                                                </v>
      </c>
      <c r="BE273" s="20" t="str">
        <f t="shared" si="937"/>
        <v>-</v>
      </c>
      <c r="BF273" s="20" t="str">
        <f t="shared" si="938"/>
        <v>-</v>
      </c>
      <c r="BG273" s="20" t="str">
        <f t="shared" si="939"/>
        <v xml:space="preserve">1.500   </v>
      </c>
      <c r="BH273" s="20" t="str">
        <f t="shared" si="940"/>
        <v xml:space="preserve">1.000   </v>
      </c>
      <c r="BI273" s="20" t="str">
        <f t="shared" si="941"/>
        <v>-</v>
      </c>
      <c r="BJ273" s="20" t="str">
        <f t="shared" si="942"/>
        <v>-</v>
      </c>
      <c r="BK273" s="20"/>
      <c r="BL273" s="20"/>
      <c r="BM273" s="43" t="str">
        <f t="shared" si="963"/>
        <v>PLR</v>
      </c>
      <c r="BN273" s="43" t="str">
        <f>R273</f>
        <v>Hi</v>
      </c>
      <c r="BO273" s="43">
        <v>1</v>
      </c>
      <c r="BQ273" s="20"/>
      <c r="BR273" s="43">
        <v>0</v>
      </c>
      <c r="BS273" s="20"/>
      <c r="BT273" s="20"/>
      <c r="BU273" s="147">
        <f t="shared" si="943"/>
        <v>1.0000009999999999</v>
      </c>
      <c r="BV273" s="161"/>
      <c r="BW273" s="147">
        <f t="shared" si="944"/>
        <v>2.4294359999999999</v>
      </c>
      <c r="BY273" s="20"/>
      <c r="BZ273" s="20"/>
    </row>
    <row r="274" spans="2:78" outlineLevel="1" x14ac:dyDescent="0.25">
      <c r="E274" s="43" t="s">
        <v>923</v>
      </c>
      <c r="F274" s="43" t="s">
        <v>809</v>
      </c>
      <c r="G274" s="45" t="s">
        <v>841</v>
      </c>
      <c r="H274" s="43" t="s">
        <v>806</v>
      </c>
      <c r="I274" s="43" t="s">
        <v>660</v>
      </c>
      <c r="J274" s="43" t="s">
        <v>912</v>
      </c>
      <c r="L274" s="43" t="s">
        <v>777</v>
      </c>
      <c r="M274" s="43" t="s">
        <v>812</v>
      </c>
      <c r="N274" s="43" t="str">
        <f t="shared" si="954"/>
        <v>EPDef-VRFSysHtgEIRRatio_fCycRatSI</v>
      </c>
      <c r="O274" s="43" t="s">
        <v>230</v>
      </c>
      <c r="P274" s="43" t="s">
        <v>288</v>
      </c>
      <c r="Q274" s="43" t="s">
        <v>804</v>
      </c>
      <c r="V274" s="46">
        <v>0.85</v>
      </c>
      <c r="W274" s="46">
        <v>0.15</v>
      </c>
      <c r="X274" s="46">
        <v>0</v>
      </c>
      <c r="Y274" s="46">
        <v>0</v>
      </c>
      <c r="AI274" s="43">
        <v>1</v>
      </c>
      <c r="AJ274" s="43">
        <v>0</v>
      </c>
      <c r="AM274" t="s">
        <v>925</v>
      </c>
      <c r="AO274" s="43">
        <v>1</v>
      </c>
      <c r="AP274" s="166" t="str">
        <f t="shared" si="955"/>
        <v>CrvCubic       "EPDef-VRFSysHtgEIRRatio_fCycRatSI"                              Coef1 =  0.850000  Coef2 =  0.150000  Coef3 =  0.000000  Coef4 =  0.000000  _x000D_
                                                                                MaxVar1 = 1.000   MinVar1 = 0.000   _x000D_
..</v>
      </c>
      <c r="AQ274" s="167" t="str">
        <f t="shared" si="956"/>
        <v xml:space="preserve">CrvCubic       "EPDef-VRFSysHtgEIRRatio_fCycRatSI"                              Coef1 =  0.850000  Coef2 =  0.150000  Coef3 =  0.000000  Coef4 =  0.000000  </v>
      </c>
      <c r="AR274" s="166" t="str">
        <f t="shared" si="934"/>
        <v xml:space="preserve">_x000D_
                                                                                MaxVar1 = 1.000   MinVar1 = 0.000   </v>
      </c>
      <c r="AS274" s="166" t="str">
        <f t="shared" si="957"/>
        <v>_x000D_
..</v>
      </c>
      <c r="AT274" s="20" t="str">
        <f t="shared" si="958"/>
        <v>CrvCubic</v>
      </c>
      <c r="AU274" s="43" t="str">
        <f t="shared" si="935"/>
        <v xml:space="preserve">       </v>
      </c>
      <c r="AV274" s="62" t="str">
        <f t="shared" si="936"/>
        <v>"EPDef-VRFSysHtgEIRRatio_fCycRatSI"</v>
      </c>
      <c r="AW274" s="20" t="str">
        <f t="shared" si="959"/>
        <v xml:space="preserve">                              </v>
      </c>
      <c r="AX274" s="43" t="str">
        <f t="shared" si="949"/>
        <v xml:space="preserve"> 0.850000  </v>
      </c>
      <c r="AY274" s="43" t="str">
        <f t="shared" si="950"/>
        <v xml:space="preserve"> 0.150000  </v>
      </c>
      <c r="AZ274" s="43" t="str">
        <f t="shared" si="951"/>
        <v xml:space="preserve"> 0.000000  </v>
      </c>
      <c r="BA274" s="43" t="str">
        <f t="shared" si="952"/>
        <v xml:space="preserve"> 0.000000  </v>
      </c>
      <c r="BB274" s="43" t="str">
        <f t="shared" si="960"/>
        <v>-</v>
      </c>
      <c r="BC274" s="43" t="str">
        <f t="shared" si="961"/>
        <v>-</v>
      </c>
      <c r="BD274" s="43" t="str">
        <f t="shared" si="962"/>
        <v xml:space="preserve">_x000D_
                                                                                </v>
      </c>
      <c r="BE274" s="20" t="str">
        <f t="shared" si="937"/>
        <v>-</v>
      </c>
      <c r="BF274" s="20" t="str">
        <f t="shared" si="938"/>
        <v>-</v>
      </c>
      <c r="BG274" s="20" t="str">
        <f t="shared" si="939"/>
        <v xml:space="preserve">1.000   </v>
      </c>
      <c r="BH274" s="20" t="str">
        <f t="shared" si="940"/>
        <v xml:space="preserve">0.000   </v>
      </c>
      <c r="BI274" s="20" t="str">
        <f t="shared" si="941"/>
        <v>-</v>
      </c>
      <c r="BJ274" s="20" t="str">
        <f t="shared" si="942"/>
        <v>-</v>
      </c>
      <c r="BK274" s="20"/>
      <c r="BL274" s="20"/>
      <c r="BM274" s="43" t="str">
        <f t="shared" si="963"/>
        <v>CycRat</v>
      </c>
      <c r="BO274" s="43">
        <v>1</v>
      </c>
      <c r="BQ274" s="20"/>
      <c r="BR274" s="43">
        <v>0</v>
      </c>
      <c r="BS274" s="20"/>
      <c r="BT274" s="20"/>
      <c r="BU274" s="147">
        <f t="shared" si="943"/>
        <v>1</v>
      </c>
      <c r="BV274" s="161"/>
      <c r="BW274" s="147">
        <f t="shared" si="944"/>
        <v>0.85</v>
      </c>
      <c r="BY274" s="20"/>
      <c r="BZ274" s="20"/>
    </row>
    <row r="275" spans="2:78" outlineLevel="1" x14ac:dyDescent="0.25">
      <c r="B275" s="184"/>
      <c r="E275" s="43" t="s">
        <v>923</v>
      </c>
      <c r="F275" s="43" t="s">
        <v>776</v>
      </c>
      <c r="G275" s="45" t="s">
        <v>841</v>
      </c>
      <c r="H275" s="43" t="s">
        <v>808</v>
      </c>
      <c r="I275" s="43" t="s">
        <v>660</v>
      </c>
      <c r="J275" s="43" t="s">
        <v>912</v>
      </c>
      <c r="L275" s="43" t="s">
        <v>777</v>
      </c>
      <c r="M275" s="43" t="s">
        <v>811</v>
      </c>
      <c r="N275" s="43" t="str">
        <f t="shared" si="954"/>
        <v>EPDef-VRFSysHtRcvryHtgEIRRatio_fTwbToadbSI</v>
      </c>
      <c r="O275" s="43" t="s">
        <v>165</v>
      </c>
      <c r="P275" s="43" t="s">
        <v>288</v>
      </c>
      <c r="Q275" s="43" t="s">
        <v>116</v>
      </c>
      <c r="R275" s="43" t="s">
        <v>460</v>
      </c>
      <c r="V275" s="46">
        <v>1.1000000000000001</v>
      </c>
      <c r="W275" s="46">
        <v>0</v>
      </c>
      <c r="X275" s="46">
        <v>0</v>
      </c>
      <c r="Y275" s="46">
        <v>0</v>
      </c>
      <c r="Z275" s="46">
        <v>0</v>
      </c>
      <c r="AA275" s="46">
        <v>0</v>
      </c>
      <c r="AI275" s="43">
        <v>1</v>
      </c>
      <c r="AJ275" s="43">
        <v>0</v>
      </c>
      <c r="AM275" s="40" t="s">
        <v>924</v>
      </c>
      <c r="AO275" s="43">
        <v>1</v>
      </c>
      <c r="AP275" s="166" t="str">
        <f t="shared" si="955"/>
        <v>CrvDblQuad     "EPDef-VRFSysHtRcvryHtgEIRRatio_fTwbToadbSI"                     Coef1 =  1.100000  Coef2 =  0.000000  Coef3 =  0.000000  Coef4 =  0.000000  Coef5 =  0.000000  Coef6 =  0.000000  _x000D_
                                                                                MaxVar1 = 1.000   MinVar1 = 0.000   _x000D_
..</v>
      </c>
      <c r="AQ275" s="167" t="str">
        <f t="shared" si="956"/>
        <v xml:space="preserve">CrvDblQuad     "EPDef-VRFSysHtRcvryHtgEIRRatio_fTwbToadbSI"                     Coef1 =  1.100000  Coef2 =  0.000000  Coef3 =  0.000000  Coef4 =  0.000000  Coef5 =  0.000000  Coef6 =  0.000000  </v>
      </c>
      <c r="AR275" s="166" t="str">
        <f t="shared" si="934"/>
        <v xml:space="preserve">_x000D_
                                                                                MaxVar1 = 1.000   MinVar1 = 0.000   </v>
      </c>
      <c r="AS275" s="166" t="str">
        <f t="shared" si="957"/>
        <v>_x000D_
..</v>
      </c>
      <c r="AT275" s="20" t="str">
        <f t="shared" si="958"/>
        <v>CrvDblQuad</v>
      </c>
      <c r="AU275" s="43" t="str">
        <f t="shared" si="935"/>
        <v xml:space="preserve">     </v>
      </c>
      <c r="AV275" s="62" t="str">
        <f t="shared" si="936"/>
        <v>"EPDef-VRFSysHtRcvryHtgEIRRatio_fTwbToadbSI"</v>
      </c>
      <c r="AW275" s="20" t="str">
        <f t="shared" si="959"/>
        <v xml:space="preserve">                     </v>
      </c>
      <c r="AX275" s="43" t="str">
        <f t="shared" si="949"/>
        <v xml:space="preserve"> 1.100000  </v>
      </c>
      <c r="AY275" s="43" t="str">
        <f t="shared" si="950"/>
        <v xml:space="preserve"> 0.000000  </v>
      </c>
      <c r="AZ275" s="43" t="str">
        <f t="shared" si="951"/>
        <v xml:space="preserve"> 0.000000  </v>
      </c>
      <c r="BA275" s="43" t="str">
        <f t="shared" si="952"/>
        <v xml:space="preserve"> 0.000000  </v>
      </c>
      <c r="BB275" s="43" t="str">
        <f t="shared" si="960"/>
        <v xml:space="preserve"> 0.000000  </v>
      </c>
      <c r="BC275" s="43" t="str">
        <f t="shared" si="961"/>
        <v xml:space="preserve"> 0.000000  </v>
      </c>
      <c r="BD275" s="43" t="str">
        <f t="shared" si="962"/>
        <v xml:space="preserve">_x000D_
                                                                                </v>
      </c>
      <c r="BE275" s="20" t="str">
        <f t="shared" si="937"/>
        <v>-</v>
      </c>
      <c r="BF275" s="20" t="str">
        <f t="shared" si="938"/>
        <v>-</v>
      </c>
      <c r="BG275" s="20" t="str">
        <f t="shared" si="939"/>
        <v xml:space="preserve">1.000   </v>
      </c>
      <c r="BH275" s="20" t="str">
        <f t="shared" si="940"/>
        <v xml:space="preserve">0.000   </v>
      </c>
      <c r="BI275" s="20" t="str">
        <f t="shared" si="941"/>
        <v>-</v>
      </c>
      <c r="BJ275" s="20" t="str">
        <f t="shared" si="942"/>
        <v>-</v>
      </c>
      <c r="BK275" s="20"/>
      <c r="BL275" s="20"/>
      <c r="BM275" s="43" t="str">
        <f t="shared" si="963"/>
        <v>Twb</v>
      </c>
      <c r="BN275" s="43" t="str">
        <f>R275</f>
        <v>Toadb</v>
      </c>
      <c r="BO275" s="43">
        <v>1</v>
      </c>
      <c r="BQ275" s="20"/>
      <c r="BR275" s="43">
        <v>0</v>
      </c>
      <c r="BS275" s="20"/>
      <c r="BT275" s="20"/>
      <c r="BU275" s="147">
        <f t="shared" si="943"/>
        <v>1.1000000000000001</v>
      </c>
      <c r="BV275" s="161"/>
      <c r="BW275" s="147">
        <f t="shared" si="944"/>
        <v>1.1000000000000001</v>
      </c>
      <c r="BY275" s="20"/>
      <c r="BZ275" s="20"/>
    </row>
    <row r="276" spans="2:78" outlineLevel="1" x14ac:dyDescent="0.25">
      <c r="B276" s="43" t="s">
        <v>926</v>
      </c>
      <c r="D276" s="44" t="s">
        <v>816</v>
      </c>
      <c r="E276" s="43" t="s">
        <v>923</v>
      </c>
      <c r="F276" s="43" t="s">
        <v>817</v>
      </c>
      <c r="G276" s="45" t="s">
        <v>841</v>
      </c>
      <c r="H276" s="43" t="s">
        <v>805</v>
      </c>
      <c r="I276" s="43" t="s">
        <v>660</v>
      </c>
      <c r="J276" s="43" t="s">
        <v>912</v>
      </c>
      <c r="L276" s="43" t="s">
        <v>777</v>
      </c>
      <c r="M276" s="43" t="s">
        <v>819</v>
      </c>
      <c r="N276" s="43" t="str">
        <f t="shared" si="954"/>
        <v>EPDef-VRFSysClgPipeLoss_fLenCombRatSI</v>
      </c>
      <c r="O276" s="43" t="s">
        <v>165</v>
      </c>
      <c r="P276" s="43" t="s">
        <v>821</v>
      </c>
      <c r="Q276" s="43" t="s">
        <v>822</v>
      </c>
      <c r="R276" s="43" t="s">
        <v>802</v>
      </c>
      <c r="V276" s="46">
        <v>1.0693790000000001</v>
      </c>
      <c r="W276" s="46">
        <v>-1.495E-3</v>
      </c>
      <c r="X276" s="46">
        <v>3.0000000000000001E-6</v>
      </c>
      <c r="Y276" s="46">
        <v>-0.11511</v>
      </c>
      <c r="Z276" s="46">
        <v>5.1117000000000003E-2</v>
      </c>
      <c r="AA276" s="46">
        <v>-4.37E-4</v>
      </c>
      <c r="AI276" s="43">
        <v>175</v>
      </c>
      <c r="AJ276" s="43">
        <v>8</v>
      </c>
      <c r="AK276" s="43">
        <v>1.5</v>
      </c>
      <c r="AL276" s="43">
        <v>0.5</v>
      </c>
      <c r="AM276" t="s">
        <v>925</v>
      </c>
      <c r="AO276" s="43">
        <v>1</v>
      </c>
      <c r="AP276" s="166" t="str">
        <f t="shared" si="955"/>
        <v>CrvDblQuad     "EPDef-VRFSysClgPipeLoss_fLenCombRatSI"                          Coef1 =  1.069379  Coef2 = -0.001495  Coef3 =  0.000003  Coef4 = -0.115110  Coef5 =  0.051117  Coef6 = -0.000437  _x000D_
                                                                                MaxVar1 = 175.000   MinVar1 = 8.000   MaxVar2 = 1.500   MinVar2 = 0.500   _x000D_
..</v>
      </c>
      <c r="AQ276" s="167" t="str">
        <f t="shared" si="956"/>
        <v xml:space="preserve">CrvDblQuad     "EPDef-VRFSysClgPipeLoss_fLenCombRatSI"                          Coef1 =  1.069379  Coef2 = -0.001495  Coef3 =  0.000003  Coef4 = -0.115110  Coef5 =  0.051117  Coef6 = -0.000437  </v>
      </c>
      <c r="AR276" s="166" t="str">
        <f t="shared" ref="AR276:AR277" si="964">IF(AO276=1,CONCATENATE(BD276,IF(BE276="-","",$BE$15&amp;BE276),IF(BF276="-","",$BF$15&amp;BF276),IF(BG276="-","",$BG$15&amp;BG276),IF(BH276="-","",$BH$15&amp;BH276),IF(BI276="-","",$BI$15&amp;BI276),IF(BJ276="-","",$BJ$15&amp;BJ276)),"")</f>
        <v xml:space="preserve">_x000D_
                                                                                MaxVar1 = 175.000   MinVar1 = 8.000   MaxVar2 = 1.500   MinVar2 = 0.500   </v>
      </c>
      <c r="AS276" s="166" t="str">
        <f t="shared" si="957"/>
        <v>_x000D_
..</v>
      </c>
      <c r="AT276" s="20" t="str">
        <f t="shared" si="958"/>
        <v>CrvDblQuad</v>
      </c>
      <c r="AU276" s="43" t="str">
        <f t="shared" si="935"/>
        <v xml:space="preserve">     </v>
      </c>
      <c r="AV276" s="62" t="str">
        <f t="shared" si="936"/>
        <v>"EPDef-VRFSysClgPipeLoss_fLenCombRatSI"</v>
      </c>
      <c r="AW276" s="20" t="str">
        <f t="shared" si="959"/>
        <v xml:space="preserve">                          </v>
      </c>
      <c r="AX276" s="43" t="str">
        <f t="shared" si="949"/>
        <v xml:space="preserve"> 1.069379  </v>
      </c>
      <c r="AY276" s="43" t="str">
        <f t="shared" si="950"/>
        <v xml:space="preserve">-0.001495  </v>
      </c>
      <c r="AZ276" s="43" t="str">
        <f t="shared" si="951"/>
        <v xml:space="preserve"> 0.000003  </v>
      </c>
      <c r="BA276" s="43" t="str">
        <f t="shared" si="952"/>
        <v xml:space="preserve">-0.115110  </v>
      </c>
      <c r="BB276" s="43" t="str">
        <f t="shared" si="960"/>
        <v xml:space="preserve"> 0.051117  </v>
      </c>
      <c r="BC276" s="43" t="str">
        <f t="shared" si="961"/>
        <v xml:space="preserve">-0.000437  </v>
      </c>
      <c r="BD276" s="43" t="str">
        <f t="shared" si="962"/>
        <v xml:space="preserve">_x000D_
                                                                                </v>
      </c>
      <c r="BE276" s="20" t="str">
        <f t="shared" si="937"/>
        <v>-</v>
      </c>
      <c r="BF276" s="20" t="str">
        <f t="shared" si="938"/>
        <v>-</v>
      </c>
      <c r="BG276" s="20" t="str">
        <f t="shared" si="939"/>
        <v xml:space="preserve">175.000   </v>
      </c>
      <c r="BH276" s="20" t="str">
        <f t="shared" si="940"/>
        <v xml:space="preserve">8.000   </v>
      </c>
      <c r="BI276" s="20" t="str">
        <f t="shared" si="941"/>
        <v xml:space="preserve">1.500   </v>
      </c>
      <c r="BJ276" s="20" t="str">
        <f t="shared" si="942"/>
        <v xml:space="preserve">0.500   </v>
      </c>
      <c r="BK276" s="20"/>
      <c r="BL276" s="20"/>
      <c r="BM276" s="43" t="str">
        <f t="shared" si="963"/>
        <v>Len</v>
      </c>
      <c r="BO276" s="43">
        <v>1</v>
      </c>
      <c r="BQ276" s="20"/>
      <c r="BR276" s="43">
        <v>0</v>
      </c>
      <c r="BS276" s="20"/>
      <c r="BT276" s="20"/>
      <c r="BU276" s="147">
        <f t="shared" si="943"/>
        <v>1.067887</v>
      </c>
      <c r="BV276" s="161"/>
      <c r="BW276" s="147">
        <f t="shared" si="944"/>
        <v>1.0693790000000001</v>
      </c>
      <c r="BY276" s="20"/>
      <c r="BZ276" s="20"/>
    </row>
    <row r="277" spans="2:78" outlineLevel="1" x14ac:dyDescent="0.25">
      <c r="B277" s="184"/>
      <c r="E277" s="43" t="s">
        <v>923</v>
      </c>
      <c r="F277" s="43" t="s">
        <v>818</v>
      </c>
      <c r="G277" s="45" t="s">
        <v>841</v>
      </c>
      <c r="H277" s="43" t="s">
        <v>806</v>
      </c>
      <c r="I277" s="43" t="s">
        <v>660</v>
      </c>
      <c r="J277" s="43" t="s">
        <v>912</v>
      </c>
      <c r="L277" s="43" t="s">
        <v>777</v>
      </c>
      <c r="M277" s="43" t="s">
        <v>820</v>
      </c>
      <c r="N277" s="43" t="str">
        <f t="shared" si="954"/>
        <v>EPDef-VRFSysHtgPipeLoss_fLenCombRatSI</v>
      </c>
      <c r="O277" s="43" t="s">
        <v>165</v>
      </c>
      <c r="P277" s="43" t="s">
        <v>821</v>
      </c>
      <c r="Q277" s="43" t="s">
        <v>822</v>
      </c>
      <c r="R277" s="43" t="s">
        <v>802</v>
      </c>
      <c r="V277" s="46">
        <v>1.0693790000000001</v>
      </c>
      <c r="W277" s="46">
        <v>-1.495E-3</v>
      </c>
      <c r="X277" s="46">
        <v>3.0000000000000001E-6</v>
      </c>
      <c r="Y277" s="46">
        <v>-0.11511</v>
      </c>
      <c r="Z277" s="46">
        <v>5.1117000000000003E-2</v>
      </c>
      <c r="AA277" s="46">
        <v>-4.37E-4</v>
      </c>
      <c r="AI277" s="43">
        <v>175</v>
      </c>
      <c r="AJ277" s="43">
        <v>8</v>
      </c>
      <c r="AK277" s="43">
        <v>1.5</v>
      </c>
      <c r="AL277" s="43">
        <v>0.5</v>
      </c>
      <c r="AM277" t="s">
        <v>925</v>
      </c>
      <c r="AO277" s="43">
        <v>1</v>
      </c>
      <c r="AP277" s="166" t="str">
        <f t="shared" si="955"/>
        <v>CrvDblQuad     "EPDef-VRFSysHtgPipeLoss_fLenCombRatSI"                          Coef1 =  1.069379  Coef2 = -0.001495  Coef3 =  0.000003  Coef4 = -0.115110  Coef5 =  0.051117  Coef6 = -0.000437  _x000D_
                                                                                MaxVar1 = 175.000   MinVar1 = 8.000   MaxVar2 = 1.500   MinVar2 = 0.500   _x000D_
..</v>
      </c>
      <c r="AQ277" s="167" t="str">
        <f t="shared" si="956"/>
        <v xml:space="preserve">CrvDblQuad     "EPDef-VRFSysHtgPipeLoss_fLenCombRatSI"                          Coef1 =  1.069379  Coef2 = -0.001495  Coef3 =  0.000003  Coef4 = -0.115110  Coef5 =  0.051117  Coef6 = -0.000437  </v>
      </c>
      <c r="AR277" s="166" t="str">
        <f t="shared" si="964"/>
        <v xml:space="preserve">_x000D_
                                                                                MaxVar1 = 175.000   MinVar1 = 8.000   MaxVar2 = 1.500   MinVar2 = 0.500   </v>
      </c>
      <c r="AS277" s="166" t="str">
        <f t="shared" si="957"/>
        <v>_x000D_
..</v>
      </c>
      <c r="AT277" s="20" t="str">
        <f t="shared" si="958"/>
        <v>CrvDblQuad</v>
      </c>
      <c r="AU277" s="43" t="str">
        <f t="shared" si="935"/>
        <v xml:space="preserve">     </v>
      </c>
      <c r="AV277" s="62" t="str">
        <f t="shared" si="936"/>
        <v>"EPDef-VRFSysHtgPipeLoss_fLenCombRatSI"</v>
      </c>
      <c r="AW277" s="20" t="str">
        <f t="shared" si="959"/>
        <v xml:space="preserve">                          </v>
      </c>
      <c r="AX277" s="43" t="str">
        <f t="shared" si="949"/>
        <v xml:space="preserve"> 1.069379  </v>
      </c>
      <c r="AY277" s="43" t="str">
        <f t="shared" si="950"/>
        <v xml:space="preserve">-0.001495  </v>
      </c>
      <c r="AZ277" s="43" t="str">
        <f t="shared" si="951"/>
        <v xml:space="preserve"> 0.000003  </v>
      </c>
      <c r="BA277" s="43" t="str">
        <f t="shared" si="952"/>
        <v xml:space="preserve">-0.115110  </v>
      </c>
      <c r="BB277" s="43" t="str">
        <f t="shared" si="960"/>
        <v xml:space="preserve"> 0.051117  </v>
      </c>
      <c r="BC277" s="43" t="str">
        <f t="shared" si="961"/>
        <v xml:space="preserve">-0.000437  </v>
      </c>
      <c r="BD277" s="43" t="str">
        <f t="shared" si="962"/>
        <v xml:space="preserve">_x000D_
                                                                                </v>
      </c>
      <c r="BE277" s="20" t="str">
        <f t="shared" si="937"/>
        <v>-</v>
      </c>
      <c r="BF277" s="20" t="str">
        <f t="shared" si="938"/>
        <v>-</v>
      </c>
      <c r="BG277" s="20" t="str">
        <f t="shared" si="939"/>
        <v xml:space="preserve">175.000   </v>
      </c>
      <c r="BH277" s="20" t="str">
        <f t="shared" si="940"/>
        <v xml:space="preserve">8.000   </v>
      </c>
      <c r="BI277" s="20" t="str">
        <f t="shared" si="941"/>
        <v xml:space="preserve">1.500   </v>
      </c>
      <c r="BJ277" s="20" t="str">
        <f t="shared" si="942"/>
        <v xml:space="preserve">0.500   </v>
      </c>
      <c r="BK277" s="20"/>
      <c r="BL277" s="20"/>
      <c r="BM277" s="43" t="str">
        <f t="shared" si="963"/>
        <v>Len</v>
      </c>
      <c r="BO277" s="43">
        <v>1</v>
      </c>
      <c r="BQ277" s="20"/>
      <c r="BR277" s="43">
        <v>0</v>
      </c>
      <c r="BS277" s="20"/>
      <c r="BT277" s="20"/>
      <c r="BU277" s="147">
        <f t="shared" si="943"/>
        <v>1.067887</v>
      </c>
      <c r="BV277" s="161"/>
      <c r="BW277" s="147">
        <f t="shared" si="944"/>
        <v>1.0693790000000001</v>
      </c>
      <c r="BY277" s="20"/>
      <c r="BZ277" s="20"/>
    </row>
  </sheetData>
  <autoFilter ref="B15:AO15" xr:uid="{00000000-0009-0000-0000-000000000000}"/>
  <mergeCells count="2">
    <mergeCell ref="P13:U13"/>
    <mergeCell ref="AP14:AP15"/>
  </mergeCells>
  <conditionalFormatting sqref="BU16:BU22 BU86:BU98 BU44:BU84 BU26:BU42 BU100:BU162 BU165:BU176 BU178:BU181 BU184:BU197 BU199:BU207 BU209:BU221 BU223:BU225 BU237:BU249 BU251 BU227:BU235">
    <cfRule type="expression" dxfId="255" priority="712">
      <formula>IF(BU15=BU16,TRUE,FALSE)</formula>
    </cfRule>
    <cfRule type="expression" dxfId="254" priority="728">
      <formula>IF(AND(OR($BU16&gt;$BU$11,$BU16&lt;$BU$12),$BU16&lt;&gt;0),TRUE,FALSE)</formula>
    </cfRule>
    <cfRule type="expression" dxfId="253" priority="729">
      <formula>IF(AND($BU16&lt;=$BU$11,$BU16&gt;=$BU$12,$BU16&lt;&gt;0),TRUE,FALSE)</formula>
    </cfRule>
  </conditionalFormatting>
  <conditionalFormatting sqref="BU99 BU169 BU164 BU183 BU200:BU207 BU210:BU221 BU224:BU225 BU249 BU235">
    <cfRule type="expression" dxfId="252" priority="733">
      <formula>IF(BU97=BU99,TRUE,FALSE)</formula>
    </cfRule>
    <cfRule type="expression" dxfId="251" priority="734">
      <formula>IF(AND(OR($BU99&gt;$BU$11,$BU99&lt;$BU$12),$BU99&lt;&gt;0),TRUE,FALSE)</formula>
    </cfRule>
    <cfRule type="expression" dxfId="250" priority="735">
      <formula>IF(AND($BU99&lt;=$BU$11,$BU99&gt;=$BU$12,$BU99&lt;&gt;0),TRUE,FALSE)</formula>
    </cfRule>
  </conditionalFormatting>
  <conditionalFormatting sqref="A24:AG24 AI24:BZ24">
    <cfRule type="expression" dxfId="249" priority="705">
      <formula>$J24="E+"</formula>
    </cfRule>
    <cfRule type="expression" dxfId="248" priority="706">
      <formula>$J24="DOE2"</formula>
    </cfRule>
  </conditionalFormatting>
  <conditionalFormatting sqref="BU24:BU25 BU43 BU85 BU177">
    <cfRule type="expression" dxfId="247" priority="709">
      <formula>IF(BU21=BU24,TRUE,FALSE)</formula>
    </cfRule>
    <cfRule type="expression" dxfId="246" priority="710">
      <formula>IF(AND(OR($BU24&gt;$BU$11,$BU24&lt;$BU$12),$BU24&lt;&gt;0),TRUE,FALSE)</formula>
    </cfRule>
    <cfRule type="expression" dxfId="245" priority="711">
      <formula>IF(AND($BU24&lt;=$BU$11,$BU24&gt;=$BU$12,$BU24&lt;&gt;0),TRUE,FALSE)</formula>
    </cfRule>
  </conditionalFormatting>
  <conditionalFormatting sqref="BU23">
    <cfRule type="expression" dxfId="244" priority="698">
      <formula>IF(BU22=BU23,TRUE,FALSE)</formula>
    </cfRule>
    <cfRule type="expression" dxfId="243" priority="703">
      <formula>IF(AND(OR($BU23&gt;$BU$11,$BU23&lt;$BU$12),$BU23&lt;&gt;0),TRUE,FALSE)</formula>
    </cfRule>
    <cfRule type="expression" dxfId="242" priority="704">
      <formula>IF(AND($BU23&lt;=$BU$11,$BU23&gt;=$BU$12,$BU23&lt;&gt;0),TRUE,FALSE)</formula>
    </cfRule>
  </conditionalFormatting>
  <conditionalFormatting sqref="A23:U23 Z23:BZ23">
    <cfRule type="expression" dxfId="241" priority="699">
      <formula>$J23="E+"</formula>
    </cfRule>
    <cfRule type="expression" dxfId="240" priority="700">
      <formula>$J23="DOE2"</formula>
    </cfRule>
  </conditionalFormatting>
  <conditionalFormatting sqref="V23:Y23">
    <cfRule type="expression" dxfId="239" priority="694">
      <formula>$J23="E+"</formula>
    </cfRule>
    <cfRule type="expression" dxfId="238" priority="695">
      <formula>$J23="DOE2"</formula>
    </cfRule>
  </conditionalFormatting>
  <conditionalFormatting sqref="AM56:AM58 Y227">
    <cfRule type="expression" dxfId="237" priority="748">
      <formula>$J59="E+"</formula>
    </cfRule>
    <cfRule type="expression" dxfId="236" priority="749">
      <formula>$J59="DOE2"</formula>
    </cfRule>
  </conditionalFormatting>
  <conditionalFormatting sqref="O198:O207 Q198:S207">
    <cfRule type="expression" dxfId="235" priority="659">
      <formula>$J198="E+"</formula>
    </cfRule>
    <cfRule type="expression" dxfId="234" priority="660">
      <formula>$J198="DOE2"</formula>
    </cfRule>
  </conditionalFormatting>
  <conditionalFormatting sqref="Y206 X199:Y199 Y201 Y204">
    <cfRule type="expression" dxfId="233" priority="631">
      <formula>$J199="E+"</formula>
    </cfRule>
    <cfRule type="expression" dxfId="232" priority="632">
      <formula>$J199="DOE2"</formula>
    </cfRule>
  </conditionalFormatting>
  <conditionalFormatting sqref="A83:M84">
    <cfRule type="expression" dxfId="231" priority="585">
      <formula>$J83="E+"</formula>
    </cfRule>
    <cfRule type="expression" dxfId="230" priority="586">
      <formula>$J83="DOE2"</formula>
    </cfRule>
  </conditionalFormatting>
  <conditionalFormatting sqref="A83:M84">
    <cfRule type="expression" dxfId="229" priority="587">
      <formula>NOT(ISBLANK($D83))</formula>
    </cfRule>
    <cfRule type="expression" dxfId="228" priority="588">
      <formula>NOT(ISBLANK($A83))</formula>
    </cfRule>
  </conditionalFormatting>
  <conditionalFormatting sqref="BU164">
    <cfRule type="expression" dxfId="227" priority="753">
      <formula>IF(BU160=BU164,TRUE,FALSE)</formula>
    </cfRule>
    <cfRule type="expression" dxfId="226" priority="754">
      <formula>IF(AND(OR($BU164&gt;$BU$11,$BU164&lt;$BU$12),$BU164&lt;&gt;0),TRUE,FALSE)</formula>
    </cfRule>
    <cfRule type="expression" dxfId="225" priority="755">
      <formula>IF(AND($BU164&lt;=$BU$11,$BU164&gt;=$BU$12,$BU164&lt;&gt;0),TRUE,FALSE)</formula>
    </cfRule>
  </conditionalFormatting>
  <conditionalFormatting sqref="BU177">
    <cfRule type="expression" dxfId="224" priority="759">
      <formula>IF(#REF!=BU177,TRUE,FALSE)</formula>
    </cfRule>
    <cfRule type="expression" dxfId="223" priority="760">
      <formula>IF(AND(OR($BU177&gt;$BU$11,$BU177&lt;$BU$12),$BU177&lt;&gt;0),TRUE,FALSE)</formula>
    </cfRule>
    <cfRule type="expression" dxfId="222" priority="761">
      <formula>IF(AND($BU177&lt;=$BU$11,$BU177&gt;=$BU$12,$BU177&lt;&gt;0),TRUE,FALSE)</formula>
    </cfRule>
  </conditionalFormatting>
  <conditionalFormatting sqref="BO182:BZ182">
    <cfRule type="expression" dxfId="221" priority="577">
      <formula>$J182="E+"</formula>
    </cfRule>
    <cfRule type="expression" dxfId="220" priority="578">
      <formula>$J182="DOE2"</formula>
    </cfRule>
  </conditionalFormatting>
  <conditionalFormatting sqref="BU182">
    <cfRule type="expression" dxfId="219" priority="581">
      <formula>IF(BU180=BU182,TRUE,FALSE)</formula>
    </cfRule>
    <cfRule type="expression" dxfId="218" priority="582">
      <formula>IF(AND(OR($BU182&gt;$BU$11,$BU182&lt;$BU$12),$BU182&lt;&gt;0),TRUE,FALSE)</formula>
    </cfRule>
    <cfRule type="expression" dxfId="217" priority="583">
      <formula>IF(AND($BU182&lt;=$BU$11,$BU182&gt;=$BU$12,$BU182&lt;&gt;0),TRUE,FALSE)</formula>
    </cfRule>
  </conditionalFormatting>
  <conditionalFormatting sqref="BO182:BZ182">
    <cfRule type="expression" dxfId="216" priority="579">
      <formula>NOT(ISBLANK($D182))</formula>
    </cfRule>
    <cfRule type="expression" dxfId="215" priority="580">
      <formula>NOT(ISBLANK($A182))</formula>
    </cfRule>
  </conditionalFormatting>
  <conditionalFormatting sqref="BU163">
    <cfRule type="expression" dxfId="214" priority="570">
      <formula>IF(BU162=BU163,TRUE,FALSE)</formula>
    </cfRule>
    <cfRule type="expression" dxfId="213" priority="575">
      <formula>IF(AND(OR($BU163&gt;$BU$11,$BU163&lt;$BU$12),$BU163&lt;&gt;0),TRUE,FALSE)</formula>
    </cfRule>
    <cfRule type="expression" dxfId="212" priority="576">
      <formula>IF(AND($BU163&lt;=$BU$11,$BU163&gt;=$BU$12,$BU163&lt;&gt;0),TRUE,FALSE)</formula>
    </cfRule>
  </conditionalFormatting>
  <conditionalFormatting sqref="AO163:BL163 BO163:BZ163">
    <cfRule type="expression" dxfId="211" priority="571">
      <formula>$J163="E+"</formula>
    </cfRule>
    <cfRule type="expression" dxfId="210" priority="572">
      <formula>$J163="DOE2"</formula>
    </cfRule>
  </conditionalFormatting>
  <conditionalFormatting sqref="AO163:BL163 BO163:BZ163">
    <cfRule type="expression" dxfId="209" priority="573">
      <formula>NOT(ISBLANK($D163))</formula>
    </cfRule>
    <cfRule type="expression" dxfId="208" priority="574">
      <formula>NOT(ISBLANK($A163))</formula>
    </cfRule>
  </conditionalFormatting>
  <conditionalFormatting sqref="O198:O207">
    <cfRule type="expression" dxfId="207" priority="566">
      <formula>$J198="E+"</formula>
    </cfRule>
    <cfRule type="expression" dxfId="206" priority="567">
      <formula>$J198="DOE2"</formula>
    </cfRule>
  </conditionalFormatting>
  <conditionalFormatting sqref="Y206:AA206 X199:AA199 Y201:AA201 Y204:AA204">
    <cfRule type="expression" dxfId="205" priority="564">
      <formula>$J199="E+"</formula>
    </cfRule>
    <cfRule type="expression" dxfId="204" priority="565">
      <formula>$J199="DOE2"</formula>
    </cfRule>
  </conditionalFormatting>
  <conditionalFormatting sqref="F198:F201">
    <cfRule type="expression" dxfId="203" priority="553">
      <formula>$J198="E+"</formula>
    </cfRule>
    <cfRule type="expression" dxfId="202" priority="554">
      <formula>$J198="DOE2"</formula>
    </cfRule>
  </conditionalFormatting>
  <conditionalFormatting sqref="F203:F207">
    <cfRule type="expression" dxfId="201" priority="551">
      <formula>$J203="E+"</formula>
    </cfRule>
    <cfRule type="expression" dxfId="200" priority="552">
      <formula>$J203="DOE2"</formula>
    </cfRule>
  </conditionalFormatting>
  <conditionalFormatting sqref="F202">
    <cfRule type="expression" dxfId="199" priority="549">
      <formula>$J202="E+"</formula>
    </cfRule>
    <cfRule type="expression" dxfId="198" priority="550">
      <formula>$J202="DOE2"</formula>
    </cfRule>
  </conditionalFormatting>
  <conditionalFormatting sqref="F198:F207">
    <cfRule type="expression" dxfId="197" priority="555">
      <formula>NOT(ISBLANK($D198))</formula>
    </cfRule>
    <cfRule type="expression" dxfId="196" priority="556">
      <formula>NOT(ISBLANK($A198))</formula>
    </cfRule>
  </conditionalFormatting>
  <conditionalFormatting sqref="H198:H207">
    <cfRule type="expression" dxfId="195" priority="541">
      <formula>$J198="E+"</formula>
    </cfRule>
    <cfRule type="expression" dxfId="194" priority="542">
      <formula>$J198="DOE2"</formula>
    </cfRule>
  </conditionalFormatting>
  <conditionalFormatting sqref="H198:H207">
    <cfRule type="expression" dxfId="193" priority="543">
      <formula>NOT(ISBLANK($D198))</formula>
    </cfRule>
    <cfRule type="expression" dxfId="192" priority="544">
      <formula>NOT(ISBLANK($A198))</formula>
    </cfRule>
  </conditionalFormatting>
  <conditionalFormatting sqref="M198:M207">
    <cfRule type="expression" dxfId="191" priority="537">
      <formula>$J198="E+"</formula>
    </cfRule>
    <cfRule type="expression" dxfId="190" priority="538">
      <formula>$J198="DOE2"</formula>
    </cfRule>
  </conditionalFormatting>
  <conditionalFormatting sqref="M198:M207">
    <cfRule type="expression" dxfId="189" priority="539">
      <formula>NOT(ISBLANK($D198))</formula>
    </cfRule>
    <cfRule type="expression" dxfId="188" priority="540">
      <formula>NOT(ISBLANK($A198))</formula>
    </cfRule>
  </conditionalFormatting>
  <conditionalFormatting sqref="P198:P201">
    <cfRule type="expression" dxfId="187" priority="533">
      <formula>$J198="E+"</formula>
    </cfRule>
    <cfRule type="expression" dxfId="186" priority="534">
      <formula>$J198="DOE2"</formula>
    </cfRule>
  </conditionalFormatting>
  <conditionalFormatting sqref="P202:P207">
    <cfRule type="expression" dxfId="185" priority="531">
      <formula>$J202="E+"</formula>
    </cfRule>
    <cfRule type="expression" dxfId="184" priority="532">
      <formula>$J202="DOE2"</formula>
    </cfRule>
  </conditionalFormatting>
  <conditionalFormatting sqref="P198:P207">
    <cfRule type="expression" dxfId="183" priority="535">
      <formula>NOT(ISBLANK($D198))</formula>
    </cfRule>
    <cfRule type="expression" dxfId="182" priority="536">
      <formula>NOT(ISBLANK($A198))</formula>
    </cfRule>
  </conditionalFormatting>
  <conditionalFormatting sqref="P207">
    <cfRule type="expression" dxfId="181" priority="529">
      <formula>$J207="E+"</formula>
    </cfRule>
    <cfRule type="expression" dxfId="180" priority="530">
      <formula>$J207="DOE2"</formula>
    </cfRule>
  </conditionalFormatting>
  <conditionalFormatting sqref="Q201">
    <cfRule type="expression" dxfId="179" priority="527">
      <formula>$J201="E+"</formula>
    </cfRule>
    <cfRule type="expression" dxfId="178" priority="528">
      <formula>$J201="DOE2"</formula>
    </cfRule>
  </conditionalFormatting>
  <conditionalFormatting sqref="Q206">
    <cfRule type="expression" dxfId="177" priority="525">
      <formula>$J206="E+"</formula>
    </cfRule>
    <cfRule type="expression" dxfId="176" priority="526">
      <formula>$J206="DOE2"</formula>
    </cfRule>
  </conditionalFormatting>
  <conditionalFormatting sqref="V203:V207">
    <cfRule type="expression" dxfId="175" priority="521">
      <formula>$J203="E+"</formula>
    </cfRule>
    <cfRule type="expression" dxfId="174" priority="522">
      <formula>$J203="DOE2"</formula>
    </cfRule>
  </conditionalFormatting>
  <conditionalFormatting sqref="V203:V207">
    <cfRule type="expression" dxfId="173" priority="523">
      <formula>NOT(ISBLANK($D203))</formula>
    </cfRule>
    <cfRule type="expression" dxfId="172" priority="524">
      <formula>NOT(ISBLANK($A203))</formula>
    </cfRule>
  </conditionalFormatting>
  <conditionalFormatting sqref="X209:AH209 Y216:AH216 V208:AH208 V210:AH210 V211:AJ213 V214:AH215 V217:AH217 V218:AJ220 V221:AH221">
    <cfRule type="expression" dxfId="171" priority="512">
      <formula>$J208="E+"</formula>
    </cfRule>
    <cfRule type="expression" dxfId="170" priority="513">
      <formula>$J208="DOE2"</formula>
    </cfRule>
  </conditionalFormatting>
  <conditionalFormatting sqref="E208:E216">
    <cfRule type="expression" dxfId="169" priority="506">
      <formula>$J208="E+"</formula>
    </cfRule>
    <cfRule type="expression" dxfId="168" priority="507">
      <formula>$J208="DOE2"</formula>
    </cfRule>
  </conditionalFormatting>
  <conditionalFormatting sqref="H208:H216">
    <cfRule type="expression" dxfId="167" priority="504">
      <formula>$J208="E+"</formula>
    </cfRule>
    <cfRule type="expression" dxfId="166" priority="505">
      <formula>$J208="DOE2"</formula>
    </cfRule>
  </conditionalFormatting>
  <conditionalFormatting sqref="J208:J221">
    <cfRule type="expression" dxfId="165" priority="502">
      <formula>$J208="E+"</formula>
    </cfRule>
    <cfRule type="expression" dxfId="164" priority="503">
      <formula>$J208="DOE2"</formula>
    </cfRule>
  </conditionalFormatting>
  <conditionalFormatting sqref="P208:P214">
    <cfRule type="expression" dxfId="163" priority="496">
      <formula>$J208="E+"</formula>
    </cfRule>
    <cfRule type="expression" dxfId="162" priority="497">
      <formula>$J208="DOE2"</formula>
    </cfRule>
  </conditionalFormatting>
  <conditionalFormatting sqref="V202">
    <cfRule type="expression" dxfId="161" priority="480">
      <formula>$J202="E+"</formula>
    </cfRule>
    <cfRule type="expression" dxfId="160" priority="481">
      <formula>$J202="DOE2"</formula>
    </cfRule>
  </conditionalFormatting>
  <conditionalFormatting sqref="V202">
    <cfRule type="expression" dxfId="159" priority="482">
      <formula>NOT(ISBLANK($D202))</formula>
    </cfRule>
    <cfRule type="expression" dxfId="158" priority="483">
      <formula>NOT(ISBLANK($A202))</formula>
    </cfRule>
  </conditionalFormatting>
  <conditionalFormatting sqref="O208:O210">
    <cfRule type="expression" dxfId="157" priority="478">
      <formula>$J208="E+"</formula>
    </cfRule>
    <cfRule type="expression" dxfId="156" priority="479">
      <formula>$J208="DOE2"</formula>
    </cfRule>
  </conditionalFormatting>
  <conditionalFormatting sqref="O209">
    <cfRule type="expression" dxfId="155" priority="476">
      <formula>$J209="E+"</formula>
    </cfRule>
    <cfRule type="expression" dxfId="154" priority="477">
      <formula>$J209="DOE2"</formula>
    </cfRule>
  </conditionalFormatting>
  <conditionalFormatting sqref="O209">
    <cfRule type="expression" dxfId="153" priority="474">
      <formula>$J209="E+"</formula>
    </cfRule>
    <cfRule type="expression" dxfId="152" priority="475">
      <formula>$J209="DOE2"</formula>
    </cfRule>
  </conditionalFormatting>
  <conditionalFormatting sqref="W209">
    <cfRule type="expression" dxfId="151" priority="472">
      <formula>NOT(ISBLANK($D209))</formula>
    </cfRule>
    <cfRule type="expression" dxfId="150" priority="473">
      <formula>NOT(ISBLANK($A209))</formula>
    </cfRule>
  </conditionalFormatting>
  <conditionalFormatting sqref="W209">
    <cfRule type="expression" dxfId="149" priority="470">
      <formula>$J209="E+"</formula>
    </cfRule>
    <cfRule type="expression" dxfId="148" priority="471">
      <formula>$J209="DOE2"</formula>
    </cfRule>
  </conditionalFormatting>
  <conditionalFormatting sqref="V209">
    <cfRule type="expression" dxfId="147" priority="466">
      <formula>$J209="E+"</formula>
    </cfRule>
    <cfRule type="expression" dxfId="146" priority="467">
      <formula>$J209="DOE2"</formula>
    </cfRule>
  </conditionalFormatting>
  <conditionalFormatting sqref="V209">
    <cfRule type="expression" dxfId="145" priority="468">
      <formula>NOT(ISBLANK($D209))</formula>
    </cfRule>
    <cfRule type="expression" dxfId="144" priority="469">
      <formula>NOT(ISBLANK($A209))</formula>
    </cfRule>
  </conditionalFormatting>
  <conditionalFormatting sqref="O216">
    <cfRule type="expression" dxfId="143" priority="464">
      <formula>$J216="E+"</formula>
    </cfRule>
    <cfRule type="expression" dxfId="142" priority="465">
      <formula>$J216="DOE2"</formula>
    </cfRule>
  </conditionalFormatting>
  <conditionalFormatting sqref="O216">
    <cfRule type="expression" dxfId="141" priority="462">
      <formula>$J216="E+"</formula>
    </cfRule>
    <cfRule type="expression" dxfId="140" priority="463">
      <formula>$J216="DOE2"</formula>
    </cfRule>
  </conditionalFormatting>
  <conditionalFormatting sqref="X216">
    <cfRule type="expression" dxfId="139" priority="458">
      <formula>$J216="E+"</formula>
    </cfRule>
    <cfRule type="expression" dxfId="138" priority="459">
      <formula>$J216="DOE2"</formula>
    </cfRule>
  </conditionalFormatting>
  <conditionalFormatting sqref="W216:X216">
    <cfRule type="expression" dxfId="137" priority="460">
      <formula>NOT(ISBLANK($D216))</formula>
    </cfRule>
    <cfRule type="expression" dxfId="136" priority="461">
      <formula>NOT(ISBLANK($A216))</formula>
    </cfRule>
  </conditionalFormatting>
  <conditionalFormatting sqref="W216:X216">
    <cfRule type="expression" dxfId="135" priority="456">
      <formula>$J216="E+"</formula>
    </cfRule>
    <cfRule type="expression" dxfId="134" priority="457">
      <formula>$J216="DOE2"</formula>
    </cfRule>
  </conditionalFormatting>
  <conditionalFormatting sqref="V216">
    <cfRule type="expression" dxfId="133" priority="452">
      <formula>$J216="E+"</formula>
    </cfRule>
    <cfRule type="expression" dxfId="132" priority="453">
      <formula>$J216="DOE2"</formula>
    </cfRule>
  </conditionalFormatting>
  <conditionalFormatting sqref="V216">
    <cfRule type="expression" dxfId="131" priority="454">
      <formula>NOT(ISBLANK($D216))</formula>
    </cfRule>
    <cfRule type="expression" dxfId="130" priority="455">
      <formula>NOT(ISBLANK($A216))</formula>
    </cfRule>
  </conditionalFormatting>
  <conditionalFormatting sqref="O198">
    <cfRule type="expression" dxfId="129" priority="450">
      <formula>$J198="E+"</formula>
    </cfRule>
    <cfRule type="expression" dxfId="128" priority="451">
      <formula>$J198="DOE2"</formula>
    </cfRule>
  </conditionalFormatting>
  <conditionalFormatting sqref="O198">
    <cfRule type="expression" dxfId="127" priority="448">
      <formula>$J198="E+"</formula>
    </cfRule>
    <cfRule type="expression" dxfId="126" priority="449">
      <formula>$J198="DOE2"</formula>
    </cfRule>
  </conditionalFormatting>
  <conditionalFormatting sqref="O198">
    <cfRule type="expression" dxfId="125" priority="446">
      <formula>$J198="E+"</formula>
    </cfRule>
    <cfRule type="expression" dxfId="124" priority="447">
      <formula>$J198="DOE2"</formula>
    </cfRule>
  </conditionalFormatting>
  <conditionalFormatting sqref="O200">
    <cfRule type="expression" dxfId="123" priority="444">
      <formula>$J200="E+"</formula>
    </cfRule>
    <cfRule type="expression" dxfId="122" priority="445">
      <formula>$J200="DOE2"</formula>
    </cfRule>
  </conditionalFormatting>
  <conditionalFormatting sqref="O200">
    <cfRule type="expression" dxfId="121" priority="442">
      <formula>$J200="E+"</formula>
    </cfRule>
    <cfRule type="expression" dxfId="120" priority="443">
      <formula>$J200="DOE2"</formula>
    </cfRule>
  </conditionalFormatting>
  <conditionalFormatting sqref="O200">
    <cfRule type="expression" dxfId="119" priority="440">
      <formula>$J200="E+"</formula>
    </cfRule>
    <cfRule type="expression" dxfId="118" priority="441">
      <formula>$J200="DOE2"</formula>
    </cfRule>
  </conditionalFormatting>
  <conditionalFormatting sqref="O203">
    <cfRule type="expression" dxfId="117" priority="438">
      <formula>$J203="E+"</formula>
    </cfRule>
    <cfRule type="expression" dxfId="116" priority="439">
      <formula>$J203="DOE2"</formula>
    </cfRule>
  </conditionalFormatting>
  <conditionalFormatting sqref="O203">
    <cfRule type="expression" dxfId="115" priority="436">
      <formula>$J203="E+"</formula>
    </cfRule>
    <cfRule type="expression" dxfId="114" priority="437">
      <formula>$J203="DOE2"</formula>
    </cfRule>
  </conditionalFormatting>
  <conditionalFormatting sqref="O203">
    <cfRule type="expression" dxfId="113" priority="434">
      <formula>$J203="E+"</formula>
    </cfRule>
    <cfRule type="expression" dxfId="112" priority="435">
      <formula>$J203="DOE2"</formula>
    </cfRule>
  </conditionalFormatting>
  <conditionalFormatting sqref="O205">
    <cfRule type="expression" dxfId="111" priority="432">
      <formula>$J205="E+"</formula>
    </cfRule>
    <cfRule type="expression" dxfId="110" priority="433">
      <formula>$J205="DOE2"</formula>
    </cfRule>
  </conditionalFormatting>
  <conditionalFormatting sqref="O205">
    <cfRule type="expression" dxfId="109" priority="430">
      <formula>$J205="E+"</formula>
    </cfRule>
    <cfRule type="expression" dxfId="108" priority="431">
      <formula>$J205="DOE2"</formula>
    </cfRule>
  </conditionalFormatting>
  <conditionalFormatting sqref="O205">
    <cfRule type="expression" dxfId="107" priority="428">
      <formula>$J205="E+"</formula>
    </cfRule>
    <cfRule type="expression" dxfId="106" priority="429">
      <formula>$J205="DOE2"</formula>
    </cfRule>
  </conditionalFormatting>
  <conditionalFormatting sqref="O202">
    <cfRule type="expression" dxfId="105" priority="426">
      <formula>$J202="E+"</formula>
    </cfRule>
    <cfRule type="expression" dxfId="104" priority="427">
      <formula>$J202="DOE2"</formula>
    </cfRule>
  </conditionalFormatting>
  <conditionalFormatting sqref="O202">
    <cfRule type="expression" dxfId="103" priority="424">
      <formula>$J202="E+"</formula>
    </cfRule>
    <cfRule type="expression" dxfId="102" priority="425">
      <formula>$J202="DOE2"</formula>
    </cfRule>
  </conditionalFormatting>
  <conditionalFormatting sqref="O202">
    <cfRule type="expression" dxfId="101" priority="422">
      <formula>$J202="E+"</formula>
    </cfRule>
    <cfRule type="expression" dxfId="100" priority="423">
      <formula>$J202="DOE2"</formula>
    </cfRule>
  </conditionalFormatting>
  <conditionalFormatting sqref="O207">
    <cfRule type="expression" dxfId="99" priority="420">
      <formula>$J207="E+"</formula>
    </cfRule>
    <cfRule type="expression" dxfId="98" priority="421">
      <formula>$J207="DOE2"</formula>
    </cfRule>
  </conditionalFormatting>
  <conditionalFormatting sqref="O207">
    <cfRule type="expression" dxfId="97" priority="418">
      <formula>$J207="E+"</formula>
    </cfRule>
    <cfRule type="expression" dxfId="96" priority="419">
      <formula>$J207="DOE2"</formula>
    </cfRule>
  </conditionalFormatting>
  <conditionalFormatting sqref="O207">
    <cfRule type="expression" dxfId="95" priority="416">
      <formula>$J207="E+"</formula>
    </cfRule>
    <cfRule type="expression" dxfId="94" priority="417">
      <formula>$J207="DOE2"</formula>
    </cfRule>
  </conditionalFormatting>
  <conditionalFormatting sqref="O211">
    <cfRule type="expression" dxfId="93" priority="414">
      <formula>$J211="E+"</formula>
    </cfRule>
    <cfRule type="expression" dxfId="92" priority="415">
      <formula>$J211="DOE2"</formula>
    </cfRule>
  </conditionalFormatting>
  <conditionalFormatting sqref="O211">
    <cfRule type="expression" dxfId="91" priority="412">
      <formula>$J211="E+"</formula>
    </cfRule>
    <cfRule type="expression" dxfId="90" priority="413">
      <formula>$J211="DOE2"</formula>
    </cfRule>
  </conditionalFormatting>
  <conditionalFormatting sqref="O212">
    <cfRule type="expression" dxfId="89" priority="410">
      <formula>$J212="E+"</formula>
    </cfRule>
    <cfRule type="expression" dxfId="88" priority="411">
      <formula>$J212="DOE2"</formula>
    </cfRule>
  </conditionalFormatting>
  <conditionalFormatting sqref="O212">
    <cfRule type="expression" dxfId="87" priority="408">
      <formula>$J212="E+"</formula>
    </cfRule>
    <cfRule type="expression" dxfId="86" priority="409">
      <formula>$J212="DOE2"</formula>
    </cfRule>
  </conditionalFormatting>
  <conditionalFormatting sqref="O214">
    <cfRule type="expression" dxfId="85" priority="406">
      <formula>$J214="E+"</formula>
    </cfRule>
    <cfRule type="expression" dxfId="84" priority="407">
      <formula>$J214="DOE2"</formula>
    </cfRule>
  </conditionalFormatting>
  <conditionalFormatting sqref="O215">
    <cfRule type="expression" dxfId="83" priority="404">
      <formula>$J215="E+"</formula>
    </cfRule>
    <cfRule type="expression" dxfId="82" priority="405">
      <formula>$J215="DOE2"</formula>
    </cfRule>
  </conditionalFormatting>
  <conditionalFormatting sqref="O217">
    <cfRule type="expression" dxfId="81" priority="402">
      <formula>$J217="E+"</formula>
    </cfRule>
    <cfRule type="expression" dxfId="80" priority="403">
      <formula>$J217="DOE2"</formula>
    </cfRule>
  </conditionalFormatting>
  <conditionalFormatting sqref="O221">
    <cfRule type="expression" dxfId="79" priority="400">
      <formula>$J221="E+"</formula>
    </cfRule>
    <cfRule type="expression" dxfId="78" priority="401">
      <formula>$J221="DOE2"</formula>
    </cfRule>
  </conditionalFormatting>
  <conditionalFormatting sqref="O218:O219">
    <cfRule type="expression" dxfId="77" priority="398">
      <formula>$J218="E+"</formula>
    </cfRule>
    <cfRule type="expression" dxfId="76" priority="399">
      <formula>$J218="DOE2"</formula>
    </cfRule>
  </conditionalFormatting>
  <conditionalFormatting sqref="O218:O219">
    <cfRule type="expression" dxfId="75" priority="396">
      <formula>$J218="E+"</formula>
    </cfRule>
    <cfRule type="expression" dxfId="74" priority="397">
      <formula>$J218="DOE2"</formula>
    </cfRule>
  </conditionalFormatting>
  <conditionalFormatting sqref="E222">
    <cfRule type="expression" dxfId="73" priority="394">
      <formula>NOT(ISBLANK($D222))</formula>
    </cfRule>
    <cfRule type="expression" dxfId="72" priority="395">
      <formula>NOT(ISBLANK($A222))</formula>
    </cfRule>
  </conditionalFormatting>
  <conditionalFormatting sqref="E222">
    <cfRule type="expression" dxfId="71" priority="392">
      <formula>$J222="E+"</formula>
    </cfRule>
    <cfRule type="expression" dxfId="70" priority="393">
      <formula>$J222="DOE2"</formula>
    </cfRule>
  </conditionalFormatting>
  <conditionalFormatting sqref="L222">
    <cfRule type="expression" dxfId="69" priority="390">
      <formula>$J222="E+"</formula>
    </cfRule>
    <cfRule type="expression" dxfId="68" priority="391">
      <formula>$J222="DOE2"</formula>
    </cfRule>
  </conditionalFormatting>
  <conditionalFormatting sqref="H222">
    <cfRule type="expression" dxfId="67" priority="388">
      <formula>$J222="E+"</formula>
    </cfRule>
    <cfRule type="expression" dxfId="66" priority="389">
      <formula>$J222="DOE2"</formula>
    </cfRule>
  </conditionalFormatting>
  <conditionalFormatting sqref="I222">
    <cfRule type="expression" dxfId="65" priority="386">
      <formula>$J222="E+"</formula>
    </cfRule>
    <cfRule type="expression" dxfId="64" priority="387">
      <formula>$J222="DOE2"</formula>
    </cfRule>
  </conditionalFormatting>
  <conditionalFormatting sqref="I222">
    <cfRule type="expression" dxfId="63" priority="384">
      <formula>$J222="E+"</formula>
    </cfRule>
    <cfRule type="expression" dxfId="62" priority="385">
      <formula>$J222="DOE2"</formula>
    </cfRule>
  </conditionalFormatting>
  <conditionalFormatting sqref="H222">
    <cfRule type="expression" dxfId="61" priority="382">
      <formula>$J222="E+"</formula>
    </cfRule>
    <cfRule type="expression" dxfId="60" priority="383">
      <formula>$J222="DOE2"</formula>
    </cfRule>
  </conditionalFormatting>
  <conditionalFormatting sqref="H222">
    <cfRule type="expression" dxfId="59" priority="381">
      <formula>$J222="DOE2"</formula>
    </cfRule>
  </conditionalFormatting>
  <conditionalFormatting sqref="AM59:AM61">
    <cfRule type="expression" dxfId="58" priority="1001">
      <formula>$J56="E+"</formula>
    </cfRule>
    <cfRule type="expression" dxfId="57" priority="1002">
      <formula>$J56="DOE2"</formula>
    </cfRule>
  </conditionalFormatting>
  <conditionalFormatting sqref="AM59:AM61">
    <cfRule type="expression" dxfId="56" priority="1085">
      <formula>NOT(ISBLANK($D56))</formula>
    </cfRule>
    <cfRule type="expression" dxfId="55" priority="1086">
      <formula>NOT(ISBLANK($A56))</formula>
    </cfRule>
  </conditionalFormatting>
  <conditionalFormatting sqref="N59:N61">
    <cfRule type="expression" dxfId="54" priority="1093">
      <formula>NOT(ISBLANK($D59))</formula>
    </cfRule>
    <cfRule type="expression" dxfId="53" priority="1094">
      <formula>NOT(ISBLANK($A59))</formula>
    </cfRule>
  </conditionalFormatting>
  <conditionalFormatting sqref="AM56:AM58">
    <cfRule type="expression" dxfId="52" priority="1123">
      <formula>NOT(ISBLANK($D59))</formula>
    </cfRule>
    <cfRule type="expression" dxfId="51" priority="1124">
      <formula>NOT(ISBLANK($A59))</formula>
    </cfRule>
  </conditionalFormatting>
  <conditionalFormatting sqref="BU198 BU236">
    <cfRule type="expression" dxfId="50" priority="1186">
      <formula>IF(#REF!=BU198,TRUE,FALSE)</formula>
    </cfRule>
    <cfRule type="expression" dxfId="49" priority="1187">
      <formula>IF(AND(OR($BU198&gt;$BU$11,$BU198&lt;$BU$12),$BU198&lt;&gt;0),TRUE,FALSE)</formula>
    </cfRule>
    <cfRule type="expression" dxfId="48" priority="1188">
      <formula>IF(AND($BU198&lt;=$BU$11,$BU198&gt;=$BU$12,$BU198&lt;&gt;0),TRUE,FALSE)</formula>
    </cfRule>
  </conditionalFormatting>
  <conditionalFormatting sqref="BU198:BU199">
    <cfRule type="expression" dxfId="47" priority="1192">
      <formula>IF(#REF!=BU198,TRUE,FALSE)</formula>
    </cfRule>
    <cfRule type="expression" dxfId="46" priority="1193">
      <formula>IF(AND(OR($BU198&gt;$BU$11,$BU198&lt;$BU$12),$BU198&lt;&gt;0),TRUE,FALSE)</formula>
    </cfRule>
    <cfRule type="expression" dxfId="45" priority="1194">
      <formula>IF(AND($BU198&lt;=$BU$11,$BU198&gt;=$BU$12,$BU198&lt;&gt;0),TRUE,FALSE)</formula>
    </cfRule>
  </conditionalFormatting>
  <conditionalFormatting sqref="BU222">
    <cfRule type="expression" dxfId="44" priority="1447">
      <formula>IF(BU251=BU222,TRUE,FALSE)</formula>
    </cfRule>
    <cfRule type="expression" dxfId="43" priority="1448">
      <formula>IF(AND(OR($BU222&gt;$BU$11,$BU222&lt;$BU$12),$BU222&lt;&gt;0),TRUE,FALSE)</formula>
    </cfRule>
    <cfRule type="expression" dxfId="42" priority="1449">
      <formula>IF(AND($BU222&lt;=$BU$11,$BU222&gt;=$BU$12,$BU222&lt;&gt;0),TRUE,FALSE)</formula>
    </cfRule>
  </conditionalFormatting>
  <conditionalFormatting sqref="BU208">
    <cfRule type="expression" dxfId="41" priority="1495">
      <formula>IF(BU249=BU208,TRUE,FALSE)</formula>
    </cfRule>
    <cfRule type="expression" dxfId="40" priority="1496">
      <formula>IF(AND(OR($BU208&gt;$BU$11,$BU208&lt;$BU$12),$BU208&lt;&gt;0),TRUE,FALSE)</formula>
    </cfRule>
    <cfRule type="expression" dxfId="39" priority="1497">
      <formula>IF(AND($BU208&lt;=$BU$11,$BU208&gt;=$BU$12,$BU208&lt;&gt;0),TRUE,FALSE)</formula>
    </cfRule>
  </conditionalFormatting>
  <conditionalFormatting sqref="BU250">
    <cfRule type="expression" dxfId="38" priority="1504">
      <formula>IF(#REF!=BU250,TRUE,FALSE)</formula>
    </cfRule>
    <cfRule type="expression" dxfId="37" priority="1505">
      <formula>IF(AND(OR($BU250&gt;$BU$11,$BU250&lt;$BU$12),$BU250&lt;&gt;0),TRUE,FALSE)</formula>
    </cfRule>
    <cfRule type="expression" dxfId="36" priority="1506">
      <formula>IF(AND($BU250&lt;=$BU$11,$BU250&gt;=$BU$12,$BU250&lt;&gt;0),TRUE,FALSE)</formula>
    </cfRule>
  </conditionalFormatting>
  <conditionalFormatting sqref="BU222:BU223">
    <cfRule type="expression" dxfId="35" priority="1532">
      <formula>IF(BU250=BU222,TRUE,FALSE)</formula>
    </cfRule>
    <cfRule type="expression" dxfId="34" priority="1533">
      <formula>IF(AND(OR($BU222&gt;$BU$11,$BU222&lt;$BU$12),$BU222&lt;&gt;0),TRUE,FALSE)</formula>
    </cfRule>
    <cfRule type="expression" dxfId="33" priority="1534">
      <formula>IF(AND($BU222&lt;=$BU$11,$BU222&gt;=$BU$12,$BU222&lt;&gt;0),TRUE,FALSE)</formula>
    </cfRule>
  </conditionalFormatting>
  <conditionalFormatting sqref="BU208:BU209">
    <cfRule type="expression" dxfId="32" priority="1538">
      <formula>IF(BU248=BU208,TRUE,FALSE)</formula>
    </cfRule>
    <cfRule type="expression" dxfId="31" priority="1539">
      <formula>IF(AND(OR($BU208&gt;$BU$11,$BU208&lt;$BU$12),$BU208&lt;&gt;0),TRUE,FALSE)</formula>
    </cfRule>
    <cfRule type="expression" dxfId="30" priority="1540">
      <formula>IF(AND($BU208&lt;=$BU$11,$BU208&gt;=$BU$12,$BU208&lt;&gt;0),TRUE,FALSE)</formula>
    </cfRule>
  </conditionalFormatting>
  <conditionalFormatting sqref="BU226">
    <cfRule type="expression" dxfId="29" priority="1541">
      <formula>IF(BU207=BU226,TRUE,FALSE)</formula>
    </cfRule>
    <cfRule type="expression" dxfId="28" priority="1542">
      <formula>IF(AND(OR($BU226&gt;$BU$11,$BU226&lt;$BU$12),$BU226&lt;&gt;0),TRUE,FALSE)</formula>
    </cfRule>
    <cfRule type="expression" dxfId="27" priority="1543">
      <formula>IF(AND($BU226&lt;=$BU$11,$BU226&gt;=$BU$12,$BU226&lt;&gt;0),TRUE,FALSE)</formula>
    </cfRule>
  </conditionalFormatting>
  <conditionalFormatting sqref="A278:BZ300 A16:BZ251">
    <cfRule type="expression" dxfId="26" priority="719">
      <formula>$J16="E+"</formula>
    </cfRule>
    <cfRule type="expression" dxfId="25" priority="725">
      <formula>$J16="DOE2"</formula>
    </cfRule>
    <cfRule type="expression" dxfId="24" priority="726">
      <formula>NOT(ISBLANK($D16))</formula>
    </cfRule>
    <cfRule type="expression" dxfId="23" priority="727">
      <formula>NOT(ISBLANK($A16))</formula>
    </cfRule>
  </conditionalFormatting>
  <conditionalFormatting sqref="BU263:BU275 BU277 BU253:BU261">
    <cfRule type="expression" dxfId="22" priority="1">
      <formula>IF(BU252=BU253,TRUE,FALSE)</formula>
    </cfRule>
    <cfRule type="expression" dxfId="21" priority="6">
      <formula>IF(AND(OR($BU253&gt;$BU$11,$BU253&lt;$BU$12),$BU253&lt;&gt;0),TRUE,FALSE)</formula>
    </cfRule>
    <cfRule type="expression" dxfId="20" priority="7">
      <formula>IF(AND($BU253&lt;=$BU$11,$BU253&gt;=$BU$12,$BU253&lt;&gt;0),TRUE,FALSE)</formula>
    </cfRule>
  </conditionalFormatting>
  <conditionalFormatting sqref="BU275 BU261">
    <cfRule type="expression" dxfId="19" priority="8">
      <formula>IF(BU259=BU261,TRUE,FALSE)</formula>
    </cfRule>
    <cfRule type="expression" dxfId="18" priority="9">
      <formula>IF(AND(OR($BU261&gt;$BU$11,$BU261&lt;$BU$12),$BU261&lt;&gt;0),TRUE,FALSE)</formula>
    </cfRule>
    <cfRule type="expression" dxfId="17" priority="10">
      <formula>IF(AND($BU261&lt;=$BU$11,$BU261&gt;=$BU$12,$BU261&lt;&gt;0),TRUE,FALSE)</formula>
    </cfRule>
  </conditionalFormatting>
  <conditionalFormatting sqref="Y253">
    <cfRule type="expression" dxfId="16" priority="11">
      <formula>$J256="E+"</formula>
    </cfRule>
    <cfRule type="expression" dxfId="15" priority="12">
      <formula>$J256="DOE2"</formula>
    </cfRule>
  </conditionalFormatting>
  <conditionalFormatting sqref="BU262">
    <cfRule type="expression" dxfId="14" priority="13">
      <formula>IF(#REF!=BU262,TRUE,FALSE)</formula>
    </cfRule>
    <cfRule type="expression" dxfId="13" priority="14">
      <formula>IF(AND(OR($BU262&gt;$BU$11,$BU262&lt;$BU$12),$BU262&lt;&gt;0),TRUE,FALSE)</formula>
    </cfRule>
    <cfRule type="expression" dxfId="12" priority="15">
      <formula>IF(AND($BU262&lt;=$BU$11,$BU262&gt;=$BU$12,$BU262&lt;&gt;0),TRUE,FALSE)</formula>
    </cfRule>
  </conditionalFormatting>
  <conditionalFormatting sqref="BU276">
    <cfRule type="expression" dxfId="11" priority="16">
      <formula>IF(#REF!=BU276,TRUE,FALSE)</formula>
    </cfRule>
    <cfRule type="expression" dxfId="10" priority="17">
      <formula>IF(AND(OR($BU276&gt;$BU$11,$BU276&lt;$BU$12),$BU276&lt;&gt;0),TRUE,FALSE)</formula>
    </cfRule>
    <cfRule type="expression" dxfId="9" priority="18">
      <formula>IF(AND($BU276&lt;=$BU$11,$BU276&gt;=$BU$12,$BU276&lt;&gt;0),TRUE,FALSE)</formula>
    </cfRule>
  </conditionalFormatting>
  <conditionalFormatting sqref="BU252">
    <cfRule type="expression" dxfId="8" priority="19">
      <formula>IF(BU233=BU252,TRUE,FALSE)</formula>
    </cfRule>
    <cfRule type="expression" dxfId="7" priority="20">
      <formula>IF(AND(OR($BU252&gt;$BU$11,$BU252&lt;$BU$12),$BU252&lt;&gt;0),TRUE,FALSE)</formula>
    </cfRule>
    <cfRule type="expression" dxfId="6" priority="21">
      <formula>IF(AND($BU252&lt;=$BU$11,$BU252&gt;=$BU$12,$BU252&lt;&gt;0),TRUE,FALSE)</formula>
    </cfRule>
  </conditionalFormatting>
  <conditionalFormatting sqref="A252:BZ277">
    <cfRule type="expression" dxfId="5" priority="2">
      <formula>$J252="E+"</formula>
    </cfRule>
    <cfRule type="expression" dxfId="4" priority="3">
      <formula>$J252="DOE2"</formula>
    </cfRule>
    <cfRule type="expression" dxfId="3" priority="4">
      <formula>NOT(ISBLANK($D252))</formula>
    </cfRule>
    <cfRule type="expression" dxfId="2" priority="5">
      <formula>NOT(ISBLANK($A252))</formula>
    </cfRule>
  </conditionalFormatting>
  <pageMargins left="0.7" right="0.7" top="0.75" bottom="0.75" header="0.3" footer="0.3"/>
  <pageSetup orientation="portrait"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85DCA-9752-48A9-A66E-13DB01D63DDC}">
  <dimension ref="A1:J20"/>
  <sheetViews>
    <sheetView workbookViewId="0">
      <selection activeCell="C6" sqref="C6"/>
    </sheetView>
  </sheetViews>
  <sheetFormatPr defaultRowHeight="15" x14ac:dyDescent="0.25"/>
  <cols>
    <col min="1" max="6" width="10.28515625" customWidth="1"/>
    <col min="7" max="7" width="4.140625" customWidth="1"/>
  </cols>
  <sheetData>
    <row r="1" spans="1:10" x14ac:dyDescent="0.25">
      <c r="A1" t="s">
        <v>928</v>
      </c>
    </row>
    <row r="3" spans="1:10" x14ac:dyDescent="0.25">
      <c r="A3" t="s">
        <v>690</v>
      </c>
      <c r="B3" s="185">
        <v>13</v>
      </c>
      <c r="H3" s="141"/>
    </row>
    <row r="4" spans="1:10" x14ac:dyDescent="0.25">
      <c r="A4" t="s">
        <v>689</v>
      </c>
      <c r="B4" s="186">
        <f>E4</f>
        <v>10.8446</v>
      </c>
      <c r="C4" t="s">
        <v>929</v>
      </c>
      <c r="E4" s="187">
        <f>MIN(-0.0194*B3^2+1.0864*B3,13)</f>
        <v>10.8446</v>
      </c>
      <c r="H4" s="141"/>
    </row>
    <row r="5" spans="1:10" x14ac:dyDescent="0.25">
      <c r="H5" s="141"/>
    </row>
    <row r="6" spans="1:10" x14ac:dyDescent="0.25">
      <c r="A6" t="s">
        <v>17</v>
      </c>
      <c r="B6">
        <v>1.0451999999999999</v>
      </c>
      <c r="H6" s="141"/>
    </row>
    <row r="7" spans="1:10" x14ac:dyDescent="0.25">
      <c r="A7" t="s">
        <v>18</v>
      </c>
      <c r="B7">
        <v>1.15E-2</v>
      </c>
      <c r="H7" s="141"/>
    </row>
    <row r="8" spans="1:10" x14ac:dyDescent="0.25">
      <c r="A8" t="s">
        <v>19</v>
      </c>
      <c r="B8">
        <v>2.5099999999999998E-4</v>
      </c>
      <c r="H8" s="141"/>
    </row>
    <row r="9" spans="1:10" x14ac:dyDescent="0.25">
      <c r="H9" t="s">
        <v>930</v>
      </c>
    </row>
    <row r="10" spans="1:10" x14ac:dyDescent="0.25">
      <c r="A10" t="s">
        <v>931</v>
      </c>
      <c r="B10" t="s">
        <v>932</v>
      </c>
      <c r="J10" t="s">
        <v>933</v>
      </c>
    </row>
    <row r="11" spans="1:10" x14ac:dyDescent="0.25">
      <c r="A11" t="s">
        <v>709</v>
      </c>
      <c r="B11" t="s">
        <v>934</v>
      </c>
      <c r="C11" t="s">
        <v>689</v>
      </c>
      <c r="D11" t="s">
        <v>935</v>
      </c>
      <c r="E11" t="s">
        <v>936</v>
      </c>
      <c r="F11" t="s">
        <v>937</v>
      </c>
      <c r="H11" t="s">
        <v>938</v>
      </c>
      <c r="I11" t="s">
        <v>939</v>
      </c>
      <c r="J11" s="141" t="s">
        <v>940</v>
      </c>
    </row>
    <row r="12" spans="1:10" x14ac:dyDescent="0.25">
      <c r="A12">
        <v>67</v>
      </c>
      <c r="B12">
        <v>95</v>
      </c>
      <c r="C12" s="141">
        <f>B4</f>
        <v>10.8446</v>
      </c>
      <c r="D12" s="141">
        <f>($B$6*C12)+($B$7*C12^2)+($B$8*C12^3)</f>
        <v>13.007358560684633</v>
      </c>
      <c r="E12" s="141">
        <f>D12/3.413</f>
        <v>3.8111217581847741</v>
      </c>
      <c r="F12" s="141">
        <f>1/E12</f>
        <v>0.26238993751705719</v>
      </c>
      <c r="G12" s="141"/>
      <c r="H12" s="141">
        <f t="shared" ref="H12:I20" si="0">(A12-32)/1.8</f>
        <v>19.444444444444443</v>
      </c>
      <c r="I12" s="141">
        <f t="shared" si="0"/>
        <v>35</v>
      </c>
      <c r="J12" s="155">
        <f>F12/$F$12</f>
        <v>1</v>
      </c>
    </row>
    <row r="13" spans="1:10" x14ac:dyDescent="0.25">
      <c r="A13">
        <v>67</v>
      </c>
      <c r="B13">
        <v>82</v>
      </c>
      <c r="C13" s="141">
        <f>B3</f>
        <v>13</v>
      </c>
      <c r="D13" s="141">
        <f t="shared" ref="D13:D20" si="1">($B$6*C13)+($B$7*C13^2)+($B$8*C13^3)</f>
        <v>16.082546999999998</v>
      </c>
      <c r="E13" s="141">
        <f>D13/3.413</f>
        <v>4.7121438617052442</v>
      </c>
      <c r="F13" s="141">
        <f t="shared" ref="F13:F20" si="2">1/E13</f>
        <v>0.21221762945881645</v>
      </c>
      <c r="G13" s="141"/>
      <c r="H13" s="141">
        <f t="shared" si="0"/>
        <v>19.444444444444443</v>
      </c>
      <c r="I13" s="141">
        <f t="shared" si="0"/>
        <v>27.777777777777779</v>
      </c>
      <c r="J13" s="155">
        <f t="shared" ref="J13:J20" si="3">F13/$F$12</f>
        <v>0.80878722510088941</v>
      </c>
    </row>
    <row r="14" spans="1:10" x14ac:dyDescent="0.25">
      <c r="A14">
        <v>67</v>
      </c>
      <c r="B14">
        <v>110</v>
      </c>
      <c r="C14" s="141">
        <f>C12-1.8</f>
        <v>9.0445999999999991</v>
      </c>
      <c r="D14" s="141">
        <f t="shared" si="1"/>
        <v>10.579883785945169</v>
      </c>
      <c r="E14" s="141">
        <f t="shared" ref="E14:E20" si="4">D14/3.413</f>
        <v>3.0998780503794814</v>
      </c>
      <c r="F14" s="141">
        <f t="shared" si="2"/>
        <v>0.32259333552737079</v>
      </c>
      <c r="G14" s="141"/>
      <c r="H14" s="141">
        <f t="shared" si="0"/>
        <v>19.444444444444443</v>
      </c>
      <c r="I14" s="141">
        <f t="shared" si="0"/>
        <v>43.333333333333336</v>
      </c>
      <c r="J14" s="155">
        <f t="shared" si="3"/>
        <v>1.229442480073764</v>
      </c>
    </row>
    <row r="15" spans="1:10" x14ac:dyDescent="0.25">
      <c r="A15">
        <v>57</v>
      </c>
      <c r="B15">
        <v>95</v>
      </c>
      <c r="C15" s="141">
        <f>C12*0.877</f>
        <v>9.5107142000000007</v>
      </c>
      <c r="D15" s="141">
        <f t="shared" si="1"/>
        <v>11.196745919442264</v>
      </c>
      <c r="E15" s="141">
        <f t="shared" si="4"/>
        <v>3.2806170288433241</v>
      </c>
      <c r="F15" s="141">
        <f t="shared" si="2"/>
        <v>0.30482070635126185</v>
      </c>
      <c r="G15" s="141"/>
      <c r="H15" s="141">
        <f t="shared" si="0"/>
        <v>13.888888888888889</v>
      </c>
      <c r="I15" s="141">
        <f t="shared" si="0"/>
        <v>35</v>
      </c>
      <c r="J15" s="155">
        <f t="shared" si="3"/>
        <v>1.1617088263205457</v>
      </c>
    </row>
    <row r="16" spans="1:10" x14ac:dyDescent="0.25">
      <c r="A16">
        <v>57</v>
      </c>
      <c r="B16">
        <v>82</v>
      </c>
      <c r="C16" s="141">
        <f>C13*0.877</f>
        <v>11.401</v>
      </c>
      <c r="D16" s="141">
        <f t="shared" si="1"/>
        <v>13.78309282396445</v>
      </c>
      <c r="E16" s="141">
        <f t="shared" si="4"/>
        <v>4.0384098517329186</v>
      </c>
      <c r="F16" s="141">
        <f t="shared" si="2"/>
        <v>0.24762221684133692</v>
      </c>
      <c r="G16" s="141"/>
      <c r="H16" s="141">
        <f t="shared" si="0"/>
        <v>13.888888888888889</v>
      </c>
      <c r="I16" s="141">
        <f t="shared" si="0"/>
        <v>27.777777777777779</v>
      </c>
      <c r="J16" s="155">
        <f t="shared" si="3"/>
        <v>0.94371841841396731</v>
      </c>
    </row>
    <row r="17" spans="1:10" x14ac:dyDescent="0.25">
      <c r="A17">
        <v>57</v>
      </c>
      <c r="B17">
        <v>110</v>
      </c>
      <c r="C17" s="141">
        <f>C14*0.877</f>
        <v>7.9321141999999991</v>
      </c>
      <c r="D17" s="141">
        <f t="shared" si="1"/>
        <v>9.1394759026767218</v>
      </c>
      <c r="E17" s="141">
        <f t="shared" si="4"/>
        <v>2.6778423389032295</v>
      </c>
      <c r="F17" s="141">
        <f t="shared" si="2"/>
        <v>0.37343497989861957</v>
      </c>
      <c r="G17" s="141"/>
      <c r="H17" s="141">
        <f t="shared" si="0"/>
        <v>13.888888888888889</v>
      </c>
      <c r="I17" s="141">
        <f t="shared" si="0"/>
        <v>43.333333333333336</v>
      </c>
      <c r="J17" s="155">
        <f t="shared" si="3"/>
        <v>1.4232061771589228</v>
      </c>
    </row>
    <row r="18" spans="1:10" x14ac:dyDescent="0.25">
      <c r="A18">
        <v>77</v>
      </c>
      <c r="B18">
        <v>95</v>
      </c>
      <c r="C18" s="141">
        <f>C12*1.11</f>
        <v>12.037506</v>
      </c>
      <c r="D18" s="141">
        <f t="shared" si="1"/>
        <v>14.685776679026622</v>
      </c>
      <c r="E18" s="141">
        <f t="shared" si="4"/>
        <v>4.3028938409102322</v>
      </c>
      <c r="F18" s="141">
        <f t="shared" si="2"/>
        <v>0.23240173635993316</v>
      </c>
      <c r="G18" s="141"/>
      <c r="H18" s="141">
        <f t="shared" si="0"/>
        <v>25</v>
      </c>
      <c r="I18" s="141">
        <f t="shared" si="0"/>
        <v>35</v>
      </c>
      <c r="J18" s="155">
        <f t="shared" si="3"/>
        <v>0.8857113140812628</v>
      </c>
    </row>
    <row r="19" spans="1:10" x14ac:dyDescent="0.25">
      <c r="A19">
        <v>77</v>
      </c>
      <c r="B19">
        <v>82</v>
      </c>
      <c r="C19" s="141">
        <f>C13*1.11</f>
        <v>14.430000000000001</v>
      </c>
      <c r="D19" s="141">
        <f t="shared" si="1"/>
        <v>18.230998362057001</v>
      </c>
      <c r="E19" s="141">
        <f t="shared" si="4"/>
        <v>5.3416344453726934</v>
      </c>
      <c r="F19" s="141">
        <f t="shared" si="2"/>
        <v>0.18720861755455237</v>
      </c>
      <c r="G19" s="141"/>
      <c r="H19" s="141">
        <f t="shared" si="0"/>
        <v>25</v>
      </c>
      <c r="I19" s="141">
        <f t="shared" si="0"/>
        <v>27.777777777777779</v>
      </c>
      <c r="J19" s="155">
        <f t="shared" si="3"/>
        <v>0.71347483568184655</v>
      </c>
    </row>
    <row r="20" spans="1:10" x14ac:dyDescent="0.25">
      <c r="A20">
        <v>77</v>
      </c>
      <c r="B20">
        <v>110</v>
      </c>
      <c r="C20" s="141">
        <f>C14*1.11</f>
        <v>10.039505999999999</v>
      </c>
      <c r="D20" s="141">
        <f t="shared" si="1"/>
        <v>11.906382569054552</v>
      </c>
      <c r="E20" s="141">
        <f t="shared" si="4"/>
        <v>3.4885386958847211</v>
      </c>
      <c r="F20" s="141">
        <f t="shared" si="2"/>
        <v>0.28665297626758646</v>
      </c>
      <c r="G20" s="141"/>
      <c r="H20" s="141">
        <f t="shared" si="0"/>
        <v>25</v>
      </c>
      <c r="I20" s="141">
        <f t="shared" si="0"/>
        <v>43.333333333333336</v>
      </c>
      <c r="J20" s="155">
        <f t="shared" si="3"/>
        <v>1.0924693949018225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2BF78-C60B-4848-B7DC-3E325F6E3B90}">
  <dimension ref="A1:AX1012"/>
  <sheetViews>
    <sheetView tabSelected="1" topLeftCell="AJ1" zoomScale="70" zoomScaleNormal="70" workbookViewId="0">
      <selection activeCell="AN62" sqref="AN62"/>
    </sheetView>
  </sheetViews>
  <sheetFormatPr defaultColWidth="12.7109375" defaultRowHeight="15" customHeight="1" x14ac:dyDescent="0.25"/>
  <cols>
    <col min="1" max="1" width="4.42578125" style="188" customWidth="1"/>
    <col min="2" max="2" width="76" style="188" customWidth="1"/>
    <col min="3" max="3" width="45" style="188" customWidth="1"/>
    <col min="4" max="17" width="12" style="188" customWidth="1"/>
    <col min="18" max="18" width="4.140625" style="188" customWidth="1"/>
    <col min="19" max="19" width="24.7109375" style="188" customWidth="1"/>
    <col min="20" max="28" width="12" style="188" customWidth="1"/>
    <col min="29" max="29" width="4.42578125" style="188" customWidth="1"/>
    <col min="30" max="30" width="65" style="188" customWidth="1"/>
    <col min="31" max="37" width="12" style="188" customWidth="1"/>
    <col min="38" max="38" width="3.7109375" style="188" customWidth="1"/>
    <col min="39" max="39" width="52.85546875" style="188" customWidth="1"/>
    <col min="40" max="46" width="12" style="188" customWidth="1"/>
    <col min="47" max="47" width="3.7109375" style="188" customWidth="1"/>
    <col min="48" max="48" width="50.140625" style="188" customWidth="1"/>
    <col min="49" max="49" width="12" style="188" customWidth="1"/>
    <col min="50" max="50" width="14.140625" style="188" bestFit="1" customWidth="1"/>
    <col min="51" max="51" width="14.140625" style="188" customWidth="1"/>
    <col min="52" max="52" width="4" style="188" customWidth="1"/>
    <col min="53" max="53" width="29.85546875" style="188" customWidth="1"/>
    <col min="54" max="72" width="12" style="188" customWidth="1"/>
    <col min="73" max="16384" width="12.7109375" style="188"/>
  </cols>
  <sheetData>
    <row r="1" spans="1:50" ht="15.95" customHeight="1" x14ac:dyDescent="0.25"/>
    <row r="2" spans="1:50" ht="15.95" customHeight="1" x14ac:dyDescent="0.25"/>
    <row r="3" spans="1:50" ht="15.75" customHeight="1" x14ac:dyDescent="0.25"/>
    <row r="4" spans="1:50" ht="15.75" customHeight="1" thickBot="1" x14ac:dyDescent="0.3">
      <c r="A4" s="189" t="s">
        <v>1008</v>
      </c>
      <c r="R4" s="189" t="s">
        <v>1092</v>
      </c>
      <c r="AC4" s="189" t="s">
        <v>1097</v>
      </c>
      <c r="AL4" s="189" t="s">
        <v>1015</v>
      </c>
      <c r="AM4" s="189"/>
      <c r="AU4" s="189" t="s">
        <v>1049</v>
      </c>
    </row>
    <row r="5" spans="1:50" ht="15.75" customHeight="1" x14ac:dyDescent="0.25">
      <c r="A5" s="213"/>
      <c r="B5" s="193" t="str">
        <f>'ACM Performance Curves'!M15</f>
        <v>E+ Field(s)</v>
      </c>
      <c r="C5" s="191" t="str">
        <f>'ACM Performance Curves'!N15</f>
        <v>Curve Name (generated from fields)</v>
      </c>
      <c r="D5" s="191" t="str">
        <f>'ACM Performance Curves'!O15</f>
        <v>Curve Type</v>
      </c>
      <c r="E5" s="191" t="str">
        <f>'ACM Performance Curves'!P15</f>
        <v>Dependent</v>
      </c>
      <c r="F5" s="191" t="str">
        <f>'ACM Performance Curves'!Q15</f>
        <v>Var1</v>
      </c>
      <c r="G5" s="191" t="str">
        <f>'ACM Performance Curves'!R15</f>
        <v>Var2</v>
      </c>
      <c r="H5" s="191" t="str">
        <f>'ACM Performance Curves'!S15</f>
        <v>Var3</v>
      </c>
      <c r="I5" s="191" t="str">
        <f>'ACM Performance Curves'!T15</f>
        <v>Var4</v>
      </c>
      <c r="J5" s="191" t="str">
        <f>'ACM Performance Curves'!U15</f>
        <v>Var5</v>
      </c>
      <c r="K5" s="191" t="str">
        <f>'ACM Performance Curves'!V15</f>
        <v>a</v>
      </c>
      <c r="L5" s="191" t="str">
        <f>'ACM Performance Curves'!W15</f>
        <v>b</v>
      </c>
      <c r="M5" s="191" t="str">
        <f>'ACM Performance Curves'!X15</f>
        <v>c</v>
      </c>
      <c r="N5" s="191" t="str">
        <f>'ACM Performance Curves'!Y15</f>
        <v>d</v>
      </c>
      <c r="O5" s="191" t="str">
        <f>'ACM Performance Curves'!Z15</f>
        <v>e</v>
      </c>
      <c r="P5" s="192" t="str">
        <f>'ACM Performance Curves'!AA15</f>
        <v>f</v>
      </c>
      <c r="S5" s="246" t="s">
        <v>1096</v>
      </c>
      <c r="AD5" s="190" t="s">
        <v>961</v>
      </c>
      <c r="AE5" s="210" t="s">
        <v>946</v>
      </c>
      <c r="AF5" s="210"/>
      <c r="AG5" s="210"/>
      <c r="AH5" s="210" t="s">
        <v>947</v>
      </c>
      <c r="AI5" s="210"/>
      <c r="AJ5" s="211"/>
      <c r="AK5" s="232"/>
      <c r="AM5" s="237" t="s">
        <v>965</v>
      </c>
      <c r="AN5" s="191"/>
      <c r="AO5" s="192"/>
      <c r="AV5" s="193" t="s">
        <v>1050</v>
      </c>
      <c r="AW5" s="192" t="s">
        <v>1051</v>
      </c>
    </row>
    <row r="6" spans="1:50" ht="15.75" customHeight="1" x14ac:dyDescent="0.25">
      <c r="A6" s="330" t="s">
        <v>1011</v>
      </c>
      <c r="B6" s="194" t="str">
        <f>'ACM Performance Curves'!M252</f>
        <v>Cooling Capacity Ratio Modifier Function of Low Temperature Curve Name</v>
      </c>
      <c r="C6" s="212" t="str">
        <f>'ACM Performance Curves'!N252</f>
        <v>EPDef-VRFSysClgQRatio_fTwbToadbLowSI</v>
      </c>
      <c r="D6" s="212" t="str">
        <f>'ACM Performance Curves'!O252</f>
        <v>BiQuadratic</v>
      </c>
      <c r="E6" s="212" t="str">
        <f>'ACM Performance Curves'!P252</f>
        <v>QRatio</v>
      </c>
      <c r="F6" s="212" t="str">
        <f>'ACM Performance Curves'!Q252</f>
        <v>Twb</v>
      </c>
      <c r="G6" s="212" t="str">
        <f>'ACM Performance Curves'!R252</f>
        <v>Toadb</v>
      </c>
      <c r="H6" s="212" t="str">
        <f>'ACM Performance Curves'!S252</f>
        <v>Low</v>
      </c>
      <c r="I6" s="212">
        <f>'ACM Performance Curves'!T252</f>
        <v>0</v>
      </c>
      <c r="J6" s="212">
        <f>'ACM Performance Curves'!U252</f>
        <v>0</v>
      </c>
      <c r="K6" s="212">
        <f>'ACM Performance Curves'!V252</f>
        <v>0.57688300000000003</v>
      </c>
      <c r="L6" s="212">
        <f>'ACM Performance Curves'!W252</f>
        <v>1.7448000000000002E-2</v>
      </c>
      <c r="M6" s="212">
        <f>'ACM Performance Curves'!X252</f>
        <v>5.8299999999999997E-4</v>
      </c>
      <c r="N6" s="212">
        <f>'ACM Performance Curves'!Y252</f>
        <v>-1.9999999999999999E-6</v>
      </c>
      <c r="O6" s="212">
        <f>'ACM Performance Curves'!Z252</f>
        <v>0</v>
      </c>
      <c r="P6" s="195">
        <f>'ACM Performance Curves'!AA252</f>
        <v>0</v>
      </c>
      <c r="S6" s="189" t="s">
        <v>946</v>
      </c>
      <c r="AD6" s="194" t="s">
        <v>1006</v>
      </c>
      <c r="AE6" s="217">
        <v>115</v>
      </c>
      <c r="AF6" s="217">
        <v>95</v>
      </c>
      <c r="AG6" s="217">
        <v>82</v>
      </c>
      <c r="AH6" s="217">
        <v>47</v>
      </c>
      <c r="AI6" s="217">
        <v>17</v>
      </c>
      <c r="AJ6" s="218">
        <v>5</v>
      </c>
      <c r="AK6" s="217"/>
      <c r="AM6" s="194" t="s">
        <v>966</v>
      </c>
      <c r="AN6" s="185">
        <v>0.5</v>
      </c>
      <c r="AO6" s="247"/>
      <c r="AP6" s="240" t="s">
        <v>1103</v>
      </c>
      <c r="AV6" s="194" t="s">
        <v>1052</v>
      </c>
      <c r="AW6" s="195">
        <v>0.96</v>
      </c>
    </row>
    <row r="7" spans="1:50" ht="15.75" customHeight="1" x14ac:dyDescent="0.25">
      <c r="A7" s="330"/>
      <c r="B7" s="194" t="str">
        <f>'ACM Performance Curves'!M253</f>
        <v>Cooling Capacity Ratio Boundary Curve Name</v>
      </c>
      <c r="C7" s="212" t="str">
        <f>'ACM Performance Curves'!N253</f>
        <v>EPDef-VRFSysClgCapBdry_fToadbSI</v>
      </c>
      <c r="D7" s="212" t="str">
        <f>'ACM Performance Curves'!O253</f>
        <v>Cubic</v>
      </c>
      <c r="E7" s="212" t="str">
        <f>'ACM Performance Curves'!P253</f>
        <v>CapBdry</v>
      </c>
      <c r="F7" s="212" t="str">
        <f>'ACM Performance Curves'!Q253</f>
        <v>Toadb</v>
      </c>
      <c r="G7" s="212">
        <f>'ACM Performance Curves'!R253</f>
        <v>0</v>
      </c>
      <c r="H7" s="212">
        <f>'ACM Performance Curves'!S253</f>
        <v>0</v>
      </c>
      <c r="I7" s="212">
        <f>'ACM Performance Curves'!T253</f>
        <v>0</v>
      </c>
      <c r="J7" s="212">
        <f>'ACM Performance Curves'!U253</f>
        <v>0</v>
      </c>
      <c r="K7" s="212">
        <f>'ACM Performance Curves'!V253</f>
        <v>25.73</v>
      </c>
      <c r="L7" s="212">
        <f>'ACM Performance Curves'!W253</f>
        <v>-3.15E-2</v>
      </c>
      <c r="M7" s="212">
        <f>'ACM Performance Curves'!X253</f>
        <v>-1.4166E-2</v>
      </c>
      <c r="N7" s="212">
        <f>'ACM Performance Curves'!Y253</f>
        <v>0</v>
      </c>
      <c r="O7" s="212">
        <f>'ACM Performance Curves'!Z253</f>
        <v>0</v>
      </c>
      <c r="P7" s="195">
        <f>'ACM Performance Curves'!AA253</f>
        <v>0</v>
      </c>
      <c r="S7" s="188" t="s">
        <v>948</v>
      </c>
      <c r="W7" s="188" t="s">
        <v>1095</v>
      </c>
      <c r="AD7" s="194" t="s">
        <v>1007</v>
      </c>
      <c r="AE7" s="305">
        <v>67</v>
      </c>
      <c r="AF7" s="305">
        <v>67</v>
      </c>
      <c r="AG7" s="305">
        <v>67</v>
      </c>
      <c r="AH7" s="306"/>
      <c r="AI7" s="306"/>
      <c r="AJ7" s="307"/>
      <c r="AK7" s="217"/>
      <c r="AM7" s="194" t="s">
        <v>967</v>
      </c>
      <c r="AN7" s="238">
        <v>0.210115</v>
      </c>
      <c r="AO7" s="195"/>
      <c r="AV7" s="194" t="s">
        <v>1053</v>
      </c>
      <c r="AW7" s="195">
        <f>AN23</f>
        <v>350</v>
      </c>
    </row>
    <row r="8" spans="1:50" ht="15.75" customHeight="1" x14ac:dyDescent="0.25">
      <c r="A8" s="330"/>
      <c r="B8" s="194" t="str">
        <f>'ACM Performance Curves'!M254</f>
        <v>Cooling Capacity Ratio Modifier Function of High Temperature Curve Name</v>
      </c>
      <c r="C8" s="212" t="str">
        <f>'ACM Performance Curves'!N254</f>
        <v>EPDef-VRFSysClgQRatio_fTdbToadbHiSI</v>
      </c>
      <c r="D8" s="212" t="str">
        <f>'ACM Performance Curves'!O254</f>
        <v>BiQuadratic</v>
      </c>
      <c r="E8" s="212" t="str">
        <f>'ACM Performance Curves'!P254</f>
        <v>QRatio</v>
      </c>
      <c r="F8" s="212" t="str">
        <f>'ACM Performance Curves'!Q254</f>
        <v>Tdb</v>
      </c>
      <c r="G8" s="212" t="str">
        <f>'ACM Performance Curves'!R254</f>
        <v>Toadb</v>
      </c>
      <c r="H8" s="212" t="str">
        <f>'ACM Performance Curves'!S254</f>
        <v>Hi</v>
      </c>
      <c r="I8" s="212">
        <f>'ACM Performance Curves'!T254</f>
        <v>0</v>
      </c>
      <c r="J8" s="212">
        <f>'ACM Performance Curves'!U254</f>
        <v>0</v>
      </c>
      <c r="K8" s="212">
        <f>'ACM Performance Curves'!V254</f>
        <v>0.68673600000000001</v>
      </c>
      <c r="L8" s="212">
        <f>'ACM Performance Curves'!W254</f>
        <v>2.0763E-2</v>
      </c>
      <c r="M8" s="212">
        <f>'ACM Performance Curves'!X254</f>
        <v>5.4500000000000002E-4</v>
      </c>
      <c r="N8" s="212">
        <f>'ACM Performance Curves'!Y254</f>
        <v>-1.622E-3</v>
      </c>
      <c r="O8" s="212">
        <f>'ACM Performance Curves'!Z254</f>
        <v>0</v>
      </c>
      <c r="P8" s="195">
        <f>'ACM Performance Curves'!AA254</f>
        <v>-3.39E-4</v>
      </c>
      <c r="S8" s="188" t="s">
        <v>1093</v>
      </c>
      <c r="T8" s="188">
        <v>0.25</v>
      </c>
      <c r="W8" s="188" t="s">
        <v>1083</v>
      </c>
      <c r="X8" s="185">
        <v>0.55000000000000004</v>
      </c>
      <c r="AD8" s="194" t="s">
        <v>1100</v>
      </c>
      <c r="AE8" s="306"/>
      <c r="AF8" s="306"/>
      <c r="AG8" s="306"/>
      <c r="AH8" s="305">
        <v>70</v>
      </c>
      <c r="AI8" s="305">
        <v>70</v>
      </c>
      <c r="AJ8" s="307">
        <v>70</v>
      </c>
      <c r="AK8" s="212"/>
      <c r="AM8" s="194" t="s">
        <v>968</v>
      </c>
      <c r="AN8" s="238">
        <v>0.25337799999999999</v>
      </c>
      <c r="AO8" s="195"/>
      <c r="AV8" s="194" t="s">
        <v>1054</v>
      </c>
      <c r="AW8" s="195">
        <f>AN17</f>
        <v>0.25</v>
      </c>
    </row>
    <row r="9" spans="1:50" ht="15.75" customHeight="1" thickBot="1" x14ac:dyDescent="0.3">
      <c r="A9" s="330"/>
      <c r="B9" s="194" t="str">
        <f>'ACM Performance Curves'!M255</f>
        <v>Cooling Combination Ratio Correction Factor Curve Name</v>
      </c>
      <c r="C9" s="212" t="str">
        <f>'ACM Performance Curves'!N255</f>
        <v>EPDef-VRFSysClgQRatio_fCombRat</v>
      </c>
      <c r="D9" s="212" t="str">
        <f>'ACM Performance Curves'!O255</f>
        <v>Linear</v>
      </c>
      <c r="E9" s="212" t="str">
        <f>'ACM Performance Curves'!P255</f>
        <v>QRatio</v>
      </c>
      <c r="F9" s="212" t="str">
        <f>'ACM Performance Curves'!Q255</f>
        <v>CombRat</v>
      </c>
      <c r="G9" s="212">
        <f>'ACM Performance Curves'!R255</f>
        <v>0</v>
      </c>
      <c r="H9" s="212">
        <f>'ACM Performance Curves'!S255</f>
        <v>0</v>
      </c>
      <c r="I9" s="212">
        <f>'ACM Performance Curves'!T255</f>
        <v>0</v>
      </c>
      <c r="J9" s="212">
        <f>'ACM Performance Curves'!U255</f>
        <v>0</v>
      </c>
      <c r="K9" s="212">
        <f>'ACM Performance Curves'!V255</f>
        <v>0.61805500000000002</v>
      </c>
      <c r="L9" s="212">
        <f>'ACM Performance Curves'!W255</f>
        <v>0.38194499999999998</v>
      </c>
      <c r="M9" s="212">
        <f>'ACM Performance Curves'!X255</f>
        <v>0</v>
      </c>
      <c r="N9" s="212">
        <f>'ACM Performance Curves'!Y255</f>
        <v>0</v>
      </c>
      <c r="O9" s="212">
        <f>'ACM Performance Curves'!Z255</f>
        <v>0</v>
      </c>
      <c r="P9" s="195">
        <f>'ACM Performance Curves'!AA255</f>
        <v>0</v>
      </c>
      <c r="S9" s="188" t="s">
        <v>1094</v>
      </c>
      <c r="T9" s="188">
        <v>0.15</v>
      </c>
      <c r="W9" s="241" t="s">
        <v>1086</v>
      </c>
      <c r="X9" s="185">
        <v>0.55000000000000004</v>
      </c>
      <c r="AD9" s="196" t="s">
        <v>1010</v>
      </c>
      <c r="AE9" s="197">
        <v>0.25</v>
      </c>
      <c r="AF9" s="197">
        <f>AE9</f>
        <v>0.25</v>
      </c>
      <c r="AG9" s="197">
        <f>AF9</f>
        <v>0.25</v>
      </c>
      <c r="AH9" s="197">
        <f t="shared" ref="AH9:AJ9" si="0">AG9</f>
        <v>0.25</v>
      </c>
      <c r="AI9" s="197">
        <f t="shared" si="0"/>
        <v>0.25</v>
      </c>
      <c r="AJ9" s="208">
        <f t="shared" si="0"/>
        <v>0.25</v>
      </c>
      <c r="AK9" s="212"/>
      <c r="AM9" s="194" t="s">
        <v>969</v>
      </c>
      <c r="AN9" s="185">
        <f>AN15/1.33</f>
        <v>39284.135338345863</v>
      </c>
      <c r="AO9" s="195" t="s">
        <v>941</v>
      </c>
      <c r="AP9" s="240" t="s">
        <v>1104</v>
      </c>
      <c r="AV9" s="194" t="s">
        <v>1055</v>
      </c>
      <c r="AW9" s="195">
        <f>AN17</f>
        <v>0.25</v>
      </c>
    </row>
    <row r="10" spans="1:50" ht="15.75" customHeight="1" x14ac:dyDescent="0.25">
      <c r="A10" s="330"/>
      <c r="B10" s="194" t="str">
        <f>'ACM Performance Curves'!M256</f>
        <v>Heat Recovery Cooling Capacity Modifier Curve Name</v>
      </c>
      <c r="C10" s="212" t="str">
        <f>'ACM Performance Curves'!N256</f>
        <v>EPDef-VRFSysHtRcvryClgQRatio_fTwbToadbSI</v>
      </c>
      <c r="D10" s="212" t="str">
        <f>'ACM Performance Curves'!O256</f>
        <v>BiQuadratic</v>
      </c>
      <c r="E10" s="212" t="str">
        <f>'ACM Performance Curves'!P256</f>
        <v>QRatio</v>
      </c>
      <c r="F10" s="212" t="str">
        <f>'ACM Performance Curves'!Q256</f>
        <v>Twb</v>
      </c>
      <c r="G10" s="212" t="str">
        <f>'ACM Performance Curves'!R256</f>
        <v>Toadb</v>
      </c>
      <c r="H10" s="212">
        <f>'ACM Performance Curves'!S256</f>
        <v>0</v>
      </c>
      <c r="I10" s="212">
        <f>'ACM Performance Curves'!T256</f>
        <v>0</v>
      </c>
      <c r="J10" s="212">
        <f>'ACM Performance Curves'!U256</f>
        <v>0</v>
      </c>
      <c r="K10" s="212">
        <f>'ACM Performance Curves'!V256</f>
        <v>0.9</v>
      </c>
      <c r="L10" s="212">
        <f>'ACM Performance Curves'!W256</f>
        <v>0</v>
      </c>
      <c r="M10" s="212">
        <f>'ACM Performance Curves'!X256</f>
        <v>0</v>
      </c>
      <c r="N10" s="212">
        <f>'ACM Performance Curves'!Y256</f>
        <v>0</v>
      </c>
      <c r="O10" s="212">
        <f>'ACM Performance Curves'!Z256</f>
        <v>0</v>
      </c>
      <c r="P10" s="195">
        <f>'ACM Performance Curves'!AA256</f>
        <v>0</v>
      </c>
      <c r="W10" s="188" t="s">
        <v>1091</v>
      </c>
      <c r="X10" s="185">
        <v>-0.6</v>
      </c>
      <c r="AC10" s="333" t="s">
        <v>1011</v>
      </c>
      <c r="AD10" s="216" t="s">
        <v>960</v>
      </c>
      <c r="AE10" s="193"/>
      <c r="AF10" s="191"/>
      <c r="AG10" s="192"/>
      <c r="AH10" s="193"/>
      <c r="AI10" s="191"/>
      <c r="AJ10" s="192"/>
      <c r="AK10" s="212"/>
      <c r="AM10" s="194" t="s">
        <v>970</v>
      </c>
      <c r="AN10" s="185">
        <f>AN16/1.33</f>
        <v>32758.045112781951</v>
      </c>
      <c r="AO10" s="195" t="s">
        <v>941</v>
      </c>
      <c r="AP10" s="240" t="s">
        <v>1105</v>
      </c>
      <c r="AV10" s="194" t="s">
        <v>1056</v>
      </c>
      <c r="AW10" s="195" t="s">
        <v>1108</v>
      </c>
    </row>
    <row r="11" spans="1:50" ht="15.75" customHeight="1" x14ac:dyDescent="0.25">
      <c r="A11" s="330"/>
      <c r="B11" s="194" t="str">
        <f>'ACM Performance Curves'!M257</f>
        <v>Heating Capacity Ratio Modifier Function of Low Temperature Curve Name</v>
      </c>
      <c r="C11" s="212" t="str">
        <f>'ACM Performance Curves'!N257</f>
        <v>EPDef-VRFSysHtgQRatio_fTwbToadbLowSI</v>
      </c>
      <c r="D11" s="212" t="str">
        <f>'ACM Performance Curves'!O257</f>
        <v>BiQuadratic</v>
      </c>
      <c r="E11" s="212" t="str">
        <f>'ACM Performance Curves'!P257</f>
        <v>QRatio</v>
      </c>
      <c r="F11" s="212" t="str">
        <f>'ACM Performance Curves'!Q257</f>
        <v>Twb</v>
      </c>
      <c r="G11" s="212" t="str">
        <f>'ACM Performance Curves'!R257</f>
        <v>Toadb</v>
      </c>
      <c r="H11" s="212" t="str">
        <f>'ACM Performance Curves'!S257</f>
        <v>Low</v>
      </c>
      <c r="I11" s="212">
        <f>'ACM Performance Curves'!T257</f>
        <v>0</v>
      </c>
      <c r="J11" s="212">
        <f>'ACM Performance Curves'!U257</f>
        <v>0</v>
      </c>
      <c r="K11" s="212">
        <f>'ACM Performance Curves'!V257</f>
        <v>1.0145999999999999</v>
      </c>
      <c r="L11" s="212">
        <f>'ACM Performance Curves'!W257</f>
        <v>-2.5070000000000001E-3</v>
      </c>
      <c r="M11" s="212">
        <f>'ACM Performance Curves'!X257</f>
        <v>-1.4200000000000001E-4</v>
      </c>
      <c r="N11" s="212">
        <f>'ACM Performance Curves'!Y257</f>
        <v>2.6931594999999999E-2</v>
      </c>
      <c r="O11" s="212">
        <f>'ACM Performance Curves'!Z257</f>
        <v>1.84E-6</v>
      </c>
      <c r="P11" s="195">
        <f>'ACM Performance Curves'!AA257</f>
        <v>-3.5814700000000001E-4</v>
      </c>
      <c r="W11" s="188" t="s">
        <v>1090</v>
      </c>
      <c r="X11" s="248">
        <v>0</v>
      </c>
      <c r="Y11" s="248">
        <f>1/(1-$X$10)</f>
        <v>0.625</v>
      </c>
      <c r="Z11" s="248">
        <f>-$X$10/(1-$X$10)^2</f>
        <v>0.23437499999999994</v>
      </c>
      <c r="AC11" s="330"/>
      <c r="AD11" s="214" t="s">
        <v>951</v>
      </c>
      <c r="AE11" s="194">
        <f>$K41+$L41*AE$7+$M41*AE$7^2+$N41*AE$6+$O41*AE$6^2+$P41*AE$7*AE$6</f>
        <v>1.1364818271604942</v>
      </c>
      <c r="AF11" s="212">
        <f>$K41+$L41*AF$7+$M41*AF$7^2+$N41*AF$6+$O41*AF$6^2+$P41*AF$7*AF$6</f>
        <v>1.1365040493827163</v>
      </c>
      <c r="AG11" s="195">
        <f>$K41+$L41*AG$7+$M41*AG$7^2+$N41*AG$6+$O41*AG$6^2+$P41*AG$7*AG$6</f>
        <v>1.1365184938271609</v>
      </c>
      <c r="AH11" s="194"/>
      <c r="AI11" s="212"/>
      <c r="AJ11" s="195"/>
      <c r="AK11" s="212"/>
      <c r="AM11" s="194" t="s">
        <v>971</v>
      </c>
      <c r="AN11" s="212">
        <f>AN15/AN9</f>
        <v>1.33</v>
      </c>
      <c r="AO11" s="195"/>
      <c r="AP11" s="240" t="s">
        <v>1105</v>
      </c>
      <c r="AV11" s="194" t="s">
        <v>1057</v>
      </c>
      <c r="AW11" s="195" t="s">
        <v>1058</v>
      </c>
    </row>
    <row r="12" spans="1:50" ht="15.75" customHeight="1" x14ac:dyDescent="0.25">
      <c r="A12" s="330"/>
      <c r="B12" s="194" t="str">
        <f>'ACM Performance Curves'!M258</f>
        <v>Heating Capacity Ratio Boundary Curve Name</v>
      </c>
      <c r="C12" s="212" t="str">
        <f>'ACM Performance Curves'!N258</f>
        <v>EPDef-VRFSysHtgCapBdry_fToadbSI</v>
      </c>
      <c r="D12" s="212" t="str">
        <f>'ACM Performance Curves'!O258</f>
        <v>Cubic</v>
      </c>
      <c r="E12" s="212" t="str">
        <f>'ACM Performance Curves'!P258</f>
        <v>CapBdry</v>
      </c>
      <c r="F12" s="212" t="str">
        <f>'ACM Performance Curves'!Q258</f>
        <v>Toadb</v>
      </c>
      <c r="G12" s="212">
        <f>'ACM Performance Curves'!R258</f>
        <v>0</v>
      </c>
      <c r="H12" s="212">
        <f>'ACM Performance Curves'!S258</f>
        <v>0</v>
      </c>
      <c r="I12" s="212">
        <f>'ACM Performance Curves'!T258</f>
        <v>0</v>
      </c>
      <c r="J12" s="212">
        <f>'ACM Performance Curves'!U258</f>
        <v>0</v>
      </c>
      <c r="K12" s="212">
        <f>'ACM Performance Curves'!V258</f>
        <v>-7.6000880000000004</v>
      </c>
      <c r="L12" s="212">
        <f>'ACM Performance Curves'!W258</f>
        <v>3.0508999999999999</v>
      </c>
      <c r="M12" s="212">
        <f>'ACM Performance Curves'!X258</f>
        <v>-0.116284</v>
      </c>
      <c r="N12" s="212">
        <f>'ACM Performance Curves'!Y258</f>
        <v>0</v>
      </c>
      <c r="O12" s="212">
        <f>'ACM Performance Curves'!Z258</f>
        <v>0</v>
      </c>
      <c r="P12" s="195">
        <f>'ACM Performance Curves'!AA258</f>
        <v>0</v>
      </c>
      <c r="X12" s="248">
        <f>$X$10^2/(1-$X$10)^3</f>
        <v>8.7890624999999972E-2</v>
      </c>
      <c r="Y12" s="248">
        <f>-$X$10^3/(1-$X$10)^4</f>
        <v>3.2958984374999986E-2</v>
      </c>
      <c r="Z12" s="219">
        <f>$X$10^4/(1-$X$10)^5</f>
        <v>1.2359619140624991E-2</v>
      </c>
      <c r="AC12" s="330"/>
      <c r="AD12" s="214" t="s">
        <v>949</v>
      </c>
      <c r="AE12" s="256">
        <f>$K42+$L42*AE$7+$M42*AE$7^2</f>
        <v>67.570749999999975</v>
      </c>
      <c r="AF12" s="304">
        <f>$K42+$L42*AF$7+$M42*AF$7^2</f>
        <v>67.570749999999975</v>
      </c>
      <c r="AG12" s="258">
        <f>$K42+$L42*AG$7+$M42*AG$7^2</f>
        <v>67.570749999999975</v>
      </c>
      <c r="AH12" s="194"/>
      <c r="AI12" s="212"/>
      <c r="AJ12" s="195"/>
      <c r="AK12" s="212"/>
      <c r="AM12" s="194" t="s">
        <v>972</v>
      </c>
      <c r="AN12" s="212">
        <f>AN16/AN10</f>
        <v>1.33</v>
      </c>
      <c r="AO12" s="195"/>
      <c r="AP12" s="240" t="s">
        <v>1105</v>
      </c>
      <c r="AV12" s="194" t="s">
        <v>1067</v>
      </c>
      <c r="AW12" s="242">
        <f>AO36</f>
        <v>50891.759212723999</v>
      </c>
      <c r="AX12" s="240" t="s">
        <v>1119</v>
      </c>
    </row>
    <row r="13" spans="1:50" ht="15.75" customHeight="1" x14ac:dyDescent="0.25">
      <c r="A13" s="330"/>
      <c r="B13" s="194" t="str">
        <f>'ACM Performance Curves'!M259</f>
        <v>Heating Capacity Ratio Modifier Function of High Temperature Curve Name</v>
      </c>
      <c r="C13" s="212" t="str">
        <f>'ACM Performance Curves'!N259</f>
        <v>EPDef-VRFSysHtgQRatio_fTwbToadbHiSI</v>
      </c>
      <c r="D13" s="212" t="str">
        <f>'ACM Performance Curves'!O259</f>
        <v>BiQuadratic</v>
      </c>
      <c r="E13" s="212" t="str">
        <f>'ACM Performance Curves'!P259</f>
        <v>QRatio</v>
      </c>
      <c r="F13" s="212" t="str">
        <f>'ACM Performance Curves'!Q259</f>
        <v>Twb</v>
      </c>
      <c r="G13" s="212" t="str">
        <f>'ACM Performance Curves'!R259</f>
        <v>Toadb</v>
      </c>
      <c r="H13" s="212" t="str">
        <f>'ACM Performance Curves'!S259</f>
        <v>Hi</v>
      </c>
      <c r="I13" s="212">
        <f>'ACM Performance Curves'!T259</f>
        <v>0</v>
      </c>
      <c r="J13" s="212">
        <f>'ACM Performance Curves'!U259</f>
        <v>0</v>
      </c>
      <c r="K13" s="212">
        <f>'ACM Performance Curves'!V259</f>
        <v>1.161135</v>
      </c>
      <c r="L13" s="212">
        <f>'ACM Performance Curves'!W259</f>
        <v>2.7479E-2</v>
      </c>
      <c r="M13" s="212">
        <f>'ACM Performance Curves'!X259</f>
        <v>-1.688E-3</v>
      </c>
      <c r="N13" s="212">
        <f>'ACM Performance Curves'!Y259</f>
        <v>1.7830000000000001E-3</v>
      </c>
      <c r="O13" s="212">
        <f>'ACM Performance Curves'!Z259</f>
        <v>1.9999999999999999E-6</v>
      </c>
      <c r="P13" s="195">
        <f>'ACM Performance Curves'!AA259</f>
        <v>-6.8999999999999997E-5</v>
      </c>
      <c r="S13" s="188" t="s">
        <v>28</v>
      </c>
      <c r="T13" s="188" t="s">
        <v>1087</v>
      </c>
      <c r="U13" t="s">
        <v>1084</v>
      </c>
      <c r="V13" s="188" t="s">
        <v>1085</v>
      </c>
      <c r="X13" s="188" t="s">
        <v>1087</v>
      </c>
      <c r="Y13" t="s">
        <v>1084</v>
      </c>
      <c r="Z13" s="188" t="s">
        <v>1085</v>
      </c>
      <c r="AC13" s="330"/>
      <c r="AD13" s="214" t="s">
        <v>950</v>
      </c>
      <c r="AE13" s="194">
        <f>$K43+$L43*AE$7+$M43*AE$7^2+$N43*AE$6+$O43*AE$6^2+$P43*AE$7*AE$6</f>
        <v>0.91777680246913573</v>
      </c>
      <c r="AF13" s="212">
        <f>$K43+$L43*AF$7+$M43*AF$7^2+$N43*AF$6+$O43*AF$6^2+$P43*AF$7*AF$6</f>
        <v>1.0090397654320986</v>
      </c>
      <c r="AG13" s="195">
        <f>$K43+$L43*AG$7+$M43*AG$7^2+$N43*AG$6+$O43*AG$6^2+$P43*AG$7*AG$6</f>
        <v>1.0683606913580248</v>
      </c>
      <c r="AH13" s="194"/>
      <c r="AI13" s="212"/>
      <c r="AJ13" s="195"/>
      <c r="AK13" s="212"/>
      <c r="AM13" s="194" t="s">
        <v>1082</v>
      </c>
      <c r="AN13" s="185">
        <v>48</v>
      </c>
      <c r="AO13" s="195" t="s">
        <v>944</v>
      </c>
      <c r="AP13" s="240"/>
      <c r="AV13" s="194" t="s">
        <v>1059</v>
      </c>
      <c r="AW13" s="242">
        <f>AQ36</f>
        <v>44639.869707554564</v>
      </c>
      <c r="AX13" s="240" t="s">
        <v>1118</v>
      </c>
    </row>
    <row r="14" spans="1:50" ht="15.75" customHeight="1" x14ac:dyDescent="0.25">
      <c r="A14" s="330"/>
      <c r="B14" s="194" t="str">
        <f>'ACM Performance Curves'!M260</f>
        <v>Heating Combination Ratio Correction Factor Curve Name</v>
      </c>
      <c r="C14" s="212" t="str">
        <f>'ACM Performance Curves'!N260</f>
        <v>EPDef-VRFSysHtgQRatio_fCombRat</v>
      </c>
      <c r="D14" s="212" t="str">
        <f>'ACM Performance Curves'!O260</f>
        <v>Linear</v>
      </c>
      <c r="E14" s="212" t="str">
        <f>'ACM Performance Curves'!P260</f>
        <v>QRatio</v>
      </c>
      <c r="F14" s="212" t="str">
        <f>'ACM Performance Curves'!Q260</f>
        <v>CombRat</v>
      </c>
      <c r="G14" s="212">
        <f>'ACM Performance Curves'!R260</f>
        <v>0</v>
      </c>
      <c r="H14" s="212">
        <f>'ACM Performance Curves'!S260</f>
        <v>0</v>
      </c>
      <c r="I14" s="212">
        <f>'ACM Performance Curves'!T260</f>
        <v>0</v>
      </c>
      <c r="J14" s="212">
        <f>'ACM Performance Curves'!U260</f>
        <v>0</v>
      </c>
      <c r="K14" s="212">
        <f>'ACM Performance Curves'!V260</f>
        <v>0.96033999999999997</v>
      </c>
      <c r="L14" s="212">
        <f>'ACM Performance Curves'!W260</f>
        <v>3.9660000000000001E-2</v>
      </c>
      <c r="M14" s="212">
        <f>'ACM Performance Curves'!X260</f>
        <v>0</v>
      </c>
      <c r="N14" s="212">
        <f>'ACM Performance Curves'!Y260</f>
        <v>0</v>
      </c>
      <c r="O14" s="212">
        <f>'ACM Performance Curves'!Z260</f>
        <v>0</v>
      </c>
      <c r="P14" s="195">
        <f>'ACM Performance Curves'!AA260</f>
        <v>0</v>
      </c>
      <c r="S14" s="188">
        <v>1</v>
      </c>
      <c r="T14" s="244">
        <f>$K$54+$L$54*S14+$M$54*S14^2+$N$54*S14^3</f>
        <v>1.0002405699999999</v>
      </c>
      <c r="U14">
        <f t="shared" ref="U14:U33" si="1">IF(S14&gt;$T$8-0.01,1,S14/$T$8/(1-$T$9+$T$9*S14/$T$8))</f>
        <v>1</v>
      </c>
      <c r="V14" s="188">
        <f>S14/T14/U14</f>
        <v>0.99975948786000568</v>
      </c>
      <c r="X14" s="245">
        <f>$X$11+$Y$11*S14+$Z$11*S14^2+$X$12*S14^3+$Y$12*S14^4+$Z$12*S14^5</f>
        <v>0.992584228515625</v>
      </c>
      <c r="Y14">
        <f t="shared" ref="Y14:Y33" si="2">IF(S14&gt;$X$8-0.01,1,S14/$X$8/(1-$X$9+$X$9*S14/$X$8))</f>
        <v>1</v>
      </c>
      <c r="Z14" s="188">
        <f>S14/X14/Y14</f>
        <v>1.0074711760184474</v>
      </c>
      <c r="AC14" s="330"/>
      <c r="AD14" s="214" t="s">
        <v>952</v>
      </c>
      <c r="AE14" s="194"/>
      <c r="AF14" s="212"/>
      <c r="AG14" s="195"/>
      <c r="AH14" s="194">
        <f>$K46+$L46*AH$8+$M46*AH$8^2+$N46*AH$6+$O46*AH$6^2+$P46*AH$8*AH$6</f>
        <v>1.0599384182098763</v>
      </c>
      <c r="AI14" s="212">
        <f>$K46+$L46*AI$8+$M46*AI$8^2+$N46*AI$6+$O46*AI$6^2+$P46*AI$8*AI$6</f>
        <v>0.73709318672839497</v>
      </c>
      <c r="AJ14" s="195">
        <f>$K46+$L46*AJ$8+$M46*AJ$8^2+$N46*AJ$6+$O46*AJ$6^2+$P46*AJ$8*AJ$6</f>
        <v>0.6082413163580247</v>
      </c>
      <c r="AK14" s="212"/>
      <c r="AM14" s="194" t="s">
        <v>973</v>
      </c>
      <c r="AN14" s="185">
        <v>11</v>
      </c>
      <c r="AO14" s="195" t="s">
        <v>944</v>
      </c>
      <c r="AP14" s="240"/>
      <c r="AV14" s="194" t="s">
        <v>1111</v>
      </c>
      <c r="AW14" s="316">
        <f>AN56</f>
        <v>0.898013873657735</v>
      </c>
    </row>
    <row r="15" spans="1:50" ht="15.75" customHeight="1" x14ac:dyDescent="0.25">
      <c r="A15" s="330"/>
      <c r="B15" s="194" t="str">
        <f>'ACM Performance Curves'!M261</f>
        <v>Heat Recovery Heating Capacity Modifier Curve Name</v>
      </c>
      <c r="C15" s="212" t="str">
        <f>'ACM Performance Curves'!N261</f>
        <v>EPDef-VRFSysHtRcvryHtgQRatio_fTwbToadbSI</v>
      </c>
      <c r="D15" s="212" t="str">
        <f>'ACM Performance Curves'!O261</f>
        <v>BiQuadratic</v>
      </c>
      <c r="E15" s="212" t="str">
        <f>'ACM Performance Curves'!P261</f>
        <v>QRatio</v>
      </c>
      <c r="F15" s="212" t="str">
        <f>'ACM Performance Curves'!Q261</f>
        <v>Twb</v>
      </c>
      <c r="G15" s="212" t="str">
        <f>'ACM Performance Curves'!R261</f>
        <v>Toadb</v>
      </c>
      <c r="H15" s="212">
        <f>'ACM Performance Curves'!S261</f>
        <v>0</v>
      </c>
      <c r="I15" s="212">
        <f>'ACM Performance Curves'!T261</f>
        <v>0</v>
      </c>
      <c r="J15" s="212">
        <f>'ACM Performance Curves'!U261</f>
        <v>0</v>
      </c>
      <c r="K15" s="212">
        <f>'ACM Performance Curves'!V261</f>
        <v>0.9</v>
      </c>
      <c r="L15" s="212">
        <f>'ACM Performance Curves'!W261</f>
        <v>0</v>
      </c>
      <c r="M15" s="212">
        <f>'ACM Performance Curves'!X261</f>
        <v>0</v>
      </c>
      <c r="N15" s="212">
        <f>'ACM Performance Curves'!Y261</f>
        <v>0</v>
      </c>
      <c r="O15" s="212">
        <f>'ACM Performance Curves'!Z261</f>
        <v>0</v>
      </c>
      <c r="P15" s="195">
        <f>'ACM Performance Curves'!AA261</f>
        <v>0</v>
      </c>
      <c r="S15" s="188">
        <f t="shared" ref="S15:S32" si="3">S14-0.05</f>
        <v>0.95</v>
      </c>
      <c r="T15" s="244">
        <f t="shared" ref="T15:T33" si="4">IF(S15&lt;$T$8-0.001,T14,$K$54+$L$54*S15+$M$54*S15^2+$N$54*S15^3)</f>
        <v>0.92540267538749987</v>
      </c>
      <c r="U15">
        <f t="shared" si="1"/>
        <v>1</v>
      </c>
      <c r="V15" s="188">
        <f t="shared" ref="V15:V33" si="5">S15/T15/U15</f>
        <v>1.0265801312949525</v>
      </c>
      <c r="X15" s="245">
        <f t="shared" ref="X15:X33" si="6">IF(S15&lt;$X$8-0.001,X14,$X$11+$Y$11*S15+$Z$11*S15^2+$X$12*S15^3+$Y$12*S15^4+$Z$12*S15^5)</f>
        <v>0.91703759856224043</v>
      </c>
      <c r="Y15">
        <f t="shared" si="2"/>
        <v>1</v>
      </c>
      <c r="Z15" s="188">
        <f t="shared" ref="Z15:Z33" si="7">S15/X15/Y15</f>
        <v>1.035944438362657</v>
      </c>
      <c r="AC15" s="330"/>
      <c r="AD15" s="214" t="s">
        <v>953</v>
      </c>
      <c r="AE15" s="194"/>
      <c r="AF15" s="212"/>
      <c r="AG15" s="195"/>
      <c r="AH15" s="194">
        <f>$K47+$L47*AH$8+$M47*AH$8^2</f>
        <v>40.96843271111112</v>
      </c>
      <c r="AI15" s="212">
        <f>$K47+$L47*AI$8+$M47*AI$8^2</f>
        <v>40.96843271111112</v>
      </c>
      <c r="AJ15" s="195">
        <f>$K47+$L47*AJ$8+$M47*AJ$8^2</f>
        <v>40.96843271111112</v>
      </c>
      <c r="AK15" s="212"/>
      <c r="AM15" s="194" t="s">
        <v>975</v>
      </c>
      <c r="AN15" s="185">
        <f>52247.9</f>
        <v>52247.9</v>
      </c>
      <c r="AO15" s="195" t="s">
        <v>941</v>
      </c>
      <c r="AV15" s="194" t="s">
        <v>1112</v>
      </c>
      <c r="AW15" s="316">
        <f>AP56</f>
        <v>1.0501041884391709</v>
      </c>
    </row>
    <row r="16" spans="1:50" ht="15.75" customHeight="1" x14ac:dyDescent="0.25">
      <c r="A16" s="330"/>
      <c r="B16" s="194" t="str">
        <f>'ACM Performance Curves'!M262</f>
        <v>Cooling Energy Input Ratio Modifier Function of Low Temperature Curve Name</v>
      </c>
      <c r="C16" s="212" t="str">
        <f>'ACM Performance Curves'!N262</f>
        <v>EPDef-VRFSysClgEIRRatio_fTwbToadbLowSI</v>
      </c>
      <c r="D16" s="212" t="str">
        <f>'ACM Performance Curves'!O262</f>
        <v>BiQuadratic</v>
      </c>
      <c r="E16" s="212" t="str">
        <f>'ACM Performance Curves'!P262</f>
        <v>EIRRatio</v>
      </c>
      <c r="F16" s="212" t="str">
        <f>'ACM Performance Curves'!Q262</f>
        <v>Twb</v>
      </c>
      <c r="G16" s="212" t="str">
        <f>'ACM Performance Curves'!R262</f>
        <v>Toadb</v>
      </c>
      <c r="H16" s="212" t="str">
        <f>'ACM Performance Curves'!S262</f>
        <v>Low</v>
      </c>
      <c r="I16" s="212">
        <f>'ACM Performance Curves'!T262</f>
        <v>0</v>
      </c>
      <c r="J16" s="212">
        <f>'ACM Performance Curves'!U262</f>
        <v>0</v>
      </c>
      <c r="K16" s="212">
        <f>'ACM Performance Curves'!V262</f>
        <v>0.98901054099999997</v>
      </c>
      <c r="L16" s="212">
        <f>'ACM Performance Curves'!W262</f>
        <v>-2.3479670000000001E-2</v>
      </c>
      <c r="M16" s="212">
        <f>'ACM Performance Curves'!X262</f>
        <v>1.9971100000000001E-4</v>
      </c>
      <c r="N16" s="212">
        <f>'ACM Performance Curves'!Y262</f>
        <v>5.9683360000000003E-3</v>
      </c>
      <c r="O16" s="212">
        <f>'ACM Performance Curves'!Z262</f>
        <v>-1.03E-7</v>
      </c>
      <c r="P16" s="195">
        <f>'ACM Performance Curves'!AA262</f>
        <v>-1.5686000000000001E-4</v>
      </c>
      <c r="S16" s="188">
        <f t="shared" si="3"/>
        <v>0.89999999999999991</v>
      </c>
      <c r="T16" s="244">
        <f t="shared" si="4"/>
        <v>0.85292521639999963</v>
      </c>
      <c r="U16">
        <f t="shared" si="1"/>
        <v>1</v>
      </c>
      <c r="V16" s="188">
        <f t="shared" si="5"/>
        <v>1.0551921583450095</v>
      </c>
      <c r="X16" s="245">
        <f t="shared" si="6"/>
        <v>0.84533863677978494</v>
      </c>
      <c r="Y16">
        <f t="shared" si="2"/>
        <v>1</v>
      </c>
      <c r="Z16" s="188">
        <f t="shared" si="7"/>
        <v>1.0646620902463904</v>
      </c>
      <c r="AC16" s="330"/>
      <c r="AD16" s="214" t="s">
        <v>954</v>
      </c>
      <c r="AE16" s="194"/>
      <c r="AF16" s="212"/>
      <c r="AG16" s="195"/>
      <c r="AH16" s="194">
        <f>$K48+$L48*AH$8+$M48*AH$8^2+$N48*AH$6+$O48*AH$6^2+$P48*AH$8*AH$6</f>
        <v>0.99179938271604939</v>
      </c>
      <c r="AI16" s="212">
        <f>$K48+$L48*AI$8+$M48*AI$8^2+$N48*AI$6+$O48*AI$6^2+$P48*AI$8*AI$6</f>
        <v>0.98636049382716051</v>
      </c>
      <c r="AJ16" s="195">
        <f>$K48+$L48*AJ$8+$M48*AJ$8^2+$N48*AJ$6+$O48*AJ$6^2+$P48*AJ$8*AJ$6</f>
        <v>0.98449604938271607</v>
      </c>
      <c r="AK16" s="212"/>
      <c r="AM16" s="194" t="s">
        <v>976</v>
      </c>
      <c r="AN16" s="185">
        <v>43568.2</v>
      </c>
      <c r="AO16" s="195" t="s">
        <v>941</v>
      </c>
      <c r="AV16" s="194" t="s">
        <v>1113</v>
      </c>
      <c r="AW16" s="316">
        <f>AR56</f>
        <v>0.78395069011508478</v>
      </c>
    </row>
    <row r="17" spans="1:50" ht="15.75" customHeight="1" x14ac:dyDescent="0.25">
      <c r="A17" s="330"/>
      <c r="B17" s="194" t="str">
        <f>'ACM Performance Curves'!M263</f>
        <v>Cooling Energy Input Ratio Boundary Name</v>
      </c>
      <c r="C17" s="212" t="str">
        <f>'ACM Performance Curves'!N263</f>
        <v>EPDef-VRFSysClgEIRBdry_fToadbSI</v>
      </c>
      <c r="D17" s="212" t="str">
        <f>'ACM Performance Curves'!O263</f>
        <v>Cubic</v>
      </c>
      <c r="E17" s="212" t="str">
        <f>'ACM Performance Curves'!P263</f>
        <v>EIRBdry</v>
      </c>
      <c r="F17" s="212" t="str">
        <f>'ACM Performance Curves'!Q263</f>
        <v>Toadb</v>
      </c>
      <c r="G17" s="212">
        <f>'ACM Performance Curves'!R263</f>
        <v>0</v>
      </c>
      <c r="H17" s="212">
        <f>'ACM Performance Curves'!S263</f>
        <v>0</v>
      </c>
      <c r="I17" s="212">
        <f>'ACM Performance Curves'!T263</f>
        <v>0</v>
      </c>
      <c r="J17" s="212">
        <f>'ACM Performance Curves'!U263</f>
        <v>0</v>
      </c>
      <c r="K17" s="212">
        <f>'ACM Performance Curves'!V263</f>
        <v>25.734737750000001</v>
      </c>
      <c r="L17" s="212">
        <f>'ACM Performance Curves'!W263</f>
        <v>-3.1500430000000003E-2</v>
      </c>
      <c r="M17" s="212">
        <f>'ACM Performance Curves'!X263</f>
        <v>-1.416595E-2</v>
      </c>
      <c r="N17" s="212">
        <f>'ACM Performance Curves'!Y263</f>
        <v>0</v>
      </c>
      <c r="O17" s="212">
        <f>'ACM Performance Curves'!Z263</f>
        <v>0</v>
      </c>
      <c r="P17" s="195">
        <f>'ACM Performance Curves'!AA263</f>
        <v>0</v>
      </c>
      <c r="S17" s="188">
        <f t="shared" si="3"/>
        <v>0.84999999999999987</v>
      </c>
      <c r="T17" s="244">
        <f t="shared" si="4"/>
        <v>0.78325630431249982</v>
      </c>
      <c r="U17">
        <f t="shared" si="1"/>
        <v>1</v>
      </c>
      <c r="V17" s="188">
        <f t="shared" si="5"/>
        <v>1.0852130973220624</v>
      </c>
      <c r="X17" s="245">
        <f t="shared" si="6"/>
        <v>0.77725059208869918</v>
      </c>
      <c r="Y17">
        <f t="shared" si="2"/>
        <v>1</v>
      </c>
      <c r="Z17" s="188">
        <f t="shared" si="7"/>
        <v>1.0935983949729802</v>
      </c>
      <c r="AC17" s="330"/>
      <c r="AD17" s="214" t="s">
        <v>956</v>
      </c>
      <c r="AE17" s="194">
        <f>$K51+$L51*AE$7+$M51*AE$7^2+$N51*AE$6+$O51*AE$6^2+$P51*AE$7*AE$6</f>
        <v>0.74231557075308685</v>
      </c>
      <c r="AF17" s="212">
        <f>$K51+$L51*AF$7+$M51*AF$7^2+$N51*AF$6+$O51*AF$6^2+$P51*AF$7*AF$6</f>
        <v>0.70998305964197561</v>
      </c>
      <c r="AG17" s="195">
        <f>$K51+$L51*AG$7+$M51*AG$7^2+$N51*AG$6+$O51*AG$6^2+$P51*AG$7*AG$6</f>
        <v>0.68895328945679024</v>
      </c>
      <c r="AH17" s="194"/>
      <c r="AI17" s="212"/>
      <c r="AJ17" s="195"/>
      <c r="AK17" s="212"/>
      <c r="AM17" s="194" t="s">
        <v>977</v>
      </c>
      <c r="AN17" s="185">
        <v>0.25</v>
      </c>
      <c r="AO17" s="195" t="s">
        <v>943</v>
      </c>
      <c r="AV17" s="194" t="s">
        <v>1114</v>
      </c>
      <c r="AW17" s="316">
        <f>AS56</f>
        <v>0.63522049607026643</v>
      </c>
    </row>
    <row r="18" spans="1:50" ht="15.75" customHeight="1" x14ac:dyDescent="0.25">
      <c r="A18" s="330"/>
      <c r="B18" s="194" t="str">
        <f>'ACM Performance Curves'!M264</f>
        <v>Cooling Energy Input Ratio Modifier Function of High Temperature Curve Name</v>
      </c>
      <c r="C18" s="212" t="str">
        <f>'ACM Performance Curves'!N264</f>
        <v>EPDef-VRFSysClgEIRRatio_fTwbToadbHiSI</v>
      </c>
      <c r="D18" s="212" t="str">
        <f>'ACM Performance Curves'!O264</f>
        <v>BiQuadratic</v>
      </c>
      <c r="E18" s="212" t="str">
        <f>'ACM Performance Curves'!P264</f>
        <v>EIRRatio</v>
      </c>
      <c r="F18" s="212" t="str">
        <f>'ACM Performance Curves'!Q264</f>
        <v>Twb</v>
      </c>
      <c r="G18" s="212" t="str">
        <f>'ACM Performance Curves'!R264</f>
        <v>Toadb</v>
      </c>
      <c r="H18" s="212" t="str">
        <f>'ACM Performance Curves'!S264</f>
        <v>Hi</v>
      </c>
      <c r="I18" s="212">
        <f>'ACM Performance Curves'!T264</f>
        <v>0</v>
      </c>
      <c r="J18" s="212">
        <f>'ACM Performance Curves'!U264</f>
        <v>0</v>
      </c>
      <c r="K18" s="212">
        <f>'ACM Performance Curves'!V264</f>
        <v>0.1435147</v>
      </c>
      <c r="L18" s="212">
        <f>'ACM Performance Curves'!W264</f>
        <v>1.8600350000000002E-2</v>
      </c>
      <c r="M18" s="212">
        <f>'ACM Performance Curves'!X264</f>
        <v>-3.9500000000000001E-4</v>
      </c>
      <c r="N18" s="212">
        <f>'ACM Performance Curves'!Y264</f>
        <v>2.485219E-2</v>
      </c>
      <c r="O18" s="212">
        <f>'ACM Performance Curves'!Z264</f>
        <v>1.6328999999999999E-4</v>
      </c>
      <c r="P18" s="195">
        <f>'ACM Performance Curves'!AA264</f>
        <v>-6.244E-4</v>
      </c>
      <c r="S18" s="188">
        <f t="shared" si="3"/>
        <v>0.79999999999999982</v>
      </c>
      <c r="T18" s="244">
        <f t="shared" si="4"/>
        <v>0.71684405039999954</v>
      </c>
      <c r="U18">
        <f t="shared" si="1"/>
        <v>1</v>
      </c>
      <c r="V18" s="188">
        <f t="shared" si="5"/>
        <v>1.1160028454635276</v>
      </c>
      <c r="X18" s="245">
        <f t="shared" si="6"/>
        <v>0.71254999999999968</v>
      </c>
      <c r="Y18">
        <f t="shared" si="2"/>
        <v>1</v>
      </c>
      <c r="Z18" s="188">
        <f t="shared" si="7"/>
        <v>1.1227282295979233</v>
      </c>
      <c r="AC18" s="330"/>
      <c r="AD18" s="214" t="s">
        <v>789</v>
      </c>
      <c r="AE18" s="256">
        <f>$K52+$L52*AE$7+$M52*AE$7^2</f>
        <v>67.579296927777762</v>
      </c>
      <c r="AF18" s="304">
        <f>$K52+$L52*AF$7+$M52*AF$7^2</f>
        <v>67.579296927777762</v>
      </c>
      <c r="AG18" s="258">
        <f>$K52+$L52*AG$7+$M52*AG$7^2</f>
        <v>67.579296927777762</v>
      </c>
      <c r="AH18" s="194"/>
      <c r="AI18" s="212"/>
      <c r="AJ18" s="195"/>
      <c r="AK18" s="212"/>
      <c r="AM18" s="198" t="s">
        <v>974</v>
      </c>
      <c r="AN18" s="212"/>
      <c r="AO18" s="195"/>
      <c r="AV18" s="194" t="s">
        <v>1060</v>
      </c>
      <c r="AW18" s="243">
        <f>AN59</f>
        <v>3.2413509479403353</v>
      </c>
      <c r="AX18" s="257"/>
    </row>
    <row r="19" spans="1:50" ht="15.75" customHeight="1" x14ac:dyDescent="0.25">
      <c r="A19" s="330"/>
      <c r="B19" s="194" t="str">
        <f>'ACM Performance Curves'!M265</f>
        <v>Cooling Energy Input Ratio Modifier Function of Low Part-Load Ratio Curve Name</v>
      </c>
      <c r="C19" s="212" t="str">
        <f>'ACM Performance Curves'!N265</f>
        <v>EPDef-VRFSysClgEIRRatio_fPLRLowSI</v>
      </c>
      <c r="D19" s="212" t="str">
        <f>'ACM Performance Curves'!O265</f>
        <v>Cubic</v>
      </c>
      <c r="E19" s="212" t="str">
        <f>'ACM Performance Curves'!P265</f>
        <v>EIRRatio</v>
      </c>
      <c r="F19" s="212" t="str">
        <f>'ACM Performance Curves'!Q265</f>
        <v>PLR</v>
      </c>
      <c r="G19" s="212" t="str">
        <f>'ACM Performance Curves'!R265</f>
        <v>Low</v>
      </c>
      <c r="H19" s="212">
        <f>'ACM Performance Curves'!S265</f>
        <v>0</v>
      </c>
      <c r="I19" s="212">
        <f>'ACM Performance Curves'!T265</f>
        <v>0</v>
      </c>
      <c r="J19" s="212">
        <f>'ACM Performance Curves'!U265</f>
        <v>0</v>
      </c>
      <c r="K19" s="212">
        <f>'ACM Performance Curves'!V265</f>
        <v>0.46281230000000001</v>
      </c>
      <c r="L19" s="212">
        <f>'ACM Performance Curves'!W265</f>
        <v>-1.04</v>
      </c>
      <c r="M19" s="212">
        <f>'ACM Performance Curves'!X265</f>
        <v>2.1749099699999999</v>
      </c>
      <c r="N19" s="212">
        <f>'ACM Performance Curves'!Y265</f>
        <v>-0.5974817</v>
      </c>
      <c r="O19" s="212">
        <f>'ACM Performance Curves'!Z265</f>
        <v>0</v>
      </c>
      <c r="P19" s="195">
        <f>'ACM Performance Curves'!AA265</f>
        <v>0</v>
      </c>
      <c r="S19" s="188">
        <f t="shared" si="3"/>
        <v>0.74999999999999978</v>
      </c>
      <c r="T19" s="244">
        <f t="shared" si="4"/>
        <v>0.65413656593749958</v>
      </c>
      <c r="U19">
        <f t="shared" si="1"/>
        <v>1</v>
      </c>
      <c r="V19" s="188">
        <f t="shared" si="5"/>
        <v>1.1465495724506856</v>
      </c>
      <c r="X19" s="245">
        <f t="shared" si="6"/>
        <v>0.65102621912956216</v>
      </c>
      <c r="Y19">
        <f t="shared" si="2"/>
        <v>1</v>
      </c>
      <c r="Z19" s="188">
        <f t="shared" si="7"/>
        <v>1.1520273346329553</v>
      </c>
      <c r="AC19" s="330"/>
      <c r="AD19" s="214" t="s">
        <v>957</v>
      </c>
      <c r="AE19" s="194">
        <f>$K53+$L53*AE$7+$M53*AE$7^2+$N53*AE$6+$O53*AE$6^2+$P53*AE$7*AE$6</f>
        <v>1.2891588500000002</v>
      </c>
      <c r="AF19" s="212">
        <f>$K53+$L53*AF$7+$M53*AF$7^2+$N53*AF$6+$O53*AF$6^2+$P53*AF$7*AF$6</f>
        <v>1.0007620475308643</v>
      </c>
      <c r="AG19" s="195">
        <f>$K53+$L53*AG$7+$M53*AG$7^2+$N53*AG$6+$O53*AG$6^2+$P53*AG$7*AG$6</f>
        <v>0.83492493148148172</v>
      </c>
      <c r="AH19" s="194"/>
      <c r="AI19" s="212"/>
      <c r="AJ19" s="195"/>
      <c r="AK19" s="212"/>
      <c r="AM19" s="239" t="s">
        <v>1098</v>
      </c>
      <c r="AN19" s="212">
        <f>X8</f>
        <v>0.55000000000000004</v>
      </c>
      <c r="AO19" s="195"/>
      <c r="AV19" s="194" t="s">
        <v>1068</v>
      </c>
      <c r="AW19" s="243">
        <f>AO59</f>
        <v>4.0832474579746414</v>
      </c>
      <c r="AX19" s="257"/>
    </row>
    <row r="20" spans="1:50" ht="15.75" customHeight="1" x14ac:dyDescent="0.25">
      <c r="A20" s="330"/>
      <c r="B20" s="194" t="str">
        <f>'ACM Performance Curves'!M266</f>
        <v>Cooling Energy Input Ratio Modifier Function of HIgh Part-Load Ratio Curve Name</v>
      </c>
      <c r="C20" s="212" t="str">
        <f>'ACM Performance Curves'!N266</f>
        <v>EPDef-VRFSysClgEIRRatio_fPLRHiSI</v>
      </c>
      <c r="D20" s="212" t="str">
        <f>'ACM Performance Curves'!O266</f>
        <v>Quadratic</v>
      </c>
      <c r="E20" s="212" t="str">
        <f>'ACM Performance Curves'!P266</f>
        <v>EIRRatio</v>
      </c>
      <c r="F20" s="212" t="str">
        <f>'ACM Performance Curves'!Q266</f>
        <v>PLR</v>
      </c>
      <c r="G20" s="212" t="str">
        <f>'ACM Performance Curves'!R266</f>
        <v>Hi</v>
      </c>
      <c r="H20" s="212">
        <f>'ACM Performance Curves'!S266</f>
        <v>0</v>
      </c>
      <c r="I20" s="212">
        <f>'ACM Performance Curves'!T266</f>
        <v>0</v>
      </c>
      <c r="J20" s="212">
        <f>'ACM Performance Curves'!U266</f>
        <v>0</v>
      </c>
      <c r="K20" s="212">
        <f>'ACM Performance Curves'!V266</f>
        <v>1</v>
      </c>
      <c r="L20" s="212">
        <f>'ACM Performance Curves'!W266</f>
        <v>0</v>
      </c>
      <c r="M20" s="212">
        <f>'ACM Performance Curves'!X266</f>
        <v>0</v>
      </c>
      <c r="N20" s="212">
        <f>'ACM Performance Curves'!Y266</f>
        <v>0</v>
      </c>
      <c r="O20" s="212">
        <f>'ACM Performance Curves'!Z266</f>
        <v>0</v>
      </c>
      <c r="P20" s="195">
        <f>'ACM Performance Curves'!AA266</f>
        <v>0</v>
      </c>
      <c r="S20" s="188">
        <f t="shared" si="3"/>
        <v>0.69999999999999973</v>
      </c>
      <c r="T20" s="244">
        <f t="shared" si="4"/>
        <v>0.59558196219999937</v>
      </c>
      <c r="U20">
        <f t="shared" si="1"/>
        <v>1</v>
      </c>
      <c r="V20" s="188">
        <f t="shared" si="5"/>
        <v>1.175321021164399</v>
      </c>
      <c r="X20" s="245">
        <f t="shared" si="6"/>
        <v>0.59248096771240211</v>
      </c>
      <c r="Y20">
        <f t="shared" si="2"/>
        <v>1</v>
      </c>
      <c r="Z20" s="188">
        <f t="shared" si="7"/>
        <v>1.1814725504225627</v>
      </c>
      <c r="AC20" s="330"/>
      <c r="AD20" s="214" t="s">
        <v>958</v>
      </c>
      <c r="AE20" s="194"/>
      <c r="AF20" s="212"/>
      <c r="AG20" s="195"/>
      <c r="AH20" s="319">
        <f>$K58+$L58*AH$8+$M58*AH$8^2+$N58*AH$6+$O58*AH$6^2+$P58*AH$8*AH$6</f>
        <v>1.1484318136221483</v>
      </c>
      <c r="AI20" s="320">
        <f>$K58+$L58*AI$8+$M58*AI$8^2+$N58*AI$6+$O58*AI$6^2+$P58*AI$8*AI$6</f>
        <v>1.4499619702687747</v>
      </c>
      <c r="AJ20" s="321">
        <f>$K58+$L58*AJ$8+$M58*AJ$8^2+$N58*AJ$6+$O58*AJ$6^2+$P58*AJ$8*AJ$6</f>
        <v>1.7270813906239848</v>
      </c>
      <c r="AK20" s="212"/>
      <c r="AM20" s="239" t="s">
        <v>1099</v>
      </c>
      <c r="AN20" s="212">
        <f>X9</f>
        <v>0.55000000000000004</v>
      </c>
      <c r="AO20" s="195"/>
      <c r="AV20" s="194" t="s">
        <v>1061</v>
      </c>
      <c r="AW20" s="243">
        <f>AP59</f>
        <v>4.8001861688500833</v>
      </c>
      <c r="AX20" s="257"/>
    </row>
    <row r="21" spans="1:50" ht="15.75" customHeight="1" x14ac:dyDescent="0.25">
      <c r="A21" s="330"/>
      <c r="B21" s="194" t="str">
        <f>'ACM Performance Curves'!M267</f>
        <v>Cooling Part-Load Fraction Correlation Curve Name</v>
      </c>
      <c r="C21" s="212" t="str">
        <f>'ACM Performance Curves'!N267</f>
        <v>EPDef-VRFSysClgEIRRatio_fCycRatSI</v>
      </c>
      <c r="D21" s="212" t="str">
        <f>'ACM Performance Curves'!O267</f>
        <v>Quadratic</v>
      </c>
      <c r="E21" s="212" t="str">
        <f>'ACM Performance Curves'!P267</f>
        <v>EIRRatio</v>
      </c>
      <c r="F21" s="212" t="str">
        <f>'ACM Performance Curves'!Q267</f>
        <v>CycRat</v>
      </c>
      <c r="G21" s="212">
        <f>'ACM Performance Curves'!R267</f>
        <v>0</v>
      </c>
      <c r="H21" s="212">
        <f>'ACM Performance Curves'!S267</f>
        <v>0</v>
      </c>
      <c r="I21" s="212">
        <f>'ACM Performance Curves'!T267</f>
        <v>0</v>
      </c>
      <c r="J21" s="212">
        <f>'ACM Performance Curves'!U267</f>
        <v>0</v>
      </c>
      <c r="K21" s="212">
        <f>'ACM Performance Curves'!V267</f>
        <v>0.85</v>
      </c>
      <c r="L21" s="212">
        <f>'ACM Performance Curves'!W267</f>
        <v>0.15</v>
      </c>
      <c r="M21" s="212">
        <f>'ACM Performance Curves'!X267</f>
        <v>0</v>
      </c>
      <c r="N21" s="212">
        <f>'ACM Performance Curves'!Y267</f>
        <v>0</v>
      </c>
      <c r="O21" s="212">
        <f>'ACM Performance Curves'!Z267</f>
        <v>0</v>
      </c>
      <c r="P21" s="195">
        <f>'ACM Performance Curves'!AA267</f>
        <v>0</v>
      </c>
      <c r="S21" s="188">
        <f t="shared" si="3"/>
        <v>0.64999999999999969</v>
      </c>
      <c r="T21" s="244">
        <f t="shared" si="4"/>
        <v>0.54162835046249957</v>
      </c>
      <c r="U21">
        <f t="shared" si="1"/>
        <v>1</v>
      </c>
      <c r="V21" s="188">
        <f t="shared" si="5"/>
        <v>1.2000848911342268</v>
      </c>
      <c r="X21" s="245">
        <f t="shared" si="6"/>
        <v>0.53672786011695817</v>
      </c>
      <c r="Y21">
        <f t="shared" si="2"/>
        <v>1</v>
      </c>
      <c r="Z21" s="188">
        <f t="shared" si="7"/>
        <v>1.2110420350796742</v>
      </c>
      <c r="AC21" s="330"/>
      <c r="AD21" s="214" t="s">
        <v>955</v>
      </c>
      <c r="AE21" s="194"/>
      <c r="AF21" s="212"/>
      <c r="AG21" s="195"/>
      <c r="AH21" s="319">
        <f>$K59+$L59*AH$8+$M59*AH$8^2</f>
        <v>40.968117542222217</v>
      </c>
      <c r="AI21" s="320">
        <f>$K59+$L59*AI$8+$M59*AI$8^2</f>
        <v>40.968117542222217</v>
      </c>
      <c r="AJ21" s="321">
        <f>$K59+$L59*AJ$8+$M59*AJ$8^2</f>
        <v>40.968117542222217</v>
      </c>
      <c r="AK21" s="212"/>
      <c r="AM21" s="239" t="s">
        <v>1016</v>
      </c>
      <c r="AN21" s="212">
        <f>-0.000630938320209974/3.28084</f>
        <v>-1.9230999384608029E-4</v>
      </c>
      <c r="AO21" s="195" t="s">
        <v>945</v>
      </c>
      <c r="AV21" s="194" t="s">
        <v>1062</v>
      </c>
      <c r="AW21" s="243">
        <f>AQ59</f>
        <v>3.6193334563582811</v>
      </c>
      <c r="AX21" s="257"/>
    </row>
    <row r="22" spans="1:50" ht="15.75" customHeight="1" x14ac:dyDescent="0.25">
      <c r="A22" s="330"/>
      <c r="B22" s="194" t="str">
        <f>'ACM Performance Curves'!M268</f>
        <v>Heat Recovery Cooling Energy Modifier Function of Temperature Curve Name</v>
      </c>
      <c r="C22" s="212" t="str">
        <f>'ACM Performance Curves'!N268</f>
        <v>EPDef-VRFSysHtRcvryClgEIRRatio_fTwbToadbSI</v>
      </c>
      <c r="D22" s="212" t="str">
        <f>'ACM Performance Curves'!O268</f>
        <v>BiQuadratic</v>
      </c>
      <c r="E22" s="212" t="str">
        <f>'ACM Performance Curves'!P268</f>
        <v>EIRRatio</v>
      </c>
      <c r="F22" s="212" t="str">
        <f>'ACM Performance Curves'!Q268</f>
        <v>Twb</v>
      </c>
      <c r="G22" s="212" t="str">
        <f>'ACM Performance Curves'!R268</f>
        <v>Toadb</v>
      </c>
      <c r="H22" s="212">
        <f>'ACM Performance Curves'!S268</f>
        <v>0</v>
      </c>
      <c r="I22" s="212">
        <f>'ACM Performance Curves'!T268</f>
        <v>0</v>
      </c>
      <c r="J22" s="212">
        <f>'ACM Performance Curves'!U268</f>
        <v>0</v>
      </c>
      <c r="K22" s="314">
        <f>'ACM Performance Curves'!V268</f>
        <v>1.1000000000000001</v>
      </c>
      <c r="L22" s="314">
        <f>'ACM Performance Curves'!W268</f>
        <v>0</v>
      </c>
      <c r="M22" s="314">
        <f>'ACM Performance Curves'!X268</f>
        <v>0</v>
      </c>
      <c r="N22" s="314">
        <f>'ACM Performance Curves'!Y268</f>
        <v>0</v>
      </c>
      <c r="O22" s="314">
        <f>'ACM Performance Curves'!Z268</f>
        <v>0</v>
      </c>
      <c r="P22" s="315">
        <f>'ACM Performance Curves'!AA268</f>
        <v>0</v>
      </c>
      <c r="S22" s="188">
        <f t="shared" si="3"/>
        <v>0.59999999999999964</v>
      </c>
      <c r="T22" s="244">
        <f t="shared" si="4"/>
        <v>0.49272384199999975</v>
      </c>
      <c r="U22">
        <f t="shared" si="1"/>
        <v>1</v>
      </c>
      <c r="V22" s="188">
        <f t="shared" si="5"/>
        <v>1.2177206557826767</v>
      </c>
      <c r="X22" s="245">
        <f t="shared" si="6"/>
        <v>0.48359194335937455</v>
      </c>
      <c r="Y22">
        <f t="shared" si="2"/>
        <v>1</v>
      </c>
      <c r="Z22" s="188">
        <f t="shared" si="7"/>
        <v>1.2407154590541185</v>
      </c>
      <c r="AC22" s="330"/>
      <c r="AD22" s="214" t="s">
        <v>959</v>
      </c>
      <c r="AE22" s="194"/>
      <c r="AF22" s="212"/>
      <c r="AG22" s="195"/>
      <c r="AH22" s="322">
        <f>$K60+$L60*AH$8+$M60*AH$8^2+$N60*AH$6+$O60*AH$6^2+$P60*AH$8*AH$6</f>
        <v>0.99812153671288995</v>
      </c>
      <c r="AI22" s="320">
        <f>$K60+$L60*AI$8+$M60*AI$8^2+$N60*AI$6+$O60*AI$6^2+$P60*AI$8*AI$6</f>
        <v>2.1787566176851647</v>
      </c>
      <c r="AJ22" s="321">
        <f>$K60+$L60*AJ$8+$M60*AJ$8^2+$N60*AJ$6+$O60*AJ$6^2+$P60*AJ$8*AJ$6</f>
        <v>2.8898392217192992</v>
      </c>
      <c r="AK22" s="212"/>
      <c r="AM22" s="239" t="s">
        <v>1017</v>
      </c>
      <c r="AN22" s="212">
        <f>AN21</f>
        <v>-1.9230999384608029E-4</v>
      </c>
      <c r="AO22" s="195" t="s">
        <v>945</v>
      </c>
      <c r="AV22" s="194" t="s">
        <v>1063</v>
      </c>
      <c r="AW22" s="243">
        <f>AR59</f>
        <v>2.5579852905915588</v>
      </c>
      <c r="AX22" s="257"/>
    </row>
    <row r="23" spans="1:50" ht="15.75" customHeight="1" x14ac:dyDescent="0.25">
      <c r="A23" s="330"/>
      <c r="B23" s="194" t="str">
        <f>'ACM Performance Curves'!M269</f>
        <v>Heating Energy Input Ratio Modifier Function of Low Temperature Curve Name</v>
      </c>
      <c r="C23" s="212" t="str">
        <f>'ACM Performance Curves'!N269</f>
        <v>EPDef-VRFSysHtgEIRRatio_fTwbToadbLowSI</v>
      </c>
      <c r="D23" s="212" t="str">
        <f>'ACM Performance Curves'!O269</f>
        <v>BiQuadratic</v>
      </c>
      <c r="E23" s="212" t="str">
        <f>'ACM Performance Curves'!P269</f>
        <v>EIRRatio</v>
      </c>
      <c r="F23" s="212" t="str">
        <f>'ACM Performance Curves'!Q269</f>
        <v>Twb</v>
      </c>
      <c r="G23" s="212" t="str">
        <f>'ACM Performance Curves'!R269</f>
        <v>Toadb</v>
      </c>
      <c r="H23" s="212" t="str">
        <f>'ACM Performance Curves'!S269</f>
        <v>Low</v>
      </c>
      <c r="I23" s="212">
        <f>'ACM Performance Curves'!T269</f>
        <v>0</v>
      </c>
      <c r="J23" s="212">
        <f>'ACM Performance Curves'!U269</f>
        <v>0</v>
      </c>
      <c r="K23" s="314">
        <f>'ACM Performance Curves'!V269</f>
        <v>0.988582839393777</v>
      </c>
      <c r="L23" s="314">
        <f>'ACM Performance Curves'!W269</f>
        <v>-1.491658015680142E-2</v>
      </c>
      <c r="M23" s="314">
        <f>'ACM Performance Curves'!X269</f>
        <v>1.2467499301811505E-3</v>
      </c>
      <c r="N23" s="314">
        <f>'ACM Performance Curves'!Y269</f>
        <v>-1.5045723046212335E-2</v>
      </c>
      <c r="O23" s="314">
        <f>'ACM Performance Curves'!Z269</f>
        <v>1.0061187280493123E-3</v>
      </c>
      <c r="P23" s="315">
        <f>'ACM Performance Curves'!AA269</f>
        <v>-1.4428830091193278E-4</v>
      </c>
      <c r="S23" s="188">
        <f t="shared" si="3"/>
        <v>0.5499999999999996</v>
      </c>
      <c r="T23" s="244">
        <f t="shared" si="4"/>
        <v>0.44931654808749966</v>
      </c>
      <c r="U23">
        <f t="shared" si="1"/>
        <v>1</v>
      </c>
      <c r="V23" s="188">
        <f t="shared" si="5"/>
        <v>1.2240813349542892</v>
      </c>
      <c r="X23" s="245">
        <f t="shared" si="6"/>
        <v>0.43290923361778222</v>
      </c>
      <c r="Y23">
        <f t="shared" si="2"/>
        <v>1</v>
      </c>
      <c r="Z23" s="188">
        <f t="shared" si="7"/>
        <v>1.2704741716957635</v>
      </c>
      <c r="AC23" s="330"/>
      <c r="AD23" s="214" t="s">
        <v>1101</v>
      </c>
      <c r="AE23" s="194">
        <f>$X$11+$Y$11*$X$8+$Z$11*$X$8^2+$X$12*$X$8^3+$Y$12*$X$8^4+$Z$12*$X$8^5</f>
        <v>0.43290923361778261</v>
      </c>
      <c r="AF23" s="212">
        <f>AE23</f>
        <v>0.43290923361778261</v>
      </c>
      <c r="AG23" s="195">
        <f>AF23</f>
        <v>0.43290923361778261</v>
      </c>
      <c r="AH23" s="194"/>
      <c r="AI23" s="212"/>
      <c r="AJ23" s="195"/>
      <c r="AK23" s="212"/>
      <c r="AM23" s="194" t="s">
        <v>1122</v>
      </c>
      <c r="AN23" s="212">
        <v>350</v>
      </c>
      <c r="AO23" s="195" t="s">
        <v>942</v>
      </c>
      <c r="AV23" s="194" t="s">
        <v>1064</v>
      </c>
      <c r="AW23" s="243">
        <f>AS59</f>
        <v>2.1680592093887223</v>
      </c>
      <c r="AX23" s="257"/>
    </row>
    <row r="24" spans="1:50" ht="15.75" customHeight="1" x14ac:dyDescent="0.25">
      <c r="A24" s="330"/>
      <c r="B24" s="194" t="str">
        <f>'ACM Performance Curves'!M270</f>
        <v>Heating Energy Input Ratio Boundary Curve Name</v>
      </c>
      <c r="C24" s="212" t="str">
        <f>'ACM Performance Curves'!N270</f>
        <v>EPDef-VRFSysHtgEIRBdry_fToadbSI</v>
      </c>
      <c r="D24" s="212" t="str">
        <f>'ACM Performance Curves'!O270</f>
        <v>Cubic</v>
      </c>
      <c r="E24" s="212" t="str">
        <f>'ACM Performance Curves'!P270</f>
        <v>EIRBdry</v>
      </c>
      <c r="F24" s="212" t="str">
        <f>'ACM Performance Curves'!Q270</f>
        <v>Toadb</v>
      </c>
      <c r="G24" s="212">
        <f>'ACM Performance Curves'!R270</f>
        <v>0</v>
      </c>
      <c r="H24" s="212">
        <f>'ACM Performance Curves'!S270</f>
        <v>0</v>
      </c>
      <c r="I24" s="212">
        <f>'ACM Performance Curves'!T270</f>
        <v>0</v>
      </c>
      <c r="J24" s="212">
        <f>'ACM Performance Curves'!U270</f>
        <v>0</v>
      </c>
      <c r="K24" s="314">
        <f>'ACM Performance Curves'!V270</f>
        <v>-7.6000882000000001</v>
      </c>
      <c r="L24" s="314">
        <f>'ACM Performance Curves'!W270</f>
        <v>3.0509001599999999</v>
      </c>
      <c r="M24" s="314">
        <f>'ACM Performance Curves'!X270</f>
        <v>-0.1162844</v>
      </c>
      <c r="N24" s="314">
        <f>'ACM Performance Curves'!Y270</f>
        <v>0</v>
      </c>
      <c r="O24" s="314">
        <f>'ACM Performance Curves'!Z270</f>
        <v>0</v>
      </c>
      <c r="P24" s="315">
        <f>'ACM Performance Curves'!AA270</f>
        <v>0</v>
      </c>
      <c r="S24" s="188">
        <f t="shared" si="3"/>
        <v>0.49999999999999961</v>
      </c>
      <c r="T24" s="244">
        <f t="shared" si="4"/>
        <v>0.41185457999999969</v>
      </c>
      <c r="U24">
        <f t="shared" si="1"/>
        <v>1</v>
      </c>
      <c r="V24" s="188">
        <f t="shared" si="5"/>
        <v>1.2140207351827919</v>
      </c>
      <c r="X24" s="245">
        <f t="shared" si="6"/>
        <v>0.43290923361778222</v>
      </c>
      <c r="Y24">
        <f t="shared" si="2"/>
        <v>0.95693779904306187</v>
      </c>
      <c r="Z24" s="188">
        <f t="shared" si="7"/>
        <v>1.2069504631109755</v>
      </c>
      <c r="AC24" s="332"/>
      <c r="AD24" s="236" t="s">
        <v>1102</v>
      </c>
      <c r="AE24" s="233"/>
      <c r="AF24" s="234"/>
      <c r="AG24" s="235"/>
      <c r="AH24" s="253">
        <f>$X$53+$Y$53*$X$50+$Z$53*$X$50^2+$X$54*$X$50^3+$Y$54*$X$50^4+$Z$54*$X$50^5</f>
        <v>0.52631562499999995</v>
      </c>
      <c r="AI24" s="254">
        <f>AH24</f>
        <v>0.52631562499999995</v>
      </c>
      <c r="AJ24" s="255">
        <f>AI24</f>
        <v>0.52631562499999995</v>
      </c>
      <c r="AK24" s="212"/>
      <c r="AM24" s="194" t="s">
        <v>1120</v>
      </c>
      <c r="AN24" s="212">
        <v>400</v>
      </c>
      <c r="AO24" s="195" t="s">
        <v>942</v>
      </c>
      <c r="AV24" s="194" t="s">
        <v>1065</v>
      </c>
      <c r="AW24" s="243">
        <f>AN62</f>
        <v>4.0326020499575392</v>
      </c>
      <c r="AX24" s="257"/>
    </row>
    <row r="25" spans="1:50" ht="15.75" customHeight="1" x14ac:dyDescent="0.25">
      <c r="A25" s="330"/>
      <c r="B25" s="194" t="str">
        <f>'ACM Performance Curves'!M271</f>
        <v>Heating Energy Input Ratio Modifier Function of High Temperature Curve Name</v>
      </c>
      <c r="C25" s="212" t="str">
        <f>'ACM Performance Curves'!N271</f>
        <v>EPDef-VRFSysHtgEIRRatio_fTwbToadbHiSI</v>
      </c>
      <c r="D25" s="212" t="str">
        <f>'ACM Performance Curves'!O271</f>
        <v>BiQuadratic</v>
      </c>
      <c r="E25" s="212" t="str">
        <f>'ACM Performance Curves'!P271</f>
        <v>EIRRatio</v>
      </c>
      <c r="F25" s="212" t="str">
        <f>'ACM Performance Curves'!Q271</f>
        <v>Twb</v>
      </c>
      <c r="G25" s="212" t="str">
        <f>'ACM Performance Curves'!R271</f>
        <v>Toadb</v>
      </c>
      <c r="H25" s="212" t="str">
        <f>'ACM Performance Curves'!S271</f>
        <v>Hi</v>
      </c>
      <c r="I25" s="212">
        <f>'ACM Performance Curves'!T271</f>
        <v>0</v>
      </c>
      <c r="J25" s="212">
        <f>'ACM Performance Curves'!U271</f>
        <v>0</v>
      </c>
      <c r="K25" s="314">
        <f>'ACM Performance Curves'!V271</f>
        <v>2.8301633087190674</v>
      </c>
      <c r="L25" s="314">
        <f>'ACM Performance Curves'!W271</f>
        <v>-6.4840072313774547E-2</v>
      </c>
      <c r="M25" s="314">
        <f>'ACM Performance Curves'!X271</f>
        <v>4.6001361797866706E-5</v>
      </c>
      <c r="N25" s="314">
        <f>'ACM Performance Curves'!Y271</f>
        <v>-0.14647725367311976</v>
      </c>
      <c r="O25" s="314">
        <f>'ACM Performance Curves'!Z271</f>
        <v>1.535326532005016E-3</v>
      </c>
      <c r="P25" s="315">
        <f>'ACM Performance Curves'!AA271</f>
        <v>3.5829070491213135E-3</v>
      </c>
      <c r="S25" s="188">
        <f t="shared" si="3"/>
        <v>0.44999999999999962</v>
      </c>
      <c r="T25" s="244">
        <f t="shared" si="4"/>
        <v>0.38078604901249974</v>
      </c>
      <c r="U25">
        <f t="shared" si="1"/>
        <v>1</v>
      </c>
      <c r="V25" s="188">
        <f t="shared" si="5"/>
        <v>1.1817659842501946</v>
      </c>
      <c r="X25" s="245">
        <f t="shared" si="6"/>
        <v>0.43290923361778222</v>
      </c>
      <c r="Y25">
        <f t="shared" si="2"/>
        <v>0.90909090909090873</v>
      </c>
      <c r="Z25" s="188">
        <f t="shared" si="7"/>
        <v>1.1434267545261876</v>
      </c>
      <c r="AC25" s="330" t="s">
        <v>1013</v>
      </c>
      <c r="AD25" s="214" t="s">
        <v>980</v>
      </c>
      <c r="AE25" s="194">
        <f>$K67+$L67*AE$7+$M67*AE$7^2+$N67*AE$6+$O67*AE$6^2+$P67*AE$7*AE$6</f>
        <v>0.89584680970363362</v>
      </c>
      <c r="AF25" s="212">
        <f>$K67+$L67*AF$7+$M67*AF$7^2+$N67*AF$6+$O67*AF$6^2+$P67*AF$7*AF$6</f>
        <v>0.99758682575217406</v>
      </c>
      <c r="AG25" s="195">
        <f>$K67+$L67*AG$7+$M67*AG$7^2+$N67*AG$6+$O67*AG$6^2+$P67*AG$7*AG$6</f>
        <v>1.0475701040540952</v>
      </c>
      <c r="AH25" s="194"/>
      <c r="AI25" s="212"/>
      <c r="AJ25" s="195"/>
      <c r="AK25" s="212"/>
      <c r="AM25" s="194" t="s">
        <v>1121</v>
      </c>
      <c r="AN25" s="212">
        <v>0.20749999999999999</v>
      </c>
      <c r="AO25" s="195" t="s">
        <v>943</v>
      </c>
      <c r="AV25" s="194" t="s">
        <v>1066</v>
      </c>
      <c r="AW25" s="243">
        <f>AO62</f>
        <v>5.0527827555221663</v>
      </c>
      <c r="AX25" s="257"/>
    </row>
    <row r="26" spans="1:50" ht="15.75" customHeight="1" thickBot="1" x14ac:dyDescent="0.3">
      <c r="A26" s="330"/>
      <c r="B26" s="194" t="str">
        <f>'ACM Performance Curves'!M272</f>
        <v>Heating Energy Input Ratio Modifier Function of Low Part-Load Ratio Curve Name</v>
      </c>
      <c r="C26" s="212" t="str">
        <f>'ACM Performance Curves'!N272</f>
        <v>EPDef-VRFSysHtgEIRRatio_fPLRLowSI</v>
      </c>
      <c r="D26" s="212" t="str">
        <f>'ACM Performance Curves'!O272</f>
        <v>Cubic</v>
      </c>
      <c r="E26" s="212" t="str">
        <f>'ACM Performance Curves'!P272</f>
        <v>EIRRatio</v>
      </c>
      <c r="F26" s="212" t="str">
        <f>'ACM Performance Curves'!Q272</f>
        <v>PLR</v>
      </c>
      <c r="G26" s="212" t="str">
        <f>'ACM Performance Curves'!R272</f>
        <v>Low</v>
      </c>
      <c r="H26" s="212">
        <f>'ACM Performance Curves'!S272</f>
        <v>0</v>
      </c>
      <c r="I26" s="212">
        <f>'ACM Performance Curves'!T272</f>
        <v>0</v>
      </c>
      <c r="J26" s="212">
        <f>'ACM Performance Curves'!U272</f>
        <v>0</v>
      </c>
      <c r="K26" s="314">
        <f>'ACM Performance Curves'!V272</f>
        <v>0.1400093</v>
      </c>
      <c r="L26" s="314">
        <f>'ACM Performance Curves'!W272</f>
        <v>0.64150019999999996</v>
      </c>
      <c r="M26" s="314">
        <f>'ACM Performance Curves'!X272</f>
        <v>0.13390469999999999</v>
      </c>
      <c r="N26" s="314">
        <f>'ACM Performance Curves'!Y272</f>
        <v>8.4585900000000006E-2</v>
      </c>
      <c r="O26" s="314">
        <f>'ACM Performance Curves'!Z272</f>
        <v>0</v>
      </c>
      <c r="P26" s="315">
        <f>'ACM Performance Curves'!AA272</f>
        <v>0</v>
      </c>
      <c r="S26" s="188">
        <f t="shared" si="3"/>
        <v>0.39999999999999963</v>
      </c>
      <c r="T26" s="244">
        <f t="shared" si="4"/>
        <v>0.35655906639999979</v>
      </c>
      <c r="U26">
        <f t="shared" si="1"/>
        <v>1</v>
      </c>
      <c r="V26" s="188">
        <f t="shared" si="5"/>
        <v>1.1218337652681263</v>
      </c>
      <c r="X26" s="245">
        <f t="shared" si="6"/>
        <v>0.43290923361778222</v>
      </c>
      <c r="Y26">
        <f t="shared" si="2"/>
        <v>0.85561497326203151</v>
      </c>
      <c r="Z26" s="188">
        <f t="shared" si="7"/>
        <v>1.0799030459413994</v>
      </c>
      <c r="AC26" s="331"/>
      <c r="AD26" s="215" t="s">
        <v>981</v>
      </c>
      <c r="AE26" s="196"/>
      <c r="AF26" s="197"/>
      <c r="AG26" s="208"/>
      <c r="AH26" s="196">
        <f>$K69+$L69*AH$8+$M69*AH$8^2+$N69*AH$6+$O69*AH$6^2+$P69*AH$8*AH$6</f>
        <v>1.0009748480856033</v>
      </c>
      <c r="AI26" s="197">
        <f>$K69+$L69*AI$8+$M69*AI$8^2+$N69*AI$6+$O69*AI$6^2+$P69*AI$8*AI$6</f>
        <v>0.78471492294455092</v>
      </c>
      <c r="AJ26" s="208">
        <f>$K69+$L69*AJ$8+$M69*AJ$8^2+$N69*AJ$6+$O69*AJ$6^2+$P69*AJ$8*AJ$6</f>
        <v>0.63583973955479656</v>
      </c>
      <c r="AK26" s="212"/>
      <c r="AM26" s="194" t="s">
        <v>978</v>
      </c>
      <c r="AN26" s="212">
        <v>1</v>
      </c>
      <c r="AO26" s="195"/>
      <c r="AP26" s="240"/>
      <c r="AV26" s="194" t="s">
        <v>1069</v>
      </c>
      <c r="AW26" s="243">
        <f>AP62</f>
        <v>5.9129600613661566</v>
      </c>
      <c r="AX26" s="257"/>
    </row>
    <row r="27" spans="1:50" ht="15.75" customHeight="1" thickBot="1" x14ac:dyDescent="0.3">
      <c r="A27" s="330"/>
      <c r="B27" s="194" t="str">
        <f>'ACM Performance Curves'!M273</f>
        <v>Heating Energy Input Ratio Modifier Function of High Part-Load Ratio Curve Name</v>
      </c>
      <c r="C27" s="212" t="str">
        <f>'ACM Performance Curves'!N273</f>
        <v>EPDef-VRFSysHtgEIRRatio_fPLRHiSI</v>
      </c>
      <c r="D27" s="212" t="str">
        <f>'ACM Performance Curves'!O273</f>
        <v>Quadratic</v>
      </c>
      <c r="E27" s="212" t="str">
        <f>'ACM Performance Curves'!P273</f>
        <v>EIRRatio</v>
      </c>
      <c r="F27" s="212" t="str">
        <f>'ACM Performance Curves'!Q273</f>
        <v>PLR</v>
      </c>
      <c r="G27" s="212" t="str">
        <f>'ACM Performance Curves'!R273</f>
        <v>Hi</v>
      </c>
      <c r="H27" s="212">
        <f>'ACM Performance Curves'!S273</f>
        <v>0</v>
      </c>
      <c r="I27" s="212">
        <f>'ACM Performance Curves'!T273</f>
        <v>0</v>
      </c>
      <c r="J27" s="212">
        <f>'ACM Performance Curves'!U273</f>
        <v>0</v>
      </c>
      <c r="K27" s="314">
        <f>'ACM Performance Curves'!V273</f>
        <v>2.4294359999999999</v>
      </c>
      <c r="L27" s="314">
        <f>'ACM Performance Curves'!W273</f>
        <v>-2.235887</v>
      </c>
      <c r="M27" s="314">
        <f>'ACM Performance Curves'!X273</f>
        <v>0.80645199999999995</v>
      </c>
      <c r="N27" s="314">
        <f>'ACM Performance Curves'!Y273</f>
        <v>0</v>
      </c>
      <c r="O27" s="314">
        <f>'ACM Performance Curves'!Z273</f>
        <v>0</v>
      </c>
      <c r="P27" s="315">
        <f>'ACM Performance Curves'!AA273</f>
        <v>0</v>
      </c>
      <c r="S27" s="188">
        <f t="shared" si="3"/>
        <v>0.34999999999999964</v>
      </c>
      <c r="T27" s="244">
        <f t="shared" si="4"/>
        <v>0.33962174343749985</v>
      </c>
      <c r="U27">
        <f t="shared" si="1"/>
        <v>1</v>
      </c>
      <c r="V27" s="188">
        <f t="shared" si="5"/>
        <v>1.0305582806844336</v>
      </c>
      <c r="X27" s="245">
        <f t="shared" si="6"/>
        <v>0.43290923361778222</v>
      </c>
      <c r="Y27">
        <f t="shared" si="2"/>
        <v>0.79545454545454497</v>
      </c>
      <c r="Z27" s="188">
        <f t="shared" si="7"/>
        <v>1.016379337356611</v>
      </c>
      <c r="AK27" s="212"/>
      <c r="AM27" s="196" t="s">
        <v>979</v>
      </c>
      <c r="AN27" s="197">
        <v>0.55000000000000004</v>
      </c>
      <c r="AO27" s="208"/>
      <c r="AV27" s="194" t="s">
        <v>1070</v>
      </c>
      <c r="AW27" s="243">
        <f>AQ62</f>
        <v>3.7680552687269144</v>
      </c>
      <c r="AX27" s="257"/>
    </row>
    <row r="28" spans="1:50" ht="15.75" customHeight="1" thickBot="1" x14ac:dyDescent="0.3">
      <c r="A28" s="330"/>
      <c r="B28" s="194" t="str">
        <f>'ACM Performance Curves'!M274</f>
        <v>Heating Part-Load Fraction Correlation Curve Name</v>
      </c>
      <c r="C28" s="212" t="str">
        <f>'ACM Performance Curves'!N274</f>
        <v>EPDef-VRFSysHtgEIRRatio_fCycRatSI</v>
      </c>
      <c r="D28" s="212" t="str">
        <f>'ACM Performance Curves'!O274</f>
        <v>Cubic</v>
      </c>
      <c r="E28" s="212" t="str">
        <f>'ACM Performance Curves'!P274</f>
        <v>EIRRatio</v>
      </c>
      <c r="F28" s="212" t="str">
        <f>'ACM Performance Curves'!Q274</f>
        <v>CycRat</v>
      </c>
      <c r="G28" s="212">
        <f>'ACM Performance Curves'!R274</f>
        <v>0</v>
      </c>
      <c r="H28" s="212">
        <f>'ACM Performance Curves'!S274</f>
        <v>0</v>
      </c>
      <c r="I28" s="212">
        <f>'ACM Performance Curves'!T274</f>
        <v>0</v>
      </c>
      <c r="J28" s="212">
        <f>'ACM Performance Curves'!U274</f>
        <v>0</v>
      </c>
      <c r="K28" s="212">
        <f>'ACM Performance Curves'!V274</f>
        <v>0.85</v>
      </c>
      <c r="L28" s="212">
        <f>'ACM Performance Curves'!W274</f>
        <v>0.15</v>
      </c>
      <c r="M28" s="212">
        <f>'ACM Performance Curves'!X274</f>
        <v>0</v>
      </c>
      <c r="N28" s="212">
        <f>'ACM Performance Curves'!Y274</f>
        <v>0</v>
      </c>
      <c r="O28" s="212">
        <f>'ACM Performance Curves'!Z274</f>
        <v>0</v>
      </c>
      <c r="P28" s="195">
        <f>'ACM Performance Curves'!AA274</f>
        <v>0</v>
      </c>
      <c r="S28" s="188">
        <f t="shared" si="3"/>
        <v>0.29999999999999966</v>
      </c>
      <c r="T28" s="244">
        <f t="shared" si="4"/>
        <v>0.3304221913999999</v>
      </c>
      <c r="U28">
        <f t="shared" si="1"/>
        <v>1</v>
      </c>
      <c r="V28" s="188">
        <f t="shared" si="5"/>
        <v>0.90792933346546334</v>
      </c>
      <c r="X28" s="245">
        <f t="shared" si="6"/>
        <v>0.43290923361778222</v>
      </c>
      <c r="Y28">
        <f t="shared" si="2"/>
        <v>0.72727272727272674</v>
      </c>
      <c r="Z28" s="188">
        <f t="shared" si="7"/>
        <v>0.95285562877182284</v>
      </c>
      <c r="AD28" s="213" t="s">
        <v>962</v>
      </c>
      <c r="AK28" s="212"/>
      <c r="AV28" s="194" t="s">
        <v>1071</v>
      </c>
      <c r="AW28" s="243">
        <f>AR62</f>
        <v>2.6660200338286644</v>
      </c>
      <c r="AX28" s="257"/>
    </row>
    <row r="29" spans="1:50" ht="15.75" customHeight="1" x14ac:dyDescent="0.25">
      <c r="A29" s="330"/>
      <c r="B29" s="194" t="str">
        <f>'ACM Performance Curves'!M275</f>
        <v>Heat Recovery Heating Energy Modifier Function of Temperature Curve Name</v>
      </c>
      <c r="C29" s="212" t="str">
        <f>'ACM Performance Curves'!N275</f>
        <v>EPDef-VRFSysHtRcvryHtgEIRRatio_fTwbToadbSI</v>
      </c>
      <c r="D29" s="212" t="str">
        <f>'ACM Performance Curves'!O275</f>
        <v>BiQuadratic</v>
      </c>
      <c r="E29" s="212" t="str">
        <f>'ACM Performance Curves'!P275</f>
        <v>EIRRatio</v>
      </c>
      <c r="F29" s="212" t="str">
        <f>'ACM Performance Curves'!Q275</f>
        <v>Twb</v>
      </c>
      <c r="G29" s="212" t="str">
        <f>'ACM Performance Curves'!R275</f>
        <v>Toadb</v>
      </c>
      <c r="H29" s="212">
        <f>'ACM Performance Curves'!S275</f>
        <v>0</v>
      </c>
      <c r="I29" s="212">
        <f>'ACM Performance Curves'!T275</f>
        <v>0</v>
      </c>
      <c r="J29" s="212">
        <f>'ACM Performance Curves'!U275</f>
        <v>0</v>
      </c>
      <c r="K29" s="212">
        <f>'ACM Performance Curves'!V275</f>
        <v>1.1000000000000001</v>
      </c>
      <c r="L29" s="212">
        <f>'ACM Performance Curves'!W275</f>
        <v>0</v>
      </c>
      <c r="M29" s="212">
        <f>'ACM Performance Curves'!X275</f>
        <v>0</v>
      </c>
      <c r="N29" s="212">
        <f>'ACM Performance Curves'!Y275</f>
        <v>0</v>
      </c>
      <c r="O29" s="212">
        <f>'ACM Performance Curves'!Z275</f>
        <v>0</v>
      </c>
      <c r="P29" s="195">
        <f>'ACM Performance Curves'!AA275</f>
        <v>0</v>
      </c>
      <c r="S29" s="188">
        <f t="shared" si="3"/>
        <v>0.24999999999999967</v>
      </c>
      <c r="T29" s="244">
        <f t="shared" si="4"/>
        <v>0.3294085215625</v>
      </c>
      <c r="U29">
        <f t="shared" si="1"/>
        <v>1</v>
      </c>
      <c r="V29" s="188">
        <f t="shared" si="5"/>
        <v>0.75893604334873332</v>
      </c>
      <c r="X29" s="245">
        <f t="shared" si="6"/>
        <v>0.43290923361778222</v>
      </c>
      <c r="Y29">
        <f t="shared" si="2"/>
        <v>0.64935064935064879</v>
      </c>
      <c r="Z29" s="188">
        <f t="shared" si="7"/>
        <v>0.88933192018703455</v>
      </c>
      <c r="AC29" s="333" t="s">
        <v>1014</v>
      </c>
      <c r="AD29" s="213" t="s">
        <v>982</v>
      </c>
      <c r="AE29" s="229">
        <f>IF(AE$6&gt;AE$12,AE13,AE11)</f>
        <v>0.91777680246913573</v>
      </c>
      <c r="AF29" s="318">
        <f>IF(AF$6&gt;AF$12,AF13,AF11)</f>
        <v>1.0090397654320986</v>
      </c>
      <c r="AG29" s="230">
        <f>IF(AG$6&gt;AG$12,AG13,AG11)</f>
        <v>1.0683606913580248</v>
      </c>
      <c r="AH29" s="193"/>
      <c r="AI29" s="191"/>
      <c r="AJ29" s="224"/>
      <c r="AK29" s="212"/>
      <c r="AM29" s="189" t="s">
        <v>1115</v>
      </c>
      <c r="AV29" s="194" t="s">
        <v>1072</v>
      </c>
      <c r="AW29" s="243">
        <f>AS62</f>
        <v>2.2605377767769812</v>
      </c>
      <c r="AX29" s="257"/>
    </row>
    <row r="30" spans="1:50" ht="15.75" customHeight="1" thickBot="1" x14ac:dyDescent="0.3">
      <c r="A30" s="330"/>
      <c r="B30" s="194" t="str">
        <f>'ACM Performance Curves'!M276</f>
        <v xml:space="preserve">Piping Correction Factor for Length in Cooling Mode Curve Name </v>
      </c>
      <c r="C30" s="212" t="str">
        <f>'ACM Performance Curves'!N276</f>
        <v>EPDef-VRFSysClgPipeLoss_fLenCombRatSI</v>
      </c>
      <c r="D30" s="212" t="str">
        <f>'ACM Performance Curves'!O276</f>
        <v>BiQuadratic</v>
      </c>
      <c r="E30" s="212" t="str">
        <f>'ACM Performance Curves'!P276</f>
        <v>PipeLoss</v>
      </c>
      <c r="F30" s="212" t="str">
        <f>'ACM Performance Curves'!Q276</f>
        <v>Len</v>
      </c>
      <c r="G30" s="212" t="str">
        <f>'ACM Performance Curves'!R276</f>
        <v>CombRat</v>
      </c>
      <c r="H30" s="212">
        <f>'ACM Performance Curves'!S276</f>
        <v>0</v>
      </c>
      <c r="I30" s="212">
        <f>'ACM Performance Curves'!T276</f>
        <v>0</v>
      </c>
      <c r="J30" s="212">
        <f>'ACM Performance Curves'!U276</f>
        <v>0</v>
      </c>
      <c r="K30" s="212">
        <f>'ACM Performance Curves'!V276</f>
        <v>1.0693790000000001</v>
      </c>
      <c r="L30" s="212">
        <f>'ACM Performance Curves'!W276</f>
        <v>-1.495E-3</v>
      </c>
      <c r="M30" s="212">
        <f>'ACM Performance Curves'!X276</f>
        <v>3.0000000000000001E-6</v>
      </c>
      <c r="N30" s="212">
        <f>'ACM Performance Curves'!Y276</f>
        <v>-0.11511</v>
      </c>
      <c r="O30" s="212">
        <f>'ACM Performance Curves'!Z276</f>
        <v>5.1117000000000003E-2</v>
      </c>
      <c r="P30" s="195">
        <f>'ACM Performance Curves'!AA276</f>
        <v>-4.37E-4</v>
      </c>
      <c r="S30" s="188">
        <f t="shared" si="3"/>
        <v>0.19999999999999968</v>
      </c>
      <c r="T30" s="244">
        <f t="shared" si="4"/>
        <v>0.3294085215625</v>
      </c>
      <c r="U30">
        <f t="shared" si="1"/>
        <v>0.82474226804123596</v>
      </c>
      <c r="V30" s="188">
        <f t="shared" si="5"/>
        <v>0.73616796204827217</v>
      </c>
      <c r="X30" s="245">
        <f t="shared" si="6"/>
        <v>0.43290923361778222</v>
      </c>
      <c r="Y30">
        <f t="shared" si="2"/>
        <v>0.55944055944055882</v>
      </c>
      <c r="Z30" s="188">
        <f t="shared" si="7"/>
        <v>0.82580821160224649</v>
      </c>
      <c r="AC30" s="330"/>
      <c r="AD30" s="214" t="s">
        <v>983</v>
      </c>
      <c r="AE30" s="194"/>
      <c r="AF30" s="212"/>
      <c r="AG30" s="195"/>
      <c r="AH30" s="317">
        <f>IF(AH6&gt;AH15,AH16,AH14)</f>
        <v>0.99179938271604939</v>
      </c>
      <c r="AI30" s="220">
        <f>IF(AI6&gt;AI15,AI16,AI14)</f>
        <v>0.73709318672839497</v>
      </c>
      <c r="AJ30" s="221">
        <f>IF(AJ6&gt;AJ15,AJ16,AJ14)</f>
        <v>0.6082413163580247</v>
      </c>
      <c r="AK30" s="212"/>
      <c r="AM30" s="189" t="s">
        <v>1116</v>
      </c>
      <c r="AV30" s="194" t="s">
        <v>1073</v>
      </c>
      <c r="AW30" s="243">
        <f>AN60</f>
        <v>0.55000000000000004</v>
      </c>
    </row>
    <row r="31" spans="1:50" ht="15.75" customHeight="1" x14ac:dyDescent="0.25">
      <c r="A31" s="332"/>
      <c r="B31" s="233" t="str">
        <f>'ACM Performance Curves'!M277</f>
        <v xml:space="preserve">Piping Correction Factor for Length in Heating Mode Curve Name </v>
      </c>
      <c r="C31" s="234" t="str">
        <f>'ACM Performance Curves'!N277</f>
        <v>EPDef-VRFSysHtgPipeLoss_fLenCombRatSI</v>
      </c>
      <c r="D31" s="234" t="str">
        <f>'ACM Performance Curves'!O277</f>
        <v>BiQuadratic</v>
      </c>
      <c r="E31" s="234" t="str">
        <f>'ACM Performance Curves'!P277</f>
        <v>PipeLoss</v>
      </c>
      <c r="F31" s="234" t="str">
        <f>'ACM Performance Curves'!Q277</f>
        <v>Len</v>
      </c>
      <c r="G31" s="234" t="str">
        <f>'ACM Performance Curves'!R277</f>
        <v>CombRat</v>
      </c>
      <c r="H31" s="234">
        <f>'ACM Performance Curves'!S277</f>
        <v>0</v>
      </c>
      <c r="I31" s="234">
        <f>'ACM Performance Curves'!T277</f>
        <v>0</v>
      </c>
      <c r="J31" s="234">
        <f>'ACM Performance Curves'!U277</f>
        <v>0</v>
      </c>
      <c r="K31" s="234">
        <f>'ACM Performance Curves'!V277</f>
        <v>1.0693790000000001</v>
      </c>
      <c r="L31" s="234">
        <f>'ACM Performance Curves'!W277</f>
        <v>-1.495E-3</v>
      </c>
      <c r="M31" s="234">
        <f>'ACM Performance Curves'!X277</f>
        <v>3.0000000000000001E-6</v>
      </c>
      <c r="N31" s="234">
        <f>'ACM Performance Curves'!Y277</f>
        <v>-0.11511</v>
      </c>
      <c r="O31" s="234">
        <f>'ACM Performance Curves'!Z277</f>
        <v>5.1117000000000003E-2</v>
      </c>
      <c r="P31" s="235">
        <f>'ACM Performance Curves'!AA277</f>
        <v>-4.37E-4</v>
      </c>
      <c r="S31" s="188">
        <f t="shared" si="3"/>
        <v>0.14999999999999969</v>
      </c>
      <c r="T31" s="244">
        <f t="shared" si="4"/>
        <v>0.3294085215625</v>
      </c>
      <c r="U31">
        <f t="shared" si="1"/>
        <v>0.63829787234042434</v>
      </c>
      <c r="V31" s="188">
        <f t="shared" si="5"/>
        <v>0.71339988074781013</v>
      </c>
      <c r="X31" s="245">
        <f t="shared" si="6"/>
        <v>0.43290923361778222</v>
      </c>
      <c r="Y31">
        <f t="shared" si="2"/>
        <v>0.45454545454545386</v>
      </c>
      <c r="Z31" s="188">
        <f t="shared" si="7"/>
        <v>0.76228450301745809</v>
      </c>
      <c r="AC31" s="330"/>
      <c r="AD31" s="214" t="s">
        <v>984</v>
      </c>
      <c r="AE31" s="231">
        <f>IF(AE6&gt;AE18,AE19,AE17)</f>
        <v>1.2891588500000002</v>
      </c>
      <c r="AF31" s="220">
        <f>IF(AF6&gt;AF18,AF19,AF17)</f>
        <v>1.0007620475308643</v>
      </c>
      <c r="AG31" s="221">
        <f>IF(AG6&gt;AG18,AG19,AG17)</f>
        <v>0.83492493148148172</v>
      </c>
      <c r="AH31" s="194"/>
      <c r="AI31" s="212"/>
      <c r="AJ31" s="195"/>
      <c r="AK31" s="212"/>
      <c r="AM31" s="193"/>
      <c r="AN31" s="209" t="s">
        <v>946</v>
      </c>
      <c r="AO31" s="210"/>
      <c r="AP31" s="211"/>
      <c r="AQ31" s="209" t="s">
        <v>947</v>
      </c>
      <c r="AR31" s="210"/>
      <c r="AS31" s="211"/>
      <c r="AV31" s="194" t="s">
        <v>1075</v>
      </c>
      <c r="AW31" s="243">
        <f>AO60</f>
        <v>0.55000000000000004</v>
      </c>
    </row>
    <row r="32" spans="1:50" ht="15.75" customHeight="1" x14ac:dyDescent="0.25">
      <c r="A32" s="330" t="s">
        <v>1012</v>
      </c>
      <c r="B32" s="194" t="str">
        <f>'ACM Performance Curves'!M41</f>
        <v>Cooling Capacity Ratio Modifier Function of Temperature Curve Name</v>
      </c>
      <c r="C32" s="212" t="str">
        <f>'ACM Performance Curves'!N41</f>
        <v>CoilClgVRFClgQratio_fTwbTdbSI</v>
      </c>
      <c r="D32" s="212" t="str">
        <f>'ACM Performance Curves'!O41</f>
        <v>BiQuadratic</v>
      </c>
      <c r="E32" s="212" t="str">
        <f>'ACM Performance Curves'!P41</f>
        <v>Qratio</v>
      </c>
      <c r="F32" s="212" t="str">
        <f>'ACM Performance Curves'!Q41</f>
        <v>Twb</v>
      </c>
      <c r="G32" s="212" t="str">
        <f>'ACM Performance Curves'!R41</f>
        <v>Tdb</v>
      </c>
      <c r="H32" s="212">
        <f>'ACM Performance Curves'!S41</f>
        <v>0</v>
      </c>
      <c r="I32" s="212">
        <f>'ACM Performance Curves'!T41</f>
        <v>0</v>
      </c>
      <c r="J32" s="212">
        <f>'ACM Performance Curves'!U41</f>
        <v>0</v>
      </c>
      <c r="K32" s="212">
        <f>'ACM Performance Curves'!V41</f>
        <v>5.8588407780325903E-2</v>
      </c>
      <c r="L32" s="212">
        <f>'ACM Performance Curves'!W41</f>
        <v>5.8739653271838402E-2</v>
      </c>
      <c r="M32" s="212">
        <f>'ACM Performance Curves'!X41</f>
        <v>-2.10274979759697E-4</v>
      </c>
      <c r="N32" s="212">
        <f>'ACM Performance Curves'!Y41</f>
        <v>1.0937047388964701E-2</v>
      </c>
      <c r="O32" s="212">
        <f>'ACM Performance Curves'!Z41</f>
        <v>-1.219549E-4</v>
      </c>
      <c r="P32" s="195">
        <f>'ACM Performance Curves'!AA41</f>
        <v>-5.246615E-4</v>
      </c>
      <c r="S32" s="188">
        <f t="shared" si="3"/>
        <v>9.9999999999999686E-2</v>
      </c>
      <c r="T32" s="244">
        <f t="shared" si="4"/>
        <v>0.3294085215625</v>
      </c>
      <c r="U32">
        <f t="shared" si="1"/>
        <v>0.43956043956043828</v>
      </c>
      <c r="V32" s="188">
        <f t="shared" si="5"/>
        <v>0.6906317994473482</v>
      </c>
      <c r="X32" s="245">
        <f t="shared" si="6"/>
        <v>0.43290923361778222</v>
      </c>
      <c r="Y32">
        <f t="shared" si="2"/>
        <v>0.33057851239669339</v>
      </c>
      <c r="Z32" s="188">
        <f t="shared" si="7"/>
        <v>0.69876079443266992</v>
      </c>
      <c r="AC32" s="330"/>
      <c r="AD32" s="214" t="s">
        <v>985</v>
      </c>
      <c r="AE32" s="194"/>
      <c r="AF32" s="212"/>
      <c r="AG32" s="195"/>
      <c r="AH32" s="317">
        <f>IF(AH6&gt;AH21,AH22,AH20)</f>
        <v>0.99812153671288995</v>
      </c>
      <c r="AI32" s="220">
        <f>IF(AI6&gt;AI21,AI22,AI20)</f>
        <v>1.4499619702687747</v>
      </c>
      <c r="AJ32" s="221">
        <f>IF(AJ6&gt;AJ21,AJ22,AJ20)</f>
        <v>1.7270813906239848</v>
      </c>
      <c r="AK32" s="212"/>
      <c r="AM32" s="194" t="s">
        <v>1006</v>
      </c>
      <c r="AN32" s="194">
        <v>115</v>
      </c>
      <c r="AO32" s="212">
        <v>95</v>
      </c>
      <c r="AP32" s="195">
        <v>82</v>
      </c>
      <c r="AQ32" s="194">
        <v>47</v>
      </c>
      <c r="AR32" s="212">
        <v>17</v>
      </c>
      <c r="AS32" s="195">
        <v>5</v>
      </c>
      <c r="AV32" s="194" t="s">
        <v>1074</v>
      </c>
      <c r="AW32" s="243">
        <f>AP60</f>
        <v>0.55000000000000004</v>
      </c>
    </row>
    <row r="33" spans="1:49" ht="15.75" customHeight="1" x14ac:dyDescent="0.25">
      <c r="A33" s="330"/>
      <c r="B33" s="194" t="str">
        <f>'ACM Performance Curves'!M42</f>
        <v xml:space="preserve">Cooling Capacity Modifier Curve Function of Flow Fraction Name </v>
      </c>
      <c r="C33" s="212" t="str">
        <f>'ACM Performance Curves'!N42</f>
        <v>CoilClgVRFClgQratio_fCFMRatioSI</v>
      </c>
      <c r="D33" s="212" t="str">
        <f>'ACM Performance Curves'!O42</f>
        <v>Cubic</v>
      </c>
      <c r="E33" s="212" t="str">
        <f>'ACM Performance Curves'!P42</f>
        <v>Qratio</v>
      </c>
      <c r="F33" s="212" t="str">
        <f>'ACM Performance Curves'!Q42</f>
        <v>CFMRatio</v>
      </c>
      <c r="G33" s="212">
        <f>'ACM Performance Curves'!R42</f>
        <v>0</v>
      </c>
      <c r="H33" s="212">
        <f>'ACM Performance Curves'!S42</f>
        <v>0</v>
      </c>
      <c r="I33" s="212">
        <f>'ACM Performance Curves'!T42</f>
        <v>0</v>
      </c>
      <c r="J33" s="212">
        <f>'ACM Performance Curves'!U42</f>
        <v>0</v>
      </c>
      <c r="K33" s="212">
        <f>'ACM Performance Curves'!V42</f>
        <v>0.8</v>
      </c>
      <c r="L33" s="212">
        <f>'ACM Performance Curves'!W42</f>
        <v>0.2</v>
      </c>
      <c r="M33" s="212">
        <f>'ACM Performance Curves'!X42</f>
        <v>0</v>
      </c>
      <c r="N33" s="212">
        <f>'ACM Performance Curves'!Y42</f>
        <v>0</v>
      </c>
      <c r="O33" s="212">
        <f>'ACM Performance Curves'!Z42</f>
        <v>0</v>
      </c>
      <c r="P33" s="195">
        <f>'ACM Performance Curves'!AA42</f>
        <v>0</v>
      </c>
      <c r="S33" s="188">
        <f t="shared" ref="S33" si="8">S32-0.05</f>
        <v>4.9999999999999684E-2</v>
      </c>
      <c r="T33" s="244">
        <f t="shared" si="4"/>
        <v>0.3294085215625</v>
      </c>
      <c r="U33">
        <f t="shared" si="1"/>
        <v>0.22727272727272588</v>
      </c>
      <c r="V33" s="188">
        <f t="shared" si="5"/>
        <v>0.66786371814688605</v>
      </c>
      <c r="X33" s="245">
        <f t="shared" si="6"/>
        <v>0.43290923361778222</v>
      </c>
      <c r="Y33">
        <f t="shared" si="2"/>
        <v>0.18181818181818077</v>
      </c>
      <c r="Z33" s="188">
        <f t="shared" si="7"/>
        <v>0.63523708584788174</v>
      </c>
      <c r="AC33" s="330"/>
      <c r="AD33" s="214" t="s">
        <v>1101</v>
      </c>
      <c r="AE33" s="231">
        <f>AE23</f>
        <v>0.43290923361778261</v>
      </c>
      <c r="AF33" s="220">
        <f>AF23</f>
        <v>0.43290923361778261</v>
      </c>
      <c r="AG33" s="221">
        <f>AG23</f>
        <v>0.43290923361778261</v>
      </c>
      <c r="AH33" s="194"/>
      <c r="AI33" s="212"/>
      <c r="AJ33" s="195"/>
      <c r="AM33" s="194" t="s">
        <v>1021</v>
      </c>
      <c r="AN33" s="199">
        <f>AE35</f>
        <v>0.89584680970363362</v>
      </c>
      <c r="AO33" s="259">
        <f>AF35</f>
        <v>0.99758682575217406</v>
      </c>
      <c r="AP33" s="200">
        <f>AG35</f>
        <v>1.0475701040540952</v>
      </c>
      <c r="AQ33" s="199">
        <f>AH36</f>
        <v>1.0009748480856033</v>
      </c>
      <c r="AR33" s="259">
        <f>AI36</f>
        <v>0.78471492294455092</v>
      </c>
      <c r="AS33" s="200">
        <f>AJ36</f>
        <v>0.63583973955479656</v>
      </c>
      <c r="AV33" s="194" t="s">
        <v>1076</v>
      </c>
      <c r="AW33" s="243">
        <f>AQ60</f>
        <v>0.55000000000000004</v>
      </c>
    </row>
    <row r="34" spans="1:49" ht="15.75" customHeight="1" x14ac:dyDescent="0.25">
      <c r="A34" s="330"/>
      <c r="B34" s="194" t="str">
        <f>'ACM Performance Curves'!M83</f>
        <v>Heating Capacity Ratio Modifier Function of Temperature Curve Name</v>
      </c>
      <c r="C34" s="212" t="str">
        <f>'ACM Performance Curves'!N83</f>
        <v>CoilHtgVRFHtgQratio_fTwbTdbSI</v>
      </c>
      <c r="D34" s="212" t="str">
        <f>'ACM Performance Curves'!O83</f>
        <v>BiQuadratic</v>
      </c>
      <c r="E34" s="212" t="str">
        <f>'ACM Performance Curves'!P83</f>
        <v>Qratio</v>
      </c>
      <c r="F34" s="212" t="str">
        <f>'ACM Performance Curves'!Q83</f>
        <v>Twb</v>
      </c>
      <c r="G34" s="212" t="str">
        <f>'ACM Performance Curves'!R83</f>
        <v>Tdb</v>
      </c>
      <c r="H34" s="212">
        <f>'ACM Performance Curves'!S83</f>
        <v>0</v>
      </c>
      <c r="I34" s="212">
        <f>'ACM Performance Curves'!T83</f>
        <v>0</v>
      </c>
      <c r="J34" s="212">
        <f>'ACM Performance Curves'!U83</f>
        <v>0</v>
      </c>
      <c r="K34" s="212">
        <f>'ACM Performance Curves'!V83</f>
        <v>0.37544399495612701</v>
      </c>
      <c r="L34" s="212">
        <f>'ACM Performance Curves'!W83</f>
        <v>6.6819064514782103E-2</v>
      </c>
      <c r="M34" s="212">
        <f>'ACM Performance Curves'!X83</f>
        <v>-1.94171026482001E-3</v>
      </c>
      <c r="N34" s="212">
        <f>'ACM Performance Curves'!Y83</f>
        <v>4.4261842064018703E-2</v>
      </c>
      <c r="O34" s="212">
        <f>'ACM Performance Curves'!Z83</f>
        <v>-4.0095780000000002E-4</v>
      </c>
      <c r="P34" s="195">
        <f>'ACM Performance Curves'!AA83</f>
        <v>-1.4819801E-3</v>
      </c>
      <c r="T34"/>
      <c r="U34"/>
      <c r="AC34" s="330"/>
      <c r="AD34" s="236" t="s">
        <v>1102</v>
      </c>
      <c r="AE34" s="194"/>
      <c r="AF34" s="212"/>
      <c r="AG34" s="195"/>
      <c r="AH34" s="231">
        <f>AH24</f>
        <v>0.52631562499999995</v>
      </c>
      <c r="AI34" s="220">
        <f>AI24</f>
        <v>0.52631562499999995</v>
      </c>
      <c r="AJ34" s="221">
        <f>AJ24</f>
        <v>0.52631562499999995</v>
      </c>
      <c r="AM34" s="194" t="s">
        <v>1023</v>
      </c>
      <c r="AN34" s="301">
        <f>$AN$15*AN33</f>
        <v>46806.114528714483</v>
      </c>
      <c r="AO34" s="302">
        <f t="shared" ref="AO34:AP34" si="9">$AN$15*AO33</f>
        <v>52121.816713217013</v>
      </c>
      <c r="AP34" s="303">
        <f t="shared" si="9"/>
        <v>54733.338039607966</v>
      </c>
      <c r="AQ34" s="301">
        <f>$AN$16*AQ33</f>
        <v>43610.672376363182</v>
      </c>
      <c r="AR34" s="302">
        <f t="shared" ref="AR34:AS34" si="10">$AN$16*AR33</f>
        <v>34188.616705832785</v>
      </c>
      <c r="AS34" s="303">
        <f t="shared" si="10"/>
        <v>27702.392940871287</v>
      </c>
      <c r="AV34" s="194" t="s">
        <v>1077</v>
      </c>
      <c r="AW34" s="243">
        <f>AR60</f>
        <v>0.55000000000000004</v>
      </c>
    </row>
    <row r="35" spans="1:49" ht="15.75" customHeight="1" thickBot="1" x14ac:dyDescent="0.3">
      <c r="A35" s="331"/>
      <c r="B35" s="196" t="str">
        <f>'ACM Performance Curves'!M84</f>
        <v xml:space="preserve">Heating Capacity Modifier Curve Function of Flow Fraction Name </v>
      </c>
      <c r="C35" s="197" t="str">
        <f>'ACM Performance Curves'!N84</f>
        <v>CoilHtgVRFHtgQratio_fCFMRatioSI</v>
      </c>
      <c r="D35" s="197" t="str">
        <f>'ACM Performance Curves'!O84</f>
        <v>Cubic</v>
      </c>
      <c r="E35" s="197" t="str">
        <f>'ACM Performance Curves'!P84</f>
        <v>Qratio</v>
      </c>
      <c r="F35" s="197" t="str">
        <f>'ACM Performance Curves'!Q84</f>
        <v>CFMRatio</v>
      </c>
      <c r="G35" s="197">
        <f>'ACM Performance Curves'!R84</f>
        <v>0</v>
      </c>
      <c r="H35" s="197">
        <f>'ACM Performance Curves'!S84</f>
        <v>0</v>
      </c>
      <c r="I35" s="197">
        <f>'ACM Performance Curves'!T84</f>
        <v>0</v>
      </c>
      <c r="J35" s="197">
        <f>'ACM Performance Curves'!U84</f>
        <v>0</v>
      </c>
      <c r="K35" s="197">
        <f>'ACM Performance Curves'!V84</f>
        <v>0.8</v>
      </c>
      <c r="L35" s="197">
        <f>'ACM Performance Curves'!W84</f>
        <v>0.2</v>
      </c>
      <c r="M35" s="197">
        <f>'ACM Performance Curves'!X84</f>
        <v>0</v>
      </c>
      <c r="N35" s="197">
        <f>'ACM Performance Curves'!Y84</f>
        <v>0</v>
      </c>
      <c r="O35" s="197">
        <f>'ACM Performance Curves'!Z84</f>
        <v>0</v>
      </c>
      <c r="P35" s="208">
        <f>'ACM Performance Curves'!AA84</f>
        <v>0</v>
      </c>
      <c r="AC35" s="250" t="s">
        <v>1013</v>
      </c>
      <c r="AD35" s="214" t="s">
        <v>986</v>
      </c>
      <c r="AE35" s="231">
        <f>AE25</f>
        <v>0.89584680970363362</v>
      </c>
      <c r="AF35" s="220">
        <f>AF25</f>
        <v>0.99758682575217406</v>
      </c>
      <c r="AG35" s="221">
        <f>AG25</f>
        <v>1.0475701040540952</v>
      </c>
      <c r="AH35" s="194"/>
      <c r="AI35" s="212"/>
      <c r="AJ35" s="195"/>
      <c r="AM35" s="194" t="s">
        <v>1041</v>
      </c>
      <c r="AN35" s="201">
        <f>AN34/12000*$AN$24*$AN$25</f>
        <v>323.74229215694186</v>
      </c>
      <c r="AO35" s="260">
        <f t="shared" ref="AO35:AS35" si="11">AO34/12000*$AN$24*$AN$25</f>
        <v>360.50923226641765</v>
      </c>
      <c r="AP35" s="202">
        <f t="shared" si="11"/>
        <v>378.57225477395508</v>
      </c>
      <c r="AQ35" s="201">
        <f t="shared" si="11"/>
        <v>301.640483936512</v>
      </c>
      <c r="AR35" s="260">
        <f t="shared" si="11"/>
        <v>236.47126554867674</v>
      </c>
      <c r="AS35" s="202">
        <f t="shared" si="11"/>
        <v>191.6082178410264</v>
      </c>
      <c r="AT35" s="240"/>
      <c r="AV35" s="194" t="s">
        <v>1078</v>
      </c>
      <c r="AW35" s="243">
        <f>AS60</f>
        <v>0.55000000000000004</v>
      </c>
    </row>
    <row r="36" spans="1:49" ht="15.75" customHeight="1" thickBot="1" x14ac:dyDescent="0.3">
      <c r="AC36" s="251"/>
      <c r="AD36" s="215" t="s">
        <v>987</v>
      </c>
      <c r="AE36" s="196"/>
      <c r="AF36" s="197"/>
      <c r="AG36" s="208"/>
      <c r="AH36" s="252">
        <f>AH26</f>
        <v>1.0009748480856033</v>
      </c>
      <c r="AI36" s="222">
        <f>AI26</f>
        <v>0.78471492294455092</v>
      </c>
      <c r="AJ36" s="223">
        <f>AJ26</f>
        <v>0.63583973955479656</v>
      </c>
      <c r="AM36" s="194" t="s">
        <v>1125</v>
      </c>
      <c r="AN36" s="301">
        <f>AN34-AN35*3.412</f>
        <v>45701.505827875</v>
      </c>
      <c r="AO36" s="261">
        <f t="shared" ref="AO36:AP36" si="12">AO34-AO35*3.412</f>
        <v>50891.759212723999</v>
      </c>
      <c r="AP36" s="303">
        <f t="shared" si="12"/>
        <v>53441.649506319234</v>
      </c>
      <c r="AQ36" s="301">
        <f>AQ34+AQ35*3.412</f>
        <v>44639.869707554564</v>
      </c>
      <c r="AR36" s="261">
        <f t="shared" ref="AR36:AS36" si="13">AR34+AR35*3.412</f>
        <v>34995.45666388487</v>
      </c>
      <c r="AS36" s="303">
        <f t="shared" si="13"/>
        <v>28356.160180144867</v>
      </c>
      <c r="AV36" s="194" t="s">
        <v>1079</v>
      </c>
      <c r="AW36" s="195">
        <v>1.2</v>
      </c>
    </row>
    <row r="37" spans="1:49" ht="15.75" customHeight="1" thickBot="1" x14ac:dyDescent="0.3">
      <c r="AM37" s="194" t="s">
        <v>1020</v>
      </c>
      <c r="AN37" s="199">
        <f>$K$65+$L$65*$AN$13+$M$65*$AN$13^2+$N$65*1+$O$65*1^2+$P$65*$AN$13*1+$AN$21*$AN$14</f>
        <v>0.97564680394358572</v>
      </c>
      <c r="AO37" s="259">
        <f t="shared" ref="AO37:AP37" si="14">$K$65+$L$65*$AN$13+$M$65*$AN$13^2+$N$65*1+$O$65*1^2+$P$65*$AN$13*1+$AN$21*$AN$14</f>
        <v>0.97564680394358572</v>
      </c>
      <c r="AP37" s="200">
        <f t="shared" si="14"/>
        <v>0.97564680394358572</v>
      </c>
      <c r="AQ37" s="199">
        <f>$K$66+$L$66*$AN$13+$M$66*$AN$13^2+$N$66*1+$O$66*1^2+$P$66*$AN$13*1+$AN$22*$AN$14</f>
        <v>0.97564680394358572</v>
      </c>
      <c r="AR37" s="259">
        <f t="shared" ref="AR37:AS37" si="15">$K$66+$L$66*$AN$13+$M$66*$AN$13^2+$N$66*1+$O$66*1^2+$P$66*$AN$13*1+$AN$22*$AN$14</f>
        <v>0.97564680394358572</v>
      </c>
      <c r="AS37" s="200">
        <f t="shared" si="15"/>
        <v>0.97564680394358572</v>
      </c>
      <c r="AV37" s="194" t="s">
        <v>1088</v>
      </c>
      <c r="AW37" s="243">
        <f>X51</f>
        <v>0.35</v>
      </c>
    </row>
    <row r="38" spans="1:49" ht="15.75" customHeight="1" x14ac:dyDescent="0.25">
      <c r="AD38" s="193" t="s">
        <v>963</v>
      </c>
      <c r="AE38" s="192" t="s">
        <v>964</v>
      </c>
      <c r="AG38" s="189"/>
      <c r="AJ38" s="189"/>
      <c r="AM38" s="194" t="s">
        <v>1026</v>
      </c>
      <c r="AN38" s="201">
        <f>AN34/AN37</f>
        <v>47974.445608311478</v>
      </c>
      <c r="AO38" s="260">
        <f t="shared" ref="AO38:AS38" si="16">AO34/AO37</f>
        <v>53422.833450116879</v>
      </c>
      <c r="AP38" s="202">
        <f t="shared" si="16"/>
        <v>56099.541164255977</v>
      </c>
      <c r="AQ38" s="201">
        <f t="shared" si="16"/>
        <v>44699.241774879898</v>
      </c>
      <c r="AR38" s="260">
        <f t="shared" si="16"/>
        <v>35042.001437038125</v>
      </c>
      <c r="AS38" s="202">
        <f t="shared" si="16"/>
        <v>28393.874534203984</v>
      </c>
      <c r="AV38" s="194" t="s">
        <v>1089</v>
      </c>
      <c r="AW38" s="243">
        <f>X9</f>
        <v>0.55000000000000004</v>
      </c>
    </row>
    <row r="39" spans="1:49" ht="15.75" customHeight="1" thickBot="1" x14ac:dyDescent="0.3">
      <c r="A39" s="189" t="s">
        <v>1009</v>
      </c>
      <c r="AD39" s="194" t="s">
        <v>988</v>
      </c>
      <c r="AE39" s="221">
        <f>AE29</f>
        <v>0.91777680246913573</v>
      </c>
      <c r="AG39" s="189"/>
      <c r="AJ39" s="189"/>
      <c r="AM39" s="194" t="s">
        <v>1030</v>
      </c>
      <c r="AN39" s="199">
        <f>AE31</f>
        <v>1.2891588500000002</v>
      </c>
      <c r="AO39" s="259">
        <f>AF31</f>
        <v>1.0007620475308643</v>
      </c>
      <c r="AP39" s="200">
        <f>AG31</f>
        <v>0.83492493148148172</v>
      </c>
      <c r="AQ39" s="199">
        <f>AH32</f>
        <v>0.99812153671288995</v>
      </c>
      <c r="AR39" s="259">
        <f>AI32</f>
        <v>1.4499619702687747</v>
      </c>
      <c r="AS39" s="200">
        <f>AJ32</f>
        <v>1.7270813906239848</v>
      </c>
      <c r="AV39" s="196" t="s">
        <v>1080</v>
      </c>
      <c r="AW39" s="208" t="s">
        <v>1081</v>
      </c>
    </row>
    <row r="40" spans="1:49" ht="15.75" customHeight="1" x14ac:dyDescent="0.25">
      <c r="A40" s="213"/>
      <c r="B40" s="190" t="str">
        <f t="shared" ref="B40:B65" si="17">B5</f>
        <v>E+ Field(s)</v>
      </c>
      <c r="C40" s="228" t="str">
        <f t="shared" ref="C40:P40" si="18">C5</f>
        <v>Curve Name (generated from fields)</v>
      </c>
      <c r="D40" s="228" t="str">
        <f t="shared" si="18"/>
        <v>Curve Type</v>
      </c>
      <c r="E40" s="228" t="str">
        <f t="shared" si="18"/>
        <v>Dependent</v>
      </c>
      <c r="F40" s="228" t="str">
        <f t="shared" si="18"/>
        <v>Var1</v>
      </c>
      <c r="G40" s="228" t="str">
        <f t="shared" si="18"/>
        <v>Var2</v>
      </c>
      <c r="H40" s="228" t="str">
        <f t="shared" si="18"/>
        <v>Var3</v>
      </c>
      <c r="I40" s="228" t="str">
        <f t="shared" si="18"/>
        <v>Var4</v>
      </c>
      <c r="J40" s="228" t="str">
        <f t="shared" si="18"/>
        <v>Var5</v>
      </c>
      <c r="K40" s="228" t="str">
        <f t="shared" si="18"/>
        <v>a</v>
      </c>
      <c r="L40" s="228" t="str">
        <f t="shared" si="18"/>
        <v>b</v>
      </c>
      <c r="M40" s="228" t="str">
        <f t="shared" si="18"/>
        <v>c</v>
      </c>
      <c r="N40" s="228" t="str">
        <f t="shared" si="18"/>
        <v>d</v>
      </c>
      <c r="O40" s="228" t="str">
        <f t="shared" si="18"/>
        <v>e</v>
      </c>
      <c r="P40" s="224" t="str">
        <f t="shared" si="18"/>
        <v>f</v>
      </c>
      <c r="AD40" s="194" t="s">
        <v>989</v>
      </c>
      <c r="AE40" s="221">
        <f>AF29</f>
        <v>1.0090397654320986</v>
      </c>
      <c r="AG40" s="189"/>
      <c r="AJ40" s="189"/>
      <c r="AM40" s="194" t="s">
        <v>1027</v>
      </c>
      <c r="AN40" s="201">
        <f>AN38*$AN$7*AN39</f>
        <v>12994.915405587588</v>
      </c>
      <c r="AO40" s="260">
        <f>AO38*$AN$7*AO39</f>
        <v>11233.492587153927</v>
      </c>
      <c r="AP40" s="202">
        <f>AP38*$AN$7*AP39</f>
        <v>9841.5566423085984</v>
      </c>
      <c r="AQ40" s="201">
        <f>AQ38*$AN$8*AQ39</f>
        <v>11304.529374518277</v>
      </c>
      <c r="AR40" s="260">
        <f>AR38*$AN$8*AR39</f>
        <v>12874.027087040202</v>
      </c>
      <c r="AS40" s="202">
        <f>AS38*$AN$8*AS39</f>
        <v>12425.285241096548</v>
      </c>
    </row>
    <row r="41" spans="1:49" ht="15.75" customHeight="1" x14ac:dyDescent="0.25">
      <c r="A41" s="330" t="s">
        <v>1011</v>
      </c>
      <c r="B41" s="194" t="str">
        <f t="shared" si="17"/>
        <v>Cooling Capacity Ratio Modifier Function of Low Temperature Curve Name</v>
      </c>
      <c r="C41" s="212" t="str">
        <f t="shared" ref="C41:J50" si="19">C6</f>
        <v>EPDef-VRFSysClgQRatio_fTwbToadbLowSI</v>
      </c>
      <c r="D41" s="212" t="str">
        <f t="shared" si="19"/>
        <v>BiQuadratic</v>
      </c>
      <c r="E41" s="212" t="str">
        <f t="shared" si="19"/>
        <v>QRatio</v>
      </c>
      <c r="F41" s="212" t="str">
        <f t="shared" si="19"/>
        <v>Twb</v>
      </c>
      <c r="G41" s="212" t="str">
        <f t="shared" si="19"/>
        <v>Toadb</v>
      </c>
      <c r="H41" s="212" t="str">
        <f t="shared" si="19"/>
        <v>Low</v>
      </c>
      <c r="I41" s="212">
        <f t="shared" si="19"/>
        <v>0</v>
      </c>
      <c r="J41" s="212">
        <f t="shared" si="19"/>
        <v>0</v>
      </c>
      <c r="K41" s="212">
        <f>K6-32*L41-1024*M41-32*N41-1024*O41-1024*P41</f>
        <v>0.45098867901234574</v>
      </c>
      <c r="L41" s="212">
        <f>5/9*L6-64*25/81*M6-32*25/81*P6</f>
        <v>-1.8227160493827135E-3</v>
      </c>
      <c r="M41" s="212">
        <f>M6*25/81</f>
        <v>1.7993827160493826E-4</v>
      </c>
      <c r="N41" s="212">
        <f>5/9*N6-64*25/81*O6-32*25/81*P6</f>
        <v>-1.111111111111111E-6</v>
      </c>
      <c r="O41" s="212">
        <f>O6*25/81</f>
        <v>0</v>
      </c>
      <c r="P41" s="195">
        <f>P6*25/81</f>
        <v>0</v>
      </c>
      <c r="AD41" s="194" t="s">
        <v>990</v>
      </c>
      <c r="AE41" s="221">
        <f>AG29</f>
        <v>1.0683606913580248</v>
      </c>
      <c r="AG41" s="189"/>
      <c r="AJ41" s="189"/>
      <c r="AM41" s="194" t="s">
        <v>1127</v>
      </c>
      <c r="AN41" s="203">
        <f>AN36/(AN40+AN35*3.412)</f>
        <v>3.2413509479403348</v>
      </c>
      <c r="AO41" s="262">
        <f t="shared" ref="AO41:AS41" si="20">AO36/(AO40+AO35*3.412)</f>
        <v>4.0832474579746405</v>
      </c>
      <c r="AP41" s="204">
        <f t="shared" si="20"/>
        <v>4.8001861688500833</v>
      </c>
      <c r="AQ41" s="203">
        <f t="shared" si="20"/>
        <v>3.6193334563582811</v>
      </c>
      <c r="AR41" s="262">
        <f t="shared" si="20"/>
        <v>2.5579852905915583</v>
      </c>
      <c r="AS41" s="204">
        <f t="shared" si="20"/>
        <v>2.1680592093887219</v>
      </c>
    </row>
    <row r="42" spans="1:49" ht="15.75" customHeight="1" x14ac:dyDescent="0.25">
      <c r="A42" s="330"/>
      <c r="B42" s="194" t="str">
        <f t="shared" si="17"/>
        <v>Cooling Capacity Ratio Boundary Curve Name</v>
      </c>
      <c r="C42" s="212" t="str">
        <f t="shared" si="19"/>
        <v>EPDef-VRFSysClgCapBdry_fToadbSI</v>
      </c>
      <c r="D42" s="212" t="str">
        <f t="shared" si="19"/>
        <v>Cubic</v>
      </c>
      <c r="E42" s="212" t="str">
        <f t="shared" si="19"/>
        <v>CapBdry</v>
      </c>
      <c r="F42" s="212" t="str">
        <f t="shared" si="19"/>
        <v>Toadb</v>
      </c>
      <c r="G42" s="212">
        <f t="shared" si="19"/>
        <v>0</v>
      </c>
      <c r="H42" s="212">
        <f t="shared" si="19"/>
        <v>0</v>
      </c>
      <c r="I42" s="212">
        <f t="shared" si="19"/>
        <v>0</v>
      </c>
      <c r="J42" s="212">
        <f t="shared" si="19"/>
        <v>0</v>
      </c>
      <c r="K42" s="212">
        <f>32+9/5*K7-32*L42-1024*M42</f>
        <v>71.263119999999986</v>
      </c>
      <c r="L42" s="212">
        <f>L7-64*M42</f>
        <v>0.47218000000000004</v>
      </c>
      <c r="M42" s="212">
        <f>5/9*M7</f>
        <v>-7.8700000000000003E-3</v>
      </c>
      <c r="N42" s="212"/>
      <c r="O42" s="212"/>
      <c r="P42" s="195"/>
      <c r="AD42" s="194" t="s">
        <v>991</v>
      </c>
      <c r="AE42" s="221">
        <f>AH30</f>
        <v>0.99179938271604939</v>
      </c>
      <c r="AG42" s="189"/>
      <c r="AJ42" s="189"/>
      <c r="AM42" s="225" t="s">
        <v>1038</v>
      </c>
      <c r="AN42" s="226">
        <f>AN34*$AN$19</f>
        <v>25743.362990792968</v>
      </c>
      <c r="AO42" s="263">
        <f>AO34*$AN$19</f>
        <v>28666.999192269359</v>
      </c>
      <c r="AP42" s="227">
        <f>AP34*$AN$19</f>
        <v>30103.335921784383</v>
      </c>
      <c r="AQ42" s="226">
        <f>AQ34*$AN$20</f>
        <v>23985.869806999752</v>
      </c>
      <c r="AR42" s="263">
        <f>AR34*$AN$20</f>
        <v>18803.739188208034</v>
      </c>
      <c r="AS42" s="227">
        <f>AS34*$AN$20</f>
        <v>15236.316117479209</v>
      </c>
    </row>
    <row r="43" spans="1:49" ht="15.75" customHeight="1" x14ac:dyDescent="0.25">
      <c r="A43" s="330"/>
      <c r="B43" s="194" t="str">
        <f t="shared" si="17"/>
        <v>Cooling Capacity Ratio Modifier Function of High Temperature Curve Name</v>
      </c>
      <c r="C43" s="212" t="str">
        <f t="shared" si="19"/>
        <v>EPDef-VRFSysClgQRatio_fTdbToadbHiSI</v>
      </c>
      <c r="D43" s="212" t="str">
        <f t="shared" si="19"/>
        <v>BiQuadratic</v>
      </c>
      <c r="E43" s="212" t="str">
        <f t="shared" si="19"/>
        <v>QRatio</v>
      </c>
      <c r="F43" s="212" t="str">
        <f t="shared" si="19"/>
        <v>Tdb</v>
      </c>
      <c r="G43" s="212" t="str">
        <f t="shared" si="19"/>
        <v>Toadb</v>
      </c>
      <c r="H43" s="212" t="str">
        <f t="shared" si="19"/>
        <v>Hi</v>
      </c>
      <c r="I43" s="212">
        <f t="shared" si="19"/>
        <v>0</v>
      </c>
      <c r="J43" s="212">
        <f t="shared" si="19"/>
        <v>0</v>
      </c>
      <c r="K43" s="212">
        <f>K8-32*L43-1024*M43-32*N43-1024*O43-1024*P43</f>
        <v>0.41155772839506177</v>
      </c>
      <c r="L43" s="212">
        <f>5/9*L8-64*25/81*M8-32*25/81*P8</f>
        <v>4.1177160493827162E-3</v>
      </c>
      <c r="M43" s="212">
        <f>M8*25/81</f>
        <v>1.6820987654320987E-4</v>
      </c>
      <c r="N43" s="212">
        <f>5/9*N8-64*25/81*O8-32*25/81*P8</f>
        <v>2.4470370370370366E-3</v>
      </c>
      <c r="O43" s="212">
        <f>O8*25/81</f>
        <v>0</v>
      </c>
      <c r="P43" s="195">
        <f>P8*25/81</f>
        <v>-1.0462962962962963E-4</v>
      </c>
      <c r="AD43" s="194" t="s">
        <v>992</v>
      </c>
      <c r="AE43" s="221">
        <f>AI30</f>
        <v>0.73709318672839497</v>
      </c>
      <c r="AG43" s="189"/>
      <c r="AJ43" s="189"/>
      <c r="AM43" s="194" t="s">
        <v>1040</v>
      </c>
      <c r="AN43" s="201">
        <f>AN42/12000*$AN$24*$AN$25</f>
        <v>178.05826068631802</v>
      </c>
      <c r="AO43" s="260">
        <f t="shared" ref="AO43:AS43" si="21">AO42/12000*$AN$24*$AN$25</f>
        <v>198.28007774652971</v>
      </c>
      <c r="AP43" s="202">
        <f t="shared" si="21"/>
        <v>208.21474012567529</v>
      </c>
      <c r="AQ43" s="201">
        <f t="shared" si="21"/>
        <v>165.90226616508161</v>
      </c>
      <c r="AR43" s="260">
        <f t="shared" si="21"/>
        <v>130.05919605177223</v>
      </c>
      <c r="AS43" s="202">
        <f t="shared" si="21"/>
        <v>105.38451981256453</v>
      </c>
    </row>
    <row r="44" spans="1:49" ht="15.75" customHeight="1" x14ac:dyDescent="0.25">
      <c r="A44" s="330"/>
      <c r="B44" s="194" t="str">
        <f t="shared" si="17"/>
        <v>Cooling Combination Ratio Correction Factor Curve Name</v>
      </c>
      <c r="C44" s="212" t="str">
        <f t="shared" si="19"/>
        <v>EPDef-VRFSysClgQRatio_fCombRat</v>
      </c>
      <c r="D44" s="212" t="str">
        <f t="shared" si="19"/>
        <v>Linear</v>
      </c>
      <c r="E44" s="212" t="str">
        <f t="shared" si="19"/>
        <v>QRatio</v>
      </c>
      <c r="F44" s="212" t="str">
        <f t="shared" si="19"/>
        <v>CombRat</v>
      </c>
      <c r="G44" s="212">
        <f t="shared" si="19"/>
        <v>0</v>
      </c>
      <c r="H44" s="212">
        <f t="shared" si="19"/>
        <v>0</v>
      </c>
      <c r="I44" s="212">
        <f t="shared" si="19"/>
        <v>0</v>
      </c>
      <c r="J44" s="212">
        <f t="shared" si="19"/>
        <v>0</v>
      </c>
      <c r="K44" s="220">
        <f>K9</f>
        <v>0.61805500000000002</v>
      </c>
      <c r="L44" s="220">
        <f>L9</f>
        <v>0.38194499999999998</v>
      </c>
      <c r="M44" s="220">
        <f>M9</f>
        <v>0</v>
      </c>
      <c r="N44" s="212"/>
      <c r="O44" s="212"/>
      <c r="P44" s="195"/>
      <c r="AD44" s="194" t="s">
        <v>993</v>
      </c>
      <c r="AE44" s="221">
        <f>AJ30</f>
        <v>0.6082413163580247</v>
      </c>
      <c r="AG44" s="189"/>
      <c r="AJ44" s="189"/>
      <c r="AM44" s="194" t="s">
        <v>1042</v>
      </c>
      <c r="AN44" s="301">
        <f>AN42-AN43*3.412</f>
        <v>25135.828205331251</v>
      </c>
      <c r="AO44" s="302">
        <f t="shared" ref="AO44:AP44" si="22">AO42-AO43*3.412</f>
        <v>27990.467566998199</v>
      </c>
      <c r="AP44" s="303">
        <f t="shared" si="22"/>
        <v>29392.907228475578</v>
      </c>
      <c r="AQ44" s="301">
        <f>AQ42+AQ43*3.412</f>
        <v>24551.928339155009</v>
      </c>
      <c r="AR44" s="302">
        <f t="shared" ref="AR44:AS44" si="23">AR42+AR43*3.412</f>
        <v>19247.50116513668</v>
      </c>
      <c r="AS44" s="303">
        <f t="shared" si="23"/>
        <v>15595.888099079679</v>
      </c>
    </row>
    <row r="45" spans="1:49" ht="15.75" customHeight="1" x14ac:dyDescent="0.25">
      <c r="A45" s="330"/>
      <c r="B45" s="194" t="str">
        <f t="shared" si="17"/>
        <v>Heat Recovery Cooling Capacity Modifier Curve Name</v>
      </c>
      <c r="C45" s="212" t="str">
        <f t="shared" si="19"/>
        <v>EPDef-VRFSysHtRcvryClgQRatio_fTwbToadbSI</v>
      </c>
      <c r="D45" s="212" t="str">
        <f t="shared" si="19"/>
        <v>BiQuadratic</v>
      </c>
      <c r="E45" s="212" t="str">
        <f t="shared" si="19"/>
        <v>QRatio</v>
      </c>
      <c r="F45" s="212" t="str">
        <f t="shared" si="19"/>
        <v>Twb</v>
      </c>
      <c r="G45" s="212" t="str">
        <f t="shared" si="19"/>
        <v>Toadb</v>
      </c>
      <c r="H45" s="212">
        <f t="shared" si="19"/>
        <v>0</v>
      </c>
      <c r="I45" s="212">
        <f t="shared" si="19"/>
        <v>0</v>
      </c>
      <c r="J45" s="212">
        <f t="shared" si="19"/>
        <v>0</v>
      </c>
      <c r="K45" s="212">
        <f>K10-32*L45-1024*M45-32*N45-1024*O45-1024*P45</f>
        <v>0.9</v>
      </c>
      <c r="L45" s="212">
        <f>5/9*L10-64*25/81*M10-32*25/81*P10</f>
        <v>0</v>
      </c>
      <c r="M45" s="212">
        <f>M10*25/81</f>
        <v>0</v>
      </c>
      <c r="N45" s="212">
        <f>5/9*N10-64*25/81*O10-32*25/81*P10</f>
        <v>0</v>
      </c>
      <c r="O45" s="212">
        <f>O10*25/81</f>
        <v>0</v>
      </c>
      <c r="P45" s="195">
        <f>P10*25/81</f>
        <v>0</v>
      </c>
      <c r="AD45" s="194" t="s">
        <v>994</v>
      </c>
      <c r="AE45" s="221">
        <f>AE31</f>
        <v>1.2891588500000002</v>
      </c>
      <c r="AG45" s="189"/>
      <c r="AJ45" s="189"/>
      <c r="AM45" s="194" t="s">
        <v>1020</v>
      </c>
      <c r="AN45" s="199">
        <f>$K$65+$L$65*$AN$13+$M$65*$AN$13^2+$N$65*$AN$11+$O$65*$AN$11^2+$P$65*$AN$13*$AN$11+$AN$21*$AN$14</f>
        <v>0.97485451532710088</v>
      </c>
      <c r="AO45" s="259">
        <f>$K$65+$L$65*$AN$13+$M$65*$AN$13^2+$N$65*$AN$11+$O$65*$AN$11^2+$P$65*$AN$13*$AN$11+$AN$21*$AN$14</f>
        <v>0.97485451532710088</v>
      </c>
      <c r="AP45" s="200">
        <f>$K$65+$L$65*$AN$13+$M$65*$AN$13^2+$N$65*$AN$11+$O$65*$AN$11^2+$P$65*$AN$13*$AN$11+$AN$21*$AN$14</f>
        <v>0.97485451532710088</v>
      </c>
      <c r="AQ45" s="199">
        <f>$K$66+$L$66*$AN$13+$M$66*$AN$13^2+$N$66*$AN$12+$O$66*$AN$12^2+$P$66*$AN$13*$AN$12+$AN$22*$AN$14</f>
        <v>0.97485451532710088</v>
      </c>
      <c r="AR45" s="259">
        <f>$K$66+$L$66*$AN$13+$M$66*$AN$13^2+$N$66*$AN$12+$O$66*$AN$12^2+$P$66*$AN$13*$AN$12+$AN$22*$AN$14</f>
        <v>0.97485451532710088</v>
      </c>
      <c r="AS45" s="200">
        <f>$K$66+$L$66*$AN$13+$M$66*$AN$13^2+$N$66*$AN$12+$O$66*$AN$12^2+$P$66*$AN$13*$AN$12+$AN$22*$AN$14</f>
        <v>0.97485451532710088</v>
      </c>
      <c r="AT45" s="308"/>
    </row>
    <row r="46" spans="1:49" ht="15.75" customHeight="1" x14ac:dyDescent="0.25">
      <c r="A46" s="330"/>
      <c r="B46" s="194" t="str">
        <f t="shared" si="17"/>
        <v>Heating Capacity Ratio Modifier Function of Low Temperature Curve Name</v>
      </c>
      <c r="C46" s="212" t="str">
        <f t="shared" si="19"/>
        <v>EPDef-VRFSysHtgQRatio_fTwbToadbLowSI</v>
      </c>
      <c r="D46" s="212" t="str">
        <f t="shared" si="19"/>
        <v>BiQuadratic</v>
      </c>
      <c r="E46" s="212" t="str">
        <f t="shared" si="19"/>
        <v>QRatio</v>
      </c>
      <c r="F46" s="212" t="str">
        <f t="shared" si="19"/>
        <v>Twb</v>
      </c>
      <c r="G46" s="212" t="str">
        <f t="shared" si="19"/>
        <v>Toadb</v>
      </c>
      <c r="H46" s="212" t="str">
        <f t="shared" si="19"/>
        <v>Low</v>
      </c>
      <c r="I46" s="212">
        <f t="shared" si="19"/>
        <v>0</v>
      </c>
      <c r="J46" s="212">
        <f t="shared" si="19"/>
        <v>0</v>
      </c>
      <c r="K46" s="212">
        <f>K11-32*L46-1024*M46-32*N46-1024*O46-1024*P46</f>
        <v>0.42289535802469125</v>
      </c>
      <c r="L46" s="212">
        <f>5/9*L11-64*25/81*M11-32*25/81*P11</f>
        <v>4.9494148148148146E-3</v>
      </c>
      <c r="M46" s="212">
        <f>M11*25/81</f>
        <v>-4.3827160493827164E-5</v>
      </c>
      <c r="N46" s="212">
        <f>5/9*N11-64*25/81*O11-32*25/81*P11</f>
        <v>1.8462905864197531E-2</v>
      </c>
      <c r="O46" s="212">
        <f>O11*25/81</f>
        <v>5.6790123456790121E-7</v>
      </c>
      <c r="P46" s="195">
        <f>P11*25/81</f>
        <v>-1.1053919753086419E-4</v>
      </c>
      <c r="AD46" s="194" t="s">
        <v>995</v>
      </c>
      <c r="AE46" s="221">
        <f>AF31</f>
        <v>1.0007620475308643</v>
      </c>
      <c r="AG46" s="189"/>
      <c r="AJ46" s="189"/>
      <c r="AM46" s="194" t="s">
        <v>1043</v>
      </c>
      <c r="AN46" s="201">
        <f>AN42/AN45</f>
        <v>26407.389601262796</v>
      </c>
      <c r="AO46" s="260">
        <f t="shared" ref="AO46" si="24">AO42/AO45</f>
        <v>29406.438336750674</v>
      </c>
      <c r="AP46" s="202">
        <f t="shared" ref="AP46" si="25">AP42/AP45</f>
        <v>30879.824064500091</v>
      </c>
      <c r="AQ46" s="201">
        <f t="shared" ref="AQ46" si="26">AQ42/AQ45</f>
        <v>24604.563480891891</v>
      </c>
      <c r="AR46" s="260">
        <f t="shared" ref="AR46" si="27">AR42/AR45</f>
        <v>19288.764520825614</v>
      </c>
      <c r="AS46" s="202">
        <f t="shared" ref="AS46" si="28">AS42/AS45</f>
        <v>15629.32301992451</v>
      </c>
    </row>
    <row r="47" spans="1:49" ht="15.75" customHeight="1" x14ac:dyDescent="0.25">
      <c r="A47" s="330"/>
      <c r="B47" s="194" t="str">
        <f t="shared" si="17"/>
        <v>Heating Capacity Ratio Boundary Curve Name</v>
      </c>
      <c r="C47" s="212" t="str">
        <f t="shared" si="19"/>
        <v>EPDef-VRFSysHtgCapBdry_fToadbSI</v>
      </c>
      <c r="D47" s="212" t="str">
        <f t="shared" si="19"/>
        <v>Cubic</v>
      </c>
      <c r="E47" s="212" t="str">
        <f t="shared" si="19"/>
        <v>CapBdry</v>
      </c>
      <c r="F47" s="212" t="str">
        <f t="shared" si="19"/>
        <v>Toadb</v>
      </c>
      <c r="G47" s="212">
        <f t="shared" si="19"/>
        <v>0</v>
      </c>
      <c r="H47" s="212">
        <f t="shared" si="19"/>
        <v>0</v>
      </c>
      <c r="I47" s="212">
        <f t="shared" si="19"/>
        <v>0</v>
      </c>
      <c r="J47" s="212">
        <f t="shared" si="19"/>
        <v>0</v>
      </c>
      <c r="K47" s="212">
        <f>32+9/5*K12-32*L47-1024*M47</f>
        <v>-145.46163395555558</v>
      </c>
      <c r="L47" s="212">
        <f>L12-64*M47</f>
        <v>7.185442222222223</v>
      </c>
      <c r="M47" s="212">
        <f>5/9*M12</f>
        <v>-6.4602222222222228E-2</v>
      </c>
      <c r="N47" s="212"/>
      <c r="O47" s="212"/>
      <c r="P47" s="195"/>
      <c r="AD47" s="194" t="s">
        <v>996</v>
      </c>
      <c r="AE47" s="221">
        <f>AG31</f>
        <v>0.83492493148148172</v>
      </c>
      <c r="AG47" s="189"/>
      <c r="AJ47" s="189"/>
      <c r="AM47" s="194" t="s">
        <v>1037</v>
      </c>
      <c r="AN47" s="199">
        <f>AE33</f>
        <v>0.43290923361778261</v>
      </c>
      <c r="AO47" s="259">
        <f>AN47</f>
        <v>0.43290923361778261</v>
      </c>
      <c r="AP47" s="200">
        <f>AO47</f>
        <v>0.43290923361778261</v>
      </c>
      <c r="AQ47" s="199">
        <f>AH34</f>
        <v>0.52631562499999995</v>
      </c>
      <c r="AR47" s="259">
        <f>AQ47</f>
        <v>0.52631562499999995</v>
      </c>
      <c r="AS47" s="200">
        <f>AR47</f>
        <v>0.52631562499999995</v>
      </c>
    </row>
    <row r="48" spans="1:49" ht="15.75" customHeight="1" x14ac:dyDescent="0.25">
      <c r="A48" s="330"/>
      <c r="B48" s="194" t="str">
        <f t="shared" si="17"/>
        <v>Heating Capacity Ratio Modifier Function of High Temperature Curve Name</v>
      </c>
      <c r="C48" s="212" t="str">
        <f t="shared" si="19"/>
        <v>EPDef-VRFSysHtgQRatio_fTwbToadbHiSI</v>
      </c>
      <c r="D48" s="212" t="str">
        <f t="shared" si="19"/>
        <v>BiQuadratic</v>
      </c>
      <c r="E48" s="212" t="str">
        <f t="shared" si="19"/>
        <v>QRatio</v>
      </c>
      <c r="F48" s="212" t="str">
        <f t="shared" si="19"/>
        <v>Twb</v>
      </c>
      <c r="G48" s="212" t="str">
        <f t="shared" si="19"/>
        <v>Toadb</v>
      </c>
      <c r="H48" s="212" t="str">
        <f t="shared" si="19"/>
        <v>Hi</v>
      </c>
      <c r="I48" s="212">
        <f t="shared" si="19"/>
        <v>0</v>
      </c>
      <c r="J48" s="212">
        <f t="shared" si="19"/>
        <v>0</v>
      </c>
      <c r="K48" s="212">
        <f>K13-32*L48-1024*M48-32*N48-1024*O48-1024*P48</f>
        <v>8.625499999999986E-2</v>
      </c>
      <c r="L48" s="212">
        <f>5/9*L13-64*25/81*M13-32*25/81*P13</f>
        <v>4.9290802469135808E-2</v>
      </c>
      <c r="M48" s="212">
        <f>M13*25/81</f>
        <v>-5.2098765432098768E-4</v>
      </c>
      <c r="N48" s="212">
        <f>5/9*N13-64*25/81*O13-32*25/81*P13</f>
        <v>1.6325308641975309E-3</v>
      </c>
      <c r="O48" s="212">
        <f>O13*25/81</f>
        <v>6.1728395061728385E-7</v>
      </c>
      <c r="P48" s="195">
        <f>P13*25/81</f>
        <v>-2.1296296296296296E-5</v>
      </c>
      <c r="S48" s="189" t="s">
        <v>947</v>
      </c>
      <c r="AD48" s="194" t="s">
        <v>997</v>
      </c>
      <c r="AE48" s="221">
        <f>AH32</f>
        <v>0.99812153671288995</v>
      </c>
      <c r="AG48" s="189"/>
      <c r="AJ48" s="189"/>
      <c r="AM48" s="194" t="s">
        <v>1047</v>
      </c>
      <c r="AN48" s="201">
        <f t="shared" ref="AN48:AP48" si="29">AN38*$AN$7*AN39*AN47</f>
        <v>5625.6188691608395</v>
      </c>
      <c r="AO48" s="260">
        <f t="shared" si="29"/>
        <v>4863.0826667558485</v>
      </c>
      <c r="AP48" s="202">
        <f t="shared" si="29"/>
        <v>4260.5007436278129</v>
      </c>
      <c r="AQ48" s="201">
        <f>AQ38*$AN$8*AQ39*AQ47</f>
        <v>5949.7504430804456</v>
      </c>
      <c r="AR48" s="260">
        <f t="shared" ref="AR48:AS48" si="30">AR38*$AN$8*AR39*AR47</f>
        <v>6775.8016125824925</v>
      </c>
      <c r="AS48" s="202">
        <f t="shared" si="30"/>
        <v>6539.6217674710051</v>
      </c>
    </row>
    <row r="49" spans="1:45" ht="15.75" customHeight="1" thickBot="1" x14ac:dyDescent="0.3">
      <c r="A49" s="330"/>
      <c r="B49" s="194" t="str">
        <f t="shared" si="17"/>
        <v>Heating Combination Ratio Correction Factor Curve Name</v>
      </c>
      <c r="C49" s="212" t="str">
        <f t="shared" si="19"/>
        <v>EPDef-VRFSysHtgQRatio_fCombRat</v>
      </c>
      <c r="D49" s="212" t="str">
        <f t="shared" si="19"/>
        <v>Linear</v>
      </c>
      <c r="E49" s="212" t="str">
        <f t="shared" si="19"/>
        <v>QRatio</v>
      </c>
      <c r="F49" s="212" t="str">
        <f t="shared" si="19"/>
        <v>CombRat</v>
      </c>
      <c r="G49" s="212">
        <f t="shared" si="19"/>
        <v>0</v>
      </c>
      <c r="H49" s="212">
        <f t="shared" si="19"/>
        <v>0</v>
      </c>
      <c r="I49" s="212">
        <f t="shared" si="19"/>
        <v>0</v>
      </c>
      <c r="J49" s="212">
        <f t="shared" si="19"/>
        <v>0</v>
      </c>
      <c r="K49" s="220">
        <f>K14</f>
        <v>0.96033999999999997</v>
      </c>
      <c r="L49" s="220">
        <f>L14</f>
        <v>3.9660000000000001E-2</v>
      </c>
      <c r="M49" s="220">
        <f>M14</f>
        <v>0</v>
      </c>
      <c r="N49" s="212"/>
      <c r="O49" s="212"/>
      <c r="P49" s="195"/>
      <c r="S49" s="188" t="s">
        <v>948</v>
      </c>
      <c r="W49" s="188" t="s">
        <v>1095</v>
      </c>
      <c r="AD49" s="194" t="s">
        <v>998</v>
      </c>
      <c r="AE49" s="221">
        <f>AI32</f>
        <v>1.4499619702687747</v>
      </c>
      <c r="AG49" s="189"/>
      <c r="AJ49" s="189"/>
      <c r="AM49" s="196" t="s">
        <v>1126</v>
      </c>
      <c r="AN49" s="205">
        <f>AN44/(AN48+AN43*3.412)</f>
        <v>4.0326020499575401</v>
      </c>
      <c r="AO49" s="206">
        <f t="shared" ref="AO49:AS49" si="31">AO44/(AO48+AO43*3.412)</f>
        <v>5.0527827555221663</v>
      </c>
      <c r="AP49" s="207">
        <f t="shared" si="31"/>
        <v>5.9129600613661575</v>
      </c>
      <c r="AQ49" s="205">
        <f t="shared" si="31"/>
        <v>3.7680552687269135</v>
      </c>
      <c r="AR49" s="206">
        <f t="shared" si="31"/>
        <v>2.6660200338286644</v>
      </c>
      <c r="AS49" s="207">
        <f t="shared" si="31"/>
        <v>2.2605377767769812</v>
      </c>
    </row>
    <row r="50" spans="1:45" ht="15.75" customHeight="1" thickBot="1" x14ac:dyDescent="0.3">
      <c r="A50" s="330"/>
      <c r="B50" s="194" t="str">
        <f t="shared" si="17"/>
        <v>Heat Recovery Heating Capacity Modifier Curve Name</v>
      </c>
      <c r="C50" s="212" t="str">
        <f t="shared" si="19"/>
        <v>EPDef-VRFSysHtRcvryHtgQRatio_fTwbToadbSI</v>
      </c>
      <c r="D50" s="212" t="str">
        <f t="shared" si="19"/>
        <v>BiQuadratic</v>
      </c>
      <c r="E50" s="212" t="str">
        <f t="shared" si="19"/>
        <v>QRatio</v>
      </c>
      <c r="F50" s="212" t="str">
        <f t="shared" si="19"/>
        <v>Twb</v>
      </c>
      <c r="G50" s="212" t="str">
        <f t="shared" si="19"/>
        <v>Toadb</v>
      </c>
      <c r="H50" s="212">
        <f t="shared" si="19"/>
        <v>0</v>
      </c>
      <c r="I50" s="212">
        <f t="shared" si="19"/>
        <v>0</v>
      </c>
      <c r="J50" s="212">
        <f t="shared" si="19"/>
        <v>0</v>
      </c>
      <c r="K50" s="212">
        <f>K15-32*L50-1024*M50-32*N50-1024*O50-1024*P50</f>
        <v>0.9</v>
      </c>
      <c r="L50" s="212">
        <f>5/9*L15-64*25/81*M15-32*25/81*P15</f>
        <v>0</v>
      </c>
      <c r="M50" s="212">
        <f>M15*25/81</f>
        <v>0</v>
      </c>
      <c r="N50" s="212">
        <f>5/9*N15-64*25/81*O15-32*25/81*P15</f>
        <v>0</v>
      </c>
      <c r="O50" s="212">
        <f>O15*25/81</f>
        <v>0</v>
      </c>
      <c r="P50" s="195">
        <f>P15*25/81</f>
        <v>0</v>
      </c>
      <c r="S50" s="188" t="s">
        <v>1093</v>
      </c>
      <c r="T50" s="188">
        <v>0.25</v>
      </c>
      <c r="W50" s="188" t="s">
        <v>1083</v>
      </c>
      <c r="X50" s="185">
        <v>0.55000000000000004</v>
      </c>
      <c r="AD50" s="194" t="s">
        <v>999</v>
      </c>
      <c r="AE50" s="221">
        <f>AJ32</f>
        <v>1.7270813906239848</v>
      </c>
      <c r="AG50" s="189"/>
      <c r="AJ50" s="189"/>
      <c r="AM50" s="189" t="s">
        <v>1117</v>
      </c>
    </row>
    <row r="51" spans="1:45" ht="15.75" customHeight="1" x14ac:dyDescent="0.25">
      <c r="A51" s="330"/>
      <c r="B51" s="194" t="str">
        <f t="shared" si="17"/>
        <v>Cooling Energy Input Ratio Modifier Function of Low Temperature Curve Name</v>
      </c>
      <c r="C51" s="212" t="str">
        <f t="shared" ref="C51:J60" si="32">C16</f>
        <v>EPDef-VRFSysClgEIRRatio_fTwbToadbLowSI</v>
      </c>
      <c r="D51" s="212" t="str">
        <f t="shared" si="32"/>
        <v>BiQuadratic</v>
      </c>
      <c r="E51" s="212" t="str">
        <f t="shared" si="32"/>
        <v>EIRRatio</v>
      </c>
      <c r="F51" s="212" t="str">
        <f t="shared" si="32"/>
        <v>Twb</v>
      </c>
      <c r="G51" s="212" t="str">
        <f t="shared" si="32"/>
        <v>Toadb</v>
      </c>
      <c r="H51" s="212" t="str">
        <f t="shared" si="32"/>
        <v>Low</v>
      </c>
      <c r="I51" s="212">
        <f t="shared" si="32"/>
        <v>0</v>
      </c>
      <c r="J51" s="212">
        <f t="shared" si="32"/>
        <v>0</v>
      </c>
      <c r="K51" s="212">
        <f>K16-32*L51-1024*M51-32*N51-1024*O51-1024*P51</f>
        <v>1.3138336244567903</v>
      </c>
      <c r="L51" s="212">
        <f>5/9*L16-64*25/81*M16-32*25/81*P16</f>
        <v>-1.5439935185185187E-2</v>
      </c>
      <c r="M51" s="212">
        <f>M16*25/81</f>
        <v>6.1639197530864208E-5</v>
      </c>
      <c r="N51" s="212">
        <f>5/9*N16-64*25/81*O16-32*25/81*P16</f>
        <v>4.8670113580246916E-3</v>
      </c>
      <c r="O51" s="212">
        <f>O16*25/81</f>
        <v>-3.1790123456790123E-8</v>
      </c>
      <c r="P51" s="195">
        <f>P16*25/81</f>
        <v>-4.8413580246913586E-5</v>
      </c>
      <c r="S51" s="188" t="s">
        <v>1094</v>
      </c>
      <c r="T51" s="188">
        <v>0.15</v>
      </c>
      <c r="W51" s="241" t="s">
        <v>1086</v>
      </c>
      <c r="X51" s="185">
        <v>0.35</v>
      </c>
      <c r="AD51" s="194" t="str">
        <f>"VRFOutdoorClgEIR_fPLR"&amp;X8*100</f>
        <v>VRFOutdoorClgEIR_fPLR55</v>
      </c>
      <c r="AE51" s="221">
        <f>AE33</f>
        <v>0.43290923361778261</v>
      </c>
      <c r="AG51" s="189"/>
      <c r="AJ51" s="189"/>
      <c r="AM51" s="213"/>
      <c r="AN51" s="209" t="s">
        <v>946</v>
      </c>
      <c r="AO51" s="210"/>
      <c r="AP51" s="211"/>
      <c r="AQ51" s="209" t="s">
        <v>947</v>
      </c>
      <c r="AR51" s="210"/>
      <c r="AS51" s="211"/>
    </row>
    <row r="52" spans="1:45" ht="15.75" customHeight="1" x14ac:dyDescent="0.25">
      <c r="A52" s="330"/>
      <c r="B52" s="194" t="str">
        <f t="shared" si="17"/>
        <v>Cooling Energy Input Ratio Boundary Name</v>
      </c>
      <c r="C52" s="212" t="str">
        <f t="shared" si="32"/>
        <v>EPDef-VRFSysClgEIRBdry_fToadbSI</v>
      </c>
      <c r="D52" s="212" t="str">
        <f t="shared" si="32"/>
        <v>Cubic</v>
      </c>
      <c r="E52" s="212" t="str">
        <f t="shared" si="32"/>
        <v>EIRBdry</v>
      </c>
      <c r="F52" s="212" t="str">
        <f t="shared" si="32"/>
        <v>Toadb</v>
      </c>
      <c r="G52" s="212">
        <f t="shared" si="32"/>
        <v>0</v>
      </c>
      <c r="H52" s="212">
        <f t="shared" si="32"/>
        <v>0</v>
      </c>
      <c r="I52" s="212">
        <f t="shared" si="32"/>
        <v>0</v>
      </c>
      <c r="J52" s="212">
        <f t="shared" si="32"/>
        <v>0</v>
      </c>
      <c r="K52" s="212">
        <f>32+9/5*K17-32*L52-1024*M52</f>
        <v>71.271690154444428</v>
      </c>
      <c r="L52" s="212">
        <f>L17-64*M52</f>
        <v>0.47217779222222223</v>
      </c>
      <c r="M52" s="212">
        <f>5/9*M17</f>
        <v>-7.8699722222222226E-3</v>
      </c>
      <c r="N52" s="212"/>
      <c r="O52" s="212"/>
      <c r="P52" s="195"/>
      <c r="W52" s="188" t="s">
        <v>1091</v>
      </c>
      <c r="X52" s="185">
        <v>-0.1</v>
      </c>
      <c r="AD52" s="194" t="str">
        <f>"VRFOutdoorHtgEIR_fPLR"&amp;X50*100</f>
        <v>VRFOutdoorHtgEIR_fPLR55</v>
      </c>
      <c r="AE52" s="221">
        <f>AH34</f>
        <v>0.52631562499999995</v>
      </c>
      <c r="AG52" s="189"/>
      <c r="AJ52" s="189"/>
      <c r="AM52" s="214" t="s">
        <v>1006</v>
      </c>
      <c r="AN52" s="194">
        <v>115</v>
      </c>
      <c r="AO52" s="212">
        <v>95</v>
      </c>
      <c r="AP52" s="195">
        <v>82</v>
      </c>
      <c r="AQ52" s="194">
        <v>47</v>
      </c>
      <c r="AR52" s="212">
        <v>17</v>
      </c>
      <c r="AS52" s="195">
        <v>5</v>
      </c>
    </row>
    <row r="53" spans="1:45" ht="15.75" customHeight="1" x14ac:dyDescent="0.25">
      <c r="A53" s="330"/>
      <c r="B53" s="194" t="str">
        <f t="shared" si="17"/>
        <v>Cooling Energy Input Ratio Modifier Function of High Temperature Curve Name</v>
      </c>
      <c r="C53" s="212" t="str">
        <f t="shared" si="32"/>
        <v>EPDef-VRFSysClgEIRRatio_fTwbToadbHiSI</v>
      </c>
      <c r="D53" s="212" t="str">
        <f t="shared" si="32"/>
        <v>BiQuadratic</v>
      </c>
      <c r="E53" s="212" t="str">
        <f t="shared" si="32"/>
        <v>EIRRatio</v>
      </c>
      <c r="F53" s="212" t="str">
        <f t="shared" si="32"/>
        <v>Twb</v>
      </c>
      <c r="G53" s="212" t="str">
        <f t="shared" si="32"/>
        <v>Toadb</v>
      </c>
      <c r="H53" s="212" t="str">
        <f t="shared" si="32"/>
        <v>Hi</v>
      </c>
      <c r="I53" s="212">
        <f t="shared" si="32"/>
        <v>0</v>
      </c>
      <c r="J53" s="212">
        <f t="shared" si="32"/>
        <v>0</v>
      </c>
      <c r="K53" s="212">
        <f>K18-32*L53-1024*M53-32*N53-1024*O53-1024*P53</f>
        <v>-0.89954793703703706</v>
      </c>
      <c r="L53" s="212">
        <f>5/9*L18-64*25/81*M18-32*25/81*P18</f>
        <v>2.430291049382716E-2</v>
      </c>
      <c r="M53" s="212">
        <f>M18*25/81</f>
        <v>-1.2191358024691358E-4</v>
      </c>
      <c r="N53" s="212">
        <f>5/9*N18-64*25/81*O18-32*25/81*P18</f>
        <v>1.6748204320987656E-2</v>
      </c>
      <c r="O53" s="212">
        <f>O18*25/81</f>
        <v>5.0398148148148149E-5</v>
      </c>
      <c r="P53" s="195">
        <f>P18*25/81</f>
        <v>-1.9271604938271605E-4</v>
      </c>
      <c r="W53" s="188" t="s">
        <v>1090</v>
      </c>
      <c r="X53" s="248">
        <v>0</v>
      </c>
      <c r="Y53" s="248">
        <f>1/(1-$X$52)</f>
        <v>0.90909090909090906</v>
      </c>
      <c r="Z53" s="248">
        <f>-$X$52/(1-$X$52)^2</f>
        <v>8.2644628099173542E-2</v>
      </c>
      <c r="AD53" s="194" t="s">
        <v>1000</v>
      </c>
      <c r="AE53" s="221">
        <f>AE35</f>
        <v>0.89584680970363362</v>
      </c>
      <c r="AG53" s="189"/>
      <c r="AJ53" s="189"/>
      <c r="AM53" s="214" t="s">
        <v>1021</v>
      </c>
      <c r="AN53" s="334">
        <f>AE35</f>
        <v>0.89584680970363362</v>
      </c>
      <c r="AO53" s="335">
        <f>AF35</f>
        <v>0.99758682575217406</v>
      </c>
      <c r="AP53" s="336">
        <f>AG35</f>
        <v>1.0475701040540952</v>
      </c>
      <c r="AQ53" s="334">
        <f>AH36</f>
        <v>1.0009748480856033</v>
      </c>
      <c r="AR53" s="335">
        <f>AI36</f>
        <v>0.78471492294455092</v>
      </c>
      <c r="AS53" s="336">
        <f>AJ36</f>
        <v>0.63583973955479656</v>
      </c>
    </row>
    <row r="54" spans="1:45" ht="15.75" customHeight="1" x14ac:dyDescent="0.25">
      <c r="A54" s="330"/>
      <c r="B54" s="194" t="str">
        <f t="shared" si="17"/>
        <v>Cooling Energy Input Ratio Modifier Function of Low Part-Load Ratio Curve Name</v>
      </c>
      <c r="C54" s="212" t="str">
        <f t="shared" si="32"/>
        <v>EPDef-VRFSysClgEIRRatio_fPLRLowSI</v>
      </c>
      <c r="D54" s="212" t="str">
        <f t="shared" si="32"/>
        <v>Cubic</v>
      </c>
      <c r="E54" s="212" t="str">
        <f t="shared" si="32"/>
        <v>EIRRatio</v>
      </c>
      <c r="F54" s="212" t="str">
        <f t="shared" si="32"/>
        <v>PLR</v>
      </c>
      <c r="G54" s="212" t="str">
        <f t="shared" si="32"/>
        <v>Low</v>
      </c>
      <c r="H54" s="212">
        <f t="shared" si="32"/>
        <v>0</v>
      </c>
      <c r="I54" s="212">
        <f t="shared" si="32"/>
        <v>0</v>
      </c>
      <c r="J54" s="212">
        <f t="shared" si="32"/>
        <v>0</v>
      </c>
      <c r="K54" s="212">
        <f t="shared" ref="K54:P56" si="33">K19</f>
        <v>0.46281230000000001</v>
      </c>
      <c r="L54" s="212">
        <f t="shared" si="33"/>
        <v>-1.04</v>
      </c>
      <c r="M54" s="212">
        <f t="shared" si="33"/>
        <v>2.1749099699999999</v>
      </c>
      <c r="N54" s="212">
        <f t="shared" si="33"/>
        <v>-0.5974817</v>
      </c>
      <c r="O54" s="212">
        <f t="shared" si="33"/>
        <v>0</v>
      </c>
      <c r="P54" s="195">
        <f t="shared" si="33"/>
        <v>0</v>
      </c>
      <c r="X54" s="248">
        <f>$X$52^2/(1-$X$52)^3</f>
        <v>7.5131480090157767E-3</v>
      </c>
      <c r="Y54" s="248">
        <f>-$X$52^3/(1-$X$52)^4</f>
        <v>6.8301345536507063E-4</v>
      </c>
      <c r="Z54" s="249">
        <f>$X$52^4/(1-$X$52)^5</f>
        <v>6.2092132305915519E-5</v>
      </c>
      <c r="AD54" s="194" t="s">
        <v>1001</v>
      </c>
      <c r="AE54" s="221">
        <f>AF35</f>
        <v>0.99758682575217406</v>
      </c>
      <c r="AG54" s="189"/>
      <c r="AJ54" s="189"/>
      <c r="AM54" s="214" t="s">
        <v>1109</v>
      </c>
      <c r="AN54" s="194">
        <f>3.412/12000*$AN$24*$AN$25</f>
        <v>2.3599666666666665E-2</v>
      </c>
      <c r="AO54" s="212">
        <f t="shared" ref="AO54:AS54" si="34">3.412/12000*$AN$24*$AN$25</f>
        <v>2.3599666666666665E-2</v>
      </c>
      <c r="AP54" s="195">
        <f t="shared" si="34"/>
        <v>2.3599666666666665E-2</v>
      </c>
      <c r="AQ54" s="194">
        <f t="shared" si="34"/>
        <v>2.3599666666666665E-2</v>
      </c>
      <c r="AR54" s="212">
        <f t="shared" si="34"/>
        <v>2.3599666666666665E-2</v>
      </c>
      <c r="AS54" s="195">
        <f t="shared" si="34"/>
        <v>2.3599666666666665E-2</v>
      </c>
    </row>
    <row r="55" spans="1:45" ht="15.75" customHeight="1" x14ac:dyDescent="0.25">
      <c r="A55" s="330"/>
      <c r="B55" s="194" t="str">
        <f t="shared" si="17"/>
        <v>Cooling Energy Input Ratio Modifier Function of HIgh Part-Load Ratio Curve Name</v>
      </c>
      <c r="C55" s="212" t="str">
        <f t="shared" si="32"/>
        <v>EPDef-VRFSysClgEIRRatio_fPLRHiSI</v>
      </c>
      <c r="D55" s="212" t="str">
        <f t="shared" si="32"/>
        <v>Quadratic</v>
      </c>
      <c r="E55" s="212" t="str">
        <f t="shared" si="32"/>
        <v>EIRRatio</v>
      </c>
      <c r="F55" s="212" t="str">
        <f t="shared" si="32"/>
        <v>PLR</v>
      </c>
      <c r="G55" s="212" t="str">
        <f t="shared" si="32"/>
        <v>Hi</v>
      </c>
      <c r="H55" s="212">
        <f t="shared" si="32"/>
        <v>0</v>
      </c>
      <c r="I55" s="212">
        <f t="shared" si="32"/>
        <v>0</v>
      </c>
      <c r="J55" s="212">
        <f t="shared" si="32"/>
        <v>0</v>
      </c>
      <c r="K55" s="212">
        <f t="shared" si="33"/>
        <v>1</v>
      </c>
      <c r="L55" s="212">
        <f t="shared" si="33"/>
        <v>0</v>
      </c>
      <c r="M55" s="212">
        <f t="shared" si="33"/>
        <v>0</v>
      </c>
      <c r="N55" s="212">
        <f t="shared" si="33"/>
        <v>0</v>
      </c>
      <c r="O55" s="212">
        <f t="shared" si="33"/>
        <v>0</v>
      </c>
      <c r="P55" s="195">
        <f t="shared" si="33"/>
        <v>0</v>
      </c>
      <c r="S55" s="188" t="s">
        <v>28</v>
      </c>
      <c r="T55" s="188" t="s">
        <v>1087</v>
      </c>
      <c r="U55" t="s">
        <v>1084</v>
      </c>
      <c r="V55" s="188" t="s">
        <v>1085</v>
      </c>
      <c r="X55" s="188" t="s">
        <v>1087</v>
      </c>
      <c r="Y55" t="s">
        <v>1084</v>
      </c>
      <c r="Z55" s="188" t="s">
        <v>1085</v>
      </c>
      <c r="AD55" s="194" t="s">
        <v>1002</v>
      </c>
      <c r="AE55" s="221">
        <f>AG35</f>
        <v>1.0475701040540952</v>
      </c>
      <c r="AG55" s="189"/>
      <c r="AJ55" s="189"/>
      <c r="AM55" s="214" t="s">
        <v>1123</v>
      </c>
      <c r="AN55" s="194">
        <f>(1-AN54)*AN53</f>
        <v>0.87470512361023112</v>
      </c>
      <c r="AO55" s="212">
        <f t="shared" ref="AO55:AP55" si="35">(1-AO54)*AO53</f>
        <v>0.97404410919336459</v>
      </c>
      <c r="AP55" s="195">
        <f t="shared" si="35"/>
        <v>1.0228477987884532</v>
      </c>
      <c r="AQ55" s="194">
        <f>(1+AQ54)*AQ53</f>
        <v>1.024597520842141</v>
      </c>
      <c r="AR55" s="212">
        <f t="shared" ref="AR55:AS55" si="36">(1+AR54)*AR53</f>
        <v>0.80323393355440131</v>
      </c>
      <c r="AS55" s="195">
        <f t="shared" si="36"/>
        <v>0.65084534546170991</v>
      </c>
    </row>
    <row r="56" spans="1:45" ht="15.75" customHeight="1" x14ac:dyDescent="0.25">
      <c r="A56" s="330"/>
      <c r="B56" s="194" t="str">
        <f t="shared" si="17"/>
        <v>Cooling Part-Load Fraction Correlation Curve Name</v>
      </c>
      <c r="C56" s="212" t="str">
        <f t="shared" si="32"/>
        <v>EPDef-VRFSysClgEIRRatio_fCycRatSI</v>
      </c>
      <c r="D56" s="212" t="str">
        <f t="shared" si="32"/>
        <v>Quadratic</v>
      </c>
      <c r="E56" s="212" t="str">
        <f t="shared" si="32"/>
        <v>EIRRatio</v>
      </c>
      <c r="F56" s="212" t="str">
        <f t="shared" si="32"/>
        <v>CycRat</v>
      </c>
      <c r="G56" s="212">
        <f t="shared" si="32"/>
        <v>0</v>
      </c>
      <c r="H56" s="212">
        <f t="shared" si="32"/>
        <v>0</v>
      </c>
      <c r="I56" s="212">
        <f t="shared" si="32"/>
        <v>0</v>
      </c>
      <c r="J56" s="212">
        <f t="shared" si="32"/>
        <v>0</v>
      </c>
      <c r="K56" s="212">
        <f t="shared" si="33"/>
        <v>0.85</v>
      </c>
      <c r="L56" s="212">
        <f t="shared" si="33"/>
        <v>0.15</v>
      </c>
      <c r="M56" s="212">
        <f t="shared" si="33"/>
        <v>0</v>
      </c>
      <c r="N56" s="212">
        <f t="shared" si="33"/>
        <v>0</v>
      </c>
      <c r="O56" s="212">
        <f t="shared" si="33"/>
        <v>0</v>
      </c>
      <c r="P56" s="195">
        <f t="shared" si="33"/>
        <v>0</v>
      </c>
      <c r="S56" s="188">
        <v>1</v>
      </c>
      <c r="T56">
        <f>$K$61+$L$61*S56+$M$61*S56^2+$N$61*S56^3</f>
        <v>1.0000001000000001</v>
      </c>
      <c r="U56">
        <f>IF(S56&gt;$T$8-0.01,1,S56/$T$8/(1-$T$9+$T$9*S56/$T$8))</f>
        <v>1</v>
      </c>
      <c r="V56" s="188">
        <f>S56/T56/U56</f>
        <v>0.99999990000000993</v>
      </c>
      <c r="X56">
        <f>$X$53+$Y$53*S56+$Z$53*S56^2+$X$54*S56^3+$Y$54*S56^4+$Z$54*S56^5</f>
        <v>0.99999379078676931</v>
      </c>
      <c r="Y56">
        <f t="shared" ref="Y56:Y75" si="37">IF(S56&gt;$X$50-0.01,1,S56/$X$50/(1-$X$51+$X$51*S56/$X$50))</f>
        <v>1</v>
      </c>
      <c r="Z56" s="188">
        <f>S56/X56/Y56</f>
        <v>1.0000062092517852</v>
      </c>
      <c r="AD56" s="194" t="s">
        <v>1003</v>
      </c>
      <c r="AE56" s="221">
        <f>AH36</f>
        <v>1.0009748480856033</v>
      </c>
      <c r="AG56" s="189"/>
      <c r="AJ56" s="189"/>
      <c r="AM56" s="214" t="s">
        <v>1124</v>
      </c>
      <c r="AN56" s="231">
        <f>AN55/$AO$55</f>
        <v>0.898013873657735</v>
      </c>
      <c r="AO56" s="220">
        <f>AO55/$AO$55</f>
        <v>1</v>
      </c>
      <c r="AP56" s="221">
        <f>AP55/$AO$55</f>
        <v>1.0501041884391709</v>
      </c>
      <c r="AQ56" s="231">
        <f>AQ55/$AQ$55</f>
        <v>1</v>
      </c>
      <c r="AR56" s="220">
        <f>AR55/$AQ$55</f>
        <v>0.78395069011508478</v>
      </c>
      <c r="AS56" s="221">
        <f>AS55/$AQ$55</f>
        <v>0.63522049607026643</v>
      </c>
    </row>
    <row r="57" spans="1:45" ht="15.75" customHeight="1" x14ac:dyDescent="0.25">
      <c r="A57" s="330"/>
      <c r="B57" s="194" t="str">
        <f t="shared" si="17"/>
        <v>Heat Recovery Cooling Energy Modifier Function of Temperature Curve Name</v>
      </c>
      <c r="C57" s="212" t="str">
        <f t="shared" si="32"/>
        <v>EPDef-VRFSysHtRcvryClgEIRRatio_fTwbToadbSI</v>
      </c>
      <c r="D57" s="212" t="str">
        <f t="shared" si="32"/>
        <v>BiQuadratic</v>
      </c>
      <c r="E57" s="212" t="str">
        <f t="shared" si="32"/>
        <v>EIRRatio</v>
      </c>
      <c r="F57" s="212" t="str">
        <f t="shared" si="32"/>
        <v>Twb</v>
      </c>
      <c r="G57" s="212" t="str">
        <f t="shared" si="32"/>
        <v>Toadb</v>
      </c>
      <c r="H57" s="212">
        <f t="shared" si="32"/>
        <v>0</v>
      </c>
      <c r="I57" s="212">
        <f t="shared" si="32"/>
        <v>0</v>
      </c>
      <c r="J57" s="212">
        <f t="shared" si="32"/>
        <v>0</v>
      </c>
      <c r="K57" s="212">
        <f>K22-32*L57-1024*M57-32*N57-1024*O57-1024*P57</f>
        <v>1.1000000000000001</v>
      </c>
      <c r="L57" s="212">
        <f>5/9*L22-64*25/81*M22-32*25/81*P22</f>
        <v>0</v>
      </c>
      <c r="M57" s="212">
        <f>M22*25/81</f>
        <v>0</v>
      </c>
      <c r="N57" s="212">
        <f>5/9*N22-64*25/81*O22-32*25/81*P22</f>
        <v>0</v>
      </c>
      <c r="O57" s="212">
        <f>O22*25/81</f>
        <v>0</v>
      </c>
      <c r="P57" s="195">
        <f>P22*25/81</f>
        <v>0</v>
      </c>
      <c r="S57" s="188">
        <f t="shared" ref="S57:S74" si="38">S56-0.05</f>
        <v>0.95</v>
      </c>
      <c r="T57">
        <f t="shared" ref="T57:T75" si="39">IF(S57&lt;$T$8-0.001,T56,$K$61+$L$61*S57+$M$61*S57^2+$N$61*S57^3)</f>
        <v>0.94280531776249987</v>
      </c>
      <c r="U57">
        <f t="shared" ref="U57:U75" si="40">IF(S57&gt;$T$50-0.01,1,S57/$T$50/(1-$T$51+$T$51*S57/$T$50))</f>
        <v>1</v>
      </c>
      <c r="V57" s="188">
        <f t="shared" ref="V57:V75" si="41">S57/T57/U57</f>
        <v>1.0076311430387079</v>
      </c>
      <c r="X57">
        <f t="shared" ref="X57:X75" si="42">IF(S57&lt;$X$50-0.001,X56,$X$53+$Y$53*S57+$Z$53*S57^2+$X$54*S57^3+$Y$54*S57^4+$Z$54*S57^5)</f>
        <v>0.94526909020667349</v>
      </c>
      <c r="Y57">
        <f t="shared" si="37"/>
        <v>1</v>
      </c>
      <c r="Z57" s="188">
        <f t="shared" ref="Z57:Z75" si="43">S57/X57/Y57</f>
        <v>1.0050048286168884</v>
      </c>
      <c r="AD57" s="194" t="s">
        <v>1004</v>
      </c>
      <c r="AE57" s="221">
        <f>AI36</f>
        <v>0.78471492294455092</v>
      </c>
      <c r="AG57" s="189"/>
      <c r="AJ57" s="189"/>
      <c r="AM57" s="214" t="s">
        <v>1020</v>
      </c>
      <c r="AN57" s="199">
        <f>$K$65+$L$65*$AN$13+$M$65*$AN$13^2+$N$65*1+$O$65*1^2+$P$65*$AN$13*1+$AN$21*$AN$14</f>
        <v>0.97564680394358572</v>
      </c>
      <c r="AO57" s="259">
        <f t="shared" ref="AO57:AP57" si="44">$K$65+$L$65*$AN$13+$M$65*$AN$13^2+$N$65*1+$O$65*1^2+$P$65*$AN$13*1+$AN$21*$AN$14</f>
        <v>0.97564680394358572</v>
      </c>
      <c r="AP57" s="200">
        <f t="shared" si="44"/>
        <v>0.97564680394358572</v>
      </c>
      <c r="AQ57" s="199">
        <f>$K$66+$L$66*$AN$13+$M$66*$AN$13^2+$N$66*1+$O$66*1^2+$P$66*$AN$13*1+$AN$22*$AN$14</f>
        <v>0.97564680394358572</v>
      </c>
      <c r="AR57" s="259">
        <f t="shared" ref="AR57:AS57" si="45">$K$66+$L$66*$AN$13+$M$66*$AN$13^2+$N$66*1+$O$66*1^2+$P$66*$AN$13*1+$AN$22*$AN$14</f>
        <v>0.97564680394358572</v>
      </c>
      <c r="AS57" s="200">
        <f t="shared" si="45"/>
        <v>0.97564680394358572</v>
      </c>
    </row>
    <row r="58" spans="1:45" ht="15.75" customHeight="1" thickBot="1" x14ac:dyDescent="0.3">
      <c r="A58" s="330"/>
      <c r="B58" s="194" t="str">
        <f t="shared" si="17"/>
        <v>Heating Energy Input Ratio Modifier Function of Low Temperature Curve Name</v>
      </c>
      <c r="C58" s="212" t="str">
        <f>C23</f>
        <v>EPDef-VRFSysHtgEIRRatio_fTwbToadbLowSI</v>
      </c>
      <c r="D58" s="212" t="str">
        <f t="shared" si="32"/>
        <v>BiQuadratic</v>
      </c>
      <c r="E58" s="212" t="str">
        <f t="shared" si="32"/>
        <v>EIRRatio</v>
      </c>
      <c r="F58" s="212" t="str">
        <f t="shared" si="32"/>
        <v>Twb</v>
      </c>
      <c r="G58" s="212" t="str">
        <f t="shared" si="32"/>
        <v>Toadb</v>
      </c>
      <c r="H58" s="212" t="str">
        <f t="shared" si="32"/>
        <v>Low</v>
      </c>
      <c r="I58" s="212">
        <f t="shared" si="32"/>
        <v>0</v>
      </c>
      <c r="J58" s="212">
        <f t="shared" si="32"/>
        <v>0</v>
      </c>
      <c r="K58" s="212">
        <f>K23-32*L58-1024*M58-32*N58-1024*O58-1024*P58</f>
        <v>2.1876615277850626</v>
      </c>
      <c r="L58" s="212">
        <f>5/9*L23-64*25/81*M23-32*25/81*P23</f>
        <v>-3.1489078452053808E-2</v>
      </c>
      <c r="M58" s="212">
        <f>M23*25/81</f>
        <v>3.8479936116702176E-4</v>
      </c>
      <c r="N58" s="212">
        <f>5/9*N23-64*25/81*O23-32*25/81*P23</f>
        <v>-2.6807615570727264E-2</v>
      </c>
      <c r="O58" s="212">
        <f>O23*25/81</f>
        <v>3.1053047162015813E-4</v>
      </c>
      <c r="P58" s="195">
        <f>P23*25/81</f>
        <v>-4.453342620738666E-5</v>
      </c>
      <c r="S58" s="188">
        <f t="shared" si="38"/>
        <v>0.89999999999999991</v>
      </c>
      <c r="T58">
        <f t="shared" si="39"/>
        <v>0.88748540809999987</v>
      </c>
      <c r="U58">
        <f t="shared" si="40"/>
        <v>1</v>
      </c>
      <c r="V58" s="188">
        <f t="shared" si="41"/>
        <v>1.0141011804653692</v>
      </c>
      <c r="X58">
        <f t="shared" si="42"/>
        <v>0.89108584175199146</v>
      </c>
      <c r="Y58">
        <f t="shared" si="37"/>
        <v>1</v>
      </c>
      <c r="Z58" s="188">
        <f t="shared" si="43"/>
        <v>1.0100037031566813</v>
      </c>
      <c r="AD58" s="196" t="s">
        <v>1005</v>
      </c>
      <c r="AE58" s="223">
        <f>AJ36</f>
        <v>0.63583973955479656</v>
      </c>
      <c r="AG58" s="189"/>
      <c r="AJ58" s="189"/>
      <c r="AM58" s="214" t="s">
        <v>1030</v>
      </c>
      <c r="AN58" s="199">
        <f>AE31</f>
        <v>1.2891588500000002</v>
      </c>
      <c r="AO58" s="259">
        <f>AF31</f>
        <v>1.0007620475308643</v>
      </c>
      <c r="AP58" s="200">
        <f>AG31</f>
        <v>0.83492493148148172</v>
      </c>
      <c r="AQ58" s="199">
        <f>AH32</f>
        <v>0.99812153671288995</v>
      </c>
      <c r="AR58" s="259">
        <f>AI32</f>
        <v>1.4499619702687747</v>
      </c>
      <c r="AS58" s="200">
        <f>AJ32</f>
        <v>1.7270813906239848</v>
      </c>
    </row>
    <row r="59" spans="1:45" ht="15.75" customHeight="1" x14ac:dyDescent="0.25">
      <c r="A59" s="330"/>
      <c r="B59" s="194" t="str">
        <f t="shared" si="17"/>
        <v>Heating Energy Input Ratio Boundary Curve Name</v>
      </c>
      <c r="C59" s="212" t="str">
        <f t="shared" si="32"/>
        <v>EPDef-VRFSysHtgEIRBdry_fToadbSI</v>
      </c>
      <c r="D59" s="212" t="str">
        <f t="shared" si="32"/>
        <v>Cubic</v>
      </c>
      <c r="E59" s="212" t="str">
        <f t="shared" si="32"/>
        <v>EIRBdry</v>
      </c>
      <c r="F59" s="212" t="str">
        <f t="shared" si="32"/>
        <v>Toadb</v>
      </c>
      <c r="G59" s="212">
        <f t="shared" si="32"/>
        <v>0</v>
      </c>
      <c r="H59" s="212">
        <f t="shared" si="32"/>
        <v>0</v>
      </c>
      <c r="I59" s="212">
        <f t="shared" si="32"/>
        <v>0</v>
      </c>
      <c r="J59" s="212">
        <f t="shared" si="32"/>
        <v>0</v>
      </c>
      <c r="K59" s="212">
        <f>32+9/5*K24-32*L59-1024*M59</f>
        <v>-145.46186699111115</v>
      </c>
      <c r="L59" s="212">
        <f>L24-64*M59</f>
        <v>7.185456604444445</v>
      </c>
      <c r="M59" s="212">
        <f>5/9*M24</f>
        <v>-6.4602444444444448E-2</v>
      </c>
      <c r="N59" s="212"/>
      <c r="O59" s="212"/>
      <c r="P59" s="195"/>
      <c r="S59" s="188">
        <f t="shared" si="38"/>
        <v>0.84999999999999987</v>
      </c>
      <c r="T59">
        <f t="shared" si="39"/>
        <v>0.83397693158749986</v>
      </c>
      <c r="U59">
        <f t="shared" si="40"/>
        <v>1</v>
      </c>
      <c r="V59" s="188">
        <f t="shared" si="41"/>
        <v>1.0192128436718262</v>
      </c>
      <c r="X59">
        <f t="shared" si="42"/>
        <v>0.83743611645146565</v>
      </c>
      <c r="Y59">
        <f t="shared" si="37"/>
        <v>1</v>
      </c>
      <c r="Z59" s="188">
        <f t="shared" si="43"/>
        <v>1.0150027963945145</v>
      </c>
      <c r="AE59" s="212"/>
      <c r="AF59" s="212"/>
      <c r="AG59" s="189"/>
      <c r="AJ59" s="189"/>
      <c r="AM59" s="214" t="s">
        <v>1127</v>
      </c>
      <c r="AN59" s="309">
        <f>(1-AN54)/(1/AN57*$AN$7*AN58+AN54)</f>
        <v>3.2413509479403353</v>
      </c>
      <c r="AO59" s="310">
        <f t="shared" ref="AO59:AP59" si="46">(1-AO54)/(1/AO57*$AN$7*AO58+AO54)</f>
        <v>4.0832474579746414</v>
      </c>
      <c r="AP59" s="243">
        <f t="shared" si="46"/>
        <v>4.8001861688500833</v>
      </c>
      <c r="AQ59" s="309">
        <f>(1+AQ54)/(1/AQ57*$AN$8*AQ58+AQ54)</f>
        <v>3.6193334563582811</v>
      </c>
      <c r="AR59" s="310">
        <f t="shared" ref="AR59:AS59" si="47">(1+AR54)/(1/AR57*$AN$8*AR58+AR54)</f>
        <v>2.5579852905915588</v>
      </c>
      <c r="AS59" s="243">
        <f t="shared" si="47"/>
        <v>2.1680592093887223</v>
      </c>
    </row>
    <row r="60" spans="1:45" ht="15.75" customHeight="1" x14ac:dyDescent="0.25">
      <c r="A60" s="330"/>
      <c r="B60" s="194" t="str">
        <f t="shared" si="17"/>
        <v>Heating Energy Input Ratio Modifier Function of High Temperature Curve Name</v>
      </c>
      <c r="C60" s="212" t="str">
        <f t="shared" si="32"/>
        <v>EPDef-VRFSysHtgEIRRatio_fTwbToadbHiSI</v>
      </c>
      <c r="D60" s="212" t="str">
        <f t="shared" si="32"/>
        <v>BiQuadratic</v>
      </c>
      <c r="E60" s="212" t="str">
        <f t="shared" si="32"/>
        <v>EIRRatio</v>
      </c>
      <c r="F60" s="212" t="str">
        <f t="shared" si="32"/>
        <v>Twb</v>
      </c>
      <c r="G60" s="212" t="str">
        <f t="shared" si="32"/>
        <v>Toadb</v>
      </c>
      <c r="H60" s="212" t="str">
        <f t="shared" si="32"/>
        <v>Hi</v>
      </c>
      <c r="I60" s="212">
        <f t="shared" si="32"/>
        <v>0</v>
      </c>
      <c r="J60" s="212">
        <f t="shared" si="32"/>
        <v>0</v>
      </c>
      <c r="K60" s="212">
        <f>K25-32*L60-1024*M60-32*N60-1024*O60-1024*P60</f>
        <v>8.2190690366201444</v>
      </c>
      <c r="L60" s="212">
        <f>5/9*L25-64*25/81*M25-32*25/81*P25</f>
        <v>-7.2317667559178914E-2</v>
      </c>
      <c r="M60" s="212">
        <f>M25*25/81</f>
        <v>1.4197951172181081E-5</v>
      </c>
      <c r="N60" s="212">
        <f>5/9*N25-64*25/81*O25-32*25/81*P25</f>
        <v>-0.14709042599747488</v>
      </c>
      <c r="O60" s="212">
        <f>O25*25/81</f>
        <v>4.7386621358179508E-4</v>
      </c>
      <c r="P60" s="195">
        <f>P25*25/81</f>
        <v>1.1058355089880597E-3</v>
      </c>
      <c r="S60" s="188">
        <f t="shared" si="38"/>
        <v>0.79999999999999982</v>
      </c>
      <c r="T60">
        <f t="shared" si="39"/>
        <v>0.78221644879999985</v>
      </c>
      <c r="U60">
        <f t="shared" si="40"/>
        <v>1</v>
      </c>
      <c r="V60" s="188">
        <f t="shared" si="41"/>
        <v>1.0227348213237932</v>
      </c>
      <c r="X60">
        <f t="shared" si="42"/>
        <v>0.78431212969804576</v>
      </c>
      <c r="Y60">
        <f t="shared" si="37"/>
        <v>1</v>
      </c>
      <c r="Z60" s="188">
        <f t="shared" si="43"/>
        <v>1.0200020753319139</v>
      </c>
      <c r="AG60" s="189"/>
      <c r="AJ60" s="189"/>
      <c r="AM60" s="214" t="s">
        <v>1110</v>
      </c>
      <c r="AN60" s="231">
        <f>$AN$19</f>
        <v>0.55000000000000004</v>
      </c>
      <c r="AO60" s="220">
        <f t="shared" ref="AO60:AP60" si="48">$AN$19</f>
        <v>0.55000000000000004</v>
      </c>
      <c r="AP60" s="221">
        <f t="shared" si="48"/>
        <v>0.55000000000000004</v>
      </c>
      <c r="AQ60" s="231">
        <f>$AN$20</f>
        <v>0.55000000000000004</v>
      </c>
      <c r="AR60" s="220">
        <f t="shared" ref="AR60:AS60" si="49">$AN$20</f>
        <v>0.55000000000000004</v>
      </c>
      <c r="AS60" s="221">
        <f t="shared" si="49"/>
        <v>0.55000000000000004</v>
      </c>
    </row>
    <row r="61" spans="1:45" ht="15.75" customHeight="1" x14ac:dyDescent="0.25">
      <c r="A61" s="330"/>
      <c r="B61" s="194" t="str">
        <f t="shared" si="17"/>
        <v>Heating Energy Input Ratio Modifier Function of Low Part-Load Ratio Curve Name</v>
      </c>
      <c r="C61" s="212" t="str">
        <f t="shared" ref="C61:J65" si="50">C26</f>
        <v>EPDef-VRFSysHtgEIRRatio_fPLRLowSI</v>
      </c>
      <c r="D61" s="212" t="str">
        <f t="shared" si="50"/>
        <v>Cubic</v>
      </c>
      <c r="E61" s="212" t="str">
        <f t="shared" si="50"/>
        <v>EIRRatio</v>
      </c>
      <c r="F61" s="212" t="str">
        <f t="shared" si="50"/>
        <v>PLR</v>
      </c>
      <c r="G61" s="212" t="str">
        <f t="shared" si="50"/>
        <v>Low</v>
      </c>
      <c r="H61" s="212">
        <f t="shared" si="50"/>
        <v>0</v>
      </c>
      <c r="I61" s="212">
        <f t="shared" si="50"/>
        <v>0</v>
      </c>
      <c r="J61" s="212">
        <f t="shared" si="50"/>
        <v>0</v>
      </c>
      <c r="K61" s="212">
        <f t="shared" ref="K61:P63" si="51">K26</f>
        <v>0.1400093</v>
      </c>
      <c r="L61" s="212">
        <f t="shared" si="51"/>
        <v>0.64150019999999996</v>
      </c>
      <c r="M61" s="212">
        <f t="shared" si="51"/>
        <v>0.13390469999999999</v>
      </c>
      <c r="N61" s="212">
        <f t="shared" si="51"/>
        <v>8.4585900000000006E-2</v>
      </c>
      <c r="O61" s="212">
        <f t="shared" si="51"/>
        <v>0</v>
      </c>
      <c r="P61" s="195">
        <f t="shared" si="51"/>
        <v>0</v>
      </c>
      <c r="S61" s="188">
        <f t="shared" si="38"/>
        <v>0.74999999999999978</v>
      </c>
      <c r="T61">
        <f t="shared" si="39"/>
        <v>0.73214052031249965</v>
      </c>
      <c r="U61">
        <f t="shared" si="40"/>
        <v>1</v>
      </c>
      <c r="V61" s="188">
        <f t="shared" si="41"/>
        <v>1.0243935135291748</v>
      </c>
      <c r="X61">
        <f t="shared" si="42"/>
        <v>0.73170623892043485</v>
      </c>
      <c r="Y61">
        <f t="shared" si="37"/>
        <v>1</v>
      </c>
      <c r="Z61" s="188">
        <f t="shared" si="43"/>
        <v>1.025001510314516</v>
      </c>
      <c r="AG61" s="189"/>
      <c r="AJ61" s="189"/>
      <c r="AM61" s="214" t="s">
        <v>1037</v>
      </c>
      <c r="AN61" s="194">
        <f>AE33</f>
        <v>0.43290923361778261</v>
      </c>
      <c r="AO61" s="212">
        <f>AF33</f>
        <v>0.43290923361778261</v>
      </c>
      <c r="AP61" s="195">
        <f>AG33</f>
        <v>0.43290923361778261</v>
      </c>
      <c r="AQ61" s="194">
        <f>AH34</f>
        <v>0.52631562499999995</v>
      </c>
      <c r="AR61" s="212">
        <f>AI34</f>
        <v>0.52631562499999995</v>
      </c>
      <c r="AS61" s="195">
        <f>AJ34</f>
        <v>0.52631562499999995</v>
      </c>
    </row>
    <row r="62" spans="1:45" ht="15.75" customHeight="1" thickBot="1" x14ac:dyDescent="0.3">
      <c r="A62" s="330"/>
      <c r="B62" s="194" t="str">
        <f t="shared" si="17"/>
        <v>Heating Energy Input Ratio Modifier Function of High Part-Load Ratio Curve Name</v>
      </c>
      <c r="C62" s="212" t="str">
        <f t="shared" si="50"/>
        <v>EPDef-VRFSysHtgEIRRatio_fPLRHiSI</v>
      </c>
      <c r="D62" s="212" t="str">
        <f t="shared" si="50"/>
        <v>Quadratic</v>
      </c>
      <c r="E62" s="212" t="str">
        <f t="shared" si="50"/>
        <v>EIRRatio</v>
      </c>
      <c r="F62" s="212" t="str">
        <f t="shared" si="50"/>
        <v>PLR</v>
      </c>
      <c r="G62" s="212" t="str">
        <f t="shared" si="50"/>
        <v>Hi</v>
      </c>
      <c r="H62" s="212">
        <f t="shared" si="50"/>
        <v>0</v>
      </c>
      <c r="I62" s="212">
        <f t="shared" si="50"/>
        <v>0</v>
      </c>
      <c r="J62" s="212">
        <f t="shared" si="50"/>
        <v>0</v>
      </c>
      <c r="K62" s="212">
        <f t="shared" si="51"/>
        <v>2.4294359999999999</v>
      </c>
      <c r="L62" s="212">
        <f t="shared" si="51"/>
        <v>-2.235887</v>
      </c>
      <c r="M62" s="212">
        <f t="shared" si="51"/>
        <v>0.80645199999999995</v>
      </c>
      <c r="N62" s="212">
        <f t="shared" si="51"/>
        <v>0</v>
      </c>
      <c r="O62" s="212">
        <f t="shared" si="51"/>
        <v>0</v>
      </c>
      <c r="P62" s="195">
        <f t="shared" si="51"/>
        <v>0</v>
      </c>
      <c r="S62" s="188">
        <f t="shared" si="38"/>
        <v>0.69999999999999973</v>
      </c>
      <c r="T62">
        <f t="shared" si="39"/>
        <v>0.68368570669999962</v>
      </c>
      <c r="U62">
        <f t="shared" si="40"/>
        <v>1</v>
      </c>
      <c r="V62" s="188">
        <f t="shared" si="41"/>
        <v>1.023862270543501</v>
      </c>
      <c r="X62">
        <f t="shared" si="42"/>
        <v>0.67961094125463339</v>
      </c>
      <c r="Y62">
        <f t="shared" si="37"/>
        <v>1</v>
      </c>
      <c r="Z62" s="188">
        <f t="shared" si="43"/>
        <v>1.0300010748910633</v>
      </c>
      <c r="AG62" s="189"/>
      <c r="AJ62" s="189"/>
      <c r="AM62" s="215" t="s">
        <v>1126</v>
      </c>
      <c r="AN62" s="311">
        <f>(1-AN54)*$AN$19/(AN58/AN57*$AN$7*AN61+AN54*$AN$19)</f>
        <v>4.0326020499575392</v>
      </c>
      <c r="AO62" s="312">
        <f t="shared" ref="AO62:AP62" si="52">(1-AO54)*$AN$19/(AO58/AO57*$AN$7*AO61+AO54*$AN$19)</f>
        <v>5.0527827555221663</v>
      </c>
      <c r="AP62" s="313">
        <f t="shared" si="52"/>
        <v>5.9129600613661566</v>
      </c>
      <c r="AQ62" s="311">
        <f>(1+AQ54)*$AN$20/(AQ58/AQ57*$AN$8*AQ61+AQ54*$AN$20)</f>
        <v>3.7680552687269144</v>
      </c>
      <c r="AR62" s="312">
        <f t="shared" ref="AR62:AS62" si="53">(1+AR54)*$AN$20/(AR58/AR57*$AN$8*AR61+AR54*$AN$20)</f>
        <v>2.6660200338286644</v>
      </c>
      <c r="AS62" s="313">
        <f t="shared" si="53"/>
        <v>2.2605377767769812</v>
      </c>
    </row>
    <row r="63" spans="1:45" ht="15.75" customHeight="1" x14ac:dyDescent="0.25">
      <c r="A63" s="330"/>
      <c r="B63" s="194" t="str">
        <f t="shared" si="17"/>
        <v>Heating Part-Load Fraction Correlation Curve Name</v>
      </c>
      <c r="C63" s="212" t="str">
        <f t="shared" si="50"/>
        <v>EPDef-VRFSysHtgEIRRatio_fCycRatSI</v>
      </c>
      <c r="D63" s="212" t="str">
        <f t="shared" si="50"/>
        <v>Cubic</v>
      </c>
      <c r="E63" s="212" t="str">
        <f t="shared" si="50"/>
        <v>EIRRatio</v>
      </c>
      <c r="F63" s="212" t="str">
        <f t="shared" si="50"/>
        <v>CycRat</v>
      </c>
      <c r="G63" s="212">
        <f t="shared" si="50"/>
        <v>0</v>
      </c>
      <c r="H63" s="212">
        <f t="shared" si="50"/>
        <v>0</v>
      </c>
      <c r="I63" s="212">
        <f t="shared" si="50"/>
        <v>0</v>
      </c>
      <c r="J63" s="212">
        <f t="shared" si="50"/>
        <v>0</v>
      </c>
      <c r="K63" s="212">
        <f t="shared" si="51"/>
        <v>0.85</v>
      </c>
      <c r="L63" s="212">
        <f t="shared" si="51"/>
        <v>0.15</v>
      </c>
      <c r="M63" s="212">
        <f t="shared" si="51"/>
        <v>0</v>
      </c>
      <c r="N63" s="212">
        <f t="shared" si="51"/>
        <v>0</v>
      </c>
      <c r="O63" s="212">
        <f t="shared" si="51"/>
        <v>0</v>
      </c>
      <c r="P63" s="195">
        <f t="shared" si="51"/>
        <v>0</v>
      </c>
      <c r="S63" s="188">
        <f t="shared" si="38"/>
        <v>0.64999999999999969</v>
      </c>
      <c r="T63">
        <f t="shared" si="39"/>
        <v>0.63678856853749966</v>
      </c>
      <c r="U63">
        <f t="shared" si="40"/>
        <v>1</v>
      </c>
      <c r="V63" s="188">
        <f t="shared" si="41"/>
        <v>1.0207469670707854</v>
      </c>
      <c r="X63">
        <f t="shared" si="42"/>
        <v>0.62801887121548416</v>
      </c>
      <c r="Y63">
        <f t="shared" si="37"/>
        <v>1</v>
      </c>
      <c r="Z63" s="188">
        <f t="shared" si="43"/>
        <v>1.0350007456654491</v>
      </c>
      <c r="AG63" s="189"/>
      <c r="AJ63" s="189"/>
    </row>
    <row r="64" spans="1:45" ht="15.75" customHeight="1" thickBot="1" x14ac:dyDescent="0.3">
      <c r="A64" s="330"/>
      <c r="B64" s="194" t="str">
        <f t="shared" si="17"/>
        <v>Heat Recovery Heating Energy Modifier Function of Temperature Curve Name</v>
      </c>
      <c r="C64" s="212" t="str">
        <f t="shared" si="50"/>
        <v>EPDef-VRFSysHtRcvryHtgEIRRatio_fTwbToadbSI</v>
      </c>
      <c r="D64" s="212" t="str">
        <f t="shared" si="50"/>
        <v>BiQuadratic</v>
      </c>
      <c r="E64" s="212" t="str">
        <f t="shared" si="50"/>
        <v>EIRRatio</v>
      </c>
      <c r="F64" s="212" t="str">
        <f t="shared" si="50"/>
        <v>Twb</v>
      </c>
      <c r="G64" s="212" t="str">
        <f t="shared" si="50"/>
        <v>Toadb</v>
      </c>
      <c r="H64" s="212">
        <f t="shared" si="50"/>
        <v>0</v>
      </c>
      <c r="I64" s="212">
        <f t="shared" si="50"/>
        <v>0</v>
      </c>
      <c r="J64" s="212">
        <f t="shared" si="50"/>
        <v>0</v>
      </c>
      <c r="K64" s="212">
        <f>K29-32*L64-1024*M64-32*N64-1024*O64-1024*P64</f>
        <v>1.1000000000000001</v>
      </c>
      <c r="L64" s="212">
        <f>5/9*L29-64*25/81*M29-32*25/81*P29</f>
        <v>0</v>
      </c>
      <c r="M64" s="212">
        <f>M29*25/81</f>
        <v>0</v>
      </c>
      <c r="N64" s="212">
        <f>5/9*N29-64*25/81*O29-32*25/81*P29</f>
        <v>0</v>
      </c>
      <c r="O64" s="212">
        <f>O29*25/81</f>
        <v>0</v>
      </c>
      <c r="P64" s="195">
        <f>P29*25/81</f>
        <v>0</v>
      </c>
      <c r="S64" s="188">
        <f t="shared" si="38"/>
        <v>0.59999999999999964</v>
      </c>
      <c r="T64">
        <f t="shared" si="39"/>
        <v>0.59138566639999968</v>
      </c>
      <c r="U64">
        <f t="shared" si="40"/>
        <v>1</v>
      </c>
      <c r="V64" s="188">
        <f t="shared" si="41"/>
        <v>1.014566355069846</v>
      </c>
      <c r="X64">
        <f t="shared" si="42"/>
        <v>0.57692279836821836</v>
      </c>
      <c r="Y64">
        <f t="shared" si="37"/>
        <v>1</v>
      </c>
      <c r="Z64" s="188">
        <f t="shared" si="43"/>
        <v>1.0400005021418002</v>
      </c>
      <c r="AG64" s="189"/>
      <c r="AJ64" s="189"/>
      <c r="AM64" s="264" t="s">
        <v>1106</v>
      </c>
      <c r="AN64" s="265"/>
      <c r="AO64" s="265"/>
      <c r="AP64" s="265"/>
      <c r="AQ64" s="265"/>
      <c r="AR64" s="265"/>
      <c r="AS64" s="265"/>
    </row>
    <row r="65" spans="1:45" ht="15.75" customHeight="1" x14ac:dyDescent="0.25">
      <c r="A65" s="330"/>
      <c r="B65" s="194" t="str">
        <f t="shared" si="17"/>
        <v xml:space="preserve">Piping Correction Factor for Length in Cooling Mode Curve Name </v>
      </c>
      <c r="C65" s="212" t="str">
        <f t="shared" si="50"/>
        <v>EPDef-VRFSysClgPipeLoss_fLenCombRatSI</v>
      </c>
      <c r="D65" s="212" t="str">
        <f t="shared" si="50"/>
        <v>BiQuadratic</v>
      </c>
      <c r="E65" s="212" t="str">
        <f t="shared" si="50"/>
        <v>PipeLoss</v>
      </c>
      <c r="F65" s="212" t="str">
        <f t="shared" si="50"/>
        <v>Len</v>
      </c>
      <c r="G65" s="212" t="str">
        <f t="shared" si="50"/>
        <v>CombRat</v>
      </c>
      <c r="H65" s="212">
        <f t="shared" si="50"/>
        <v>0</v>
      </c>
      <c r="I65" s="212">
        <f t="shared" si="50"/>
        <v>0</v>
      </c>
      <c r="J65" s="212">
        <f t="shared" si="50"/>
        <v>0</v>
      </c>
      <c r="K65" s="220">
        <f>K30</f>
        <v>1.0693790000000001</v>
      </c>
      <c r="L65" s="220">
        <f>L30/3.28084</f>
        <v>-4.5567598541836849E-4</v>
      </c>
      <c r="M65" s="220">
        <f>M30/3.28084^2</f>
        <v>2.7870910216261721E-7</v>
      </c>
      <c r="N65" s="220">
        <f>N30</f>
        <v>-0.11511</v>
      </c>
      <c r="O65" s="220">
        <f>O30</f>
        <v>5.1117000000000003E-2</v>
      </c>
      <c r="P65" s="221">
        <f>P30/3.28084</f>
        <v>-1.3319759573767693E-4</v>
      </c>
      <c r="S65" s="188">
        <f t="shared" si="38"/>
        <v>0.5499999999999996</v>
      </c>
      <c r="T65">
        <f t="shared" si="39"/>
        <v>0.54741356086249959</v>
      </c>
      <c r="U65">
        <f t="shared" si="40"/>
        <v>1</v>
      </c>
      <c r="V65" s="188">
        <f t="shared" si="41"/>
        <v>1.0047248357045171</v>
      </c>
      <c r="X65">
        <f t="shared" si="42"/>
        <v>0.52631562499999951</v>
      </c>
      <c r="Y65">
        <f t="shared" si="37"/>
        <v>1</v>
      </c>
      <c r="Z65" s="188">
        <f t="shared" si="43"/>
        <v>1.0450003265626022</v>
      </c>
      <c r="AG65" s="189"/>
      <c r="AJ65" s="189"/>
      <c r="AM65" s="266"/>
      <c r="AN65" s="267" t="s">
        <v>946</v>
      </c>
      <c r="AO65" s="268"/>
      <c r="AP65" s="269"/>
      <c r="AQ65" s="268" t="s">
        <v>947</v>
      </c>
      <c r="AR65" s="268"/>
      <c r="AS65" s="269"/>
    </row>
    <row r="66" spans="1:45" ht="15.75" customHeight="1" x14ac:dyDescent="0.25">
      <c r="A66" s="332"/>
      <c r="B66" s="233" t="str">
        <f t="shared" ref="B66:J66" si="54">B31</f>
        <v xml:space="preserve">Piping Correction Factor for Length in Heating Mode Curve Name </v>
      </c>
      <c r="C66" s="234" t="str">
        <f t="shared" si="54"/>
        <v>EPDef-VRFSysHtgPipeLoss_fLenCombRatSI</v>
      </c>
      <c r="D66" s="234" t="str">
        <f t="shared" si="54"/>
        <v>BiQuadratic</v>
      </c>
      <c r="E66" s="234" t="str">
        <f t="shared" si="54"/>
        <v>PipeLoss</v>
      </c>
      <c r="F66" s="234" t="str">
        <f t="shared" si="54"/>
        <v>Len</v>
      </c>
      <c r="G66" s="234" t="str">
        <f t="shared" si="54"/>
        <v>CombRat</v>
      </c>
      <c r="H66" s="234">
        <f t="shared" si="54"/>
        <v>0</v>
      </c>
      <c r="I66" s="234">
        <f t="shared" si="54"/>
        <v>0</v>
      </c>
      <c r="J66" s="234">
        <f t="shared" si="54"/>
        <v>0</v>
      </c>
      <c r="K66" s="220">
        <f>K31</f>
        <v>1.0693790000000001</v>
      </c>
      <c r="L66" s="220">
        <f>L31/3.28084</f>
        <v>-4.5567598541836849E-4</v>
      </c>
      <c r="M66" s="220">
        <f>M31/3.28084^2</f>
        <v>2.7870910216261721E-7</v>
      </c>
      <c r="N66" s="220">
        <f>N31</f>
        <v>-0.11511</v>
      </c>
      <c r="O66" s="220">
        <f>O31</f>
        <v>5.1117000000000003E-2</v>
      </c>
      <c r="P66" s="221">
        <f>P31/3.28084</f>
        <v>-1.3319759573767693E-4</v>
      </c>
      <c r="S66" s="188">
        <f t="shared" si="38"/>
        <v>0.49999999999999961</v>
      </c>
      <c r="T66">
        <f t="shared" si="39"/>
        <v>0.50480881249999965</v>
      </c>
      <c r="U66">
        <f t="shared" si="40"/>
        <v>1</v>
      </c>
      <c r="V66" s="188">
        <f t="shared" si="41"/>
        <v>0.99047399256723545</v>
      </c>
      <c r="X66">
        <f t="shared" si="42"/>
        <v>0.52631562499999951</v>
      </c>
      <c r="Y66">
        <f t="shared" si="37"/>
        <v>0.93896713615023419</v>
      </c>
      <c r="Z66" s="188">
        <f t="shared" si="43"/>
        <v>1.0117503161719745</v>
      </c>
      <c r="AG66" s="189"/>
      <c r="AJ66" s="189"/>
      <c r="AM66" s="270" t="s">
        <v>1006</v>
      </c>
      <c r="AN66" s="270">
        <v>115</v>
      </c>
      <c r="AO66" s="265">
        <v>95</v>
      </c>
      <c r="AP66" s="271">
        <v>82</v>
      </c>
      <c r="AQ66" s="265">
        <v>47</v>
      </c>
      <c r="AR66" s="265">
        <v>17</v>
      </c>
      <c r="AS66" s="271">
        <v>5</v>
      </c>
    </row>
    <row r="67" spans="1:45" ht="15.75" customHeight="1" x14ac:dyDescent="0.25">
      <c r="A67" s="330" t="s">
        <v>1012</v>
      </c>
      <c r="B67" s="194" t="str">
        <f t="shared" ref="B67:J67" si="55">B32</f>
        <v>Cooling Capacity Ratio Modifier Function of Temperature Curve Name</v>
      </c>
      <c r="C67" s="212" t="str">
        <f t="shared" si="55"/>
        <v>CoilClgVRFClgQratio_fTwbTdbSI</v>
      </c>
      <c r="D67" s="212" t="str">
        <f t="shared" si="55"/>
        <v>BiQuadratic</v>
      </c>
      <c r="E67" s="212" t="str">
        <f t="shared" si="55"/>
        <v>Qratio</v>
      </c>
      <c r="F67" s="212" t="str">
        <f t="shared" si="55"/>
        <v>Twb</v>
      </c>
      <c r="G67" s="212" t="str">
        <f t="shared" si="55"/>
        <v>Tdb</v>
      </c>
      <c r="H67" s="212">
        <f t="shared" si="55"/>
        <v>0</v>
      </c>
      <c r="I67" s="212">
        <f t="shared" si="55"/>
        <v>0</v>
      </c>
      <c r="J67" s="212">
        <f t="shared" si="55"/>
        <v>0</v>
      </c>
      <c r="K67" s="212">
        <f>K32-32*L67-1024*M67-32*N67-1024*O67-1024*P67</f>
        <v>-1.4509284844839296</v>
      </c>
      <c r="L67" s="212">
        <f>5/9*L32-64*25/81*M32-32*25/81*P32</f>
        <v>4.1968562528990658E-2</v>
      </c>
      <c r="M67" s="212">
        <f>M32*25/81</f>
        <v>-6.489968511101759E-5</v>
      </c>
      <c r="N67" s="212">
        <f>5/9*N32-64*25/81*O32-32*25/81*P32</f>
        <v>1.3666965092634709E-2</v>
      </c>
      <c r="O67" s="212">
        <f>O32*25/81</f>
        <v>-3.7640401234567901E-5</v>
      </c>
      <c r="P67" s="195">
        <f>P32*25/81</f>
        <v>-1.6193256172839508E-4</v>
      </c>
      <c r="S67" s="188">
        <f t="shared" si="38"/>
        <v>0.44999999999999962</v>
      </c>
      <c r="T67">
        <f t="shared" si="39"/>
        <v>0.4635079818874997</v>
      </c>
      <c r="U67">
        <f t="shared" si="40"/>
        <v>1</v>
      </c>
      <c r="V67" s="188">
        <f t="shared" si="41"/>
        <v>0.97085706737456212</v>
      </c>
      <c r="X67">
        <f t="shared" si="42"/>
        <v>0.52631562499999951</v>
      </c>
      <c r="Y67">
        <f t="shared" si="37"/>
        <v>0.87378640776698979</v>
      </c>
      <c r="Z67" s="188">
        <f t="shared" si="43"/>
        <v>0.97850030578134628</v>
      </c>
      <c r="AG67" s="189"/>
      <c r="AJ67" s="189"/>
      <c r="AM67" s="270" t="s">
        <v>1107</v>
      </c>
      <c r="AN67" s="270">
        <v>67</v>
      </c>
      <c r="AO67" s="265">
        <f>AN67</f>
        <v>67</v>
      </c>
      <c r="AP67" s="271">
        <f>AO67</f>
        <v>67</v>
      </c>
      <c r="AQ67" s="265">
        <v>70</v>
      </c>
      <c r="AR67" s="265">
        <f>AQ67</f>
        <v>70</v>
      </c>
      <c r="AS67" s="271">
        <f>AR67</f>
        <v>70</v>
      </c>
    </row>
    <row r="68" spans="1:45" ht="15.75" customHeight="1" x14ac:dyDescent="0.25">
      <c r="A68" s="330"/>
      <c r="B68" s="194" t="str">
        <f t="shared" ref="B68:J68" si="56">B33</f>
        <v xml:space="preserve">Cooling Capacity Modifier Curve Function of Flow Fraction Name </v>
      </c>
      <c r="C68" s="212" t="str">
        <f t="shared" si="56"/>
        <v>CoilClgVRFClgQratio_fCFMRatioSI</v>
      </c>
      <c r="D68" s="212" t="str">
        <f t="shared" si="56"/>
        <v>Cubic</v>
      </c>
      <c r="E68" s="212" t="str">
        <f t="shared" si="56"/>
        <v>Qratio</v>
      </c>
      <c r="F68" s="212" t="str">
        <f t="shared" si="56"/>
        <v>CFMRatio</v>
      </c>
      <c r="G68" s="212">
        <f t="shared" si="56"/>
        <v>0</v>
      </c>
      <c r="H68" s="212">
        <f t="shared" si="56"/>
        <v>0</v>
      </c>
      <c r="I68" s="212">
        <f t="shared" si="56"/>
        <v>0</v>
      </c>
      <c r="J68" s="212">
        <f t="shared" si="56"/>
        <v>0</v>
      </c>
      <c r="K68" s="212">
        <f>K33</f>
        <v>0.8</v>
      </c>
      <c r="L68" s="212">
        <f t="shared" ref="L68:P70" si="57">L33</f>
        <v>0.2</v>
      </c>
      <c r="M68" s="212">
        <f t="shared" si="57"/>
        <v>0</v>
      </c>
      <c r="N68" s="212">
        <f t="shared" si="57"/>
        <v>0</v>
      </c>
      <c r="O68" s="212">
        <f t="shared" si="57"/>
        <v>0</v>
      </c>
      <c r="P68" s="195">
        <f t="shared" si="57"/>
        <v>0</v>
      </c>
      <c r="S68" s="188">
        <f t="shared" si="38"/>
        <v>0.39999999999999963</v>
      </c>
      <c r="T68">
        <f t="shared" si="39"/>
        <v>0.42344762959999965</v>
      </c>
      <c r="U68">
        <f t="shared" si="40"/>
        <v>1</v>
      </c>
      <c r="V68" s="188">
        <f t="shared" si="41"/>
        <v>0.94462684884515868</v>
      </c>
      <c r="X68">
        <f t="shared" si="42"/>
        <v>0.52631562499999951</v>
      </c>
      <c r="Y68">
        <f t="shared" si="37"/>
        <v>0.80402010050251194</v>
      </c>
      <c r="Z68" s="188">
        <f t="shared" si="43"/>
        <v>0.94525029539071814</v>
      </c>
      <c r="AG68" s="189"/>
      <c r="AJ68" s="189"/>
      <c r="AM68" s="270" t="s">
        <v>1018</v>
      </c>
      <c r="AN68" s="272">
        <f>AE29</f>
        <v>0.91777680246913573</v>
      </c>
      <c r="AO68" s="273">
        <f>AF29</f>
        <v>1.0090397654320986</v>
      </c>
      <c r="AP68" s="274">
        <f>AG29</f>
        <v>1.0683606913580248</v>
      </c>
      <c r="AQ68" s="273">
        <f>AH30</f>
        <v>0.99179938271604939</v>
      </c>
      <c r="AR68" s="273">
        <f>AI30</f>
        <v>0.73709318672839497</v>
      </c>
      <c r="AS68" s="274">
        <f>AJ30</f>
        <v>0.6082413163580247</v>
      </c>
    </row>
    <row r="69" spans="1:45" ht="15.75" customHeight="1" x14ac:dyDescent="0.25">
      <c r="A69" s="330"/>
      <c r="B69" s="194" t="str">
        <f t="shared" ref="B69:J69" si="58">B34</f>
        <v>Heating Capacity Ratio Modifier Function of Temperature Curve Name</v>
      </c>
      <c r="C69" s="212" t="str">
        <f t="shared" si="58"/>
        <v>CoilHtgVRFHtgQratio_fTwbTdbSI</v>
      </c>
      <c r="D69" s="212" t="str">
        <f t="shared" si="58"/>
        <v>BiQuadratic</v>
      </c>
      <c r="E69" s="212" t="str">
        <f t="shared" si="58"/>
        <v>Qratio</v>
      </c>
      <c r="F69" s="212" t="str">
        <f t="shared" si="58"/>
        <v>Twb</v>
      </c>
      <c r="G69" s="212" t="str">
        <f t="shared" si="58"/>
        <v>Tdb</v>
      </c>
      <c r="H69" s="212">
        <f t="shared" si="58"/>
        <v>0</v>
      </c>
      <c r="I69" s="212">
        <f t="shared" si="58"/>
        <v>0</v>
      </c>
      <c r="J69" s="212">
        <f t="shared" si="58"/>
        <v>0</v>
      </c>
      <c r="K69" s="212">
        <f>K34-32*L69-1024*M69-32*N69-1024*O69-1024*P69</f>
        <v>-2.8081053691533229</v>
      </c>
      <c r="L69" s="212">
        <f>5/9*L34-64*25/81*M34-32*25/81*P34</f>
        <v>9.011331366515074E-2</v>
      </c>
      <c r="M69" s="212">
        <f>M34*25/81</f>
        <v>-5.9929329161111415E-4</v>
      </c>
      <c r="N69" s="212">
        <f>5/9*N34-64*25/81*O34-32*25/81*P34</f>
        <v>4.7146906825689401E-2</v>
      </c>
      <c r="O69" s="212">
        <f>O34*25/81</f>
        <v>-1.2375240740740743E-4</v>
      </c>
      <c r="P69" s="195">
        <f>P34*25/81</f>
        <v>-4.5740126543209874E-4</v>
      </c>
      <c r="S69" s="188">
        <f t="shared" si="38"/>
        <v>0.34999999999999964</v>
      </c>
      <c r="T69">
        <f t="shared" si="39"/>
        <v>0.38456431621249976</v>
      </c>
      <c r="U69">
        <f t="shared" si="40"/>
        <v>1</v>
      </c>
      <c r="V69" s="188">
        <f t="shared" si="41"/>
        <v>0.91012084388661585</v>
      </c>
      <c r="X69">
        <f t="shared" si="42"/>
        <v>0.52631562499999951</v>
      </c>
      <c r="Y69">
        <f t="shared" si="37"/>
        <v>0.72916666666666607</v>
      </c>
      <c r="Z69" s="188">
        <f t="shared" si="43"/>
        <v>0.91200028500008967</v>
      </c>
      <c r="AG69" s="189"/>
      <c r="AJ69" s="189"/>
      <c r="AM69" s="270" t="s">
        <v>1019</v>
      </c>
      <c r="AN69" s="270">
        <f>MAX(1,$K$44+$L$44*$AN$11+$M$44*$AN$11^2)</f>
        <v>1.12604185</v>
      </c>
      <c r="AO69" s="265">
        <f>MAX(1,$K$44+$L$44*$AN$11+$M$44*$AN$11^2)</f>
        <v>1.12604185</v>
      </c>
      <c r="AP69" s="271">
        <f>MAX(1,$K$44+$L$44*$AN$11+$M$44*$AN$11^2)</f>
        <v>1.12604185</v>
      </c>
      <c r="AQ69" s="265">
        <f>MAX(1,$K$49+$L$49*$AN$12+$M$49*$AN$12^2)</f>
        <v>1.0130877999999999</v>
      </c>
      <c r="AR69" s="265">
        <f>MAX(1,$K$49+$L$49*$AN$12+$M$49*$AN$12^2)</f>
        <v>1.0130877999999999</v>
      </c>
      <c r="AS69" s="271">
        <f>MAX(1,$K$49+$L$49*$AN$12+$M$49*$AN$12^2)</f>
        <v>1.0130877999999999</v>
      </c>
    </row>
    <row r="70" spans="1:45" ht="15.75" customHeight="1" thickBot="1" x14ac:dyDescent="0.3">
      <c r="A70" s="331"/>
      <c r="B70" s="196" t="str">
        <f t="shared" ref="B70:J70" si="59">B35</f>
        <v xml:space="preserve">Heating Capacity Modifier Curve Function of Flow Fraction Name </v>
      </c>
      <c r="C70" s="197" t="str">
        <f t="shared" si="59"/>
        <v>CoilHtgVRFHtgQratio_fCFMRatioSI</v>
      </c>
      <c r="D70" s="197" t="str">
        <f t="shared" si="59"/>
        <v>Cubic</v>
      </c>
      <c r="E70" s="197" t="str">
        <f t="shared" si="59"/>
        <v>Qratio</v>
      </c>
      <c r="F70" s="197" t="str">
        <f t="shared" si="59"/>
        <v>CFMRatio</v>
      </c>
      <c r="G70" s="197">
        <f t="shared" si="59"/>
        <v>0</v>
      </c>
      <c r="H70" s="197">
        <f t="shared" si="59"/>
        <v>0</v>
      </c>
      <c r="I70" s="197">
        <f t="shared" si="59"/>
        <v>0</v>
      </c>
      <c r="J70" s="197">
        <f t="shared" si="59"/>
        <v>0</v>
      </c>
      <c r="K70" s="197">
        <f>K35</f>
        <v>0.8</v>
      </c>
      <c r="L70" s="197">
        <f t="shared" si="57"/>
        <v>0.2</v>
      </c>
      <c r="M70" s="197">
        <f t="shared" si="57"/>
        <v>0</v>
      </c>
      <c r="N70" s="197">
        <f t="shared" si="57"/>
        <v>0</v>
      </c>
      <c r="O70" s="197">
        <f t="shared" si="57"/>
        <v>0</v>
      </c>
      <c r="P70" s="208">
        <f t="shared" si="57"/>
        <v>0</v>
      </c>
      <c r="S70" s="188">
        <f t="shared" si="38"/>
        <v>0.29999999999999966</v>
      </c>
      <c r="T70">
        <f t="shared" si="39"/>
        <v>0.3467946022999997</v>
      </c>
      <c r="U70">
        <f t="shared" si="40"/>
        <v>1</v>
      </c>
      <c r="V70" s="188">
        <f t="shared" si="41"/>
        <v>0.86506536725297789</v>
      </c>
      <c r="X70">
        <f t="shared" si="42"/>
        <v>0.52631562499999951</v>
      </c>
      <c r="Y70">
        <f t="shared" si="37"/>
        <v>0.64864864864864791</v>
      </c>
      <c r="Z70" s="188">
        <f t="shared" si="43"/>
        <v>0.87875027460946165</v>
      </c>
      <c r="AG70" s="189"/>
      <c r="AM70" s="270" t="s">
        <v>1033</v>
      </c>
      <c r="AN70" s="275">
        <f>$AN$9*AN68*AN69</f>
        <v>40598.389564285178</v>
      </c>
      <c r="AO70" s="276">
        <f>$AN$9*AO68*AO69</f>
        <v>44635.459702899738</v>
      </c>
      <c r="AP70" s="277">
        <f>$AN$9*AP68*AP69</f>
        <v>47259.555292999212</v>
      </c>
      <c r="AQ70" s="276">
        <f>$AN$10*AQ68*AQ69</f>
        <v>32914.623807928911</v>
      </c>
      <c r="AR70" s="276">
        <f>$AN$10*AR68*AR69</f>
        <v>24461.746372651804</v>
      </c>
      <c r="AS70" s="277">
        <f>$AN$10*AS68*AS69</f>
        <v>20185.568232094338</v>
      </c>
    </row>
    <row r="71" spans="1:45" ht="15.75" customHeight="1" x14ac:dyDescent="0.25">
      <c r="B71" s="212"/>
      <c r="C71" s="212"/>
      <c r="D71" s="212"/>
      <c r="E71" s="212"/>
      <c r="F71" s="212"/>
      <c r="G71" s="212"/>
      <c r="H71" s="212"/>
      <c r="I71" s="212"/>
      <c r="J71" s="212"/>
      <c r="K71" s="212"/>
      <c r="L71" s="212"/>
      <c r="M71" s="212"/>
      <c r="N71" s="212"/>
      <c r="O71" s="212"/>
      <c r="P71" s="212"/>
      <c r="S71" s="188">
        <f t="shared" si="38"/>
        <v>0.24999999999999967</v>
      </c>
      <c r="T71">
        <f t="shared" si="39"/>
        <v>0.31007504843749972</v>
      </c>
      <c r="U71">
        <f t="shared" si="40"/>
        <v>1</v>
      </c>
      <c r="V71" s="188">
        <f t="shared" si="41"/>
        <v>0.80625642488737981</v>
      </c>
      <c r="X71">
        <f t="shared" si="42"/>
        <v>0.52631562499999951</v>
      </c>
      <c r="Y71">
        <f t="shared" si="37"/>
        <v>0.56179775280898814</v>
      </c>
      <c r="Z71" s="188">
        <f t="shared" si="43"/>
        <v>0.84550026421883318</v>
      </c>
      <c r="AG71" s="189"/>
      <c r="AM71" s="270" t="s">
        <v>1020</v>
      </c>
      <c r="AN71" s="278">
        <f>$K$65+$L$65*$AN$13+$M$65*$AN$13^2+$N$65*$AN$11+$O$65*$AN$11^2+$P$65*$AN$13*$AN$11+$AN$21*$AN$14</f>
        <v>0.97485451532710088</v>
      </c>
      <c r="AO71" s="279">
        <f>$K$65+$L$65*$AN$13+$M$65*$AN$13^2+$N$65*$AN$11+$O$65*$AN$11^2+$P$65*$AN$13*$AN$11+$AN$21*$AN$14</f>
        <v>0.97485451532710088</v>
      </c>
      <c r="AP71" s="280">
        <f>$K$65+$L$65*$AN$13+$M$65*$AN$13^2+$N$65*$AN$11+$O$65*$AN$11^2+$P$65*$AN$13*$AN$11+$AN$21*$AN$14</f>
        <v>0.97485451532710088</v>
      </c>
      <c r="AQ71" s="279">
        <f>$K$66+$L$66*$AN$13+$M$66*$AN$13^2+$N$66*$AN$12+$O$66*$AN$12^2+$P$66*$AN$13*$AN$12+$AN$22*$AN$14</f>
        <v>0.97485451532710088</v>
      </c>
      <c r="AR71" s="279">
        <f>$K$66+$L$66*$AN$13+$M$66*$AN$13^2+$N$66*$AN$12+$O$66*$AN$12^2+$P$66*$AN$13*$AN$12+$AN$22*$AN$14</f>
        <v>0.97485451532710088</v>
      </c>
      <c r="AS71" s="280">
        <f>$K$66+$L$66*$AN$13+$M$66*$AN$13^2+$N$66*$AN$12+$O$66*$AN$12^2+$P$66*$AN$13*$AN$12+$AN$22*$AN$14</f>
        <v>0.97485451532710088</v>
      </c>
    </row>
    <row r="72" spans="1:45" ht="15.75" customHeight="1" x14ac:dyDescent="0.25">
      <c r="S72" s="188">
        <f t="shared" si="38"/>
        <v>0.19999999999999968</v>
      </c>
      <c r="T72">
        <f t="shared" si="39"/>
        <v>0.31007504843749972</v>
      </c>
      <c r="U72">
        <f t="shared" si="40"/>
        <v>0.82474226804123596</v>
      </c>
      <c r="V72" s="188">
        <f t="shared" si="41"/>
        <v>0.78206873214075934</v>
      </c>
      <c r="X72">
        <f t="shared" si="42"/>
        <v>0.52631562499999951</v>
      </c>
      <c r="Y72">
        <f t="shared" si="37"/>
        <v>0.46783625730994083</v>
      </c>
      <c r="Z72" s="188">
        <f t="shared" si="43"/>
        <v>0.81225025382820504</v>
      </c>
      <c r="AG72" s="189"/>
      <c r="AM72" s="270" t="s">
        <v>1034</v>
      </c>
      <c r="AN72" s="281">
        <f>AN70*AN71</f>
        <v>39577.523381752057</v>
      </c>
      <c r="AO72" s="282">
        <f t="shared" ref="AO72:AP72" si="60">AO70*AO71</f>
        <v>43513.079435072665</v>
      </c>
      <c r="AP72" s="283">
        <f t="shared" si="60"/>
        <v>46071.190869731072</v>
      </c>
      <c r="AQ72" s="282">
        <f>AQ70*AQ71</f>
        <v>32086.969639452393</v>
      </c>
      <c r="AR72" s="282">
        <f t="shared" ref="AR72:AS72" si="61">AR70*AR71</f>
        <v>23846.643904165943</v>
      </c>
      <c r="AS72" s="283">
        <f t="shared" si="61"/>
        <v>19677.99233550045</v>
      </c>
    </row>
    <row r="73" spans="1:45" ht="15.75" customHeight="1" x14ac:dyDescent="0.25">
      <c r="N73" s="189"/>
      <c r="S73" s="188">
        <f t="shared" si="38"/>
        <v>0.14999999999999969</v>
      </c>
      <c r="T73">
        <f t="shared" si="39"/>
        <v>0.31007504843749972</v>
      </c>
      <c r="U73">
        <f t="shared" si="40"/>
        <v>0.63829787234042434</v>
      </c>
      <c r="V73" s="188">
        <f t="shared" si="41"/>
        <v>0.75788103939413798</v>
      </c>
      <c r="X73">
        <f t="shared" si="42"/>
        <v>0.52631562499999951</v>
      </c>
      <c r="Y73">
        <f t="shared" si="37"/>
        <v>0.36585365853658469</v>
      </c>
      <c r="Z73" s="188">
        <f t="shared" si="43"/>
        <v>0.77900024343757657</v>
      </c>
      <c r="AG73" s="189"/>
      <c r="AJ73" s="189"/>
      <c r="AM73" s="270" t="s">
        <v>1021</v>
      </c>
      <c r="AN73" s="278">
        <f>AE35</f>
        <v>0.89584680970363362</v>
      </c>
      <c r="AO73" s="279">
        <f>AF35</f>
        <v>0.99758682575217406</v>
      </c>
      <c r="AP73" s="280">
        <f>AG35</f>
        <v>1.0475701040540952</v>
      </c>
      <c r="AQ73" s="279">
        <f>AH36</f>
        <v>1.0009748480856033</v>
      </c>
      <c r="AR73" s="279">
        <f>AI36</f>
        <v>0.78471492294455092</v>
      </c>
      <c r="AS73" s="280">
        <f>AJ36</f>
        <v>0.63583973955479656</v>
      </c>
    </row>
    <row r="74" spans="1:45" ht="15.75" customHeight="1" x14ac:dyDescent="0.25">
      <c r="S74" s="188">
        <f t="shared" si="38"/>
        <v>9.9999999999999686E-2</v>
      </c>
      <c r="T74">
        <f t="shared" si="39"/>
        <v>0.31007504843749972</v>
      </c>
      <c r="U74">
        <f t="shared" si="40"/>
        <v>0.43956043956043828</v>
      </c>
      <c r="V74" s="188">
        <f t="shared" si="41"/>
        <v>0.73369334664751651</v>
      </c>
      <c r="X74">
        <f t="shared" si="42"/>
        <v>0.52631562499999951</v>
      </c>
      <c r="Y74">
        <f t="shared" si="37"/>
        <v>0.25477707006369354</v>
      </c>
      <c r="Z74" s="188">
        <f t="shared" si="43"/>
        <v>0.74575023304694821</v>
      </c>
      <c r="AG74" s="189"/>
      <c r="AJ74" s="189"/>
      <c r="AM74" s="270" t="s">
        <v>1022</v>
      </c>
      <c r="AN74" s="278">
        <f>$K$68+$L$68*$AN$26+$M$68*$AN$26^2</f>
        <v>1</v>
      </c>
      <c r="AO74" s="279">
        <f>$K$68+$L$68*$AN$26+$M$68*$AN$26^2</f>
        <v>1</v>
      </c>
      <c r="AP74" s="280">
        <f>$K$68+$L$68*$AN$26+$M$68*$AN$26^2</f>
        <v>1</v>
      </c>
      <c r="AQ74" s="279">
        <f>$K$70+$L$70*$AN$26+$M$70*$AN$26^2</f>
        <v>1</v>
      </c>
      <c r="AR74" s="279">
        <f>$K$70+$L$70*$AN$26+$M$70*$AN$26^2</f>
        <v>1</v>
      </c>
      <c r="AS74" s="280">
        <f>$K$70+$L$70*$AN$26+$M$70*$AN$26^2</f>
        <v>1</v>
      </c>
    </row>
    <row r="75" spans="1:45" ht="15.75" customHeight="1" x14ac:dyDescent="0.25">
      <c r="S75" s="188">
        <f t="shared" ref="S75" si="62">S74-0.05</f>
        <v>4.9999999999999684E-2</v>
      </c>
      <c r="T75">
        <f t="shared" si="39"/>
        <v>0.31007504843749972</v>
      </c>
      <c r="U75">
        <f t="shared" si="40"/>
        <v>0.22727272727272588</v>
      </c>
      <c r="V75" s="188">
        <f t="shared" si="41"/>
        <v>0.70950565390089515</v>
      </c>
      <c r="X75">
        <f t="shared" si="42"/>
        <v>0.52631562499999951</v>
      </c>
      <c r="Y75">
        <f t="shared" si="37"/>
        <v>0.13333333333333253</v>
      </c>
      <c r="Z75" s="188">
        <f t="shared" si="43"/>
        <v>0.71250022265631996</v>
      </c>
      <c r="AG75" s="189"/>
      <c r="AJ75" s="189"/>
      <c r="AM75" s="270" t="s">
        <v>1023</v>
      </c>
      <c r="AN75" s="275">
        <f>$AN$15*AN73*AN74</f>
        <v>46806.114528714483</v>
      </c>
      <c r="AO75" s="276">
        <f>$AN$15*AO73*AO74</f>
        <v>52121.816713217013</v>
      </c>
      <c r="AP75" s="277">
        <f>$AN$15*AP73*AP74</f>
        <v>54733.338039607966</v>
      </c>
      <c r="AQ75" s="276">
        <f>$AN$16*AQ73*AQ74</f>
        <v>43610.672376363182</v>
      </c>
      <c r="AR75" s="276">
        <f>$AN$16*AR73*AR74</f>
        <v>34188.616705832785</v>
      </c>
      <c r="AS75" s="277">
        <f>$AN$16*AS73*AS74</f>
        <v>27702.392940871287</v>
      </c>
    </row>
    <row r="76" spans="1:45" ht="15.75" customHeight="1" x14ac:dyDescent="0.25">
      <c r="AG76" s="189"/>
      <c r="AJ76" s="189"/>
      <c r="AM76" s="270" t="s">
        <v>1024</v>
      </c>
      <c r="AN76" s="281">
        <f>MIN(AN72,AN75)</f>
        <v>39577.523381752057</v>
      </c>
      <c r="AO76" s="282">
        <f t="shared" ref="AO76:AP76" si="63">MIN(AO72,AO75)</f>
        <v>43513.079435072665</v>
      </c>
      <c r="AP76" s="283">
        <f t="shared" si="63"/>
        <v>46071.190869731072</v>
      </c>
      <c r="AQ76" s="282">
        <f>MIN(AQ72,AQ75)</f>
        <v>32086.969639452393</v>
      </c>
      <c r="AR76" s="282">
        <f t="shared" ref="AR76:AS76" si="64">MIN(AR72,AR75)</f>
        <v>23846.643904165943</v>
      </c>
      <c r="AS76" s="283">
        <f t="shared" si="64"/>
        <v>19677.99233550045</v>
      </c>
    </row>
    <row r="77" spans="1:45" ht="15.75" customHeight="1" x14ac:dyDescent="0.25">
      <c r="AG77" s="189"/>
      <c r="AJ77" s="189"/>
      <c r="AM77" s="270" t="s">
        <v>1041</v>
      </c>
      <c r="AN77" s="281">
        <f>AN76/12000*$AN$24*$AN$17</f>
        <v>329.81269484793381</v>
      </c>
      <c r="AO77" s="282">
        <f>AO76/12000*$AN$24*$AN$17</f>
        <v>362.6089952922722</v>
      </c>
      <c r="AP77" s="283">
        <f>AP76/12000*$AN$24*$AN$17</f>
        <v>383.92659058109228</v>
      </c>
      <c r="AQ77" s="282">
        <f>AQ76/12000*$AN$25*$AN$17</f>
        <v>0.13870929583721606</v>
      </c>
      <c r="AR77" s="282">
        <f>AR76/12000*$AN$25*$AN$17</f>
        <v>0.10308705437738401</v>
      </c>
      <c r="AS77" s="283">
        <f>AS76/12000*$AN$25*$AN$17</f>
        <v>8.5066321033673814E-2</v>
      </c>
    </row>
    <row r="78" spans="1:45" ht="15.75" customHeight="1" x14ac:dyDescent="0.25">
      <c r="AG78" s="189"/>
      <c r="AJ78" s="189"/>
      <c r="AM78" s="270" t="s">
        <v>1025</v>
      </c>
      <c r="AN78" s="284">
        <f>AN76-AN77*3.412</f>
        <v>38452.202466930903</v>
      </c>
      <c r="AO78" s="285">
        <f t="shared" ref="AO78:AP78" si="65">AO76-AO77*3.412</f>
        <v>42275.857543135433</v>
      </c>
      <c r="AP78" s="286">
        <f t="shared" si="65"/>
        <v>44761.233342668384</v>
      </c>
      <c r="AQ78" s="287">
        <f>AQ76+AQ77*3.412</f>
        <v>32087.442915569791</v>
      </c>
      <c r="AR78" s="285">
        <f t="shared" ref="AR78:AS78" si="66">AR76+AR77*3.412</f>
        <v>23846.99563719548</v>
      </c>
      <c r="AS78" s="286">
        <f t="shared" si="66"/>
        <v>19678.282581787818</v>
      </c>
    </row>
    <row r="79" spans="1:45" ht="15.75" customHeight="1" x14ac:dyDescent="0.25">
      <c r="AG79" s="189"/>
      <c r="AJ79" s="189"/>
      <c r="AM79" s="270" t="s">
        <v>1026</v>
      </c>
      <c r="AN79" s="281">
        <f>AN76/AN71</f>
        <v>40598.389564285178</v>
      </c>
      <c r="AO79" s="282">
        <f t="shared" ref="AO79:AP79" si="67">AO76/AO71</f>
        <v>44635.459702899738</v>
      </c>
      <c r="AP79" s="283">
        <f t="shared" si="67"/>
        <v>47259.555292999212</v>
      </c>
      <c r="AQ79" s="282">
        <f>AQ76/AQ71</f>
        <v>32914.623807928911</v>
      </c>
      <c r="AR79" s="282">
        <f t="shared" ref="AR79:AS79" si="68">AR76/AR71</f>
        <v>24461.746372651804</v>
      </c>
      <c r="AS79" s="283">
        <f t="shared" si="68"/>
        <v>20185.568232094338</v>
      </c>
    </row>
    <row r="80" spans="1:45" ht="15.75" customHeight="1" x14ac:dyDescent="0.25">
      <c r="AG80" s="189"/>
      <c r="AJ80" s="189"/>
      <c r="AM80" s="270" t="s">
        <v>1028</v>
      </c>
      <c r="AN80" s="281">
        <f>MIN(AN70,AN79)</f>
        <v>40598.389564285178</v>
      </c>
      <c r="AO80" s="282">
        <f t="shared" ref="AO80:AP80" si="69">MIN(AO70,AO79)</f>
        <v>44635.459702899738</v>
      </c>
      <c r="AP80" s="283">
        <f t="shared" si="69"/>
        <v>47259.555292999212</v>
      </c>
      <c r="AQ80" s="282">
        <f>MIN(AQ70,AQ79)</f>
        <v>32914.623807928911</v>
      </c>
      <c r="AR80" s="282">
        <f t="shared" ref="AR80:AS80" si="70">MIN(AR70,AR79)</f>
        <v>24461.746372651804</v>
      </c>
      <c r="AS80" s="283">
        <f t="shared" si="70"/>
        <v>20185.568232094338</v>
      </c>
    </row>
    <row r="81" spans="33:45" ht="15.75" customHeight="1" x14ac:dyDescent="0.25">
      <c r="AG81" s="189"/>
      <c r="AJ81" s="189"/>
      <c r="AM81" s="270" t="s">
        <v>1029</v>
      </c>
      <c r="AN81" s="270">
        <f>AN80/AN70</f>
        <v>1</v>
      </c>
      <c r="AO81" s="265">
        <f t="shared" ref="AO81:AP81" si="71">AO80/AO70</f>
        <v>1</v>
      </c>
      <c r="AP81" s="271">
        <f t="shared" si="71"/>
        <v>1</v>
      </c>
      <c r="AQ81" s="265">
        <f>AQ80/AQ70</f>
        <v>1</v>
      </c>
      <c r="AR81" s="265">
        <f t="shared" ref="AR81:AS81" si="72">AR80/AR70</f>
        <v>1</v>
      </c>
      <c r="AS81" s="271">
        <f t="shared" si="72"/>
        <v>1</v>
      </c>
    </row>
    <row r="82" spans="33:45" ht="15.75" customHeight="1" x14ac:dyDescent="0.25">
      <c r="AG82" s="189"/>
      <c r="AJ82" s="189"/>
      <c r="AM82" s="270" t="s">
        <v>1030</v>
      </c>
      <c r="AN82" s="278">
        <f>AE31</f>
        <v>1.2891588500000002</v>
      </c>
      <c r="AO82" s="279">
        <f>AF31</f>
        <v>1.0007620475308643</v>
      </c>
      <c r="AP82" s="280">
        <f>AG31</f>
        <v>0.83492493148148172</v>
      </c>
      <c r="AQ82" s="279">
        <f>AH32</f>
        <v>0.99812153671288995</v>
      </c>
      <c r="AR82" s="279">
        <f>AI32</f>
        <v>1.4499619702687747</v>
      </c>
      <c r="AS82" s="280">
        <f>AJ32</f>
        <v>1.7270813906239848</v>
      </c>
    </row>
    <row r="83" spans="33:45" ht="15.75" customHeight="1" x14ac:dyDescent="0.25">
      <c r="AG83" s="189"/>
      <c r="AJ83" s="189"/>
      <c r="AM83" s="270" t="s">
        <v>1037</v>
      </c>
      <c r="AN83" s="278">
        <f>$X$11+$Y$11*AN81+$Z$11*AN81^2+$X$12*AN81^3+$Y$12*AN81^4+$Z$12*AN81^5</f>
        <v>0.992584228515625</v>
      </c>
      <c r="AO83" s="279">
        <f>$X$11+$Y$11*AO81+$Z$11*AO81^2+$X$12*AO81^3+$Y$12*AO81^4+$Z$12*AO81^5</f>
        <v>0.992584228515625</v>
      </c>
      <c r="AP83" s="280">
        <f>$X$11+$Y$11*AP81+$Z$11*AP81^2+$X$12*AP81^3+$Y$12*AP81^4+$Z$12*AP81^5</f>
        <v>0.992584228515625</v>
      </c>
      <c r="AQ83" s="279">
        <f>$X$53+$Y$53*AQ81+$Z$53*AQ81^2+$X$54*AQ81^3+$Y$54*AQ81^4+$Z$54*AQ81^5</f>
        <v>0.99999379078676931</v>
      </c>
      <c r="AR83" s="279">
        <f>$X$53+$Y$53*AR81+$Z$53*AR81^2+$X$54*AR81^3+$Y$54*AR81^4+$Z$54*AR81^5</f>
        <v>0.99999379078676931</v>
      </c>
      <c r="AS83" s="280">
        <f>$X$53+$Y$53*AS81+$Z$53*AS81^2+$X$54*AS81^3+$Y$54*AS81^4+$Z$54*AS81^5</f>
        <v>0.99999379078676931</v>
      </c>
    </row>
    <row r="84" spans="33:45" ht="15.75" customHeight="1" x14ac:dyDescent="0.25">
      <c r="AG84" s="189"/>
      <c r="AM84" s="270" t="s">
        <v>1027</v>
      </c>
      <c r="AN84" s="281">
        <f>AN70*$AN$7*AN82*AN83</f>
        <v>10915.400339206895</v>
      </c>
      <c r="AO84" s="282">
        <f>AO70*$AN$7*AO82*AO83</f>
        <v>9316.1241356863466</v>
      </c>
      <c r="AP84" s="283">
        <f>AP70*$AN$7*AP82*AP83</f>
        <v>8229.2733437747593</v>
      </c>
      <c r="AQ84" s="282">
        <f>AQ70*$AN$8*AQ82*AQ83</f>
        <v>8324.123778450723</v>
      </c>
      <c r="AR84" s="282">
        <f>AR70*$AN$8*AR82*AR83</f>
        <v>8986.9076271476169</v>
      </c>
      <c r="AS84" s="283">
        <f>AS70*$AN$8*AS82*AS83</f>
        <v>8833.2392042349347</v>
      </c>
    </row>
    <row r="85" spans="33:45" ht="15.75" customHeight="1" x14ac:dyDescent="0.25">
      <c r="AG85" s="189"/>
      <c r="AJ85" s="189"/>
      <c r="AM85" s="270" t="s">
        <v>1031</v>
      </c>
      <c r="AN85" s="288">
        <f>AN78/(AN84+AN77*3.412)</f>
        <v>3.1935132169982996</v>
      </c>
      <c r="AO85" s="289">
        <f t="shared" ref="AO85:AP85" si="73">AO78/(AO84+AO77*3.412)</f>
        <v>4.0059197748730684</v>
      </c>
      <c r="AP85" s="290">
        <f t="shared" si="73"/>
        <v>4.6923314834017438</v>
      </c>
      <c r="AQ85" s="291">
        <f>AQ78/(AQ84+AQ77*3.412)</f>
        <v>3.8545340639595067</v>
      </c>
      <c r="AR85" s="289">
        <f t="shared" ref="AR85:AS85" si="74">AR78/(AR84+AR77*3.412)</f>
        <v>2.6534224374187212</v>
      </c>
      <c r="AS85" s="290">
        <f t="shared" si="74"/>
        <v>2.2276806447534172</v>
      </c>
    </row>
    <row r="86" spans="33:45" ht="15.75" customHeight="1" x14ac:dyDescent="0.25">
      <c r="AG86" s="189"/>
      <c r="AJ86" s="189"/>
      <c r="AM86" s="270" t="s">
        <v>1032</v>
      </c>
      <c r="AN86" s="281">
        <f>AN70*$AN$19</f>
        <v>22329.114260356851</v>
      </c>
      <c r="AO86" s="282">
        <f>AO70*$AN$19</f>
        <v>24549.502836594856</v>
      </c>
      <c r="AP86" s="283">
        <f>AP70*$AN$19</f>
        <v>25992.75541114957</v>
      </c>
      <c r="AQ86" s="282">
        <f>AQ70*$AN$20</f>
        <v>18103.043094360903</v>
      </c>
      <c r="AR86" s="282">
        <f>AR70*$AN$20</f>
        <v>13453.960504958493</v>
      </c>
      <c r="AS86" s="283">
        <f>AS70*$AN$20</f>
        <v>11102.062527651886</v>
      </c>
    </row>
    <row r="87" spans="33:45" ht="15.75" customHeight="1" x14ac:dyDescent="0.25">
      <c r="AG87" s="189"/>
      <c r="AJ87" s="189"/>
      <c r="AM87" s="270" t="s">
        <v>1035</v>
      </c>
      <c r="AN87" s="281">
        <f>AN86*AN71</f>
        <v>21767.637859963634</v>
      </c>
      <c r="AO87" s="282">
        <f t="shared" ref="AO87:AP87" si="75">AO86*AO71</f>
        <v>23932.193689289968</v>
      </c>
      <c r="AP87" s="283">
        <f t="shared" si="75"/>
        <v>25339.154978352093</v>
      </c>
      <c r="AQ87" s="282">
        <f>AQ86*AQ71</f>
        <v>17647.833301698818</v>
      </c>
      <c r="AR87" s="282">
        <f t="shared" ref="AR87:AS87" si="76">AR86*AR71</f>
        <v>13115.654147291269</v>
      </c>
      <c r="AS87" s="283">
        <f t="shared" si="76"/>
        <v>10822.895784525248</v>
      </c>
    </row>
    <row r="88" spans="33:45" ht="15.75" customHeight="1" x14ac:dyDescent="0.25">
      <c r="AG88" s="189"/>
      <c r="AJ88" s="189"/>
      <c r="AM88" s="270" t="s">
        <v>1036</v>
      </c>
      <c r="AN88" s="270">
        <f>$K$68+$L$68*$AN$27+$M$68*$AN$27^2</f>
        <v>0.91</v>
      </c>
      <c r="AO88" s="265">
        <f>$K$68+$L$68*$AN$27+$M$68*$AN$27^2</f>
        <v>0.91</v>
      </c>
      <c r="AP88" s="271">
        <f>$K$68+$L$68*$AN$27+$M$68*$AN$27^2</f>
        <v>0.91</v>
      </c>
      <c r="AQ88" s="265">
        <f>$K$70+$L$70*$AN$27+$M$70*$AN$27^2</f>
        <v>0.91</v>
      </c>
      <c r="AR88" s="265">
        <f>$K$70+$L$70*$AN$27+$M$70*$AN$27^2</f>
        <v>0.91</v>
      </c>
      <c r="AS88" s="271">
        <f>$K$70+$L$70*$AN$27+$M$70*$AN$27^2</f>
        <v>0.91</v>
      </c>
    </row>
    <row r="89" spans="33:45" ht="15.75" customHeight="1" x14ac:dyDescent="0.25">
      <c r="AG89" s="189"/>
      <c r="AJ89" s="189"/>
      <c r="AM89" s="270" t="s">
        <v>1038</v>
      </c>
      <c r="AN89" s="275">
        <f>$AN$15*AN73*AN88</f>
        <v>42593.564221130182</v>
      </c>
      <c r="AO89" s="276">
        <f>$AN$15*AO73*AO88</f>
        <v>47430.853209027482</v>
      </c>
      <c r="AP89" s="277">
        <f>$AN$15*AP73*AP88</f>
        <v>49807.337616043253</v>
      </c>
      <c r="AQ89" s="276">
        <f>$AN$16*AQ73*AQ88</f>
        <v>39685.711862490498</v>
      </c>
      <c r="AR89" s="276">
        <f>$AN$16*AR73*AR88</f>
        <v>31111.641202307834</v>
      </c>
      <c r="AS89" s="277">
        <f>$AN$16*AS73*AS88</f>
        <v>25209.177576192873</v>
      </c>
    </row>
    <row r="90" spans="33:45" ht="15.75" customHeight="1" x14ac:dyDescent="0.25">
      <c r="AG90" s="189"/>
      <c r="AJ90" s="189"/>
      <c r="AM90" s="292" t="s">
        <v>1039</v>
      </c>
      <c r="AN90" s="293">
        <f>MIN(AN87,AN89)</f>
        <v>21767.637859963634</v>
      </c>
      <c r="AO90" s="294">
        <f t="shared" ref="AO90:AP90" si="77">MIN(AO87,AO89)</f>
        <v>23932.193689289968</v>
      </c>
      <c r="AP90" s="295">
        <f t="shared" si="77"/>
        <v>25339.154978352093</v>
      </c>
      <c r="AQ90" s="294">
        <f>MIN(AQ87,AQ89)</f>
        <v>17647.833301698818</v>
      </c>
      <c r="AR90" s="294">
        <f t="shared" ref="AR90:AS90" si="78">MIN(AR87,AR89)</f>
        <v>13115.654147291269</v>
      </c>
      <c r="AS90" s="295">
        <f t="shared" si="78"/>
        <v>10822.895784525248</v>
      </c>
    </row>
    <row r="91" spans="33:45" ht="15.75" customHeight="1" x14ac:dyDescent="0.25">
      <c r="AG91" s="189"/>
      <c r="AJ91" s="189"/>
      <c r="AM91" s="270" t="s">
        <v>1040</v>
      </c>
      <c r="AN91" s="281">
        <f>MAX($AN$15*$AN$27,AN90)/12000*$AN$24*$AN$17</f>
        <v>239.46954166666669</v>
      </c>
      <c r="AO91" s="282">
        <f>MAX($AN$15*$AN$27,AO90)/12000*$AN$24*$AN$17</f>
        <v>239.46954166666669</v>
      </c>
      <c r="AP91" s="283">
        <f>MAX($AN$15*$AN$27,AP90)/12000*$AN$24*$AN$17</f>
        <v>239.46954166666669</v>
      </c>
      <c r="AQ91" s="282">
        <f>MAX($AN$16*$AN$27,AQ90)/12000*$AN$25*$AN$17</f>
        <v>0.10358793385416666</v>
      </c>
      <c r="AR91" s="282">
        <f>MAX($AN$16*$AN$27,AR90)/12000*$AN$25*$AN$17</f>
        <v>0.10358793385416666</v>
      </c>
      <c r="AS91" s="283">
        <f>MAX($AN$16*$AN$27,AS90)/12000*$AN$25*$AN$17</f>
        <v>0.10358793385416666</v>
      </c>
    </row>
    <row r="92" spans="33:45" ht="15.75" customHeight="1" x14ac:dyDescent="0.25">
      <c r="AG92" s="189"/>
      <c r="AJ92" s="189"/>
      <c r="AM92" s="270" t="s">
        <v>1042</v>
      </c>
      <c r="AN92" s="284">
        <f>AN90-AN91*3.412</f>
        <v>20950.567783796967</v>
      </c>
      <c r="AO92" s="285">
        <f t="shared" ref="AO92:AP92" si="79">AO90-AO91*3.412</f>
        <v>23115.123613123302</v>
      </c>
      <c r="AP92" s="286">
        <f t="shared" si="79"/>
        <v>24522.084902185426</v>
      </c>
      <c r="AQ92" s="287">
        <f>AQ90+AQ91*3.412</f>
        <v>17648.186743729129</v>
      </c>
      <c r="AR92" s="285">
        <f t="shared" ref="AR92:AS92" si="80">AR90+AR91*3.412</f>
        <v>13116.00758932158</v>
      </c>
      <c r="AS92" s="286">
        <f t="shared" si="80"/>
        <v>10823.249226555559</v>
      </c>
    </row>
    <row r="93" spans="33:45" ht="15.75" customHeight="1" x14ac:dyDescent="0.25">
      <c r="AG93" s="189"/>
      <c r="AJ93" s="189"/>
      <c r="AM93" s="270" t="s">
        <v>1043</v>
      </c>
      <c r="AN93" s="281">
        <f>AN90/AN71</f>
        <v>22329.114260356851</v>
      </c>
      <c r="AO93" s="282">
        <f t="shared" ref="AO93:AP93" si="81">AO90/AO71</f>
        <v>24549.502836594856</v>
      </c>
      <c r="AP93" s="283">
        <f t="shared" si="81"/>
        <v>25992.75541114957</v>
      </c>
      <c r="AQ93" s="282">
        <f>AQ90/AQ71</f>
        <v>18103.043094360903</v>
      </c>
      <c r="AR93" s="282">
        <f t="shared" ref="AR93:AS93" si="82">AR90/AR71</f>
        <v>13453.960504958492</v>
      </c>
      <c r="AS93" s="283">
        <f t="shared" si="82"/>
        <v>11102.062527651886</v>
      </c>
    </row>
    <row r="94" spans="33:45" ht="15.75" customHeight="1" x14ac:dyDescent="0.25">
      <c r="AG94" s="189"/>
      <c r="AJ94" s="189"/>
      <c r="AM94" s="270" t="s">
        <v>1044</v>
      </c>
      <c r="AN94" s="281">
        <f>MAX(AN86,AN93)</f>
        <v>22329.114260356851</v>
      </c>
      <c r="AO94" s="282">
        <f t="shared" ref="AO94:AP94" si="83">MAX(AO86,AO93)</f>
        <v>24549.502836594856</v>
      </c>
      <c r="AP94" s="283">
        <f t="shared" si="83"/>
        <v>25992.75541114957</v>
      </c>
      <c r="AQ94" s="282">
        <f>MAX(AQ86,AQ93)</f>
        <v>18103.043094360903</v>
      </c>
      <c r="AR94" s="282">
        <f t="shared" ref="AR94:AS94" si="84">MAX(AR86,AR93)</f>
        <v>13453.960504958493</v>
      </c>
      <c r="AS94" s="283">
        <f t="shared" si="84"/>
        <v>11102.062527651886</v>
      </c>
    </row>
    <row r="95" spans="33:45" ht="15.75" customHeight="1" x14ac:dyDescent="0.25">
      <c r="AG95" s="189"/>
      <c r="AJ95" s="189"/>
      <c r="AM95" s="270" t="s">
        <v>1045</v>
      </c>
      <c r="AN95" s="270">
        <f>AN94/AN70</f>
        <v>0.55000000000000004</v>
      </c>
      <c r="AO95" s="265">
        <f t="shared" ref="AO95:AP95" si="85">AO94/AO70</f>
        <v>0.55000000000000004</v>
      </c>
      <c r="AP95" s="271">
        <f t="shared" si="85"/>
        <v>0.55000000000000004</v>
      </c>
      <c r="AQ95" s="265">
        <f>AQ94/AQ70</f>
        <v>0.55000000000000004</v>
      </c>
      <c r="AR95" s="265">
        <f t="shared" ref="AR95:AS95" si="86">AR94/AR70</f>
        <v>0.55000000000000004</v>
      </c>
      <c r="AS95" s="271">
        <f t="shared" si="86"/>
        <v>0.55000000000000004</v>
      </c>
    </row>
    <row r="96" spans="33:45" ht="15.75" customHeight="1" x14ac:dyDescent="0.25">
      <c r="AG96" s="189"/>
      <c r="AJ96" s="189"/>
      <c r="AM96" s="270" t="s">
        <v>1046</v>
      </c>
      <c r="AN96" s="278">
        <f>$X$11+$Y$11*AN95+$Z$11*AN95^2+$X$12*AN95^3+$Y$12*AN95^4+$Z$12*AN95^5</f>
        <v>0.43290923361778261</v>
      </c>
      <c r="AO96" s="279">
        <f>$X$11+$Y$11*AO95+$Z$11*AO95^2+$X$12*AO95^3+$Y$12*AO95^4+$Z$12*AO95^5</f>
        <v>0.43290923361778261</v>
      </c>
      <c r="AP96" s="280">
        <f>$X$11+$Y$11*AP95+$Z$11*AP95^2+$X$12*AP95^3+$Y$12*AP95^4+$Z$12*AP95^5</f>
        <v>0.43290923361778261</v>
      </c>
      <c r="AQ96" s="279">
        <f>$X$53+$Y$53*AQ95+$Z$53*AQ95^2+$X$54*AQ95^3+$Y$54*AQ95^4+$Z$54*AQ95^5</f>
        <v>0.52631562499999995</v>
      </c>
      <c r="AR96" s="279">
        <f>$X$53+$Y$53*AR95+$Z$53*AR95^2+$X$54*AR95^3+$Y$54*AR95^4+$Z$54*AR95^5</f>
        <v>0.52631562499999995</v>
      </c>
      <c r="AS96" s="280">
        <f>$X$53+$Y$53*AS95+$Z$53*AS95^2+$X$54*AS95^3+$Y$54*AS95^4+$Z$54*AS95^5</f>
        <v>0.52631562499999995</v>
      </c>
    </row>
    <row r="97" spans="33:45" ht="15.75" customHeight="1" x14ac:dyDescent="0.25">
      <c r="AG97" s="189"/>
      <c r="AJ97" s="189"/>
      <c r="AM97" s="270" t="s">
        <v>1047</v>
      </c>
      <c r="AN97" s="275">
        <f>AN70*$AN$7*AN82*AN96</f>
        <v>4760.6817232467802</v>
      </c>
      <c r="AO97" s="276">
        <f t="shared" ref="AO97:AP97" si="87">AO70*$AN$7*AO82*AO96</f>
        <v>4063.1676829072412</v>
      </c>
      <c r="AP97" s="277">
        <f t="shared" si="87"/>
        <v>3589.1446933550565</v>
      </c>
      <c r="AQ97" s="276">
        <f>AQ70*$AN$8*AQ82*AQ96</f>
        <v>4381.1436124875381</v>
      </c>
      <c r="AR97" s="276">
        <f t="shared" ref="AR97:AS97" si="88">AR70*$AN$8*AR82*AR96</f>
        <v>4729.979274049354</v>
      </c>
      <c r="AS97" s="277">
        <f t="shared" si="88"/>
        <v>4649.1006798088638</v>
      </c>
    </row>
    <row r="98" spans="33:45" ht="15.75" customHeight="1" thickBot="1" x14ac:dyDescent="0.3">
      <c r="AG98" s="189"/>
      <c r="AJ98" s="189"/>
      <c r="AM98" s="296" t="s">
        <v>1048</v>
      </c>
      <c r="AN98" s="297">
        <f>AN92/(AN97+AN91*3.412)</f>
        <v>3.7560953834482409</v>
      </c>
      <c r="AO98" s="298">
        <f t="shared" ref="AO98:AS98" si="89">AO92/(AO97+AO91*3.412)</f>
        <v>4.7364748920572497</v>
      </c>
      <c r="AP98" s="299">
        <f t="shared" si="89"/>
        <v>5.5653403623916411</v>
      </c>
      <c r="AQ98" s="300">
        <f t="shared" si="89"/>
        <v>4.0278896742682351</v>
      </c>
      <c r="AR98" s="298">
        <f t="shared" si="89"/>
        <v>2.7727452542052204</v>
      </c>
      <c r="AS98" s="299">
        <f t="shared" si="89"/>
        <v>2.3278537529206185</v>
      </c>
    </row>
    <row r="99" spans="33:45" ht="15.75" customHeight="1" x14ac:dyDescent="0.25">
      <c r="AG99" s="189"/>
      <c r="AJ99" s="189"/>
    </row>
    <row r="100" spans="33:45" ht="15.75" customHeight="1" x14ac:dyDescent="0.25">
      <c r="AG100" s="189"/>
      <c r="AJ100" s="189"/>
    </row>
    <row r="101" spans="33:45" ht="15.75" customHeight="1" x14ac:dyDescent="0.25">
      <c r="AG101" s="189"/>
      <c r="AJ101" s="189"/>
    </row>
    <row r="102" spans="33:45" ht="15.75" customHeight="1" x14ac:dyDescent="0.25">
      <c r="AG102" s="189"/>
      <c r="AJ102" s="189"/>
    </row>
    <row r="103" spans="33:45" ht="15.75" customHeight="1" x14ac:dyDescent="0.25">
      <c r="AG103" s="189"/>
      <c r="AJ103" s="189"/>
    </row>
    <row r="104" spans="33:45" ht="15.75" customHeight="1" x14ac:dyDescent="0.25">
      <c r="AG104" s="189"/>
      <c r="AJ104" s="189"/>
    </row>
    <row r="105" spans="33:45" ht="15.75" customHeight="1" x14ac:dyDescent="0.25">
      <c r="AG105" s="189"/>
      <c r="AJ105" s="189"/>
    </row>
    <row r="106" spans="33:45" ht="15.75" customHeight="1" x14ac:dyDescent="0.25">
      <c r="AG106" s="189"/>
      <c r="AJ106" s="189"/>
    </row>
    <row r="107" spans="33:45" ht="15.75" customHeight="1" x14ac:dyDescent="0.25">
      <c r="AG107" s="189"/>
      <c r="AJ107" s="189"/>
    </row>
    <row r="108" spans="33:45" ht="15.75" customHeight="1" x14ac:dyDescent="0.25">
      <c r="AG108" s="189"/>
      <c r="AJ108" s="189"/>
    </row>
    <row r="109" spans="33:45" ht="15.75" customHeight="1" x14ac:dyDescent="0.25">
      <c r="AG109" s="189"/>
      <c r="AJ109" s="189"/>
    </row>
    <row r="110" spans="33:45" ht="15.75" customHeight="1" x14ac:dyDescent="0.25"/>
    <row r="111" spans="33:45" ht="15.75" customHeight="1" x14ac:dyDescent="0.25"/>
    <row r="112" spans="33:45"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row r="1011" ht="15.75" customHeight="1" x14ac:dyDescent="0.25"/>
    <row r="1012" ht="15.75" customHeight="1" x14ac:dyDescent="0.25"/>
  </sheetData>
  <mergeCells count="7">
    <mergeCell ref="AC25:AC26"/>
    <mergeCell ref="A67:A70"/>
    <mergeCell ref="A6:A31"/>
    <mergeCell ref="A41:A66"/>
    <mergeCell ref="A32:A35"/>
    <mergeCell ref="AC10:AC24"/>
    <mergeCell ref="AC29:AC34"/>
  </mergeCells>
  <pageMargins left="0.7" right="0.7" top="0.75" bottom="0.75" header="0" footer="0"/>
  <pageSetup orientation="landscape" r:id="rId1"/>
  <ignoredErrors>
    <ignoredError sqref="AE12:AG12 AE18:AG18 AH15:AJ15 AI21:AJ21" formula="1"/>
  </ignoredError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D54"/>
  <sheetViews>
    <sheetView topLeftCell="A28" workbookViewId="0">
      <selection activeCell="B56" sqref="B56:B63"/>
    </sheetView>
  </sheetViews>
  <sheetFormatPr defaultRowHeight="15" x14ac:dyDescent="0.25"/>
  <sheetData>
    <row r="2" spans="2:3" x14ac:dyDescent="0.25">
      <c r="B2" t="s">
        <v>441</v>
      </c>
    </row>
    <row r="3" spans="2:3" x14ac:dyDescent="0.25">
      <c r="B3" t="s">
        <v>489</v>
      </c>
    </row>
    <row r="6" spans="2:3" x14ac:dyDescent="0.25">
      <c r="B6" t="s">
        <v>442</v>
      </c>
    </row>
    <row r="7" spans="2:3" x14ac:dyDescent="0.25">
      <c r="B7" t="s">
        <v>443</v>
      </c>
    </row>
    <row r="9" spans="2:3" x14ac:dyDescent="0.25">
      <c r="B9" t="s">
        <v>444</v>
      </c>
    </row>
    <row r="10" spans="2:3" x14ac:dyDescent="0.25">
      <c r="B10" t="s">
        <v>445</v>
      </c>
    </row>
    <row r="11" spans="2:3" x14ac:dyDescent="0.25">
      <c r="B11" t="s">
        <v>446</v>
      </c>
    </row>
    <row r="14" spans="2:3" x14ac:dyDescent="0.25">
      <c r="B14" t="s">
        <v>490</v>
      </c>
    </row>
    <row r="16" spans="2:3" x14ac:dyDescent="0.25">
      <c r="B16" t="s">
        <v>27</v>
      </c>
      <c r="C16" t="s">
        <v>416</v>
      </c>
    </row>
    <row r="17" spans="2:4" x14ac:dyDescent="0.25">
      <c r="B17" t="s">
        <v>120</v>
      </c>
      <c r="C17" t="s">
        <v>471</v>
      </c>
    </row>
    <row r="18" spans="2:4" x14ac:dyDescent="0.25">
      <c r="B18" t="s">
        <v>160</v>
      </c>
      <c r="D18" t="s">
        <v>473</v>
      </c>
    </row>
    <row r="19" spans="2:4" x14ac:dyDescent="0.25">
      <c r="B19" t="s">
        <v>274</v>
      </c>
      <c r="D19" t="s">
        <v>472</v>
      </c>
    </row>
    <row r="20" spans="2:4" x14ac:dyDescent="0.25">
      <c r="B20" t="s">
        <v>288</v>
      </c>
      <c r="C20" t="s">
        <v>468</v>
      </c>
    </row>
    <row r="21" spans="2:4" x14ac:dyDescent="0.25">
      <c r="B21" t="s">
        <v>391</v>
      </c>
      <c r="C21" t="s">
        <v>469</v>
      </c>
    </row>
    <row r="22" spans="2:4" x14ac:dyDescent="0.25">
      <c r="B22" t="s">
        <v>148</v>
      </c>
      <c r="C22" t="s">
        <v>470</v>
      </c>
    </row>
    <row r="23" spans="2:4" x14ac:dyDescent="0.25">
      <c r="B23" t="s">
        <v>275</v>
      </c>
      <c r="C23" t="s">
        <v>474</v>
      </c>
    </row>
    <row r="24" spans="2:4" x14ac:dyDescent="0.25">
      <c r="B24" t="s">
        <v>117</v>
      </c>
      <c r="D24" t="s">
        <v>481</v>
      </c>
    </row>
    <row r="25" spans="2:4" x14ac:dyDescent="0.25">
      <c r="B25" t="s">
        <v>116</v>
      </c>
      <c r="D25" t="s">
        <v>482</v>
      </c>
    </row>
    <row r="26" spans="2:4" x14ac:dyDescent="0.25">
      <c r="B26" t="s">
        <v>460</v>
      </c>
      <c r="D26" t="s">
        <v>459</v>
      </c>
    </row>
    <row r="27" spans="2:4" x14ac:dyDescent="0.25">
      <c r="B27" t="s">
        <v>462</v>
      </c>
      <c r="D27" t="s">
        <v>400</v>
      </c>
    </row>
    <row r="28" spans="2:4" x14ac:dyDescent="0.25">
      <c r="B28" t="s">
        <v>454</v>
      </c>
      <c r="D28" t="s">
        <v>476</v>
      </c>
    </row>
    <row r="29" spans="2:4" x14ac:dyDescent="0.25">
      <c r="B29" t="s">
        <v>455</v>
      </c>
      <c r="C29" t="s">
        <v>475</v>
      </c>
    </row>
    <row r="30" spans="2:4" x14ac:dyDescent="0.25">
      <c r="B30" t="s">
        <v>365</v>
      </c>
      <c r="C30" t="s">
        <v>477</v>
      </c>
    </row>
    <row r="31" spans="2:4" x14ac:dyDescent="0.25">
      <c r="B31" t="s">
        <v>394</v>
      </c>
      <c r="D31" t="s">
        <v>478</v>
      </c>
    </row>
    <row r="32" spans="2:4" x14ac:dyDescent="0.25">
      <c r="B32" t="s">
        <v>395</v>
      </c>
      <c r="D32" t="s">
        <v>479</v>
      </c>
    </row>
    <row r="33" spans="2:4" x14ac:dyDescent="0.25">
      <c r="B33" t="s">
        <v>457</v>
      </c>
      <c r="D33" t="s">
        <v>480</v>
      </c>
    </row>
    <row r="34" spans="2:4" x14ac:dyDescent="0.25">
      <c r="B34" t="s">
        <v>458</v>
      </c>
      <c r="D34" t="s">
        <v>398</v>
      </c>
    </row>
    <row r="35" spans="2:4" x14ac:dyDescent="0.25">
      <c r="B35" t="s">
        <v>139</v>
      </c>
      <c r="D35" t="s">
        <v>399</v>
      </c>
    </row>
    <row r="36" spans="2:4" x14ac:dyDescent="0.25">
      <c r="B36" t="s">
        <v>140</v>
      </c>
      <c r="D36" t="s">
        <v>440</v>
      </c>
    </row>
    <row r="37" spans="2:4" x14ac:dyDescent="0.25">
      <c r="B37" t="s">
        <v>439</v>
      </c>
      <c r="D37" t="s">
        <v>467</v>
      </c>
    </row>
    <row r="39" spans="2:4" x14ac:dyDescent="0.25">
      <c r="B39" t="s">
        <v>491</v>
      </c>
    </row>
    <row r="41" spans="2:4" x14ac:dyDescent="0.25">
      <c r="B41" t="s">
        <v>493</v>
      </c>
    </row>
    <row r="42" spans="2:4" x14ac:dyDescent="0.25">
      <c r="B42" t="s">
        <v>492</v>
      </c>
    </row>
    <row r="43" spans="2:4" x14ac:dyDescent="0.25">
      <c r="B43" t="s">
        <v>494</v>
      </c>
    </row>
    <row r="44" spans="2:4" x14ac:dyDescent="0.25">
      <c r="B44" t="s">
        <v>495</v>
      </c>
    </row>
    <row r="45" spans="2:4" x14ac:dyDescent="0.25">
      <c r="B45" t="s">
        <v>496</v>
      </c>
    </row>
    <row r="47" spans="2:4" x14ac:dyDescent="0.25">
      <c r="B47" t="s">
        <v>497</v>
      </c>
    </row>
    <row r="49" spans="2:2" x14ac:dyDescent="0.25">
      <c r="B49" t="s">
        <v>564</v>
      </c>
    </row>
    <row r="50" spans="2:2" x14ac:dyDescent="0.25">
      <c r="B50" t="s">
        <v>565</v>
      </c>
    </row>
    <row r="51" spans="2:2" x14ac:dyDescent="0.25">
      <c r="B51" t="s">
        <v>566</v>
      </c>
    </row>
    <row r="52" spans="2:2" x14ac:dyDescent="0.25">
      <c r="B52" t="s">
        <v>567</v>
      </c>
    </row>
    <row r="54" spans="2:2" x14ac:dyDescent="0.25">
      <c r="B54" t="s">
        <v>498</v>
      </c>
    </row>
  </sheetData>
  <sortState xmlns:xlrd2="http://schemas.microsoft.com/office/spreadsheetml/2017/richdata2" ref="A1:A105">
    <sortCondition ref="A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C20"/>
  <sheetViews>
    <sheetView workbookViewId="0">
      <selection activeCell="C8" sqref="C8"/>
    </sheetView>
  </sheetViews>
  <sheetFormatPr defaultRowHeight="15" x14ac:dyDescent="0.25"/>
  <cols>
    <col min="2" max="2" width="10.7109375" bestFit="1" customWidth="1"/>
    <col min="3" max="3" width="92.140625" customWidth="1"/>
  </cols>
  <sheetData>
    <row r="2" spans="1:3" x14ac:dyDescent="0.25">
      <c r="A2" t="s">
        <v>634</v>
      </c>
    </row>
    <row r="4" spans="1:3" x14ac:dyDescent="0.25">
      <c r="C4" s="41" t="s">
        <v>435</v>
      </c>
    </row>
    <row r="5" spans="1:3" x14ac:dyDescent="0.25">
      <c r="A5" t="s">
        <v>635</v>
      </c>
      <c r="B5" s="125">
        <v>41266</v>
      </c>
      <c r="C5" s="43" t="s">
        <v>499</v>
      </c>
    </row>
    <row r="6" spans="1:3" x14ac:dyDescent="0.25">
      <c r="A6" t="s">
        <v>635</v>
      </c>
      <c r="B6" s="125">
        <v>41266</v>
      </c>
      <c r="C6" s="50" t="s">
        <v>645</v>
      </c>
    </row>
    <row r="7" spans="1:3" x14ac:dyDescent="0.25">
      <c r="A7" t="s">
        <v>635</v>
      </c>
      <c r="B7" s="125">
        <v>41266</v>
      </c>
      <c r="C7" s="51" t="s">
        <v>644</v>
      </c>
    </row>
    <row r="8" spans="1:3" x14ac:dyDescent="0.25">
      <c r="A8" t="s">
        <v>636</v>
      </c>
      <c r="B8" s="125">
        <v>41407</v>
      </c>
      <c r="C8" s="51" t="s">
        <v>637</v>
      </c>
    </row>
    <row r="9" spans="1:3" x14ac:dyDescent="0.25">
      <c r="B9" s="125"/>
      <c r="C9" s="51"/>
    </row>
    <row r="10" spans="1:3" x14ac:dyDescent="0.25">
      <c r="B10" s="125"/>
    </row>
    <row r="11" spans="1:3" x14ac:dyDescent="0.25">
      <c r="B11" s="125"/>
    </row>
    <row r="12" spans="1:3" x14ac:dyDescent="0.25">
      <c r="B12" s="125"/>
    </row>
    <row r="13" spans="1:3" x14ac:dyDescent="0.25">
      <c r="B13" s="125"/>
    </row>
    <row r="14" spans="1:3" x14ac:dyDescent="0.25">
      <c r="B14" s="125"/>
    </row>
    <row r="15" spans="1:3" x14ac:dyDescent="0.25">
      <c r="B15" s="125"/>
    </row>
    <row r="16" spans="1:3" x14ac:dyDescent="0.25">
      <c r="B16" s="125"/>
    </row>
    <row r="17" spans="2:2" x14ac:dyDescent="0.25">
      <c r="B17" s="125"/>
    </row>
    <row r="18" spans="2:2" x14ac:dyDescent="0.25">
      <c r="B18" s="125"/>
    </row>
    <row r="19" spans="2:2" x14ac:dyDescent="0.25">
      <c r="B19" s="125"/>
    </row>
    <row r="20" spans="2:2" x14ac:dyDescent="0.25">
      <c r="B20" s="125"/>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R61"/>
  <sheetViews>
    <sheetView workbookViewId="0">
      <selection activeCell="J39" sqref="J39"/>
    </sheetView>
  </sheetViews>
  <sheetFormatPr defaultRowHeight="15" x14ac:dyDescent="0.25"/>
  <cols>
    <col min="5" max="5" width="12" bestFit="1" customWidth="1"/>
  </cols>
  <sheetData>
    <row r="2" spans="2:14" x14ac:dyDescent="0.25">
      <c r="B2" s="1" t="s">
        <v>84</v>
      </c>
    </row>
    <row r="4" spans="2:14" x14ac:dyDescent="0.25">
      <c r="B4" t="s">
        <v>85</v>
      </c>
    </row>
    <row r="5" spans="2:14" x14ac:dyDescent="0.25">
      <c r="B5" t="s">
        <v>86</v>
      </c>
    </row>
    <row r="6" spans="2:14" x14ac:dyDescent="0.25">
      <c r="B6" t="s">
        <v>87</v>
      </c>
    </row>
    <row r="9" spans="2:14" x14ac:dyDescent="0.25">
      <c r="C9" s="1" t="s">
        <v>94</v>
      </c>
    </row>
    <row r="11" spans="2:14" x14ac:dyDescent="0.25">
      <c r="C11" s="1" t="s">
        <v>49</v>
      </c>
      <c r="J11" s="1" t="s">
        <v>48</v>
      </c>
    </row>
    <row r="12" spans="2:14" x14ac:dyDescent="0.25">
      <c r="C12" s="8" t="s">
        <v>28</v>
      </c>
      <c r="D12" s="9" t="s">
        <v>39</v>
      </c>
      <c r="E12" s="9" t="s">
        <v>40</v>
      </c>
      <c r="F12" s="9" t="s">
        <v>41</v>
      </c>
      <c r="G12" s="10" t="s">
        <v>57</v>
      </c>
      <c r="H12" s="11" t="s">
        <v>42</v>
      </c>
      <c r="J12" s="8" t="s">
        <v>43</v>
      </c>
      <c r="K12" s="9" t="s">
        <v>44</v>
      </c>
      <c r="L12" s="9" t="s">
        <v>45</v>
      </c>
      <c r="M12" s="10" t="s">
        <v>46</v>
      </c>
      <c r="N12" s="11" t="s">
        <v>47</v>
      </c>
    </row>
    <row r="13" spans="2:14" x14ac:dyDescent="0.25">
      <c r="C13" s="3">
        <v>0</v>
      </c>
      <c r="D13" s="2">
        <v>0.125</v>
      </c>
      <c r="E13" s="2">
        <v>0.2012301</v>
      </c>
      <c r="F13" s="2">
        <v>0.125</v>
      </c>
      <c r="G13" s="4">
        <v>0.2012301</v>
      </c>
      <c r="H13" s="11">
        <v>0</v>
      </c>
      <c r="J13" s="3">
        <v>0</v>
      </c>
      <c r="K13" s="2">
        <v>0</v>
      </c>
      <c r="L13" s="2">
        <v>0</v>
      </c>
      <c r="M13" s="4">
        <v>0</v>
      </c>
      <c r="N13" s="11">
        <v>0.85</v>
      </c>
    </row>
    <row r="14" spans="2:14" x14ac:dyDescent="0.25">
      <c r="C14" s="3">
        <v>0.1</v>
      </c>
      <c r="D14" s="2">
        <v>0.21250000000000002</v>
      </c>
      <c r="E14" s="2">
        <v>0.21649281849999999</v>
      </c>
      <c r="F14" s="2">
        <v>0.21250000000000002</v>
      </c>
      <c r="G14" s="4">
        <v>0.21649281849999999</v>
      </c>
      <c r="H14" s="11">
        <v>0.11560693641618498</v>
      </c>
      <c r="J14" s="3">
        <v>0.47058823529411764</v>
      </c>
      <c r="K14" s="2">
        <v>0.46190908637461342</v>
      </c>
      <c r="L14" s="2">
        <v>0.47058823529411764</v>
      </c>
      <c r="M14" s="4">
        <v>0.46190908637461342</v>
      </c>
      <c r="N14" s="11">
        <v>0.86499999999999999</v>
      </c>
    </row>
    <row r="15" spans="2:14" x14ac:dyDescent="0.25">
      <c r="C15" s="3">
        <v>0.2</v>
      </c>
      <c r="D15" s="2">
        <v>0.30000000000000004</v>
      </c>
      <c r="E15" s="2">
        <v>0.26404243199999999</v>
      </c>
      <c r="F15" s="2">
        <v>0.30000000000000004</v>
      </c>
      <c r="G15" s="4">
        <v>0.26404243199999999</v>
      </c>
      <c r="H15" s="11">
        <v>0.22727272727272729</v>
      </c>
      <c r="J15" s="3">
        <v>0.66666666666666663</v>
      </c>
      <c r="K15" s="2">
        <v>0.75745401405786184</v>
      </c>
      <c r="L15" s="2">
        <v>0.66666666666666663</v>
      </c>
      <c r="M15" s="4">
        <v>0.75745401405786195</v>
      </c>
      <c r="N15" s="11">
        <v>0.88</v>
      </c>
    </row>
    <row r="16" spans="2:14" x14ac:dyDescent="0.25">
      <c r="C16" s="3">
        <v>0.30000000000000004</v>
      </c>
      <c r="D16" s="2">
        <v>0.38750000000000007</v>
      </c>
      <c r="E16" s="2">
        <v>0.33715587750000003</v>
      </c>
      <c r="F16" s="2">
        <v>0.38750000000000007</v>
      </c>
      <c r="G16" s="4">
        <v>0.33715587750000003</v>
      </c>
      <c r="H16" s="11">
        <v>0.33519553072625702</v>
      </c>
      <c r="J16" s="3">
        <v>0.77419354838709675</v>
      </c>
      <c r="K16" s="2">
        <v>0.88979614481138625</v>
      </c>
      <c r="L16" s="2">
        <v>0.77419354838709697</v>
      </c>
      <c r="M16" s="4">
        <v>0.88979614481138625</v>
      </c>
      <c r="N16" s="11">
        <v>0.89500000000000002</v>
      </c>
    </row>
    <row r="17" spans="3:14" x14ac:dyDescent="0.25">
      <c r="C17" s="3">
        <v>0.4</v>
      </c>
      <c r="D17" s="2">
        <v>0.47500000000000003</v>
      </c>
      <c r="E17" s="2">
        <v>0.429110092</v>
      </c>
      <c r="F17" s="2">
        <v>0.47500000000000003</v>
      </c>
      <c r="G17" s="4">
        <v>0.429110092</v>
      </c>
      <c r="H17" s="11">
        <v>0.43956043956043961</v>
      </c>
      <c r="J17" s="3">
        <v>0.84210526315789469</v>
      </c>
      <c r="K17" s="2">
        <v>0.93216171667200043</v>
      </c>
      <c r="L17" s="2">
        <v>0.84210526315789502</v>
      </c>
      <c r="M17" s="4">
        <v>0.93216171667200043</v>
      </c>
      <c r="N17" s="11">
        <v>0.90999999999999992</v>
      </c>
    </row>
    <row r="18" spans="3:14" x14ac:dyDescent="0.25">
      <c r="C18" s="3">
        <v>0.5</v>
      </c>
      <c r="D18" s="2">
        <v>0.5625</v>
      </c>
      <c r="E18" s="2">
        <v>0.53318201249999997</v>
      </c>
      <c r="F18" s="2">
        <v>0.5625</v>
      </c>
      <c r="G18" s="4">
        <v>0.53318201249999997</v>
      </c>
      <c r="H18" s="11">
        <v>0.54054054054054057</v>
      </c>
      <c r="J18" s="3">
        <v>0.88888888888888884</v>
      </c>
      <c r="K18" s="2">
        <v>0.93776606914322724</v>
      </c>
      <c r="L18" s="2">
        <v>0.88888888888888884</v>
      </c>
      <c r="M18" s="4">
        <v>0.93776606914322724</v>
      </c>
      <c r="N18" s="11">
        <v>0.92499999999999993</v>
      </c>
    </row>
    <row r="19" spans="3:14" x14ac:dyDescent="0.25">
      <c r="C19" s="3">
        <v>0.6</v>
      </c>
      <c r="D19" s="2">
        <v>0.65</v>
      </c>
      <c r="E19" s="2">
        <v>0.64264857600000003</v>
      </c>
      <c r="F19" s="2">
        <v>0.65</v>
      </c>
      <c r="G19" s="4">
        <v>0.64264857600000003</v>
      </c>
      <c r="H19" s="11">
        <v>0.63829787234042556</v>
      </c>
      <c r="J19" s="3">
        <v>0.92307692307692302</v>
      </c>
      <c r="K19" s="2">
        <v>0.93363623978527255</v>
      </c>
      <c r="L19" s="2">
        <v>0.92307692307692302</v>
      </c>
      <c r="M19" s="4">
        <v>0.93363623978527255</v>
      </c>
      <c r="N19" s="11">
        <v>0.94</v>
      </c>
    </row>
    <row r="20" spans="3:14" x14ac:dyDescent="0.25">
      <c r="C20" s="3">
        <v>0.7</v>
      </c>
      <c r="D20" s="2">
        <v>0.73749999999999993</v>
      </c>
      <c r="E20" s="2">
        <v>0.75078671949999998</v>
      </c>
      <c r="F20" s="2">
        <v>0.73749999999999993</v>
      </c>
      <c r="G20" s="4">
        <v>0.75078671949999998</v>
      </c>
      <c r="H20" s="11">
        <v>0.73298429319371727</v>
      </c>
      <c r="J20" s="3">
        <v>0.94915254237288138</v>
      </c>
      <c r="K20" s="2">
        <v>0.93235533050741448</v>
      </c>
      <c r="L20" s="2">
        <v>0.94915254237288138</v>
      </c>
      <c r="M20" s="4">
        <v>0.93235533050741448</v>
      </c>
      <c r="N20" s="11">
        <v>0.95499999999999996</v>
      </c>
    </row>
    <row r="21" spans="3:14" x14ac:dyDescent="0.25">
      <c r="C21" s="3">
        <v>0.79999999999999993</v>
      </c>
      <c r="D21" s="2">
        <v>0.82499999999999996</v>
      </c>
      <c r="E21" s="2">
        <v>0.85087338000000012</v>
      </c>
      <c r="F21" s="2">
        <v>0.82499999999999996</v>
      </c>
      <c r="G21" s="4">
        <v>0.85087338000000012</v>
      </c>
      <c r="H21" s="11">
        <v>0.82474226804123707</v>
      </c>
      <c r="J21" s="3">
        <v>0.96969696969696972</v>
      </c>
      <c r="K21" s="2">
        <v>0.94021039887274394</v>
      </c>
      <c r="L21" s="2">
        <v>0.96969696969696972</v>
      </c>
      <c r="M21" s="4">
        <v>0.94021039887274394</v>
      </c>
      <c r="N21" s="11">
        <v>0.97</v>
      </c>
    </row>
    <row r="22" spans="3:14" x14ac:dyDescent="0.25">
      <c r="C22" s="3">
        <v>0.89999999999999991</v>
      </c>
      <c r="D22" s="2">
        <v>0.91249999999999987</v>
      </c>
      <c r="E22" s="2">
        <v>0.93618549449999999</v>
      </c>
      <c r="F22" s="2">
        <v>0.91249999999999987</v>
      </c>
      <c r="G22" s="4">
        <v>0.93618549449999999</v>
      </c>
      <c r="H22" s="11">
        <v>0.91370558375634514</v>
      </c>
      <c r="J22" s="3">
        <v>0.98630136986301375</v>
      </c>
      <c r="K22" s="2">
        <v>0.96134794363661225</v>
      </c>
      <c r="L22" s="2">
        <v>0.98630136986301375</v>
      </c>
      <c r="M22" s="4">
        <v>0.96134794363661225</v>
      </c>
      <c r="N22" s="11">
        <v>0.98499999999999999</v>
      </c>
    </row>
    <row r="23" spans="3:14" x14ac:dyDescent="0.25">
      <c r="C23" s="5">
        <v>0.99999999999999989</v>
      </c>
      <c r="D23" s="6">
        <v>0.99999999999999989</v>
      </c>
      <c r="E23" s="6">
        <v>1</v>
      </c>
      <c r="F23" s="6">
        <v>0.99999999999999989</v>
      </c>
      <c r="G23" s="7">
        <v>1</v>
      </c>
      <c r="H23" s="11">
        <v>0.99999999999999989</v>
      </c>
      <c r="J23" s="5">
        <v>1</v>
      </c>
      <c r="K23" s="6">
        <v>0.99999999999999989</v>
      </c>
      <c r="L23" s="6">
        <v>1</v>
      </c>
      <c r="M23" s="7">
        <v>0.99999999999999989</v>
      </c>
      <c r="N23" s="11">
        <v>1</v>
      </c>
    </row>
    <row r="25" spans="3:14" x14ac:dyDescent="0.25">
      <c r="C25" t="s">
        <v>50</v>
      </c>
      <c r="J25" t="s">
        <v>52</v>
      </c>
    </row>
    <row r="26" spans="3:14" x14ac:dyDescent="0.25">
      <c r="C26" t="s">
        <v>51</v>
      </c>
      <c r="J26" t="s">
        <v>51</v>
      </c>
    </row>
    <row r="28" spans="3:14" x14ac:dyDescent="0.25">
      <c r="C28" t="s">
        <v>53</v>
      </c>
    </row>
    <row r="29" spans="3:14" x14ac:dyDescent="0.25">
      <c r="C29" t="s">
        <v>54</v>
      </c>
    </row>
    <row r="30" spans="3:14" x14ac:dyDescent="0.25">
      <c r="C30" t="s">
        <v>55</v>
      </c>
    </row>
    <row r="31" spans="3:14" x14ac:dyDescent="0.25">
      <c r="C31" t="s">
        <v>56</v>
      </c>
    </row>
    <row r="32" spans="3:14" x14ac:dyDescent="0.25">
      <c r="C32" t="s">
        <v>547</v>
      </c>
    </row>
    <row r="35" spans="3:6" x14ac:dyDescent="0.25">
      <c r="C35" s="1" t="s">
        <v>88</v>
      </c>
    </row>
    <row r="37" spans="3:6" x14ac:dyDescent="0.25">
      <c r="C37" t="s">
        <v>92</v>
      </c>
    </row>
    <row r="39" spans="3:6" x14ac:dyDescent="0.25">
      <c r="C39" t="s">
        <v>89</v>
      </c>
      <c r="D39" t="s">
        <v>90</v>
      </c>
      <c r="E39" t="s">
        <v>91</v>
      </c>
    </row>
    <row r="40" spans="3:6" x14ac:dyDescent="0.25">
      <c r="C40">
        <v>67</v>
      </c>
      <c r="D40">
        <v>95</v>
      </c>
      <c r="E40">
        <v>1</v>
      </c>
    </row>
    <row r="41" spans="3:6" x14ac:dyDescent="0.25">
      <c r="C41">
        <v>57</v>
      </c>
      <c r="D41">
        <v>82</v>
      </c>
      <c r="E41" s="12" t="s">
        <v>100</v>
      </c>
    </row>
    <row r="42" spans="3:6" x14ac:dyDescent="0.25">
      <c r="C42">
        <v>57</v>
      </c>
      <c r="D42">
        <v>95</v>
      </c>
      <c r="E42" s="12" t="s">
        <v>100</v>
      </c>
    </row>
    <row r="43" spans="3:6" x14ac:dyDescent="0.25">
      <c r="C43">
        <v>57</v>
      </c>
      <c r="D43">
        <v>110</v>
      </c>
      <c r="E43" s="12" t="s">
        <v>100</v>
      </c>
    </row>
    <row r="44" spans="3:6" x14ac:dyDescent="0.25">
      <c r="C44">
        <v>67</v>
      </c>
      <c r="D44">
        <v>82</v>
      </c>
      <c r="E44" t="s">
        <v>93</v>
      </c>
    </row>
    <row r="45" spans="3:6" x14ac:dyDescent="0.25">
      <c r="C45">
        <v>67</v>
      </c>
      <c r="D45">
        <v>110</v>
      </c>
      <c r="E45" s="12" t="s">
        <v>100</v>
      </c>
    </row>
    <row r="46" spans="3:6" x14ac:dyDescent="0.25">
      <c r="C46">
        <v>77</v>
      </c>
      <c r="D46">
        <v>82</v>
      </c>
      <c r="E46" s="12" t="s">
        <v>100</v>
      </c>
      <c r="F46" t="s">
        <v>32</v>
      </c>
    </row>
    <row r="47" spans="3:6" x14ac:dyDescent="0.25">
      <c r="C47">
        <v>77</v>
      </c>
      <c r="D47">
        <v>95</v>
      </c>
      <c r="E47" s="12" t="s">
        <v>100</v>
      </c>
    </row>
    <row r="48" spans="3:6" x14ac:dyDescent="0.25">
      <c r="C48">
        <v>77</v>
      </c>
      <c r="D48">
        <v>110</v>
      </c>
      <c r="E48" s="12" t="s">
        <v>100</v>
      </c>
    </row>
    <row r="51" spans="3:18" x14ac:dyDescent="0.25">
      <c r="C51" s="1" t="s">
        <v>99</v>
      </c>
      <c r="H51" s="1" t="s">
        <v>63</v>
      </c>
    </row>
    <row r="52" spans="3:18" x14ac:dyDescent="0.25">
      <c r="C52" s="12" t="s">
        <v>98</v>
      </c>
      <c r="H52" s="12" t="s">
        <v>101</v>
      </c>
    </row>
    <row r="53" spans="3:18" x14ac:dyDescent="0.25">
      <c r="C53" s="12" t="s">
        <v>107</v>
      </c>
      <c r="H53" s="12"/>
    </row>
    <row r="54" spans="3:18" x14ac:dyDescent="0.25">
      <c r="C54" s="12"/>
      <c r="H54" s="12"/>
    </row>
    <row r="55" spans="3:18" x14ac:dyDescent="0.25">
      <c r="C55" t="s">
        <v>95</v>
      </c>
      <c r="D55" t="s">
        <v>65</v>
      </c>
      <c r="E55" t="s">
        <v>32</v>
      </c>
      <c r="H55" t="s">
        <v>95</v>
      </c>
      <c r="I55" t="s">
        <v>104</v>
      </c>
    </row>
    <row r="56" spans="3:18" x14ac:dyDescent="0.25">
      <c r="C56">
        <v>67</v>
      </c>
      <c r="D56">
        <v>0.85599999999999998</v>
      </c>
      <c r="H56">
        <v>67</v>
      </c>
      <c r="I56">
        <v>1.337</v>
      </c>
      <c r="O56" s="13" t="s">
        <v>102</v>
      </c>
      <c r="P56" s="13" t="s">
        <v>103</v>
      </c>
      <c r="Q56" t="s">
        <v>32</v>
      </c>
      <c r="R56" t="s">
        <v>32</v>
      </c>
    </row>
    <row r="57" spans="3:18" x14ac:dyDescent="0.25">
      <c r="C57">
        <v>57</v>
      </c>
      <c r="D57">
        <v>0.91900000000000004</v>
      </c>
      <c r="H57">
        <v>57</v>
      </c>
      <c r="I57">
        <v>1.175</v>
      </c>
    </row>
    <row r="58" spans="3:18" x14ac:dyDescent="0.25">
      <c r="C58">
        <v>47</v>
      </c>
      <c r="D58">
        <v>1</v>
      </c>
      <c r="H58">
        <v>47</v>
      </c>
      <c r="I58">
        <v>1</v>
      </c>
    </row>
    <row r="59" spans="3:18" x14ac:dyDescent="0.25">
      <c r="C59">
        <v>17</v>
      </c>
      <c r="D59" t="s">
        <v>96</v>
      </c>
      <c r="H59">
        <v>17</v>
      </c>
      <c r="I59" t="s">
        <v>105</v>
      </c>
    </row>
    <row r="60" spans="3:18" x14ac:dyDescent="0.25">
      <c r="C60">
        <v>7</v>
      </c>
      <c r="D60" t="s">
        <v>97</v>
      </c>
      <c r="H60">
        <v>7</v>
      </c>
      <c r="I60" t="s">
        <v>106</v>
      </c>
    </row>
    <row r="61" spans="3:18" x14ac:dyDescent="0.25">
      <c r="C61">
        <v>-13</v>
      </c>
      <c r="D61">
        <v>3.4279999999999999</v>
      </c>
      <c r="H61">
        <v>-13</v>
      </c>
      <c r="I61">
        <v>0.153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41"/>
  <sheetViews>
    <sheetView zoomScale="55" zoomScaleNormal="55" workbookViewId="0">
      <selection activeCell="C29" activeCellId="1" sqref="C39 C29"/>
    </sheetView>
  </sheetViews>
  <sheetFormatPr defaultRowHeight="15" x14ac:dyDescent="0.25"/>
  <cols>
    <col min="2" max="2" width="12" customWidth="1"/>
    <col min="3" max="3" width="89.140625" customWidth="1"/>
    <col min="15" max="15" width="68.7109375" bestFit="1" customWidth="1"/>
  </cols>
  <sheetData>
    <row r="1" spans="1:14" x14ac:dyDescent="0.25">
      <c r="A1" s="1" t="s">
        <v>417</v>
      </c>
    </row>
    <row r="4" spans="1:14" x14ac:dyDescent="0.25">
      <c r="B4" s="1" t="s">
        <v>27</v>
      </c>
      <c r="C4" s="1" t="s">
        <v>416</v>
      </c>
      <c r="I4" s="1"/>
      <c r="N4" s="1"/>
    </row>
    <row r="5" spans="1:14" x14ac:dyDescent="0.25">
      <c r="B5" t="s">
        <v>120</v>
      </c>
      <c r="C5" t="s">
        <v>471</v>
      </c>
    </row>
    <row r="6" spans="1:14" x14ac:dyDescent="0.25">
      <c r="B6" t="s">
        <v>160</v>
      </c>
      <c r="C6" t="s">
        <v>473</v>
      </c>
    </row>
    <row r="7" spans="1:14" x14ac:dyDescent="0.25">
      <c r="B7" t="s">
        <v>274</v>
      </c>
      <c r="C7" t="s">
        <v>472</v>
      </c>
    </row>
    <row r="8" spans="1:14" x14ac:dyDescent="0.25">
      <c r="B8" t="s">
        <v>288</v>
      </c>
      <c r="C8" t="s">
        <v>468</v>
      </c>
    </row>
    <row r="9" spans="1:14" x14ac:dyDescent="0.25">
      <c r="B9" t="s">
        <v>391</v>
      </c>
      <c r="C9" t="s">
        <v>469</v>
      </c>
    </row>
    <row r="10" spans="1:14" x14ac:dyDescent="0.25">
      <c r="B10" t="s">
        <v>148</v>
      </c>
      <c r="C10" t="s">
        <v>470</v>
      </c>
    </row>
    <row r="11" spans="1:14" x14ac:dyDescent="0.25">
      <c r="B11" s="40" t="s">
        <v>275</v>
      </c>
      <c r="C11" s="40" t="s">
        <v>474</v>
      </c>
    </row>
    <row r="12" spans="1:14" x14ac:dyDescent="0.25">
      <c r="B12" t="s">
        <v>117</v>
      </c>
      <c r="C12" t="s">
        <v>481</v>
      </c>
    </row>
    <row r="13" spans="1:14" x14ac:dyDescent="0.25">
      <c r="B13" t="s">
        <v>116</v>
      </c>
      <c r="C13" t="s">
        <v>482</v>
      </c>
    </row>
    <row r="14" spans="1:14" x14ac:dyDescent="0.25">
      <c r="B14" t="s">
        <v>460</v>
      </c>
      <c r="C14" t="s">
        <v>459</v>
      </c>
    </row>
    <row r="15" spans="1:14" x14ac:dyDescent="0.25">
      <c r="B15" t="s">
        <v>462</v>
      </c>
      <c r="C15" t="s">
        <v>400</v>
      </c>
    </row>
    <row r="16" spans="1:14" x14ac:dyDescent="0.25">
      <c r="B16" s="40" t="s">
        <v>454</v>
      </c>
      <c r="C16" s="40" t="s">
        <v>476</v>
      </c>
    </row>
    <row r="17" spans="2:3" x14ac:dyDescent="0.25">
      <c r="B17" s="40" t="s">
        <v>455</v>
      </c>
      <c r="C17" s="40" t="s">
        <v>475</v>
      </c>
    </row>
    <row r="18" spans="2:3" x14ac:dyDescent="0.25">
      <c r="B18" s="40" t="s">
        <v>365</v>
      </c>
      <c r="C18" s="40" t="s">
        <v>477</v>
      </c>
    </row>
    <row r="19" spans="2:3" x14ac:dyDescent="0.25">
      <c r="B19" t="s">
        <v>394</v>
      </c>
      <c r="C19" t="s">
        <v>478</v>
      </c>
    </row>
    <row r="20" spans="2:3" s="18" customFormat="1" x14ac:dyDescent="0.25">
      <c r="B20" t="s">
        <v>395</v>
      </c>
      <c r="C20" t="s">
        <v>479</v>
      </c>
    </row>
    <row r="21" spans="2:3" x14ac:dyDescent="0.25">
      <c r="B21" s="40" t="s">
        <v>457</v>
      </c>
      <c r="C21" t="s">
        <v>480</v>
      </c>
    </row>
    <row r="22" spans="2:3" x14ac:dyDescent="0.25">
      <c r="B22" t="s">
        <v>458</v>
      </c>
      <c r="C22" t="s">
        <v>398</v>
      </c>
    </row>
    <row r="23" spans="2:3" x14ac:dyDescent="0.25">
      <c r="B23" t="s">
        <v>139</v>
      </c>
      <c r="C23" t="s">
        <v>399</v>
      </c>
    </row>
    <row r="24" spans="2:3" x14ac:dyDescent="0.25">
      <c r="B24" t="s">
        <v>140</v>
      </c>
      <c r="C24" t="s">
        <v>440</v>
      </c>
    </row>
    <row r="25" spans="2:3" x14ac:dyDescent="0.25">
      <c r="B25" s="18" t="s">
        <v>439</v>
      </c>
      <c r="C25" s="18" t="s">
        <v>467</v>
      </c>
    </row>
    <row r="26" spans="2:3" x14ac:dyDescent="0.25">
      <c r="B26" s="65" t="s">
        <v>507</v>
      </c>
      <c r="C26" s="15" t="s">
        <v>519</v>
      </c>
    </row>
    <row r="27" spans="2:3" x14ac:dyDescent="0.25">
      <c r="B27" s="65" t="s">
        <v>323</v>
      </c>
      <c r="C27" s="15" t="s">
        <v>519</v>
      </c>
    </row>
    <row r="28" spans="2:3" x14ac:dyDescent="0.25">
      <c r="B28" s="65" t="s">
        <v>324</v>
      </c>
      <c r="C28" s="15" t="s">
        <v>519</v>
      </c>
    </row>
    <row r="29" spans="2:3" x14ac:dyDescent="0.25">
      <c r="B29" s="65" t="s">
        <v>120</v>
      </c>
      <c r="C29" s="15" t="s">
        <v>519</v>
      </c>
    </row>
    <row r="30" spans="2:3" x14ac:dyDescent="0.25">
      <c r="B30" s="65" t="s">
        <v>148</v>
      </c>
      <c r="C30" s="15" t="s">
        <v>519</v>
      </c>
    </row>
    <row r="31" spans="2:3" x14ac:dyDescent="0.25">
      <c r="B31" s="65"/>
    </row>
    <row r="32" spans="2:3" x14ac:dyDescent="0.25">
      <c r="B32" s="65"/>
    </row>
    <row r="33" spans="2:3" x14ac:dyDescent="0.25">
      <c r="B33" s="65"/>
    </row>
    <row r="34" spans="2:3" x14ac:dyDescent="0.25">
      <c r="B34" s="65"/>
    </row>
    <row r="38" spans="2:3" x14ac:dyDescent="0.25">
      <c r="B38" t="s">
        <v>463</v>
      </c>
    </row>
    <row r="39" spans="2:3" x14ac:dyDescent="0.25">
      <c r="B39" s="2" t="s">
        <v>448</v>
      </c>
      <c r="C39" t="s">
        <v>464</v>
      </c>
    </row>
    <row r="40" spans="2:3" x14ac:dyDescent="0.25">
      <c r="B40" s="2" t="s">
        <v>447</v>
      </c>
      <c r="C40" t="s">
        <v>465</v>
      </c>
    </row>
    <row r="41" spans="2:3" x14ac:dyDescent="0.25">
      <c r="B41" s="2" t="s">
        <v>449</v>
      </c>
      <c r="C41" t="s">
        <v>466</v>
      </c>
    </row>
  </sheetData>
  <sortState xmlns:xlrd2="http://schemas.microsoft.com/office/spreadsheetml/2017/richdata2" ref="B5:C26">
    <sortCondition ref="B5"/>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40"/>
  <sheetViews>
    <sheetView zoomScale="85" zoomScaleNormal="85" workbookViewId="0">
      <selection activeCell="F18" sqref="F18"/>
    </sheetView>
  </sheetViews>
  <sheetFormatPr defaultRowHeight="15" x14ac:dyDescent="0.25"/>
  <cols>
    <col min="4" max="4" width="27.7109375" customWidth="1"/>
    <col min="5" max="5" width="45" customWidth="1"/>
    <col min="6" max="11" width="19.85546875" customWidth="1"/>
    <col min="15" max="16" width="9.5703125" bestFit="1" customWidth="1"/>
  </cols>
  <sheetData>
    <row r="1" spans="1:18" x14ac:dyDescent="0.25">
      <c r="A1" t="s">
        <v>701</v>
      </c>
    </row>
    <row r="2" spans="1:18" x14ac:dyDescent="0.25">
      <c r="N2">
        <v>110</v>
      </c>
      <c r="O2" s="152">
        <v>75</v>
      </c>
    </row>
    <row r="3" spans="1:18" x14ac:dyDescent="0.25">
      <c r="A3" t="s">
        <v>687</v>
      </c>
      <c r="L3" t="s">
        <v>688</v>
      </c>
      <c r="N3" t="s">
        <v>460</v>
      </c>
    </row>
    <row r="4" spans="1:18" x14ac:dyDescent="0.25">
      <c r="B4" t="s">
        <v>689</v>
      </c>
      <c r="C4" t="s">
        <v>690</v>
      </c>
      <c r="F4" t="s">
        <v>17</v>
      </c>
      <c r="G4" t="s">
        <v>18</v>
      </c>
      <c r="H4" t="s">
        <v>19</v>
      </c>
      <c r="I4" t="s">
        <v>20</v>
      </c>
      <c r="J4" t="s">
        <v>21</v>
      </c>
      <c r="K4" t="s">
        <v>22</v>
      </c>
      <c r="L4" t="s">
        <v>691</v>
      </c>
      <c r="M4" t="s">
        <v>692</v>
      </c>
      <c r="N4" t="s">
        <v>693</v>
      </c>
      <c r="O4" t="s">
        <v>694</v>
      </c>
      <c r="Q4" t="s">
        <v>695</v>
      </c>
      <c r="R4" t="s">
        <v>696</v>
      </c>
    </row>
    <row r="5" spans="1:18" x14ac:dyDescent="0.25">
      <c r="B5" t="s">
        <v>698</v>
      </c>
      <c r="L5" s="150"/>
      <c r="M5" s="150"/>
      <c r="N5" s="150"/>
      <c r="O5" s="151"/>
      <c r="P5" s="151"/>
      <c r="Q5" s="148"/>
      <c r="R5" s="148"/>
    </row>
    <row r="6" spans="1:18" x14ac:dyDescent="0.25">
      <c r="B6">
        <v>11</v>
      </c>
      <c r="C6">
        <v>13</v>
      </c>
      <c r="D6" s="179" t="s">
        <v>893</v>
      </c>
      <c r="E6" s="179" t="s">
        <v>899</v>
      </c>
      <c r="F6" s="179">
        <v>0.68668371859999999</v>
      </c>
      <c r="G6" s="179">
        <v>-3.5825755200000003E-2</v>
      </c>
      <c r="H6" s="179">
        <v>7.8065630000000001E-4</v>
      </c>
      <c r="I6" s="179">
        <v>2.55636817E-2</v>
      </c>
      <c r="J6" s="179">
        <v>1.634393E-4</v>
      </c>
      <c r="K6" s="179">
        <v>-5.5893900000000005E-4</v>
      </c>
      <c r="L6" s="150">
        <v>25</v>
      </c>
      <c r="M6" s="150">
        <v>13.89</v>
      </c>
      <c r="N6" s="150">
        <f>($N$2-32)/1.8</f>
        <v>43.333333333333336</v>
      </c>
      <c r="O6" s="151">
        <f t="shared" ref="O6:O8" si="0">($O$2-32)/1.8</f>
        <v>23.888888888888889</v>
      </c>
      <c r="P6" s="151"/>
      <c r="Q6" s="148">
        <f t="shared" ref="Q6:R8" si="1">ROUND($F6+($G6*L6)+($H6*L6^2)+($I6*N6)+($J6*N6^2)+($K6*L6*N6),3)</f>
        <v>1.0880000000000001</v>
      </c>
      <c r="R6" s="148">
        <f t="shared" si="1"/>
        <v>0.85799999999999998</v>
      </c>
    </row>
    <row r="7" spans="1:18" x14ac:dyDescent="0.25">
      <c r="B7">
        <v>11</v>
      </c>
      <c r="C7">
        <v>15</v>
      </c>
      <c r="D7" s="179" t="s">
        <v>894</v>
      </c>
      <c r="E7" s="179" t="s">
        <v>900</v>
      </c>
      <c r="F7" s="182">
        <v>-0.19999207490000001</v>
      </c>
      <c r="G7" s="182">
        <v>-3.5685746099999999E-2</v>
      </c>
      <c r="H7" s="182">
        <v>7.865557E-4</v>
      </c>
      <c r="I7" s="182">
        <v>7.4834090000000006E-2</v>
      </c>
      <c r="J7" s="182">
        <v>-5.1612809999999996E-4</v>
      </c>
      <c r="K7" s="182">
        <v>-5.734968E-4</v>
      </c>
      <c r="L7" s="150">
        <v>25</v>
      </c>
      <c r="M7" s="150">
        <v>13.89</v>
      </c>
      <c r="N7" s="150">
        <f>($N$2-32)/1.8</f>
        <v>43.333333333333336</v>
      </c>
      <c r="O7" s="151">
        <f t="shared" si="0"/>
        <v>23.888888888888889</v>
      </c>
      <c r="P7" s="151"/>
      <c r="Q7" s="148">
        <f t="shared" si="1"/>
        <v>1.052</v>
      </c>
      <c r="R7" s="148">
        <f t="shared" si="1"/>
        <v>0.75900000000000001</v>
      </c>
    </row>
    <row r="8" spans="1:18" x14ac:dyDescent="0.25">
      <c r="B8">
        <v>11</v>
      </c>
      <c r="C8">
        <v>17</v>
      </c>
      <c r="D8" s="179" t="s">
        <v>895</v>
      </c>
      <c r="E8" s="179" t="s">
        <v>901</v>
      </c>
      <c r="F8" s="182">
        <v>-1.7904739961</v>
      </c>
      <c r="G8" s="182">
        <v>-2.87772944E-2</v>
      </c>
      <c r="H8" s="182">
        <v>7.6288609999999998E-4</v>
      </c>
      <c r="I8" s="182">
        <v>0.15339063089999999</v>
      </c>
      <c r="J8" s="182">
        <v>-1.4824492999999999E-3</v>
      </c>
      <c r="K8" s="182">
        <v>-7.2065360000000001E-4</v>
      </c>
      <c r="L8" s="150">
        <v>25</v>
      </c>
      <c r="M8" s="150">
        <v>13.89</v>
      </c>
      <c r="N8" s="150">
        <f>($N$2-32)/1.8</f>
        <v>43.333333333333336</v>
      </c>
      <c r="O8" s="151">
        <f t="shared" si="0"/>
        <v>23.888888888888889</v>
      </c>
      <c r="P8" s="151"/>
      <c r="Q8" s="148">
        <f t="shared" si="1"/>
        <v>1.0489999999999999</v>
      </c>
      <c r="R8" s="148">
        <f t="shared" si="1"/>
        <v>0.53600000000000003</v>
      </c>
    </row>
    <row r="9" spans="1:18" x14ac:dyDescent="0.25">
      <c r="O9" s="149"/>
      <c r="P9" s="149"/>
    </row>
    <row r="10" spans="1:18" x14ac:dyDescent="0.25">
      <c r="B10" t="s">
        <v>697</v>
      </c>
      <c r="O10" s="149"/>
      <c r="P10" s="149"/>
    </row>
    <row r="11" spans="1:18" x14ac:dyDescent="0.25">
      <c r="B11">
        <v>13</v>
      </c>
      <c r="C11">
        <v>16</v>
      </c>
      <c r="D11" s="178" t="s">
        <v>896</v>
      </c>
      <c r="E11" s="178" t="s">
        <v>902</v>
      </c>
      <c r="F11" s="181">
        <v>-1.2471210388</v>
      </c>
      <c r="G11" s="181">
        <v>-2.75131006E-2</v>
      </c>
      <c r="H11" s="181">
        <v>7.5193649999999999E-4</v>
      </c>
      <c r="I11" s="181">
        <v>0.1211232191</v>
      </c>
      <c r="J11" s="181">
        <v>-1.0125734E-3</v>
      </c>
      <c r="K11" s="181">
        <v>-7.3577820000000004E-4</v>
      </c>
      <c r="L11" s="150">
        <v>25</v>
      </c>
      <c r="M11" s="150">
        <v>13.89</v>
      </c>
      <c r="N11" s="150">
        <f>($N$2-32)/1.8</f>
        <v>43.333333333333336</v>
      </c>
      <c r="O11" s="151">
        <f>($O$2-32)/1.8</f>
        <v>23.888888888888889</v>
      </c>
      <c r="P11" s="151"/>
      <c r="Q11" s="148">
        <f t="shared" ref="Q11:R13" si="2">ROUND($F11+($G11*L11)+($H11*L11^2)+($I11*N11)+($J11*N11^2)+($K11*L11*N11),3)</f>
        <v>1.085</v>
      </c>
      <c r="R11" s="148">
        <f t="shared" si="2"/>
        <v>0.58699999999999997</v>
      </c>
    </row>
    <row r="12" spans="1:18" x14ac:dyDescent="0.25">
      <c r="B12">
        <v>13</v>
      </c>
      <c r="C12">
        <v>18</v>
      </c>
      <c r="D12" s="178" t="s">
        <v>897</v>
      </c>
      <c r="E12" s="178" t="s">
        <v>903</v>
      </c>
      <c r="F12" s="181">
        <v>-2.7249195793999998</v>
      </c>
      <c r="G12" s="181">
        <v>-2.1119805299999999E-2</v>
      </c>
      <c r="H12" s="181">
        <v>7.2996729999999998E-4</v>
      </c>
      <c r="I12" s="181">
        <v>0.194127624</v>
      </c>
      <c r="J12" s="181">
        <v>-1.9107555E-3</v>
      </c>
      <c r="K12" s="181">
        <v>-8.7189989999999996E-4</v>
      </c>
      <c r="L12" s="150">
        <v>25</v>
      </c>
      <c r="M12" s="150">
        <v>13.89</v>
      </c>
      <c r="N12" s="150">
        <f>($N$2-32)/1.8</f>
        <v>43.333333333333336</v>
      </c>
      <c r="O12" s="151">
        <f t="shared" ref="O12:O13" si="3">($O$2-32)/1.8</f>
        <v>23.888888888888889</v>
      </c>
      <c r="P12" s="151"/>
      <c r="Q12" s="148">
        <f t="shared" si="2"/>
        <v>1.083</v>
      </c>
      <c r="R12" s="148">
        <f t="shared" si="2"/>
        <v>0.38</v>
      </c>
    </row>
    <row r="13" spans="1:18" x14ac:dyDescent="0.25">
      <c r="B13">
        <v>13</v>
      </c>
      <c r="C13">
        <v>20</v>
      </c>
      <c r="D13" s="178" t="s">
        <v>898</v>
      </c>
      <c r="E13" s="178" t="s">
        <v>904</v>
      </c>
      <c r="F13" s="178">
        <v>-3.0605377466000001</v>
      </c>
      <c r="G13" s="178">
        <v>-2.3207308699999998E-2</v>
      </c>
      <c r="H13" s="178">
        <v>7.4391970000000003E-4</v>
      </c>
      <c r="I13" s="178">
        <v>0.2160932548</v>
      </c>
      <c r="J13" s="178">
        <v>-2.2534293E-3</v>
      </c>
      <c r="K13" s="178">
        <v>-8.3941199999999999E-4</v>
      </c>
      <c r="L13" s="150">
        <v>25</v>
      </c>
      <c r="M13" s="150">
        <v>13.89</v>
      </c>
      <c r="N13" s="150">
        <f>($N$2-32)/1.8</f>
        <v>43.333333333333336</v>
      </c>
      <c r="O13" s="151">
        <f t="shared" si="3"/>
        <v>23.888888888888889</v>
      </c>
      <c r="P13" s="151"/>
      <c r="Q13" s="148">
        <f t="shared" si="2"/>
        <v>1.0469999999999999</v>
      </c>
      <c r="R13" s="148">
        <f t="shared" si="2"/>
        <v>0.35799999999999998</v>
      </c>
    </row>
    <row r="14" spans="1:18" x14ac:dyDescent="0.25">
      <c r="L14" s="150"/>
      <c r="M14" s="150"/>
      <c r="N14" s="150"/>
      <c r="O14" s="151"/>
      <c r="P14" s="151"/>
      <c r="Q14" s="148"/>
      <c r="R14" s="148"/>
    </row>
    <row r="15" spans="1:18" x14ac:dyDescent="0.25">
      <c r="P15" s="149"/>
    </row>
    <row r="16" spans="1:18" x14ac:dyDescent="0.25">
      <c r="C16" s="1" t="s">
        <v>708</v>
      </c>
      <c r="F16" s="2"/>
      <c r="G16" s="2"/>
      <c r="H16" s="2"/>
      <c r="I16" s="2"/>
      <c r="J16" s="2"/>
      <c r="K16" s="2"/>
      <c r="O16" s="149"/>
    </row>
    <row r="17" spans="3:14" x14ac:dyDescent="0.25">
      <c r="C17" s="154" t="s">
        <v>711</v>
      </c>
      <c r="H17" s="149"/>
    </row>
    <row r="18" spans="3:14" x14ac:dyDescent="0.25">
      <c r="D18" s="175" t="s">
        <v>709</v>
      </c>
      <c r="E18" s="175" t="s">
        <v>710</v>
      </c>
    </row>
    <row r="19" spans="3:14" x14ac:dyDescent="0.25">
      <c r="D19" s="176">
        <v>67</v>
      </c>
      <c r="E19" s="176">
        <f>(D19-32)*5/9</f>
        <v>19.444444444444443</v>
      </c>
    </row>
    <row r="20" spans="3:14" x14ac:dyDescent="0.25">
      <c r="C20" t="s">
        <v>892</v>
      </c>
      <c r="D20" s="175"/>
      <c r="E20" s="175"/>
      <c r="F20" s="2"/>
      <c r="G20" s="2"/>
      <c r="H20" s="2"/>
      <c r="I20" s="2"/>
      <c r="J20" s="2"/>
      <c r="K20" s="2"/>
    </row>
    <row r="21" spans="3:14" x14ac:dyDescent="0.25">
      <c r="D21" s="175" t="s">
        <v>699</v>
      </c>
      <c r="E21" s="175" t="s">
        <v>700</v>
      </c>
      <c r="F21" t="str">
        <f>D6</f>
        <v>EER &lt; 13, SEER &lt; 15</v>
      </c>
      <c r="G21" t="str">
        <f>D7</f>
        <v>EER &lt; 13, SEER &gt;= 15</v>
      </c>
      <c r="H21" t="str">
        <f>D8</f>
        <v>EER &lt; 13, SEER &gt;= 17</v>
      </c>
      <c r="I21" t="str">
        <f>D11</f>
        <v>EER &gt;= 13, SEER &lt; 18</v>
      </c>
      <c r="J21" t="str">
        <f>D12</f>
        <v>EER &gt;= 13, SEER &gt;= 18</v>
      </c>
      <c r="K21" t="str">
        <f>D13</f>
        <v>EER &gt;= 13, SEER &gt;= 20</v>
      </c>
    </row>
    <row r="22" spans="3:14" x14ac:dyDescent="0.25">
      <c r="D22" s="176">
        <v>75</v>
      </c>
      <c r="E22" s="176">
        <f>(D22-32)*5/9</f>
        <v>23.888888888888889</v>
      </c>
      <c r="F22" s="148">
        <f>F$6+G$6*$E$19+(H$6*$E$19^2)+(I$6*$E22)+(J$6*$E22^2)+(K$6*$E$19*$E22)</f>
        <v>0.72955607174197512</v>
      </c>
      <c r="G22" s="148">
        <f>F$7+G$7*$E$19+(H$7*$E$19^2)+(I$7*$E22)+(J$7*$E22^2)+(K$7*$E$19*$E22)</f>
        <v>0.6302714292049385</v>
      </c>
      <c r="H22" s="148">
        <f>F$8+G$8*$E$19+(H$8*$E$19^2)+(I$8*$E22)+(J$8*$E22^2)+(K$8*$E$19*$E22)</f>
        <v>0.42198536601728381</v>
      </c>
      <c r="I22" s="148">
        <f>F$11+G$11*$E$19+(H$11*$E$19^2)+(I$11*$E22)+(J$11*$E22^2)+(K$11*$E$19*$E22)</f>
        <v>0.47607020361975344</v>
      </c>
      <c r="J22" s="148">
        <f>F$12+G$12*$E$19+(H$12*$E$19^2)+(I$12*$E22)+(J$12*$E22^2)+(K$12*$E$19*$E22)</f>
        <v>0.28247055553827238</v>
      </c>
      <c r="K22" s="148">
        <f>F$13+G$13*$E$19+(H$13*$E$19^2)+(I$13*$E22)+(J$13*$E22^2)+(K$13*$E$19*$E22)</f>
        <v>0.25580585531975314</v>
      </c>
      <c r="N22" s="148"/>
    </row>
    <row r="23" spans="3:14" x14ac:dyDescent="0.25">
      <c r="D23" s="176">
        <v>85</v>
      </c>
      <c r="E23" s="176">
        <f t="shared" ref="E23:E26" si="4">(D23-32)*5/9</f>
        <v>29.444444444444443</v>
      </c>
      <c r="F23" s="148">
        <f>F$6+G$6*$E$19+(H$6*$E$19^2)+(I$6*$E23)+(J$6*$E23^2)+(K$6*$E$19*$E23)</f>
        <v>0.85962377192716044</v>
      </c>
      <c r="G23" s="148">
        <f>F$7+G$7*$E$19+(H$7*$E$19^2)+(I$7*$E23)+(J$7*$E23^2)+(K$7*$E$19*$E23)</f>
        <v>0.83113771439012363</v>
      </c>
      <c r="H23" s="148">
        <f>F$8+G$8*$E$19+(H$8*$E$19^2)+(I$8*$E23)+(J$8*$E23^2)+(K$8*$E$19*$E23)</f>
        <v>0.75706291793086411</v>
      </c>
      <c r="I23" s="148">
        <f>F$11+G$11*$E$19+(H$11*$E$19^2)+(I$11*$E23)+(J$11*$E23^2)+(K$11*$E$19*$E23)</f>
        <v>0.76947301528641965</v>
      </c>
      <c r="J23" s="148">
        <f>F$12+G$12*$E$19+(H$12*$E$19^2)+(I$12*$E23)+(J$12*$E23^2)+(K$12*$E$19*$E23)</f>
        <v>0.70062086016790182</v>
      </c>
      <c r="K23" s="148">
        <f>F$13+G$13*$E$19+(H$13*$E$19^2)+(I$13*$E23)+(J$13*$E23^2)+(K$13*$E$19*$E23)</f>
        <v>0.69796395976419734</v>
      </c>
      <c r="N23" s="148"/>
    </row>
    <row r="24" spans="3:14" x14ac:dyDescent="0.25">
      <c r="D24" s="177">
        <v>95</v>
      </c>
      <c r="E24" s="177">
        <f t="shared" si="4"/>
        <v>35</v>
      </c>
      <c r="F24" s="153">
        <f>F$6+G$6*$E$19+(H$6*$E$19^2)+(I$6*$E24)+(J$6*$E24^2)+(K$6*$E$19*$E24)</f>
        <v>0.99978031779135801</v>
      </c>
      <c r="G24" s="153">
        <f>F$7+G$7*$E$19+(H$7*$E$19^2)+(I$7*$E24)+(J$7*$E24^2)+(K$7*$E$19*$E24)</f>
        <v>1.0001442403160494</v>
      </c>
      <c r="H24" s="153">
        <f>F$8+G$8*$E$19+(H$8*$E$19^2)+(I$8*$E24)+(J$8*$E24^2)+(K$8*$E$19*$E24)</f>
        <v>1.0006312537950615</v>
      </c>
      <c r="I24" s="153">
        <f>F$11+G$11*$E$19+(H$11*$E$19^2)+(I$11*$E24)+(J$11*$E24^2)+(K$11*$E$19*$E24)</f>
        <v>1.0003712960888891</v>
      </c>
      <c r="J24" s="153">
        <f>F$12+G$12*$E$19+(H$12*$E$19^2)+(I$12*$E24)+(J$12*$E24^2)+(K$12*$E$19*$E24)</f>
        <v>1.0008232944271609</v>
      </c>
      <c r="K24" s="153">
        <f>F$13+G$13*$E$19+(H$13*$E$19^2)+(I$13*$E24)+(J$13*$E24^2)+(K$13*$E$19*$E24)</f>
        <v>1.0010214901345671</v>
      </c>
      <c r="L24" s="18"/>
      <c r="N24" s="148"/>
    </row>
    <row r="25" spans="3:14" x14ac:dyDescent="0.25">
      <c r="D25" s="176">
        <v>105</v>
      </c>
      <c r="E25" s="176">
        <f t="shared" si="4"/>
        <v>40.555555555555557</v>
      </c>
      <c r="F25" s="148">
        <f>F$6+G$6*$E$19+(H$6*$E$19^2)+(I$6*$E25)+(J$6*$E25^2)+(K$6*$E$19*$E25)</f>
        <v>1.1500257093345678</v>
      </c>
      <c r="G25" s="148">
        <f>F$7+G$7*$E$19+(H$7*$E$19^2)+(I$7*$E25)+(J$7*$E25^2)+(K$7*$E$19*$E25)</f>
        <v>1.137291006982716</v>
      </c>
      <c r="H25" s="148">
        <f>F$8+G$8*$E$19+(H$8*$E$19^2)+(I$8*$E25)+(J$8*$E25^2)+(K$8*$E$19*$E25)</f>
        <v>1.1526903736098768</v>
      </c>
      <c r="I25" s="148">
        <f>F$11+G$11*$E$19+(H$11*$E$19^2)+(I$11*$E25)+(J$11*$E25^2)+(K$11*$E$19*$E25)</f>
        <v>1.1687650460271608</v>
      </c>
      <c r="J25" s="148">
        <f>F$12+G$12*$E$19+(H$12*$E$19^2)+(I$12*$E25)+(J$12*$E25^2)+(K$12*$E$19*$E25)</f>
        <v>1.1830778583160502</v>
      </c>
      <c r="K25" s="148">
        <f>F$13+G$13*$E$19+(H$13*$E$19^2)+(I$13*$E25)+(J$13*$E25^2)+(K$13*$E$19*$E25)</f>
        <v>1.1649784464308657</v>
      </c>
      <c r="N25" s="148"/>
    </row>
    <row r="26" spans="3:14" x14ac:dyDescent="0.25">
      <c r="D26" s="176">
        <v>115</v>
      </c>
      <c r="E26" s="176">
        <f t="shared" si="4"/>
        <v>46.111111111111114</v>
      </c>
      <c r="F26" s="148">
        <f>F$6+G$6*$E$19+(H$6*$E$19^2)+(I$6*$E26)+(J$6*$E26^2)+(K$6*$E$19*$E26)</f>
        <v>1.3103599465567901</v>
      </c>
      <c r="G26" s="148">
        <f>F$7+G$7*$E$19+(H$7*$E$19^2)+(I$7*$E26)+(J$7*$E26^2)+(K$7*$E$19*$E26)</f>
        <v>1.2425780143901242</v>
      </c>
      <c r="H26" s="148">
        <f>F$8+G$8*$E$19+(H$8*$E$19^2)+(I$8*$E26)+(J$8*$E26^2)+(K$8*$E$19*$E26)</f>
        <v>1.2132402773753077</v>
      </c>
      <c r="I26" s="148">
        <f>F$11+G$11*$E$19+(H$11*$E$19^2)+(I$11*$E26)+(J$11*$E26^2)+(K$11*$E$19*$E26)</f>
        <v>1.2746542651012347</v>
      </c>
      <c r="J26" s="148">
        <f>F$12+G$12*$E$19+(H$12*$E$19^2)+(I$12*$E26)+(J$12*$E26^2)+(K$12*$E$19*$E26)</f>
        <v>1.2473845518345685</v>
      </c>
      <c r="K26" s="148">
        <f>F$13+G$13*$E$19+(H$13*$E$19^2)+(I$13*$E26)+(J$13*$E26^2)+(K$13*$E$19*$E26)</f>
        <v>1.1898348286530882</v>
      </c>
      <c r="N26" s="148"/>
    </row>
    <row r="33" spans="2:12" x14ac:dyDescent="0.25">
      <c r="B33" t="s">
        <v>911</v>
      </c>
    </row>
    <row r="34" spans="2:12" x14ac:dyDescent="0.25">
      <c r="D34" s="178" t="s">
        <v>707</v>
      </c>
      <c r="E34" s="179" t="s">
        <v>850</v>
      </c>
      <c r="F34" s="179" t="s">
        <v>851</v>
      </c>
      <c r="G34" s="179" t="s">
        <v>852</v>
      </c>
      <c r="H34" s="179" t="s">
        <v>853</v>
      </c>
      <c r="I34" s="179" t="s">
        <v>854</v>
      </c>
      <c r="J34" s="179" t="s">
        <v>855</v>
      </c>
      <c r="K34" s="179" t="s">
        <v>856</v>
      </c>
    </row>
    <row r="35" spans="2:12" x14ac:dyDescent="0.25">
      <c r="D35" s="178" t="s">
        <v>706</v>
      </c>
      <c r="E35" s="179" t="s">
        <v>857</v>
      </c>
      <c r="F35" s="179" t="s">
        <v>858</v>
      </c>
      <c r="G35" s="179" t="s">
        <v>859</v>
      </c>
      <c r="H35" s="179" t="s">
        <v>860</v>
      </c>
      <c r="I35" s="179" t="s">
        <v>861</v>
      </c>
      <c r="J35" s="179" t="s">
        <v>862</v>
      </c>
      <c r="K35" s="179" t="s">
        <v>863</v>
      </c>
    </row>
    <row r="36" spans="2:12" x14ac:dyDescent="0.25">
      <c r="D36" s="178" t="s">
        <v>705</v>
      </c>
      <c r="E36" s="179" t="s">
        <v>864</v>
      </c>
      <c r="F36" s="179" t="s">
        <v>865</v>
      </c>
      <c r="G36" s="179" t="s">
        <v>866</v>
      </c>
      <c r="H36" s="179" t="s">
        <v>867</v>
      </c>
      <c r="I36" s="179" t="s">
        <v>868</v>
      </c>
      <c r="J36" s="179" t="s">
        <v>869</v>
      </c>
      <c r="K36" s="179" t="s">
        <v>870</v>
      </c>
    </row>
    <row r="37" spans="2:12" x14ac:dyDescent="0.25">
      <c r="D37" s="179" t="s">
        <v>704</v>
      </c>
      <c r="E37" s="178" t="s">
        <v>871</v>
      </c>
      <c r="F37" s="178" t="s">
        <v>872</v>
      </c>
      <c r="G37" s="178" t="s">
        <v>873</v>
      </c>
      <c r="H37" s="178" t="s">
        <v>874</v>
      </c>
      <c r="I37" s="178" t="s">
        <v>875</v>
      </c>
      <c r="J37" s="178" t="s">
        <v>876</v>
      </c>
      <c r="K37" s="178" t="s">
        <v>877</v>
      </c>
    </row>
    <row r="38" spans="2:12" x14ac:dyDescent="0.25">
      <c r="D38" s="179" t="s">
        <v>703</v>
      </c>
      <c r="E38" s="178" t="s">
        <v>878</v>
      </c>
      <c r="F38" s="178" t="s">
        <v>879</v>
      </c>
      <c r="G38" s="178" t="s">
        <v>880</v>
      </c>
      <c r="H38" s="178" t="s">
        <v>881</v>
      </c>
      <c r="I38" s="178" t="s">
        <v>882</v>
      </c>
      <c r="J38" s="178" t="s">
        <v>883</v>
      </c>
      <c r="K38" s="178" t="s">
        <v>884</v>
      </c>
    </row>
    <row r="39" spans="2:12" x14ac:dyDescent="0.25">
      <c r="D39" s="179" t="s">
        <v>702</v>
      </c>
      <c r="E39" s="178" t="s">
        <v>885</v>
      </c>
      <c r="F39" s="178" t="s">
        <v>886</v>
      </c>
      <c r="G39" s="178" t="s">
        <v>887</v>
      </c>
      <c r="H39" s="178" t="s">
        <v>888</v>
      </c>
      <c r="I39" s="178" t="s">
        <v>889</v>
      </c>
      <c r="J39" s="178" t="s">
        <v>890</v>
      </c>
      <c r="K39" s="178" t="s">
        <v>891</v>
      </c>
    </row>
    <row r="40" spans="2:12" x14ac:dyDescent="0.25">
      <c r="L40" t="s">
        <v>32</v>
      </c>
    </row>
  </sheetData>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20"/>
  <sheetViews>
    <sheetView zoomScale="80" zoomScaleNormal="80" workbookViewId="0">
      <selection activeCell="F128" sqref="F128"/>
    </sheetView>
  </sheetViews>
  <sheetFormatPr defaultRowHeight="15" x14ac:dyDescent="0.25"/>
  <cols>
    <col min="3" max="3" width="52.7109375" customWidth="1"/>
    <col min="4" max="5" width="18.7109375" customWidth="1"/>
    <col min="6" max="6" width="11.42578125" customWidth="1"/>
    <col min="7" max="7" width="10.7109375" customWidth="1"/>
    <col min="8" max="10" width="15.7109375" customWidth="1"/>
    <col min="11" max="11" width="10" customWidth="1"/>
    <col min="12" max="14" width="18.7109375" customWidth="1"/>
  </cols>
  <sheetData>
    <row r="1" spans="1:18" x14ac:dyDescent="0.25">
      <c r="A1" s="1" t="s">
        <v>582</v>
      </c>
    </row>
    <row r="3" spans="1:18" x14ac:dyDescent="0.25">
      <c r="B3" s="1" t="s">
        <v>158</v>
      </c>
      <c r="K3" s="1" t="s">
        <v>159</v>
      </c>
    </row>
    <row r="4" spans="1:18" x14ac:dyDescent="0.25">
      <c r="B4" s="326" t="s">
        <v>583</v>
      </c>
      <c r="C4" s="327"/>
      <c r="D4" s="328"/>
      <c r="E4" s="97" t="s">
        <v>584</v>
      </c>
      <c r="F4" s="98">
        <v>0.78</v>
      </c>
      <c r="G4" s="98">
        <v>0.63</v>
      </c>
      <c r="H4" s="99"/>
      <c r="I4" s="103"/>
      <c r="K4" s="97" t="s">
        <v>583</v>
      </c>
      <c r="L4" s="100"/>
      <c r="M4" s="100"/>
      <c r="N4" s="97" t="s">
        <v>584</v>
      </c>
      <c r="O4" s="98">
        <v>0.8</v>
      </c>
      <c r="P4" s="100" t="s">
        <v>585</v>
      </c>
      <c r="Q4" s="98">
        <v>0.6</v>
      </c>
      <c r="R4" s="103"/>
    </row>
    <row r="5" spans="1:18" x14ac:dyDescent="0.25">
      <c r="B5" s="101"/>
      <c r="C5" s="101" t="s">
        <v>156</v>
      </c>
      <c r="D5" s="101" t="s">
        <v>157</v>
      </c>
      <c r="E5" s="102" t="s">
        <v>586</v>
      </c>
      <c r="F5" s="103"/>
      <c r="G5" s="103"/>
      <c r="H5" s="103"/>
      <c r="I5" s="103"/>
      <c r="K5" s="101"/>
      <c r="L5" s="101" t="s">
        <v>156</v>
      </c>
      <c r="M5" s="101" t="s">
        <v>157</v>
      </c>
      <c r="N5" s="102" t="s">
        <v>586</v>
      </c>
      <c r="O5" s="103"/>
      <c r="P5" s="103"/>
      <c r="Q5" s="103"/>
      <c r="R5" s="103"/>
    </row>
    <row r="6" spans="1:18" x14ac:dyDescent="0.25">
      <c r="B6" s="104" t="s">
        <v>17</v>
      </c>
      <c r="C6" s="105">
        <v>0.44679690988242099</v>
      </c>
      <c r="D6" s="105">
        <v>0.71399200212462999</v>
      </c>
      <c r="E6" s="105">
        <v>0.27680422622696699</v>
      </c>
      <c r="F6" s="103"/>
      <c r="G6" s="103"/>
      <c r="H6" s="103"/>
      <c r="I6" s="103"/>
      <c r="K6" s="104" t="s">
        <v>17</v>
      </c>
      <c r="L6" s="105">
        <v>0.33412772176434502</v>
      </c>
      <c r="M6" s="105">
        <v>0.76680894421781154</v>
      </c>
      <c r="N6" s="105">
        <v>-0.20120632905317576</v>
      </c>
      <c r="O6" s="103"/>
      <c r="P6" s="103"/>
      <c r="Q6" s="103"/>
      <c r="R6" s="103"/>
    </row>
    <row r="7" spans="1:18" x14ac:dyDescent="0.25">
      <c r="B7" s="104" t="s">
        <v>18</v>
      </c>
      <c r="C7" s="105">
        <v>1.47419271662777E-2</v>
      </c>
      <c r="D7" s="105">
        <v>-6.1932559098847101E-3</v>
      </c>
      <c r="E7" s="105">
        <v>0.27037332727331598</v>
      </c>
      <c r="F7" s="103"/>
      <c r="G7" s="103"/>
      <c r="H7" s="103"/>
      <c r="I7" s="103"/>
      <c r="K7" s="104" t="s">
        <v>18</v>
      </c>
      <c r="L7" s="105">
        <v>2.1014608424837773E-2</v>
      </c>
      <c r="M7" s="105">
        <v>-2.4316835339511771E-2</v>
      </c>
      <c r="N7" s="105">
        <v>1.0939141395105423</v>
      </c>
      <c r="O7" s="103"/>
      <c r="P7" s="103"/>
      <c r="Q7" s="103"/>
      <c r="R7" s="103"/>
    </row>
    <row r="8" spans="1:18" x14ac:dyDescent="0.25">
      <c r="B8" s="104" t="s">
        <v>19</v>
      </c>
      <c r="C8" s="105">
        <v>1.3391357374503501E-4</v>
      </c>
      <c r="D8" s="105">
        <v>1.4909517640353701E-4</v>
      </c>
      <c r="E8" s="105">
        <v>0.37274466425643099</v>
      </c>
      <c r="F8" s="103"/>
      <c r="G8" s="103"/>
      <c r="H8" s="103"/>
      <c r="I8" s="103"/>
      <c r="K8" s="104" t="s">
        <v>19</v>
      </c>
      <c r="L8" s="105">
        <v>-1.023994952908939E-4</v>
      </c>
      <c r="M8" s="105">
        <v>2.61965669323118E-4</v>
      </c>
      <c r="N8" s="105">
        <v>0.1112859854753714</v>
      </c>
      <c r="O8" s="103"/>
      <c r="P8" s="103"/>
      <c r="Q8" s="103"/>
      <c r="R8" s="103"/>
    </row>
    <row r="9" spans="1:18" x14ac:dyDescent="0.25">
      <c r="B9" s="104" t="s">
        <v>20</v>
      </c>
      <c r="C9" s="105">
        <v>4.4024253465903702E-4</v>
      </c>
      <c r="D9" s="105">
        <v>3.0655298715052399E-3</v>
      </c>
      <c r="E9" s="105">
        <v>4.81928948948648E-3</v>
      </c>
      <c r="F9" s="103"/>
      <c r="G9" s="103"/>
      <c r="H9" s="103"/>
      <c r="I9" s="103"/>
      <c r="K9" s="104" t="s">
        <v>20</v>
      </c>
      <c r="L9" s="105">
        <v>-1.4070405108950496E-3</v>
      </c>
      <c r="M9" s="105">
        <v>7.4108876001356336E-3</v>
      </c>
      <c r="N9" s="105">
        <v>4.3863187303915668E-3</v>
      </c>
      <c r="O9" s="103"/>
      <c r="P9" s="103"/>
      <c r="Q9" s="103"/>
      <c r="R9" s="103"/>
    </row>
    <row r="10" spans="1:18" x14ac:dyDescent="0.25">
      <c r="B10" s="104" t="s">
        <v>21</v>
      </c>
      <c r="C10" s="105">
        <v>-1.52139492098685E-5</v>
      </c>
      <c r="D10" s="105">
        <v>1.67869430612176E-4</v>
      </c>
      <c r="E10" s="106">
        <v>-1.5556368261007101E-4</v>
      </c>
      <c r="F10" s="103"/>
      <c r="G10" s="103"/>
      <c r="H10" s="103"/>
      <c r="I10" s="103"/>
      <c r="K10" s="104" t="s">
        <v>21</v>
      </c>
      <c r="L10" s="105">
        <v>-2.8515679949124031E-5</v>
      </c>
      <c r="M10" s="105">
        <v>1.1771518494669272E-4</v>
      </c>
      <c r="N10" s="106">
        <v>5.4295132741123726E-8</v>
      </c>
      <c r="O10" s="103"/>
      <c r="P10" s="103"/>
      <c r="Q10" s="103"/>
      <c r="R10" s="103"/>
    </row>
    <row r="11" spans="1:18" x14ac:dyDescent="0.25">
      <c r="B11" s="104" t="s">
        <v>22</v>
      </c>
      <c r="C11" s="105">
        <v>-8.4706546324958497E-5</v>
      </c>
      <c r="D11" s="105">
        <v>-2.66796461498629E-4</v>
      </c>
      <c r="E11" s="106">
        <v>2.6072674467899899E-3</v>
      </c>
      <c r="F11" s="103"/>
      <c r="G11" s="103"/>
      <c r="H11" s="103"/>
      <c r="I11" s="103"/>
      <c r="K11" s="104" t="s">
        <v>22</v>
      </c>
      <c r="L11" s="105">
        <v>7.0706471984457265E-5</v>
      </c>
      <c r="M11" s="105">
        <v>-1.8202995620027876E-4</v>
      </c>
      <c r="N11" s="106">
        <v>-4.4602921532097975E-3</v>
      </c>
      <c r="O11" s="103"/>
      <c r="P11" s="103"/>
      <c r="Q11" s="103"/>
      <c r="R11" s="103"/>
    </row>
    <row r="12" spans="1:18" x14ac:dyDescent="0.25">
      <c r="B12" s="106"/>
      <c r="C12" s="106"/>
      <c r="D12" s="106"/>
      <c r="E12" s="103"/>
      <c r="F12" s="103"/>
      <c r="G12" s="103"/>
      <c r="H12" s="103"/>
      <c r="I12" s="103"/>
      <c r="K12" s="106"/>
      <c r="L12" s="106"/>
      <c r="M12" s="106"/>
      <c r="N12" s="103"/>
      <c r="O12" s="103"/>
      <c r="P12" s="103"/>
      <c r="Q12" s="103"/>
      <c r="R12" s="103"/>
    </row>
    <row r="13" spans="1:18" x14ac:dyDescent="0.25">
      <c r="B13" s="326" t="s">
        <v>587</v>
      </c>
      <c r="C13" s="327"/>
      <c r="D13" s="328"/>
      <c r="E13" s="97" t="s">
        <v>584</v>
      </c>
      <c r="F13" s="98">
        <v>0.77500000000000002</v>
      </c>
      <c r="G13" s="100" t="s">
        <v>585</v>
      </c>
      <c r="H13" s="100">
        <v>0.61499999999999999</v>
      </c>
      <c r="I13" s="103" t="s">
        <v>608</v>
      </c>
      <c r="K13" s="97" t="s">
        <v>587</v>
      </c>
      <c r="L13" s="100"/>
      <c r="M13" s="100"/>
      <c r="N13" s="97" t="s">
        <v>584</v>
      </c>
      <c r="O13" s="98">
        <v>0.79</v>
      </c>
      <c r="P13" s="100" t="s">
        <v>585</v>
      </c>
      <c r="Q13" s="100">
        <v>0.58599999999999997</v>
      </c>
      <c r="R13" s="103" t="s">
        <v>608</v>
      </c>
    </row>
    <row r="14" spans="1:18" x14ac:dyDescent="0.25">
      <c r="B14" s="101"/>
      <c r="C14" s="101" t="s">
        <v>156</v>
      </c>
      <c r="D14" s="101" t="s">
        <v>157</v>
      </c>
      <c r="E14" s="102" t="s">
        <v>586</v>
      </c>
      <c r="F14" s="103"/>
      <c r="G14" s="103"/>
      <c r="H14" s="103"/>
      <c r="I14" s="103"/>
      <c r="K14" s="101"/>
      <c r="L14" s="101" t="s">
        <v>156</v>
      </c>
      <c r="M14" s="101" t="s">
        <v>157</v>
      </c>
      <c r="N14" s="102" t="s">
        <v>586</v>
      </c>
      <c r="O14" s="103"/>
      <c r="P14" s="103"/>
      <c r="Q14" s="103"/>
      <c r="R14" s="103"/>
    </row>
    <row r="15" spans="1:18" x14ac:dyDescent="0.25">
      <c r="B15" s="104" t="s">
        <v>17</v>
      </c>
      <c r="C15" s="105">
        <v>0.44679690988242099</v>
      </c>
      <c r="D15" s="105">
        <v>0.71399200212462999</v>
      </c>
      <c r="E15" s="105">
        <v>0.27680422622696699</v>
      </c>
      <c r="F15" s="103"/>
      <c r="G15" s="103"/>
      <c r="H15" s="103"/>
      <c r="I15" s="103"/>
      <c r="K15" s="104" t="s">
        <v>17</v>
      </c>
      <c r="L15" s="105">
        <v>0.33412772176434502</v>
      </c>
      <c r="M15" s="105">
        <v>0.76680894421781154</v>
      </c>
      <c r="N15" s="105">
        <v>-0.20120632905317576</v>
      </c>
      <c r="O15" s="103"/>
      <c r="P15" s="103"/>
      <c r="Q15" s="103"/>
      <c r="R15" s="103"/>
    </row>
    <row r="16" spans="1:18" x14ac:dyDescent="0.25">
      <c r="B16" s="104" t="s">
        <v>18</v>
      </c>
      <c r="C16" s="105">
        <v>1.47419271662777E-2</v>
      </c>
      <c r="D16" s="105">
        <v>-6.1932559098847101E-3</v>
      </c>
      <c r="E16" s="105">
        <v>0.27037332727331598</v>
      </c>
      <c r="F16" s="103"/>
      <c r="G16" s="103"/>
      <c r="H16" s="103"/>
      <c r="I16" s="103"/>
      <c r="K16" s="104" t="s">
        <v>18</v>
      </c>
      <c r="L16" s="105">
        <v>2.1014608424837773E-2</v>
      </c>
      <c r="M16" s="105">
        <v>-2.4316835339511771E-2</v>
      </c>
      <c r="N16" s="105">
        <v>1.0939141395105423</v>
      </c>
      <c r="O16" s="103"/>
      <c r="P16" s="103"/>
      <c r="Q16" s="103"/>
      <c r="R16" s="103"/>
    </row>
    <row r="17" spans="2:18" x14ac:dyDescent="0.25">
      <c r="B17" s="104" t="s">
        <v>19</v>
      </c>
      <c r="C17" s="105">
        <v>1.3391357374503501E-4</v>
      </c>
      <c r="D17" s="105">
        <v>1.4909517640353701E-4</v>
      </c>
      <c r="E17" s="105">
        <v>0.37274466425643099</v>
      </c>
      <c r="F17" s="103"/>
      <c r="G17" s="103"/>
      <c r="H17" s="103"/>
      <c r="I17" s="103"/>
      <c r="K17" s="104" t="s">
        <v>19</v>
      </c>
      <c r="L17" s="105">
        <v>-1.023994952908939E-4</v>
      </c>
      <c r="M17" s="105">
        <v>2.61965669323118E-4</v>
      </c>
      <c r="N17" s="105">
        <v>0.1112859854753714</v>
      </c>
      <c r="O17" s="103"/>
      <c r="P17" s="103"/>
      <c r="Q17" s="103"/>
      <c r="R17" s="103"/>
    </row>
    <row r="18" spans="2:18" x14ac:dyDescent="0.25">
      <c r="B18" s="104" t="s">
        <v>20</v>
      </c>
      <c r="C18" s="105">
        <v>4.4024253465903702E-4</v>
      </c>
      <c r="D18" s="105">
        <v>3.0655298715052399E-3</v>
      </c>
      <c r="E18" s="105">
        <v>4.81928948948648E-3</v>
      </c>
      <c r="F18" s="103"/>
      <c r="G18" s="103"/>
      <c r="H18" s="103"/>
      <c r="I18" s="103"/>
      <c r="K18" s="104" t="s">
        <v>20</v>
      </c>
      <c r="L18" s="105">
        <v>-1.4070405108950496E-3</v>
      </c>
      <c r="M18" s="105">
        <v>7.4108876001356336E-3</v>
      </c>
      <c r="N18" s="105">
        <v>4.3863187303915668E-3</v>
      </c>
      <c r="O18" s="103"/>
      <c r="P18" s="103"/>
      <c r="Q18" s="103"/>
      <c r="R18" s="103"/>
    </row>
    <row r="19" spans="2:18" x14ac:dyDescent="0.25">
      <c r="B19" s="104" t="s">
        <v>21</v>
      </c>
      <c r="C19" s="105">
        <v>-1.52139492098685E-5</v>
      </c>
      <c r="D19" s="105">
        <v>1.67869430612176E-4</v>
      </c>
      <c r="E19" s="106">
        <v>-1.5556368261007101E-4</v>
      </c>
      <c r="F19" s="103"/>
      <c r="G19" s="103"/>
      <c r="H19" s="103"/>
      <c r="I19" s="103"/>
      <c r="K19" s="104" t="s">
        <v>21</v>
      </c>
      <c r="L19" s="105">
        <v>-2.8515679949124031E-5</v>
      </c>
      <c r="M19" s="105">
        <v>1.1771518494669272E-4</v>
      </c>
      <c r="N19" s="106">
        <v>5.4295132741123726E-8</v>
      </c>
      <c r="O19" s="103"/>
      <c r="P19" s="103"/>
      <c r="Q19" s="103"/>
      <c r="R19" s="103"/>
    </row>
    <row r="20" spans="2:18" x14ac:dyDescent="0.25">
      <c r="B20" s="104" t="s">
        <v>22</v>
      </c>
      <c r="C20" s="105">
        <v>-8.4706546324958497E-5</v>
      </c>
      <c r="D20" s="105">
        <v>-2.66796461498629E-4</v>
      </c>
      <c r="E20" s="106">
        <v>2.6072674467899899E-3</v>
      </c>
      <c r="F20" s="103"/>
      <c r="G20" s="103"/>
      <c r="H20" s="103"/>
      <c r="I20" s="103"/>
      <c r="K20" s="104" t="s">
        <v>22</v>
      </c>
      <c r="L20" s="105">
        <v>7.0706471984457265E-5</v>
      </c>
      <c r="M20" s="105">
        <v>-1.8202995620027876E-4</v>
      </c>
      <c r="N20" s="106">
        <v>-4.4602921532097975E-3</v>
      </c>
      <c r="O20" s="103"/>
      <c r="P20" s="103"/>
      <c r="Q20" s="103"/>
      <c r="R20" s="103"/>
    </row>
    <row r="21" spans="2:18" x14ac:dyDescent="0.25">
      <c r="B21" s="106"/>
      <c r="C21" s="106"/>
      <c r="D21" s="106"/>
      <c r="E21" s="103"/>
      <c r="F21" s="103"/>
      <c r="G21" s="103"/>
      <c r="H21" s="103"/>
      <c r="I21" s="103"/>
      <c r="K21" s="106"/>
      <c r="L21" s="106"/>
      <c r="M21" s="106"/>
      <c r="N21" s="103"/>
      <c r="O21" s="103"/>
      <c r="P21" s="103"/>
      <c r="Q21" s="103"/>
      <c r="R21" s="103"/>
    </row>
    <row r="22" spans="2:18" x14ac:dyDescent="0.25">
      <c r="B22" s="326" t="s">
        <v>588</v>
      </c>
      <c r="C22" s="327"/>
      <c r="D22" s="328"/>
      <c r="E22" s="97" t="s">
        <v>584</v>
      </c>
      <c r="F22" s="98">
        <v>0.68</v>
      </c>
      <c r="G22" s="100" t="s">
        <v>585</v>
      </c>
      <c r="H22" s="98">
        <v>0.57999999999999996</v>
      </c>
      <c r="I22" s="103" t="s">
        <v>608</v>
      </c>
      <c r="K22" s="97" t="s">
        <v>588</v>
      </c>
      <c r="L22" s="100"/>
      <c r="M22" s="100"/>
      <c r="N22" s="97" t="s">
        <v>584</v>
      </c>
      <c r="O22" s="98">
        <v>0.71799999999999997</v>
      </c>
      <c r="P22" s="100" t="s">
        <v>585</v>
      </c>
      <c r="Q22" s="98">
        <v>0.54</v>
      </c>
      <c r="R22" s="103" t="s">
        <v>608</v>
      </c>
    </row>
    <row r="23" spans="2:18" x14ac:dyDescent="0.25">
      <c r="B23" s="101"/>
      <c r="C23" s="101" t="s">
        <v>156</v>
      </c>
      <c r="D23" s="101" t="s">
        <v>157</v>
      </c>
      <c r="E23" s="102" t="s">
        <v>586</v>
      </c>
      <c r="F23" s="103"/>
      <c r="G23" s="103"/>
      <c r="H23" s="103"/>
      <c r="I23" s="103"/>
      <c r="K23" s="101"/>
      <c r="L23" s="101" t="s">
        <v>156</v>
      </c>
      <c r="M23" s="101" t="s">
        <v>157</v>
      </c>
      <c r="N23" s="102" t="s">
        <v>586</v>
      </c>
      <c r="O23" s="103"/>
      <c r="P23" s="103"/>
      <c r="Q23" s="103"/>
      <c r="R23" s="103"/>
    </row>
    <row r="24" spans="2:18" x14ac:dyDescent="0.25">
      <c r="B24" s="104" t="s">
        <v>17</v>
      </c>
      <c r="C24" s="105">
        <v>0.44679690988242099</v>
      </c>
      <c r="D24" s="105">
        <v>0.71399200212462999</v>
      </c>
      <c r="E24" s="105">
        <v>0.27680422622696699</v>
      </c>
      <c r="F24" s="103"/>
      <c r="G24" s="103"/>
      <c r="H24" s="103"/>
      <c r="I24" s="103"/>
      <c r="K24" s="104" t="s">
        <v>17</v>
      </c>
      <c r="L24" s="105">
        <v>0.33412772176434502</v>
      </c>
      <c r="M24" s="105">
        <v>0.76680894421781154</v>
      </c>
      <c r="N24" s="105">
        <v>-0.20120632905317576</v>
      </c>
      <c r="O24" s="103"/>
      <c r="P24" s="103"/>
      <c r="Q24" s="103"/>
      <c r="R24" s="103"/>
    </row>
    <row r="25" spans="2:18" x14ac:dyDescent="0.25">
      <c r="B25" s="104" t="s">
        <v>18</v>
      </c>
      <c r="C25" s="105">
        <v>1.47419271662777E-2</v>
      </c>
      <c r="D25" s="105">
        <v>-6.1932559098847101E-3</v>
      </c>
      <c r="E25" s="105">
        <v>0.27037332727331598</v>
      </c>
      <c r="F25" s="103"/>
      <c r="G25" s="103"/>
      <c r="H25" s="103"/>
      <c r="I25" s="103"/>
      <c r="K25" s="104" t="s">
        <v>18</v>
      </c>
      <c r="L25" s="105">
        <v>2.1014608424837773E-2</v>
      </c>
      <c r="M25" s="105">
        <v>-2.4316835339511771E-2</v>
      </c>
      <c r="N25" s="105">
        <v>1.0939141395105423</v>
      </c>
      <c r="O25" s="103"/>
      <c r="P25" s="103"/>
      <c r="Q25" s="103"/>
      <c r="R25" s="103"/>
    </row>
    <row r="26" spans="2:18" x14ac:dyDescent="0.25">
      <c r="B26" s="104" t="s">
        <v>19</v>
      </c>
      <c r="C26" s="105">
        <v>1.3391357374503501E-4</v>
      </c>
      <c r="D26" s="105">
        <v>1.4909517640353701E-4</v>
      </c>
      <c r="E26" s="105">
        <v>0.37274466425643099</v>
      </c>
      <c r="F26" s="103"/>
      <c r="G26" s="103"/>
      <c r="H26" s="103"/>
      <c r="I26" s="103"/>
      <c r="K26" s="104" t="s">
        <v>19</v>
      </c>
      <c r="L26" s="105">
        <v>-1.023994952908939E-4</v>
      </c>
      <c r="M26" s="105">
        <v>2.61965669323118E-4</v>
      </c>
      <c r="N26" s="105">
        <v>0.1112859854753714</v>
      </c>
      <c r="O26" s="103"/>
      <c r="P26" s="103"/>
      <c r="Q26" s="103"/>
      <c r="R26" s="103"/>
    </row>
    <row r="27" spans="2:18" x14ac:dyDescent="0.25">
      <c r="B27" s="104" t="s">
        <v>20</v>
      </c>
      <c r="C27" s="105">
        <v>4.4024253465903702E-4</v>
      </c>
      <c r="D27" s="105">
        <v>3.0655298715052399E-3</v>
      </c>
      <c r="E27" s="105">
        <v>4.81928948948648E-3</v>
      </c>
      <c r="F27" s="103"/>
      <c r="G27" s="103"/>
      <c r="H27" s="103"/>
      <c r="I27" s="103"/>
      <c r="K27" s="104" t="s">
        <v>20</v>
      </c>
      <c r="L27" s="105">
        <v>-1.4070405108950496E-3</v>
      </c>
      <c r="M27" s="105">
        <v>7.4108876001356336E-3</v>
      </c>
      <c r="N27" s="105">
        <v>4.3863187303915668E-3</v>
      </c>
      <c r="O27" s="103"/>
      <c r="P27" s="103"/>
      <c r="Q27" s="103"/>
      <c r="R27" s="103"/>
    </row>
    <row r="28" spans="2:18" x14ac:dyDescent="0.25">
      <c r="B28" s="104" t="s">
        <v>21</v>
      </c>
      <c r="C28" s="105">
        <v>-1.52139492098685E-5</v>
      </c>
      <c r="D28" s="105">
        <v>1.67869430612176E-4</v>
      </c>
      <c r="E28" s="106">
        <v>-1.5556368261007101E-4</v>
      </c>
      <c r="F28" s="103"/>
      <c r="G28" s="103"/>
      <c r="H28" s="103"/>
      <c r="I28" s="103"/>
      <c r="K28" s="104" t="s">
        <v>21</v>
      </c>
      <c r="L28" s="105">
        <v>-2.8515679949124031E-5</v>
      </c>
      <c r="M28" s="105">
        <v>1.1771518494669272E-4</v>
      </c>
      <c r="N28" s="106">
        <v>5.4295132741123726E-8</v>
      </c>
      <c r="O28" s="103"/>
      <c r="P28" s="103"/>
      <c r="Q28" s="103"/>
      <c r="R28" s="103"/>
    </row>
    <row r="29" spans="2:18" x14ac:dyDescent="0.25">
      <c r="B29" s="104" t="s">
        <v>22</v>
      </c>
      <c r="C29" s="105">
        <v>-8.4706546324958497E-5</v>
      </c>
      <c r="D29" s="105">
        <v>-2.66796461498629E-4</v>
      </c>
      <c r="E29" s="106">
        <v>2.6072674467899899E-3</v>
      </c>
      <c r="F29" s="103"/>
      <c r="G29" s="103"/>
      <c r="H29" s="103"/>
      <c r="I29" s="103"/>
      <c r="K29" s="104" t="s">
        <v>22</v>
      </c>
      <c r="L29" s="105">
        <v>7.0706471984457265E-5</v>
      </c>
      <c r="M29" s="105">
        <v>-1.8202995620027876E-4</v>
      </c>
      <c r="N29" s="106">
        <v>-4.4602921532097975E-3</v>
      </c>
      <c r="O29" s="103"/>
      <c r="P29" s="103"/>
      <c r="Q29" s="103"/>
      <c r="R29" s="103"/>
    </row>
    <row r="30" spans="2:18" x14ac:dyDescent="0.25">
      <c r="B30" s="106"/>
      <c r="C30" s="106"/>
      <c r="D30" s="106"/>
      <c r="E30" s="103"/>
      <c r="F30" s="103"/>
      <c r="G30" s="103"/>
      <c r="H30" s="103"/>
      <c r="I30" s="103"/>
      <c r="K30" s="106"/>
      <c r="L30" s="106"/>
      <c r="M30" s="106"/>
      <c r="N30" s="103"/>
      <c r="O30" s="103"/>
      <c r="P30" s="103"/>
      <c r="Q30" s="103"/>
      <c r="R30" s="103"/>
    </row>
    <row r="31" spans="2:18" x14ac:dyDescent="0.25">
      <c r="B31" s="326" t="s">
        <v>589</v>
      </c>
      <c r="C31" s="327"/>
      <c r="D31" s="328"/>
      <c r="E31" s="97" t="s">
        <v>584</v>
      </c>
      <c r="F31" s="98">
        <v>0.62</v>
      </c>
      <c r="G31" s="100" t="s">
        <v>585</v>
      </c>
      <c r="H31" s="98">
        <v>0.54</v>
      </c>
      <c r="I31" s="103" t="s">
        <v>608</v>
      </c>
      <c r="K31" s="97" t="s">
        <v>589</v>
      </c>
      <c r="L31" s="100"/>
      <c r="M31" s="100"/>
      <c r="N31" s="97" t="s">
        <v>584</v>
      </c>
      <c r="O31" s="98">
        <v>0.63900000000000001</v>
      </c>
      <c r="P31" s="100" t="s">
        <v>585</v>
      </c>
      <c r="Q31" s="98">
        <v>0.49</v>
      </c>
      <c r="R31" s="103" t="s">
        <v>608</v>
      </c>
    </row>
    <row r="32" spans="2:18" x14ac:dyDescent="0.25">
      <c r="B32" s="101"/>
      <c r="C32" s="101" t="s">
        <v>156</v>
      </c>
      <c r="D32" s="101" t="s">
        <v>157</v>
      </c>
      <c r="E32" s="102" t="s">
        <v>586</v>
      </c>
      <c r="F32" s="103"/>
      <c r="G32" s="103"/>
      <c r="H32" s="103"/>
      <c r="I32" s="103"/>
      <c r="K32" s="101"/>
      <c r="L32" s="101" t="s">
        <v>156</v>
      </c>
      <c r="M32" s="101" t="s">
        <v>157</v>
      </c>
      <c r="N32" s="102" t="s">
        <v>586</v>
      </c>
      <c r="O32" s="103"/>
      <c r="P32" s="103"/>
      <c r="Q32" s="103"/>
      <c r="R32" s="103"/>
    </row>
    <row r="33" spans="2:18" x14ac:dyDescent="0.25">
      <c r="B33" s="104" t="s">
        <v>17</v>
      </c>
      <c r="C33" s="105">
        <v>0.44679690988242099</v>
      </c>
      <c r="D33" s="105">
        <v>0.71399200212462999</v>
      </c>
      <c r="E33" s="105">
        <v>0.27680422622696699</v>
      </c>
      <c r="F33" s="103"/>
      <c r="G33" s="103"/>
      <c r="H33" s="103"/>
      <c r="I33" s="103"/>
      <c r="K33" s="104" t="s">
        <v>17</v>
      </c>
      <c r="L33" s="105">
        <v>0.33412772176434502</v>
      </c>
      <c r="M33" s="105">
        <v>0.76680894421781154</v>
      </c>
      <c r="N33" s="105">
        <v>-0.20120632905317576</v>
      </c>
      <c r="O33" s="103"/>
      <c r="P33" s="103"/>
      <c r="Q33" s="103"/>
      <c r="R33" s="103"/>
    </row>
    <row r="34" spans="2:18" x14ac:dyDescent="0.25">
      <c r="B34" s="104" t="s">
        <v>18</v>
      </c>
      <c r="C34" s="105">
        <v>1.47419271662777E-2</v>
      </c>
      <c r="D34" s="105">
        <v>-6.1932559098847101E-3</v>
      </c>
      <c r="E34" s="105">
        <v>0.27037332727331598</v>
      </c>
      <c r="F34" s="103"/>
      <c r="G34" s="103"/>
      <c r="H34" s="103"/>
      <c r="I34" s="103"/>
      <c r="K34" s="104" t="s">
        <v>18</v>
      </c>
      <c r="L34" s="105">
        <v>2.1014608424837773E-2</v>
      </c>
      <c r="M34" s="105">
        <v>-2.4316835339511771E-2</v>
      </c>
      <c r="N34" s="105">
        <v>1.0939141395105423</v>
      </c>
      <c r="O34" s="103"/>
      <c r="P34" s="103"/>
      <c r="Q34" s="103"/>
      <c r="R34" s="103"/>
    </row>
    <row r="35" spans="2:18" x14ac:dyDescent="0.25">
      <c r="B35" s="104" t="s">
        <v>19</v>
      </c>
      <c r="C35" s="105">
        <v>1.3391357374503501E-4</v>
      </c>
      <c r="D35" s="105">
        <v>1.4909517640353701E-4</v>
      </c>
      <c r="E35" s="105">
        <v>0.37274466425643099</v>
      </c>
      <c r="F35" s="103"/>
      <c r="G35" s="103"/>
      <c r="H35" s="103"/>
      <c r="I35" s="103"/>
      <c r="K35" s="104" t="s">
        <v>19</v>
      </c>
      <c r="L35" s="105">
        <v>-1.023994952908939E-4</v>
      </c>
      <c r="M35" s="105">
        <v>2.61965669323118E-4</v>
      </c>
      <c r="N35" s="105">
        <v>0.1112859854753714</v>
      </c>
      <c r="O35" s="103"/>
      <c r="P35" s="103"/>
      <c r="Q35" s="103"/>
      <c r="R35" s="103"/>
    </row>
    <row r="36" spans="2:18" x14ac:dyDescent="0.25">
      <c r="B36" s="104" t="s">
        <v>20</v>
      </c>
      <c r="C36" s="105">
        <v>4.4024253465903702E-4</v>
      </c>
      <c r="D36" s="105">
        <v>3.0655298715052399E-3</v>
      </c>
      <c r="E36" s="105">
        <v>4.81928948948648E-3</v>
      </c>
      <c r="F36" s="103"/>
      <c r="G36" s="103"/>
      <c r="H36" s="103"/>
      <c r="I36" s="103"/>
      <c r="K36" s="104" t="s">
        <v>20</v>
      </c>
      <c r="L36" s="105">
        <v>-1.4070405108950496E-3</v>
      </c>
      <c r="M36" s="105">
        <v>7.4108876001356336E-3</v>
      </c>
      <c r="N36" s="105">
        <v>4.3863187303915668E-3</v>
      </c>
      <c r="O36" s="103"/>
      <c r="P36" s="103"/>
      <c r="Q36" s="103"/>
      <c r="R36" s="103"/>
    </row>
    <row r="37" spans="2:18" x14ac:dyDescent="0.25">
      <c r="B37" s="104" t="s">
        <v>21</v>
      </c>
      <c r="C37" s="105">
        <v>-1.52139492098685E-5</v>
      </c>
      <c r="D37" s="105">
        <v>1.67869430612176E-4</v>
      </c>
      <c r="E37" s="106">
        <v>-1.5556368261007101E-4</v>
      </c>
      <c r="F37" s="103"/>
      <c r="G37" s="103"/>
      <c r="H37" s="103"/>
      <c r="I37" s="103"/>
      <c r="K37" s="104" t="s">
        <v>21</v>
      </c>
      <c r="L37" s="105">
        <v>-2.8515679949124031E-5</v>
      </c>
      <c r="M37" s="105">
        <v>1.1771518494669272E-4</v>
      </c>
      <c r="N37" s="106">
        <v>5.4295132741123726E-8</v>
      </c>
      <c r="O37" s="103"/>
      <c r="P37" s="103"/>
      <c r="Q37" s="103"/>
      <c r="R37" s="103"/>
    </row>
    <row r="38" spans="2:18" x14ac:dyDescent="0.25">
      <c r="B38" s="104" t="s">
        <v>22</v>
      </c>
      <c r="C38" s="105">
        <v>-8.4706546324958497E-5</v>
      </c>
      <c r="D38" s="105">
        <v>-2.66796461498629E-4</v>
      </c>
      <c r="E38" s="106">
        <v>2.6072674467899899E-3</v>
      </c>
      <c r="F38" s="103"/>
      <c r="G38" s="103"/>
      <c r="H38" s="103"/>
      <c r="I38" s="103"/>
      <c r="K38" s="104" t="s">
        <v>22</v>
      </c>
      <c r="L38" s="105">
        <v>7.0706471984457265E-5</v>
      </c>
      <c r="M38" s="105">
        <v>-1.8202995620027876E-4</v>
      </c>
      <c r="N38" s="106">
        <v>-4.4602921532097975E-3</v>
      </c>
      <c r="O38" s="103"/>
      <c r="P38" s="103"/>
      <c r="Q38" s="103"/>
      <c r="R38" s="103"/>
    </row>
    <row r="39" spans="2:18" x14ac:dyDescent="0.25">
      <c r="B39" s="106"/>
      <c r="C39" s="106"/>
      <c r="D39" s="106"/>
      <c r="E39" s="103"/>
      <c r="F39" s="103"/>
      <c r="G39" s="103"/>
      <c r="H39" s="103"/>
      <c r="I39" s="103"/>
      <c r="K39" s="106"/>
      <c r="L39" s="106"/>
      <c r="M39" s="106"/>
      <c r="N39" s="103"/>
      <c r="O39" s="103"/>
      <c r="P39" s="103"/>
      <c r="Q39" s="103"/>
      <c r="R39" s="103"/>
    </row>
    <row r="40" spans="2:18" x14ac:dyDescent="0.25">
      <c r="B40" s="326" t="s">
        <v>590</v>
      </c>
      <c r="C40" s="327"/>
      <c r="D40" s="328"/>
      <c r="E40" s="97" t="s">
        <v>584</v>
      </c>
      <c r="F40" s="98">
        <v>0.63400000000000001</v>
      </c>
      <c r="G40" s="100" t="s">
        <v>585</v>
      </c>
      <c r="H40" s="98">
        <v>0.59599999999999997</v>
      </c>
      <c r="I40" s="103"/>
      <c r="K40" s="97" t="s">
        <v>590</v>
      </c>
      <c r="L40" s="100"/>
      <c r="M40" s="100"/>
      <c r="N40" s="97" t="s">
        <v>584</v>
      </c>
      <c r="O40" s="98">
        <v>0.63900000000000001</v>
      </c>
      <c r="P40" s="100" t="s">
        <v>585</v>
      </c>
      <c r="Q40" s="98">
        <v>0.45</v>
      </c>
      <c r="R40" s="103"/>
    </row>
    <row r="41" spans="2:18" x14ac:dyDescent="0.25">
      <c r="B41" s="101"/>
      <c r="C41" s="101" t="s">
        <v>156</v>
      </c>
      <c r="D41" s="101" t="s">
        <v>157</v>
      </c>
      <c r="E41" s="102" t="s">
        <v>586</v>
      </c>
      <c r="F41" s="103"/>
      <c r="G41" s="103"/>
      <c r="H41" s="103"/>
      <c r="I41" s="103"/>
      <c r="K41" s="101"/>
      <c r="L41" s="101" t="s">
        <v>156</v>
      </c>
      <c r="M41" s="101" t="s">
        <v>157</v>
      </c>
      <c r="N41" s="102" t="s">
        <v>586</v>
      </c>
      <c r="O41" s="103"/>
      <c r="P41" s="103"/>
      <c r="Q41" s="103"/>
      <c r="R41" s="103"/>
    </row>
    <row r="42" spans="2:18" x14ac:dyDescent="0.25">
      <c r="B42" s="104" t="s">
        <v>17</v>
      </c>
      <c r="C42" s="105">
        <v>-0.49737319000000002</v>
      </c>
      <c r="D42" s="105">
        <v>1.1536154700000001</v>
      </c>
      <c r="E42" s="105">
        <v>0.27969645999999998</v>
      </c>
      <c r="F42" s="103"/>
      <c r="G42" s="103"/>
      <c r="H42" s="103"/>
      <c r="I42" s="103"/>
      <c r="K42" s="104" t="s">
        <v>17</v>
      </c>
      <c r="L42" s="105">
        <v>0.180980075767812</v>
      </c>
      <c r="M42" s="105">
        <v>0.87311405327851699</v>
      </c>
      <c r="N42" s="105">
        <v>9.9220759266582005E-3</v>
      </c>
      <c r="O42" s="103"/>
      <c r="P42" s="103"/>
      <c r="Q42" s="103"/>
      <c r="R42" s="103"/>
    </row>
    <row r="43" spans="2:18" x14ac:dyDescent="0.25">
      <c r="B43" s="104" t="s">
        <v>18</v>
      </c>
      <c r="C43" s="105">
        <v>-9.5607299999999999E-3</v>
      </c>
      <c r="D43" s="105">
        <v>-3.067901E-2</v>
      </c>
      <c r="E43" s="105">
        <v>0.57375735000000005</v>
      </c>
      <c r="F43" s="103"/>
      <c r="G43" s="103"/>
      <c r="H43" s="103"/>
      <c r="I43" s="103"/>
      <c r="K43" s="104" t="s">
        <v>18</v>
      </c>
      <c r="L43" s="105">
        <v>3.1844233813172598E-2</v>
      </c>
      <c r="M43" s="105">
        <v>-2.5207557562157701E-2</v>
      </c>
      <c r="N43" s="105">
        <v>5.4002044968155999E-2</v>
      </c>
      <c r="O43" s="103"/>
      <c r="P43" s="103"/>
      <c r="Q43" s="103"/>
      <c r="R43" s="103"/>
    </row>
    <row r="44" spans="2:18" x14ac:dyDescent="0.25">
      <c r="B44" s="104" t="s">
        <v>19</v>
      </c>
      <c r="C44" s="105">
        <v>-5.9561E-4</v>
      </c>
      <c r="D44" s="105">
        <v>3.0591E-4</v>
      </c>
      <c r="E44" s="105">
        <v>0.25690463000000002</v>
      </c>
      <c r="F44" s="103"/>
      <c r="G44" s="103"/>
      <c r="H44" s="103"/>
      <c r="I44" s="103"/>
      <c r="K44" s="104" t="s">
        <v>19</v>
      </c>
      <c r="L44" s="105">
        <v>-1.54148946419477E-4</v>
      </c>
      <c r="M44" s="105">
        <v>3.6861623771618403E-4</v>
      </c>
      <c r="N44" s="105">
        <v>0.91845464841410596</v>
      </c>
      <c r="O44" s="103"/>
      <c r="P44" s="103"/>
      <c r="Q44" s="103"/>
      <c r="R44" s="103"/>
    </row>
    <row r="45" spans="2:18" x14ac:dyDescent="0.25">
      <c r="B45" s="104" t="s">
        <v>20</v>
      </c>
      <c r="C45" s="105">
        <v>4.3520990000000002E-2</v>
      </c>
      <c r="D45" s="105">
        <v>6.7087400000000004E-3</v>
      </c>
      <c r="E45" s="105">
        <v>-5.8071700000000004E-3</v>
      </c>
      <c r="F45" s="103"/>
      <c r="G45" s="103"/>
      <c r="H45" s="103"/>
      <c r="I45" s="103"/>
      <c r="K45" s="104" t="s">
        <v>20</v>
      </c>
      <c r="L45" s="105">
        <v>9.5659058164194507E-3</v>
      </c>
      <c r="M45" s="105">
        <v>1.8292090581261401E-2</v>
      </c>
      <c r="N45" s="105">
        <v>1.05967474705167E-2</v>
      </c>
      <c r="O45" s="103"/>
      <c r="P45" s="103"/>
      <c r="Q45" s="103"/>
      <c r="R45" s="103"/>
    </row>
    <row r="46" spans="2:18" x14ac:dyDescent="0.25">
      <c r="B46" s="104" t="s">
        <v>21</v>
      </c>
      <c r="C46" s="105">
        <v>-5.8394000000000002E-4</v>
      </c>
      <c r="D46" s="105">
        <v>5.2800000000000003E-5</v>
      </c>
      <c r="E46" s="106">
        <v>1.4648999999999999E-4</v>
      </c>
      <c r="F46" s="103"/>
      <c r="G46" s="103"/>
      <c r="H46" s="103"/>
      <c r="I46" s="103"/>
      <c r="K46" s="104" t="s">
        <v>21</v>
      </c>
      <c r="L46" s="105">
        <v>-1.3547016191585101E-4</v>
      </c>
      <c r="M46" s="105">
        <v>4.7034677075395002E-5</v>
      </c>
      <c r="N46" s="106">
        <v>-3.3669177553959002E-5</v>
      </c>
      <c r="O46" s="103"/>
      <c r="P46" s="103"/>
      <c r="Q46" s="103"/>
      <c r="R46" s="103"/>
    </row>
    <row r="47" spans="2:18" x14ac:dyDescent="0.25">
      <c r="B47" s="104" t="s">
        <v>22</v>
      </c>
      <c r="C47" s="105">
        <v>9.6007000000000004E-4</v>
      </c>
      <c r="D47" s="105">
        <v>-9.2969999999999999E-5</v>
      </c>
      <c r="E47" s="106">
        <v>-3.5300700000000002E-3</v>
      </c>
      <c r="F47" s="103"/>
      <c r="G47" s="103"/>
      <c r="H47" s="103"/>
      <c r="I47" s="103"/>
      <c r="K47" s="104" t="s">
        <v>22</v>
      </c>
      <c r="L47" s="105">
        <v>-5.3197437829929998E-5</v>
      </c>
      <c r="M47" s="105">
        <v>-3.5765587731861101E-4</v>
      </c>
      <c r="N47" s="106">
        <v>-8.7703099683978901E-3</v>
      </c>
      <c r="O47" s="103"/>
      <c r="P47" s="103"/>
      <c r="Q47" s="103"/>
      <c r="R47" s="103"/>
    </row>
    <row r="48" spans="2:18" x14ac:dyDescent="0.25">
      <c r="B48" s="107"/>
      <c r="C48" s="108"/>
      <c r="D48" s="108"/>
      <c r="E48" s="103"/>
      <c r="F48" s="103"/>
      <c r="G48" s="103"/>
      <c r="H48" s="103"/>
      <c r="I48" s="103"/>
      <c r="K48" s="107"/>
      <c r="L48" s="108"/>
      <c r="M48" s="108"/>
      <c r="N48" s="103"/>
      <c r="O48" s="103"/>
      <c r="P48" s="103"/>
      <c r="Q48" s="103"/>
      <c r="R48" s="103"/>
    </row>
    <row r="49" spans="2:18" x14ac:dyDescent="0.25">
      <c r="B49" s="326" t="s">
        <v>591</v>
      </c>
      <c r="C49" s="327"/>
      <c r="D49" s="328"/>
      <c r="E49" s="97" t="s">
        <v>584</v>
      </c>
      <c r="F49" s="98">
        <v>0.63400000000000001</v>
      </c>
      <c r="G49" s="100" t="s">
        <v>585</v>
      </c>
      <c r="H49" s="98">
        <f>12/(5.9*3.415)</f>
        <v>0.59557783457825642</v>
      </c>
      <c r="I49" s="103" t="s">
        <v>609</v>
      </c>
      <c r="K49" s="97" t="s">
        <v>591</v>
      </c>
      <c r="L49" s="100"/>
      <c r="M49" s="100"/>
      <c r="N49" s="97" t="s">
        <v>584</v>
      </c>
      <c r="O49" s="98">
        <v>0.63900000000000001</v>
      </c>
      <c r="P49" s="100" t="s">
        <v>585</v>
      </c>
      <c r="Q49" s="98">
        <v>0.45</v>
      </c>
      <c r="R49" s="103" t="s">
        <v>609</v>
      </c>
    </row>
    <row r="50" spans="2:18" x14ac:dyDescent="0.25">
      <c r="B50" s="101"/>
      <c r="C50" s="101" t="s">
        <v>156</v>
      </c>
      <c r="D50" s="101" t="s">
        <v>157</v>
      </c>
      <c r="E50" s="102" t="s">
        <v>586</v>
      </c>
      <c r="F50" s="103"/>
      <c r="G50" s="103"/>
      <c r="H50" s="103"/>
      <c r="I50" s="103"/>
      <c r="K50" s="101"/>
      <c r="L50" s="101" t="s">
        <v>156</v>
      </c>
      <c r="M50" s="101" t="s">
        <v>157</v>
      </c>
      <c r="N50" s="102" t="s">
        <v>586</v>
      </c>
      <c r="O50" s="103"/>
      <c r="P50" s="103"/>
      <c r="Q50" s="103"/>
      <c r="R50" s="103"/>
    </row>
    <row r="51" spans="2:18" x14ac:dyDescent="0.25">
      <c r="B51" s="104" t="s">
        <v>17</v>
      </c>
      <c r="C51" s="105">
        <v>-0.49737319000000002</v>
      </c>
      <c r="D51" s="105">
        <v>1.1536154700000001</v>
      </c>
      <c r="E51" s="105">
        <v>0.27969645999999998</v>
      </c>
      <c r="F51" s="103"/>
      <c r="G51" s="103"/>
      <c r="H51" s="103"/>
      <c r="I51" s="103"/>
      <c r="K51" s="104" t="s">
        <v>17</v>
      </c>
      <c r="L51" s="105">
        <v>0.180980075767812</v>
      </c>
      <c r="M51" s="105">
        <v>0.87311405327851699</v>
      </c>
      <c r="N51" s="105">
        <v>9.9220759266582005E-3</v>
      </c>
      <c r="O51" s="103"/>
      <c r="P51" s="103"/>
      <c r="Q51" s="103"/>
      <c r="R51" s="103"/>
    </row>
    <row r="52" spans="2:18" x14ac:dyDescent="0.25">
      <c r="B52" s="104" t="s">
        <v>18</v>
      </c>
      <c r="C52" s="105">
        <v>-9.5607299999999999E-3</v>
      </c>
      <c r="D52" s="105">
        <v>-3.067901E-2</v>
      </c>
      <c r="E52" s="105">
        <v>0.57375735000000005</v>
      </c>
      <c r="F52" s="103"/>
      <c r="G52" s="103"/>
      <c r="H52" s="103"/>
      <c r="I52" s="103"/>
      <c r="K52" s="104" t="s">
        <v>18</v>
      </c>
      <c r="L52" s="105">
        <v>3.1844233813172598E-2</v>
      </c>
      <c r="M52" s="105">
        <v>-2.5207557562157701E-2</v>
      </c>
      <c r="N52" s="105">
        <v>5.4002044968155999E-2</v>
      </c>
      <c r="O52" s="103"/>
      <c r="P52" s="103"/>
      <c r="Q52" s="103"/>
      <c r="R52" s="103"/>
    </row>
    <row r="53" spans="2:18" x14ac:dyDescent="0.25">
      <c r="B53" s="104" t="s">
        <v>19</v>
      </c>
      <c r="C53" s="105">
        <v>-5.9561E-4</v>
      </c>
      <c r="D53" s="105">
        <v>3.0591E-4</v>
      </c>
      <c r="E53" s="105">
        <v>0.25690463000000002</v>
      </c>
      <c r="F53" s="103"/>
      <c r="G53" s="103"/>
      <c r="H53" s="103"/>
      <c r="I53" s="103"/>
      <c r="K53" s="104" t="s">
        <v>19</v>
      </c>
      <c r="L53" s="105">
        <v>-1.54148946419477E-4</v>
      </c>
      <c r="M53" s="105">
        <v>3.6861623771618403E-4</v>
      </c>
      <c r="N53" s="105">
        <v>0.91845464841410596</v>
      </c>
      <c r="O53" s="103"/>
      <c r="P53" s="103"/>
      <c r="Q53" s="103"/>
      <c r="R53" s="103"/>
    </row>
    <row r="54" spans="2:18" x14ac:dyDescent="0.25">
      <c r="B54" s="104" t="s">
        <v>20</v>
      </c>
      <c r="C54" s="105">
        <v>4.3520990000000002E-2</v>
      </c>
      <c r="D54" s="105">
        <v>6.7087400000000004E-3</v>
      </c>
      <c r="E54" s="105">
        <v>-5.8071700000000004E-3</v>
      </c>
      <c r="F54" s="103"/>
      <c r="G54" s="103"/>
      <c r="H54" s="103"/>
      <c r="I54" s="103"/>
      <c r="K54" s="104" t="s">
        <v>20</v>
      </c>
      <c r="L54" s="105">
        <v>9.5659058164194507E-3</v>
      </c>
      <c r="M54" s="105">
        <v>1.8292090581261401E-2</v>
      </c>
      <c r="N54" s="105">
        <v>1.05967474705167E-2</v>
      </c>
      <c r="O54" s="103"/>
      <c r="P54" s="103"/>
      <c r="Q54" s="103"/>
      <c r="R54" s="103"/>
    </row>
    <row r="55" spans="2:18" x14ac:dyDescent="0.25">
      <c r="B55" s="104" t="s">
        <v>21</v>
      </c>
      <c r="C55" s="105">
        <v>-5.8394000000000002E-4</v>
      </c>
      <c r="D55" s="105">
        <v>5.2800000000000003E-5</v>
      </c>
      <c r="E55" s="106">
        <v>1.4648999999999999E-4</v>
      </c>
      <c r="F55" s="103"/>
      <c r="G55" s="103"/>
      <c r="H55" s="103"/>
      <c r="I55" s="103"/>
      <c r="K55" s="104" t="s">
        <v>21</v>
      </c>
      <c r="L55" s="105">
        <v>-1.3547016191585101E-4</v>
      </c>
      <c r="M55" s="105">
        <v>4.7034677075395002E-5</v>
      </c>
      <c r="N55" s="106">
        <v>-3.3669177553959002E-5</v>
      </c>
      <c r="O55" s="103"/>
      <c r="P55" s="103"/>
      <c r="Q55" s="103"/>
      <c r="R55" s="103"/>
    </row>
    <row r="56" spans="2:18" x14ac:dyDescent="0.25">
      <c r="B56" s="104" t="s">
        <v>22</v>
      </c>
      <c r="C56" s="105">
        <v>9.6007000000000004E-4</v>
      </c>
      <c r="D56" s="105">
        <v>-9.2969999999999999E-5</v>
      </c>
      <c r="E56" s="106">
        <v>-3.5300700000000002E-3</v>
      </c>
      <c r="F56" s="103"/>
      <c r="G56" s="103"/>
      <c r="H56" s="103"/>
      <c r="I56" s="103"/>
      <c r="K56" s="104" t="s">
        <v>22</v>
      </c>
      <c r="L56" s="105">
        <v>-5.3197437829929998E-5</v>
      </c>
      <c r="M56" s="105">
        <v>-3.5765587731861101E-4</v>
      </c>
      <c r="N56" s="106">
        <v>-8.7703099683978901E-3</v>
      </c>
      <c r="O56" s="103"/>
      <c r="P56" s="103"/>
      <c r="Q56" s="103"/>
      <c r="R56" s="103"/>
    </row>
    <row r="57" spans="2:18" x14ac:dyDescent="0.25">
      <c r="B57" s="107"/>
      <c r="C57" s="108"/>
      <c r="D57" s="108"/>
      <c r="E57" s="103"/>
      <c r="F57" s="103"/>
      <c r="G57" s="103"/>
      <c r="H57" s="103"/>
      <c r="I57" s="103"/>
      <c r="K57" s="107"/>
      <c r="L57" s="108"/>
      <c r="M57" s="108"/>
      <c r="N57" s="103"/>
      <c r="O57" s="103"/>
      <c r="P57" s="103"/>
      <c r="Q57" s="103"/>
      <c r="R57" s="103"/>
    </row>
    <row r="58" spans="2:18" x14ac:dyDescent="0.25">
      <c r="B58" s="326" t="s">
        <v>592</v>
      </c>
      <c r="C58" s="327"/>
      <c r="D58" s="328"/>
      <c r="E58" s="97" t="s">
        <v>584</v>
      </c>
      <c r="F58" s="98">
        <f>12/(6.1*3.415)</f>
        <v>0.57605069246093665</v>
      </c>
      <c r="G58" s="100" t="s">
        <v>585</v>
      </c>
      <c r="H58" s="98">
        <f>12/(6.4*3.415)</f>
        <v>0.54904831625183015</v>
      </c>
      <c r="I58" s="103" t="s">
        <v>609</v>
      </c>
      <c r="K58" s="97" t="s">
        <v>592</v>
      </c>
      <c r="L58" s="100"/>
      <c r="M58" s="100"/>
      <c r="N58" s="97" t="s">
        <v>584</v>
      </c>
      <c r="O58" s="98">
        <v>0.6</v>
      </c>
      <c r="P58" s="100" t="s">
        <v>585</v>
      </c>
      <c r="Q58" s="98">
        <v>0.4</v>
      </c>
      <c r="R58" s="103"/>
    </row>
    <row r="59" spans="2:18" x14ac:dyDescent="0.25">
      <c r="B59" s="101"/>
      <c r="C59" s="101" t="s">
        <v>156</v>
      </c>
      <c r="D59" s="101" t="s">
        <v>157</v>
      </c>
      <c r="E59" s="102" t="s">
        <v>586</v>
      </c>
      <c r="F59" s="103"/>
      <c r="G59" s="103"/>
      <c r="H59" s="103"/>
      <c r="I59" s="103"/>
      <c r="K59" s="101"/>
      <c r="L59" s="101" t="s">
        <v>156</v>
      </c>
      <c r="M59" s="101" t="s">
        <v>157</v>
      </c>
      <c r="N59" s="102" t="s">
        <v>586</v>
      </c>
      <c r="O59" s="103"/>
      <c r="P59" s="103"/>
      <c r="Q59" s="103"/>
      <c r="R59" s="103"/>
    </row>
    <row r="60" spans="2:18" x14ac:dyDescent="0.25">
      <c r="B60" s="104" t="s">
        <v>17</v>
      </c>
      <c r="C60" s="105">
        <v>-0.49737319000000002</v>
      </c>
      <c r="D60" s="105">
        <v>1.1536154700000001</v>
      </c>
      <c r="E60" s="105">
        <v>0.27969645999999998</v>
      </c>
      <c r="F60" s="103"/>
      <c r="G60" s="103"/>
      <c r="H60" s="103"/>
      <c r="I60" s="103"/>
      <c r="K60" s="109" t="s">
        <v>17</v>
      </c>
      <c r="L60" s="110">
        <v>0.36395821345515</v>
      </c>
      <c r="M60" s="110">
        <v>0.97431846471939199</v>
      </c>
      <c r="N60" s="110">
        <v>-3.6011974257651798E-2</v>
      </c>
      <c r="O60" s="103"/>
      <c r="P60" s="103"/>
      <c r="Q60" s="103"/>
      <c r="R60" s="103"/>
    </row>
    <row r="61" spans="2:18" x14ac:dyDescent="0.25">
      <c r="B61" s="104" t="s">
        <v>18</v>
      </c>
      <c r="C61" s="105">
        <v>-9.5607299999999999E-3</v>
      </c>
      <c r="D61" s="105">
        <v>-3.067901E-2</v>
      </c>
      <c r="E61" s="105">
        <v>0.57375735000000005</v>
      </c>
      <c r="F61" s="103"/>
      <c r="G61" s="103"/>
      <c r="H61" s="103"/>
      <c r="I61" s="103"/>
      <c r="K61" s="109" t="s">
        <v>18</v>
      </c>
      <c r="L61" s="110">
        <v>4.5022276165276799E-2</v>
      </c>
      <c r="M61" s="110">
        <v>-4.6316816288420196E-3</v>
      </c>
      <c r="N61" s="110">
        <v>0.55779209997475898</v>
      </c>
      <c r="O61" s="103"/>
      <c r="P61" s="103"/>
      <c r="Q61" s="103"/>
      <c r="R61" s="103"/>
    </row>
    <row r="62" spans="2:18" x14ac:dyDescent="0.25">
      <c r="B62" s="104" t="s">
        <v>19</v>
      </c>
      <c r="C62" s="105">
        <v>-5.9561E-4</v>
      </c>
      <c r="D62" s="105">
        <v>3.0591E-4</v>
      </c>
      <c r="E62" s="105">
        <v>0.25690463000000002</v>
      </c>
      <c r="F62" s="103"/>
      <c r="G62" s="103"/>
      <c r="H62" s="103"/>
      <c r="I62" s="103"/>
      <c r="K62" s="109" t="s">
        <v>19</v>
      </c>
      <c r="L62" s="110">
        <v>-2.7421752147293801E-4</v>
      </c>
      <c r="M62" s="110">
        <v>4.8004325319213303E-5</v>
      </c>
      <c r="N62" s="110">
        <v>0.48824167689654702</v>
      </c>
      <c r="O62" s="103"/>
      <c r="P62" s="103"/>
      <c r="Q62" s="103"/>
      <c r="R62" s="103"/>
    </row>
    <row r="63" spans="2:18" x14ac:dyDescent="0.25">
      <c r="B63" s="104" t="s">
        <v>20</v>
      </c>
      <c r="C63" s="105">
        <v>4.3520990000000002E-2</v>
      </c>
      <c r="D63" s="105">
        <v>6.7087400000000004E-3</v>
      </c>
      <c r="E63" s="105">
        <v>-5.8071700000000004E-3</v>
      </c>
      <c r="F63" s="103"/>
      <c r="G63" s="103"/>
      <c r="H63" s="103"/>
      <c r="I63" s="103"/>
      <c r="K63" s="109" t="s">
        <v>20</v>
      </c>
      <c r="L63" s="110">
        <v>-2.0279774560278399E-3</v>
      </c>
      <c r="M63" s="110">
        <v>-2.0126259716637101E-3</v>
      </c>
      <c r="N63" s="110">
        <v>3.8291205118540302E-3</v>
      </c>
      <c r="O63" s="103"/>
      <c r="P63" s="103"/>
      <c r="Q63" s="103"/>
      <c r="R63" s="103"/>
    </row>
    <row r="64" spans="2:18" x14ac:dyDescent="0.25">
      <c r="B64" s="104" t="s">
        <v>21</v>
      </c>
      <c r="C64" s="105">
        <v>-5.8394000000000002E-4</v>
      </c>
      <c r="D64" s="105">
        <v>5.2800000000000003E-5</v>
      </c>
      <c r="E64" s="106">
        <v>1.4648999999999999E-4</v>
      </c>
      <c r="F64" s="103"/>
      <c r="G64" s="103"/>
      <c r="H64" s="103"/>
      <c r="I64" s="103"/>
      <c r="K64" s="109" t="s">
        <v>21</v>
      </c>
      <c r="L64" s="110">
        <v>-8.8275407892004397E-5</v>
      </c>
      <c r="M64" s="110">
        <v>1.58754924199956E-4</v>
      </c>
      <c r="N64" s="111">
        <v>3.7281137458701002E-5</v>
      </c>
      <c r="O64" s="103"/>
      <c r="P64" s="103"/>
      <c r="Q64" s="103"/>
      <c r="R64" s="103"/>
    </row>
    <row r="65" spans="2:18" x14ac:dyDescent="0.25">
      <c r="B65" s="104" t="s">
        <v>22</v>
      </c>
      <c r="C65" s="105">
        <v>9.6007000000000004E-4</v>
      </c>
      <c r="D65" s="105">
        <v>-9.2969999999999999E-5</v>
      </c>
      <c r="E65" s="106">
        <v>-3.5300700000000002E-3</v>
      </c>
      <c r="F65" s="103"/>
      <c r="G65" s="103"/>
      <c r="H65" s="103"/>
      <c r="I65" s="103"/>
      <c r="K65" s="109" t="s">
        <v>22</v>
      </c>
      <c r="L65" s="110">
        <v>-1.2166494630908699E-5</v>
      </c>
      <c r="M65" s="110">
        <v>-2.11990512234556E-4</v>
      </c>
      <c r="N65" s="111">
        <v>-5.2963043484432204E-3</v>
      </c>
      <c r="O65" s="103"/>
      <c r="P65" s="103"/>
      <c r="Q65" s="103"/>
      <c r="R65" s="103"/>
    </row>
    <row r="66" spans="2:18" x14ac:dyDescent="0.25">
      <c r="B66" s="106"/>
      <c r="C66" s="106"/>
      <c r="D66" s="106"/>
      <c r="E66" s="103"/>
      <c r="F66" s="103"/>
      <c r="G66" s="103"/>
      <c r="H66" s="103"/>
      <c r="I66" s="103"/>
      <c r="K66" s="106"/>
      <c r="L66" s="106"/>
      <c r="M66" s="106"/>
      <c r="N66" s="103"/>
      <c r="O66" s="103"/>
      <c r="P66" s="103"/>
      <c r="Q66" s="103"/>
      <c r="R66" s="103"/>
    </row>
    <row r="67" spans="2:18" x14ac:dyDescent="0.25">
      <c r="B67" s="326" t="s">
        <v>593</v>
      </c>
      <c r="C67" s="327"/>
      <c r="D67" s="328"/>
      <c r="E67" s="97" t="s">
        <v>584</v>
      </c>
      <c r="F67" s="98">
        <v>0.56999999999999995</v>
      </c>
      <c r="G67" s="100" t="s">
        <v>585</v>
      </c>
      <c r="H67" s="98">
        <v>0.53900000000000003</v>
      </c>
      <c r="I67" s="103" t="s">
        <v>609</v>
      </c>
      <c r="K67" s="97" t="s">
        <v>593</v>
      </c>
      <c r="L67" s="100"/>
      <c r="M67" s="100"/>
      <c r="N67" s="97" t="s">
        <v>584</v>
      </c>
      <c r="O67" s="98">
        <v>0.59</v>
      </c>
      <c r="P67" s="100" t="s">
        <v>585</v>
      </c>
      <c r="Q67" s="98">
        <v>0.4</v>
      </c>
      <c r="R67" s="103"/>
    </row>
    <row r="68" spans="2:18" x14ac:dyDescent="0.25">
      <c r="B68" s="101"/>
      <c r="C68" s="101" t="s">
        <v>156</v>
      </c>
      <c r="D68" s="101" t="s">
        <v>157</v>
      </c>
      <c r="E68" s="102" t="s">
        <v>586</v>
      </c>
      <c r="F68" s="103"/>
      <c r="G68" s="103"/>
      <c r="H68" s="103"/>
      <c r="I68" s="103"/>
      <c r="K68" s="101"/>
      <c r="L68" s="101" t="s">
        <v>156</v>
      </c>
      <c r="M68" s="101" t="s">
        <v>157</v>
      </c>
      <c r="N68" s="102" t="s">
        <v>586</v>
      </c>
      <c r="O68" s="103"/>
      <c r="P68" s="103"/>
      <c r="Q68" s="103"/>
      <c r="R68" s="103"/>
    </row>
    <row r="69" spans="2:18" x14ac:dyDescent="0.25">
      <c r="B69" s="104" t="s">
        <v>17</v>
      </c>
      <c r="C69" s="105">
        <v>-0.49737319000000002</v>
      </c>
      <c r="D69" s="105">
        <v>1.1536154700000001</v>
      </c>
      <c r="E69" s="105">
        <v>0.27969645999999998</v>
      </c>
      <c r="F69" s="103"/>
      <c r="G69" s="103"/>
      <c r="H69" s="103"/>
      <c r="I69" s="103"/>
      <c r="K69" s="109" t="s">
        <v>17</v>
      </c>
      <c r="L69" s="110">
        <v>-0.45520399727053701</v>
      </c>
      <c r="M69" s="110">
        <v>0.36702320760347801</v>
      </c>
      <c r="N69" s="110">
        <v>-8.9542569868818006E-2</v>
      </c>
      <c r="O69" s="103"/>
      <c r="P69" s="103"/>
      <c r="Q69" s="103"/>
      <c r="R69" s="103"/>
    </row>
    <row r="70" spans="2:18" x14ac:dyDescent="0.25">
      <c r="B70" s="104" t="s">
        <v>18</v>
      </c>
      <c r="C70" s="105">
        <v>-9.5607299999999999E-3</v>
      </c>
      <c r="D70" s="105">
        <v>-3.067901E-2</v>
      </c>
      <c r="E70" s="105">
        <v>0.57375735000000005</v>
      </c>
      <c r="F70" s="103"/>
      <c r="G70" s="103"/>
      <c r="H70" s="103"/>
      <c r="I70" s="103"/>
      <c r="K70" s="109" t="s">
        <v>18</v>
      </c>
      <c r="L70" s="110">
        <v>3.1346921461632898E-2</v>
      </c>
      <c r="M70" s="110">
        <v>1.2466487978864901E-2</v>
      </c>
      <c r="N70" s="110">
        <v>0.32091096088232701</v>
      </c>
      <c r="O70" s="103"/>
      <c r="P70" s="103"/>
      <c r="Q70" s="103"/>
      <c r="R70" s="103"/>
    </row>
    <row r="71" spans="2:18" x14ac:dyDescent="0.25">
      <c r="B71" s="104" t="s">
        <v>19</v>
      </c>
      <c r="C71" s="105">
        <v>-5.9561E-4</v>
      </c>
      <c r="D71" s="105">
        <v>3.0591E-4</v>
      </c>
      <c r="E71" s="105">
        <v>0.25690463000000002</v>
      </c>
      <c r="F71" s="103"/>
      <c r="G71" s="103"/>
      <c r="H71" s="103"/>
      <c r="I71" s="103"/>
      <c r="K71" s="109" t="s">
        <v>19</v>
      </c>
      <c r="L71" s="110">
        <v>-5.7149639794407101E-5</v>
      </c>
      <c r="M71" s="110">
        <v>-6.8822851718032595E-5</v>
      </c>
      <c r="N71" s="110">
        <v>0.73934477949997901</v>
      </c>
      <c r="O71" s="103"/>
      <c r="P71" s="103"/>
      <c r="Q71" s="103"/>
      <c r="R71" s="103"/>
    </row>
    <row r="72" spans="2:18" x14ac:dyDescent="0.25">
      <c r="B72" s="104" t="s">
        <v>20</v>
      </c>
      <c r="C72" s="105">
        <v>4.3520990000000002E-2</v>
      </c>
      <c r="D72" s="105">
        <v>6.7087400000000004E-3</v>
      </c>
      <c r="E72" s="105">
        <v>-5.8071700000000004E-3</v>
      </c>
      <c r="F72" s="103"/>
      <c r="G72" s="103"/>
      <c r="H72" s="103"/>
      <c r="I72" s="103"/>
      <c r="K72" s="109" t="s">
        <v>20</v>
      </c>
      <c r="L72" s="110">
        <v>2.0383058223711802E-2</v>
      </c>
      <c r="M72" s="110">
        <v>5.9339558672861503E-3</v>
      </c>
      <c r="N72" s="110">
        <v>9.5380879647118597E-3</v>
      </c>
      <c r="O72" s="103"/>
      <c r="P72" s="103"/>
      <c r="Q72" s="103"/>
      <c r="R72" s="103"/>
    </row>
    <row r="73" spans="2:18" x14ac:dyDescent="0.25">
      <c r="B73" s="104" t="s">
        <v>21</v>
      </c>
      <c r="C73" s="105">
        <v>-5.8394000000000002E-4</v>
      </c>
      <c r="D73" s="105">
        <v>5.2800000000000003E-5</v>
      </c>
      <c r="E73" s="106">
        <v>1.4648999999999999E-4</v>
      </c>
      <c r="F73" s="103"/>
      <c r="G73" s="103"/>
      <c r="H73" s="103"/>
      <c r="I73" s="103"/>
      <c r="K73" s="109" t="s">
        <v>21</v>
      </c>
      <c r="L73" s="110">
        <v>-1.5341221966966699E-4</v>
      </c>
      <c r="M73" s="110">
        <v>8.2446901437937793E-5</v>
      </c>
      <c r="N73" s="111">
        <v>1.55173752273546E-5</v>
      </c>
      <c r="O73" s="103"/>
      <c r="P73" s="103"/>
      <c r="Q73" s="103"/>
      <c r="R73" s="103"/>
    </row>
    <row r="74" spans="2:18" x14ac:dyDescent="0.25">
      <c r="B74" s="104" t="s">
        <v>22</v>
      </c>
      <c r="C74" s="105">
        <v>9.6007000000000004E-4</v>
      </c>
      <c r="D74" s="105">
        <v>-9.2969999999999999E-5</v>
      </c>
      <c r="E74" s="106">
        <v>-3.5300700000000002E-3</v>
      </c>
      <c r="F74" s="103"/>
      <c r="G74" s="103"/>
      <c r="H74" s="103"/>
      <c r="I74" s="103"/>
      <c r="K74" s="109" t="s">
        <v>22</v>
      </c>
      <c r="L74" s="110">
        <v>-1.2709301316402401E-4</v>
      </c>
      <c r="M74" s="110">
        <v>-2.2665353258000701E-4</v>
      </c>
      <c r="N74" s="111">
        <v>-8.2067813460344995E-3</v>
      </c>
      <c r="O74" s="103"/>
      <c r="P74" s="103"/>
      <c r="Q74" s="103"/>
      <c r="R74" s="103"/>
    </row>
    <row r="75" spans="2:18" x14ac:dyDescent="0.25">
      <c r="N75" s="112"/>
      <c r="O75" s="103"/>
      <c r="P75" s="103"/>
      <c r="Q75" s="103"/>
    </row>
    <row r="79" spans="2:18" x14ac:dyDescent="0.25">
      <c r="B79" t="s">
        <v>594</v>
      </c>
      <c r="C79" s="113" t="s">
        <v>595</v>
      </c>
      <c r="D79" t="s">
        <v>596</v>
      </c>
      <c r="E79" t="s">
        <v>597</v>
      </c>
      <c r="F79" t="s">
        <v>598</v>
      </c>
      <c r="G79" t="s">
        <v>599</v>
      </c>
      <c r="H79" t="s">
        <v>17</v>
      </c>
      <c r="I79" t="s">
        <v>18</v>
      </c>
      <c r="J79" t="s">
        <v>19</v>
      </c>
      <c r="K79" t="s">
        <v>600</v>
      </c>
    </row>
    <row r="80" spans="2:18" x14ac:dyDescent="0.25">
      <c r="B80" t="s">
        <v>601</v>
      </c>
      <c r="C80" s="114" t="s">
        <v>583</v>
      </c>
      <c r="D80" s="115">
        <v>0.78</v>
      </c>
      <c r="E80" s="116">
        <v>0.63</v>
      </c>
      <c r="F80" t="s">
        <v>568</v>
      </c>
      <c r="G80" t="s">
        <v>162</v>
      </c>
      <c r="H80">
        <f t="shared" ref="H80:H87" si="0">D102+dT*G102+dT^2*H102</f>
        <v>0.3000591618328346</v>
      </c>
      <c r="I80">
        <f t="shared" ref="I80:I87" si="1">E102+dT*I102</f>
        <v>0.33555501344306571</v>
      </c>
      <c r="J80">
        <f>F102</f>
        <v>0.37274466425643099</v>
      </c>
      <c r="K80">
        <f>SUM(H80:J80)</f>
        <v>1.0083588395323313</v>
      </c>
    </row>
    <row r="81" spans="2:11" x14ac:dyDescent="0.25">
      <c r="B81" t="s">
        <v>601</v>
      </c>
      <c r="C81" s="114" t="s">
        <v>587</v>
      </c>
      <c r="D81" s="115">
        <v>0.77500000000000002</v>
      </c>
      <c r="E81" s="116">
        <v>0.61499999999999999</v>
      </c>
      <c r="F81" t="s">
        <v>568</v>
      </c>
      <c r="G81" t="s">
        <v>162</v>
      </c>
      <c r="H81">
        <f t="shared" si="0"/>
        <v>0.3000591618328346</v>
      </c>
      <c r="I81">
        <f t="shared" si="1"/>
        <v>0.33555501344306571</v>
      </c>
      <c r="J81">
        <f t="shared" ref="J81:J87" si="2">F103</f>
        <v>0.37274466425643099</v>
      </c>
      <c r="K81">
        <f t="shared" ref="K81:K95" si="3">SUM(H81:J81)</f>
        <v>1.0083588395323313</v>
      </c>
    </row>
    <row r="82" spans="2:11" x14ac:dyDescent="0.25">
      <c r="B82" t="s">
        <v>601</v>
      </c>
      <c r="C82" s="114" t="s">
        <v>588</v>
      </c>
      <c r="D82" s="115">
        <v>0.68</v>
      </c>
      <c r="E82" s="116">
        <v>0.57999999999999996</v>
      </c>
      <c r="F82" t="s">
        <v>568</v>
      </c>
      <c r="G82" t="s">
        <v>162</v>
      </c>
      <c r="H82">
        <f t="shared" si="0"/>
        <v>0.3000591618328346</v>
      </c>
      <c r="I82">
        <f t="shared" si="1"/>
        <v>0.33555501344306571</v>
      </c>
      <c r="J82">
        <f t="shared" si="2"/>
        <v>0.37274466425643099</v>
      </c>
      <c r="K82">
        <f t="shared" si="3"/>
        <v>1.0083588395323313</v>
      </c>
    </row>
    <row r="83" spans="2:11" x14ac:dyDescent="0.25">
      <c r="B83" t="s">
        <v>601</v>
      </c>
      <c r="C83" s="114" t="s">
        <v>589</v>
      </c>
      <c r="D83" s="115">
        <v>0.62</v>
      </c>
      <c r="E83" s="116">
        <v>0.54</v>
      </c>
      <c r="F83" t="s">
        <v>568</v>
      </c>
      <c r="G83" t="s">
        <v>162</v>
      </c>
      <c r="H83">
        <f t="shared" si="0"/>
        <v>0.3000591618328346</v>
      </c>
      <c r="I83">
        <f t="shared" si="1"/>
        <v>0.33555501344306571</v>
      </c>
      <c r="J83">
        <f t="shared" si="2"/>
        <v>0.37274466425643099</v>
      </c>
      <c r="K83">
        <f t="shared" si="3"/>
        <v>1.0083588395323313</v>
      </c>
    </row>
    <row r="84" spans="2:11" x14ac:dyDescent="0.25">
      <c r="B84" t="s">
        <v>601</v>
      </c>
      <c r="C84" s="114" t="s">
        <v>590</v>
      </c>
      <c r="D84" s="115">
        <v>0.63400000000000001</v>
      </c>
      <c r="E84" s="116">
        <v>0.59599999999999997</v>
      </c>
      <c r="F84" t="s">
        <v>568</v>
      </c>
      <c r="G84" t="s">
        <v>162</v>
      </c>
      <c r="H84">
        <f t="shared" si="0"/>
        <v>0.22607345999999995</v>
      </c>
      <c r="I84">
        <f t="shared" si="1"/>
        <v>0.48550560000000004</v>
      </c>
      <c r="J84">
        <f t="shared" si="2"/>
        <v>0.25690463000000002</v>
      </c>
      <c r="K84">
        <f t="shared" si="3"/>
        <v>0.96848369000000001</v>
      </c>
    </row>
    <row r="85" spans="2:11" x14ac:dyDescent="0.25">
      <c r="B85" t="s">
        <v>601</v>
      </c>
      <c r="C85" s="114" t="s">
        <v>591</v>
      </c>
      <c r="D85" s="115">
        <v>0.63400000000000001</v>
      </c>
      <c r="E85" s="116">
        <v>0.59599999999999997</v>
      </c>
      <c r="F85" t="s">
        <v>568</v>
      </c>
      <c r="G85" t="s">
        <v>162</v>
      </c>
      <c r="H85">
        <f t="shared" si="0"/>
        <v>0.22607345999999995</v>
      </c>
      <c r="I85">
        <f t="shared" si="1"/>
        <v>0.48550560000000004</v>
      </c>
      <c r="J85">
        <f t="shared" si="2"/>
        <v>0.25690463000000002</v>
      </c>
      <c r="K85">
        <f t="shared" si="3"/>
        <v>0.96848369000000001</v>
      </c>
    </row>
    <row r="86" spans="2:11" x14ac:dyDescent="0.25">
      <c r="B86" t="s">
        <v>601</v>
      </c>
      <c r="C86" s="114" t="s">
        <v>592</v>
      </c>
      <c r="D86" s="115">
        <v>0.57605069246093665</v>
      </c>
      <c r="E86" s="116">
        <v>0.54900000000000004</v>
      </c>
      <c r="F86" t="s">
        <v>568</v>
      </c>
      <c r="G86" t="s">
        <v>162</v>
      </c>
      <c r="H86">
        <f t="shared" si="0"/>
        <v>0.22607345999999995</v>
      </c>
      <c r="I86">
        <f t="shared" si="1"/>
        <v>0.48550560000000004</v>
      </c>
      <c r="J86">
        <f t="shared" si="2"/>
        <v>0.25690463000000002</v>
      </c>
      <c r="K86">
        <f t="shared" si="3"/>
        <v>0.96848369000000001</v>
      </c>
    </row>
    <row r="87" spans="2:11" x14ac:dyDescent="0.25">
      <c r="B87" t="s">
        <v>601</v>
      </c>
      <c r="C87" s="114" t="s">
        <v>593</v>
      </c>
      <c r="D87" s="115">
        <v>0.56999999999999995</v>
      </c>
      <c r="E87" s="116">
        <v>0.53900000000000003</v>
      </c>
      <c r="F87" t="s">
        <v>568</v>
      </c>
      <c r="G87" t="s">
        <v>162</v>
      </c>
      <c r="H87">
        <f t="shared" si="0"/>
        <v>0.22607345999999995</v>
      </c>
      <c r="I87">
        <f t="shared" si="1"/>
        <v>0.48550560000000004</v>
      </c>
      <c r="J87">
        <f t="shared" si="2"/>
        <v>0.25690463000000002</v>
      </c>
      <c r="K87">
        <f t="shared" si="3"/>
        <v>0.96848369000000001</v>
      </c>
    </row>
    <row r="88" spans="2:11" x14ac:dyDescent="0.25">
      <c r="B88" t="s">
        <v>602</v>
      </c>
      <c r="C88" s="117" t="s">
        <v>583</v>
      </c>
      <c r="D88" s="115">
        <v>0.8</v>
      </c>
      <c r="E88" s="118">
        <v>0.6</v>
      </c>
      <c r="F88" t="s">
        <v>568</v>
      </c>
      <c r="G88" t="s">
        <v>162</v>
      </c>
      <c r="H88">
        <f t="shared" ref="H88:H95" si="4">D113+dT*G113+dT^2*H113</f>
        <v>-9.1514426335423379E-2</v>
      </c>
      <c r="I88">
        <f t="shared" ref="I88:I95" si="5">E113+dT*I113</f>
        <v>0.9824068356802973</v>
      </c>
      <c r="J88">
        <f>F113</f>
        <v>0.1112859854753714</v>
      </c>
      <c r="K88">
        <f t="shared" si="3"/>
        <v>1.0021783948202454</v>
      </c>
    </row>
    <row r="89" spans="2:11" x14ac:dyDescent="0.25">
      <c r="B89" t="s">
        <v>602</v>
      </c>
      <c r="C89" s="117" t="s">
        <v>587</v>
      </c>
      <c r="D89" s="115">
        <v>0.79</v>
      </c>
      <c r="E89" s="118">
        <v>0.58599999999999997</v>
      </c>
      <c r="F89" t="s">
        <v>568</v>
      </c>
      <c r="G89" t="s">
        <v>162</v>
      </c>
      <c r="H89">
        <f t="shared" si="4"/>
        <v>-9.1514426335423379E-2</v>
      </c>
      <c r="I89">
        <f t="shared" si="5"/>
        <v>0.9824068356802973</v>
      </c>
      <c r="J89">
        <f t="shared" ref="J89:J95" si="6">F114</f>
        <v>0.1112859854753714</v>
      </c>
      <c r="K89">
        <f t="shared" si="3"/>
        <v>1.0021783948202454</v>
      </c>
    </row>
    <row r="90" spans="2:11" x14ac:dyDescent="0.25">
      <c r="B90" t="s">
        <v>602</v>
      </c>
      <c r="C90" s="117" t="s">
        <v>588</v>
      </c>
      <c r="D90" s="115">
        <v>0.71799999999999997</v>
      </c>
      <c r="E90" s="118">
        <v>0.54</v>
      </c>
      <c r="F90" t="s">
        <v>568</v>
      </c>
      <c r="G90" t="s">
        <v>162</v>
      </c>
      <c r="H90">
        <f t="shared" si="4"/>
        <v>-9.1514426335423379E-2</v>
      </c>
      <c r="I90">
        <f t="shared" si="5"/>
        <v>0.9824068356802973</v>
      </c>
      <c r="J90">
        <f t="shared" si="6"/>
        <v>0.1112859854753714</v>
      </c>
      <c r="K90">
        <f t="shared" si="3"/>
        <v>1.0021783948202454</v>
      </c>
    </row>
    <row r="91" spans="2:11" x14ac:dyDescent="0.25">
      <c r="B91" t="s">
        <v>602</v>
      </c>
      <c r="C91" s="117" t="s">
        <v>589</v>
      </c>
      <c r="D91" s="115">
        <v>0.63900000000000001</v>
      </c>
      <c r="E91" s="118">
        <v>0.49</v>
      </c>
      <c r="F91" t="s">
        <v>568</v>
      </c>
      <c r="G91" t="s">
        <v>162</v>
      </c>
      <c r="H91">
        <f t="shared" si="4"/>
        <v>-9.1514426335423379E-2</v>
      </c>
      <c r="I91">
        <f t="shared" si="5"/>
        <v>0.9824068356802973</v>
      </c>
      <c r="J91">
        <f t="shared" si="6"/>
        <v>0.1112859854753714</v>
      </c>
      <c r="K91">
        <f t="shared" si="3"/>
        <v>1.0021783948202454</v>
      </c>
    </row>
    <row r="92" spans="2:11" x14ac:dyDescent="0.25">
      <c r="B92" t="s">
        <v>602</v>
      </c>
      <c r="C92" s="117" t="s">
        <v>590</v>
      </c>
      <c r="D92" s="115">
        <v>0.63900000000000001</v>
      </c>
      <c r="E92" s="118">
        <v>0.45</v>
      </c>
      <c r="F92" t="s">
        <v>568</v>
      </c>
      <c r="G92" t="s">
        <v>162</v>
      </c>
      <c r="H92">
        <f t="shared" si="4"/>
        <v>0.25379752671835137</v>
      </c>
      <c r="I92">
        <f t="shared" si="5"/>
        <v>-0.16525570424179126</v>
      </c>
      <c r="J92">
        <f t="shared" si="6"/>
        <v>0.91845464841410596</v>
      </c>
      <c r="K92">
        <f t="shared" si="3"/>
        <v>1.006996470890666</v>
      </c>
    </row>
    <row r="93" spans="2:11" x14ac:dyDescent="0.25">
      <c r="B93" t="s">
        <v>602</v>
      </c>
      <c r="C93" s="117" t="s">
        <v>591</v>
      </c>
      <c r="D93" s="115">
        <v>0.63900000000000001</v>
      </c>
      <c r="E93" s="118">
        <v>0.45</v>
      </c>
      <c r="F93" t="s">
        <v>568</v>
      </c>
      <c r="G93" t="s">
        <v>162</v>
      </c>
      <c r="H93">
        <f t="shared" si="4"/>
        <v>0.25379752671835137</v>
      </c>
      <c r="I93">
        <f t="shared" si="5"/>
        <v>-0.16525570424179126</v>
      </c>
      <c r="J93">
        <f t="shared" si="6"/>
        <v>0.91845464841410596</v>
      </c>
      <c r="K93">
        <f t="shared" si="3"/>
        <v>1.006996470890666</v>
      </c>
    </row>
    <row r="94" spans="2:11" x14ac:dyDescent="0.25">
      <c r="B94" t="s">
        <v>602</v>
      </c>
      <c r="C94" s="117" t="s">
        <v>592</v>
      </c>
      <c r="D94" s="115">
        <v>0.6</v>
      </c>
      <c r="E94" s="118">
        <v>0.4</v>
      </c>
      <c r="F94" t="s">
        <v>568</v>
      </c>
      <c r="G94" t="s">
        <v>162</v>
      </c>
      <c r="H94">
        <f t="shared" si="4"/>
        <v>8.3016749450387076E-2</v>
      </c>
      <c r="I94">
        <f t="shared" si="5"/>
        <v>0.4253844912636785</v>
      </c>
      <c r="J94">
        <f t="shared" si="6"/>
        <v>0.48824167689654702</v>
      </c>
      <c r="K94">
        <f t="shared" si="3"/>
        <v>0.99664291761061263</v>
      </c>
    </row>
    <row r="95" spans="2:11" x14ac:dyDescent="0.25">
      <c r="B95" t="s">
        <v>602</v>
      </c>
      <c r="C95" s="117" t="s">
        <v>593</v>
      </c>
      <c r="D95" s="115">
        <v>0.59</v>
      </c>
      <c r="E95" s="118">
        <v>0.4</v>
      </c>
      <c r="F95" t="s">
        <v>568</v>
      </c>
      <c r="G95" t="s">
        <v>162</v>
      </c>
      <c r="H95">
        <f t="shared" si="4"/>
        <v>0.15860798876607513</v>
      </c>
      <c r="I95">
        <f t="shared" si="5"/>
        <v>0.11574142723146452</v>
      </c>
      <c r="J95">
        <f t="shared" si="6"/>
        <v>0.73934477949997901</v>
      </c>
      <c r="K95">
        <f t="shared" si="3"/>
        <v>1.0136941954975187</v>
      </c>
    </row>
    <row r="96" spans="2:11" x14ac:dyDescent="0.25">
      <c r="C96" s="119"/>
      <c r="D96" s="120"/>
      <c r="E96" s="120"/>
    </row>
    <row r="98" spans="3:9" x14ac:dyDescent="0.25">
      <c r="D98" t="s">
        <v>603</v>
      </c>
      <c r="F98">
        <v>25</v>
      </c>
      <c r="G98" t="s">
        <v>604</v>
      </c>
    </row>
    <row r="100" spans="3:9" x14ac:dyDescent="0.25">
      <c r="D100" s="1" t="s">
        <v>158</v>
      </c>
    </row>
    <row r="101" spans="3:9" x14ac:dyDescent="0.25">
      <c r="C101" t="s">
        <v>605</v>
      </c>
      <c r="D101" t="s">
        <v>17</v>
      </c>
      <c r="E101" t="s">
        <v>18</v>
      </c>
      <c r="F101" t="s">
        <v>19</v>
      </c>
      <c r="G101" t="s">
        <v>20</v>
      </c>
      <c r="H101" t="s">
        <v>21</v>
      </c>
      <c r="I101" t="s">
        <v>22</v>
      </c>
    </row>
    <row r="102" spans="3:9" x14ac:dyDescent="0.25">
      <c r="D102">
        <v>0.27680422622696699</v>
      </c>
      <c r="E102">
        <v>0.27037332727331598</v>
      </c>
      <c r="F102">
        <v>0.37274466425643099</v>
      </c>
      <c r="G102">
        <v>4.81928948948648E-3</v>
      </c>
      <c r="H102">
        <v>-1.5556368261007101E-4</v>
      </c>
      <c r="I102">
        <v>2.6072674467899899E-3</v>
      </c>
    </row>
    <row r="103" spans="3:9" x14ac:dyDescent="0.25">
      <c r="D103">
        <v>0.27680422622696699</v>
      </c>
      <c r="E103">
        <v>0.27037332727331598</v>
      </c>
      <c r="F103">
        <v>0.37274466425643099</v>
      </c>
      <c r="G103">
        <v>4.81928948948648E-3</v>
      </c>
      <c r="H103">
        <v>-1.5556368261007101E-4</v>
      </c>
      <c r="I103">
        <v>2.6072674467899899E-3</v>
      </c>
    </row>
    <row r="104" spans="3:9" x14ac:dyDescent="0.25">
      <c r="D104">
        <v>0.27680422622696699</v>
      </c>
      <c r="E104">
        <v>0.27037332727331598</v>
      </c>
      <c r="F104">
        <v>0.37274466425643099</v>
      </c>
      <c r="G104">
        <v>4.81928948948648E-3</v>
      </c>
      <c r="H104">
        <v>-1.5556368261007101E-4</v>
      </c>
      <c r="I104">
        <v>2.6072674467899899E-3</v>
      </c>
    </row>
    <row r="105" spans="3:9" x14ac:dyDescent="0.25">
      <c r="D105">
        <v>0.27680422622696699</v>
      </c>
      <c r="E105">
        <v>0.27037332727331598</v>
      </c>
      <c r="F105">
        <v>0.37274466425643099</v>
      </c>
      <c r="G105">
        <v>4.81928948948648E-3</v>
      </c>
      <c r="H105">
        <v>-1.5556368261007101E-4</v>
      </c>
      <c r="I105">
        <v>2.6072674467899899E-3</v>
      </c>
    </row>
    <row r="106" spans="3:9" x14ac:dyDescent="0.25">
      <c r="D106">
        <v>0.27969645999999998</v>
      </c>
      <c r="E106">
        <v>0.57375735000000005</v>
      </c>
      <c r="F106">
        <v>0.25690463000000002</v>
      </c>
      <c r="G106">
        <v>-5.8071700000000004E-3</v>
      </c>
      <c r="H106">
        <v>1.4648999999999999E-4</v>
      </c>
      <c r="I106">
        <v>-3.5300700000000002E-3</v>
      </c>
    </row>
    <row r="107" spans="3:9" x14ac:dyDescent="0.25">
      <c r="D107">
        <v>0.27969645999999998</v>
      </c>
      <c r="E107">
        <v>0.57375735000000005</v>
      </c>
      <c r="F107">
        <v>0.25690463000000002</v>
      </c>
      <c r="G107">
        <v>-5.8071700000000004E-3</v>
      </c>
      <c r="H107">
        <v>1.4648999999999999E-4</v>
      </c>
      <c r="I107">
        <v>-3.5300700000000002E-3</v>
      </c>
    </row>
    <row r="108" spans="3:9" x14ac:dyDescent="0.25">
      <c r="D108">
        <v>0.27969645999999998</v>
      </c>
      <c r="E108">
        <v>0.57375735000000005</v>
      </c>
      <c r="F108">
        <v>0.25690463000000002</v>
      </c>
      <c r="G108">
        <v>-5.8071700000000004E-3</v>
      </c>
      <c r="H108">
        <v>1.4648999999999999E-4</v>
      </c>
      <c r="I108">
        <v>-3.5300700000000002E-3</v>
      </c>
    </row>
    <row r="109" spans="3:9" x14ac:dyDescent="0.25">
      <c r="D109">
        <v>0.27969645999999998</v>
      </c>
      <c r="E109">
        <v>0.57375735000000005</v>
      </c>
      <c r="F109">
        <v>0.25690463000000002</v>
      </c>
      <c r="G109">
        <v>-5.8071700000000004E-3</v>
      </c>
      <c r="H109">
        <v>1.4648999999999999E-4</v>
      </c>
      <c r="I109">
        <v>-3.5300700000000002E-3</v>
      </c>
    </row>
    <row r="111" spans="3:9" x14ac:dyDescent="0.25">
      <c r="D111" s="1" t="s">
        <v>602</v>
      </c>
    </row>
    <row r="112" spans="3:9" x14ac:dyDescent="0.25">
      <c r="D112" t="s">
        <v>17</v>
      </c>
      <c r="E112" t="s">
        <v>18</v>
      </c>
      <c r="F112" t="s">
        <v>19</v>
      </c>
      <c r="G112" t="s">
        <v>20</v>
      </c>
      <c r="H112" t="s">
        <v>21</v>
      </c>
      <c r="I112" t="s">
        <v>22</v>
      </c>
    </row>
    <row r="113" spans="4:9" x14ac:dyDescent="0.25">
      <c r="D113">
        <v>-0.20120632905317576</v>
      </c>
      <c r="E113">
        <v>1.0939141395105423</v>
      </c>
      <c r="F113">
        <v>0.1112859854753714</v>
      </c>
      <c r="G113">
        <v>4.3863187303915668E-3</v>
      </c>
      <c r="H113">
        <v>5.4295132741123726E-8</v>
      </c>
      <c r="I113">
        <v>-4.4602921532097975E-3</v>
      </c>
    </row>
    <row r="114" spans="4:9" x14ac:dyDescent="0.25">
      <c r="D114">
        <v>-0.20120632905317576</v>
      </c>
      <c r="E114">
        <v>1.0939141395105423</v>
      </c>
      <c r="F114">
        <v>0.1112859854753714</v>
      </c>
      <c r="G114">
        <v>4.3863187303915668E-3</v>
      </c>
      <c r="H114">
        <v>5.4295132741123726E-8</v>
      </c>
      <c r="I114">
        <v>-4.4602921532097975E-3</v>
      </c>
    </row>
    <row r="115" spans="4:9" x14ac:dyDescent="0.25">
      <c r="D115">
        <v>-0.20120632905317576</v>
      </c>
      <c r="E115">
        <v>1.0939141395105423</v>
      </c>
      <c r="F115">
        <v>0.1112859854753714</v>
      </c>
      <c r="G115">
        <v>4.3863187303915668E-3</v>
      </c>
      <c r="H115">
        <v>5.4295132741123726E-8</v>
      </c>
      <c r="I115">
        <v>-4.4602921532097975E-3</v>
      </c>
    </row>
    <row r="116" spans="4:9" x14ac:dyDescent="0.25">
      <c r="D116">
        <v>-0.20120632905317576</v>
      </c>
      <c r="E116">
        <v>1.0939141395105423</v>
      </c>
      <c r="F116">
        <v>0.1112859854753714</v>
      </c>
      <c r="G116">
        <v>4.3863187303915668E-3</v>
      </c>
      <c r="H116">
        <v>5.4295132741123726E-8</v>
      </c>
      <c r="I116">
        <v>-4.4602921532097975E-3</v>
      </c>
    </row>
    <row r="117" spans="4:9" x14ac:dyDescent="0.25">
      <c r="D117">
        <v>9.9220759266582005E-3</v>
      </c>
      <c r="E117">
        <v>5.4002044968155999E-2</v>
      </c>
      <c r="F117">
        <v>0.91845464841410596</v>
      </c>
      <c r="G117">
        <v>1.05967474705167E-2</v>
      </c>
      <c r="H117">
        <v>-3.3669177553959002E-5</v>
      </c>
      <c r="I117">
        <v>-8.7703099683978901E-3</v>
      </c>
    </row>
    <row r="118" spans="4:9" x14ac:dyDescent="0.25">
      <c r="D118">
        <v>9.9220759266582005E-3</v>
      </c>
      <c r="E118">
        <v>5.4002044968155999E-2</v>
      </c>
      <c r="F118">
        <v>0.91845464841410596</v>
      </c>
      <c r="G118">
        <v>1.05967474705167E-2</v>
      </c>
      <c r="H118">
        <v>-3.3669177553959002E-5</v>
      </c>
      <c r="I118">
        <v>-8.7703099683978901E-3</v>
      </c>
    </row>
    <row r="119" spans="4:9" x14ac:dyDescent="0.25">
      <c r="D119">
        <v>-3.6011974257651798E-2</v>
      </c>
      <c r="E119">
        <v>0.55779209997475898</v>
      </c>
      <c r="F119">
        <v>0.48824167689654702</v>
      </c>
      <c r="G119">
        <v>3.8291205118540302E-3</v>
      </c>
      <c r="H119">
        <v>3.7281137458701002E-5</v>
      </c>
      <c r="I119">
        <v>-5.2963043484432204E-3</v>
      </c>
    </row>
    <row r="120" spans="4:9" x14ac:dyDescent="0.25">
      <c r="D120">
        <v>-8.9542569868818006E-2</v>
      </c>
      <c r="E120">
        <v>0.32091096088232701</v>
      </c>
      <c r="F120">
        <v>0.73934477949997901</v>
      </c>
      <c r="G120">
        <v>9.5380879647118597E-3</v>
      </c>
      <c r="H120">
        <v>1.55173752273546E-5</v>
      </c>
      <c r="I120">
        <v>-8.2067813460344995E-3</v>
      </c>
    </row>
  </sheetData>
  <mergeCells count="8">
    <mergeCell ref="B58:D58"/>
    <mergeCell ref="B67:D67"/>
    <mergeCell ref="B4:D4"/>
    <mergeCell ref="B13:D13"/>
    <mergeCell ref="B22:D22"/>
    <mergeCell ref="B31:D31"/>
    <mergeCell ref="B40:D40"/>
    <mergeCell ref="B49:D49"/>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62"/>
  <sheetViews>
    <sheetView zoomScale="70" zoomScaleNormal="70" workbookViewId="0">
      <selection activeCell="M44" sqref="M44"/>
    </sheetView>
  </sheetViews>
  <sheetFormatPr defaultRowHeight="15" x14ac:dyDescent="0.25"/>
  <cols>
    <col min="3" max="3" width="17.7109375" customWidth="1"/>
    <col min="4" max="4" width="18.42578125" customWidth="1"/>
    <col min="5" max="5" width="18.5703125" customWidth="1"/>
    <col min="6" max="6" width="19" customWidth="1"/>
    <col min="7" max="8" width="16.85546875" customWidth="1"/>
    <col min="9" max="9" width="15.5703125" customWidth="1"/>
    <col min="10" max="12" width="16.85546875" customWidth="1"/>
    <col min="13" max="13" width="19" customWidth="1"/>
    <col min="26" max="26" width="16.7109375" customWidth="1"/>
    <col min="27" max="35" width="15.85546875" customWidth="1"/>
    <col min="36" max="38" width="10.85546875" customWidth="1"/>
  </cols>
  <sheetData>
    <row r="1" spans="1:39" x14ac:dyDescent="0.25">
      <c r="Y1" s="143"/>
      <c r="Z1" s="143"/>
      <c r="AA1" s="143">
        <v>1</v>
      </c>
      <c r="AB1" s="143">
        <f>AA1+1</f>
        <v>2</v>
      </c>
      <c r="AC1" s="143">
        <f t="shared" ref="AC1:AG1" si="0">AB1+1</f>
        <v>3</v>
      </c>
      <c r="AD1" s="143">
        <f t="shared" si="0"/>
        <v>4</v>
      </c>
      <c r="AE1" s="143">
        <f t="shared" si="0"/>
        <v>5</v>
      </c>
      <c r="AF1" s="143">
        <f t="shared" si="0"/>
        <v>6</v>
      </c>
      <c r="AG1" s="143">
        <f t="shared" si="0"/>
        <v>7</v>
      </c>
      <c r="AH1" s="143">
        <f t="shared" ref="AH1" si="1">AG1+1</f>
        <v>8</v>
      </c>
      <c r="AI1" s="143">
        <f t="shared" ref="AI1" si="2">AH1+1</f>
        <v>9</v>
      </c>
    </row>
    <row r="2" spans="1:39" ht="45" x14ac:dyDescent="0.25">
      <c r="C2" t="s">
        <v>668</v>
      </c>
      <c r="D2" t="s">
        <v>669</v>
      </c>
      <c r="E2" t="s">
        <v>670</v>
      </c>
      <c r="F2" t="s">
        <v>671</v>
      </c>
      <c r="G2" t="s">
        <v>672</v>
      </c>
      <c r="H2" t="s">
        <v>673</v>
      </c>
      <c r="I2" t="s">
        <v>674</v>
      </c>
      <c r="J2" t="s">
        <v>675</v>
      </c>
      <c r="K2" t="s">
        <v>745</v>
      </c>
      <c r="Y2" s="143"/>
      <c r="Z2" t="s">
        <v>678</v>
      </c>
      <c r="AA2" s="139" t="str">
        <f ca="1">OFFSET('ACM Performance Curves'!$N$16,'Fan Curves - Ref Only'!AA$1,0)</f>
        <v>FanAForBIPwrRatio_fCFMRatio</v>
      </c>
      <c r="AB2" s="139" t="str">
        <f ca="1">OFFSET('ACM Performance Curves'!$N$16,'Fan Curves - Ref Only'!AB$1,0)</f>
        <v>FanAForBIVanesPwrRatio_fCFMRatio</v>
      </c>
      <c r="AC2" s="139" t="str">
        <f ca="1">OFFSET('ACM Performance Curves'!$N$16,'Fan Curves - Ref Only'!AC$1,0)</f>
        <v>FanFCPwrRatio_fCFMRatio</v>
      </c>
      <c r="AD2" s="139" t="str">
        <f ca="1">OFFSET('ACM Performance Curves'!$N$16,'Fan Curves - Ref Only'!AD$1,0)</f>
        <v>FanFCVanesPwrRatio_fCFMRatio</v>
      </c>
      <c r="AE2" s="139" t="str">
        <f ca="1">OFFSET('ACM Performance Curves'!$N$16,'Fan Curves - Ref Only'!AE$1,0)</f>
        <v>FanVaneAxVpPwrRatio_fCFMRatio</v>
      </c>
      <c r="AF2" s="139" t="str">
        <f ca="1">OFFSET('ACM Performance Curves'!$N$16,'Fan Curves - Ref Only'!AF$1,0)</f>
        <v>FanVSDPwrRatio_fCFMRatio</v>
      </c>
      <c r="AG2" s="139" t="str">
        <f ca="1">OFFSET('ACM Performance Curves'!$N$16,'Fan Curves - Ref Only'!AG$1,0)</f>
        <v>FanVSD901PwrRatio_fCFMRatio</v>
      </c>
      <c r="AH2" s="139" t="str">
        <f ca="1">OFFSET('ACM Performance Curves'!$N$16,'Fan Curves - Ref Only'!AH$1,0)</f>
        <v>FanVSDGoodSpResetPwrRatio_fCFMRatio</v>
      </c>
      <c r="AI2" s="139" t="str">
        <f ca="1">OFFSET('ACM Performance Curves'!$N$16,'Fan Curves - Ref Only'!AI$1,0)</f>
        <v>FanVSDPerfSpResetPwrRatio_fCFMRatio</v>
      </c>
    </row>
    <row r="3" spans="1:39" ht="45" x14ac:dyDescent="0.25">
      <c r="A3">
        <v>1</v>
      </c>
      <c r="B3" s="139"/>
      <c r="C3" s="139" t="s">
        <v>278</v>
      </c>
      <c r="D3" s="139" t="s">
        <v>279</v>
      </c>
      <c r="E3" s="139" t="s">
        <v>280</v>
      </c>
      <c r="F3" s="139" t="s">
        <v>281</v>
      </c>
      <c r="G3" s="139" t="s">
        <v>282</v>
      </c>
      <c r="H3" s="139" t="s">
        <v>283</v>
      </c>
      <c r="I3" s="139" t="s">
        <v>748</v>
      </c>
      <c r="J3" s="139" t="s">
        <v>749</v>
      </c>
      <c r="K3" s="139" t="s">
        <v>744</v>
      </c>
      <c r="L3" s="139"/>
      <c r="N3" s="139"/>
      <c r="Y3" s="143"/>
      <c r="Z3" t="s">
        <v>679</v>
      </c>
      <c r="AA3" s="139" t="str">
        <f ca="1">OFFSET('ACM Performance Curves'!$G$16,'Fan Curves - Ref Only'!AA$1,0)</f>
        <v>AF or BI Riding the Curve</v>
      </c>
      <c r="AB3" s="139" t="str">
        <f ca="1">OFFSET('ACM Performance Curves'!$G$16,'Fan Curves - Ref Only'!AB$1,0)</f>
        <v>AF or BI inlet vanes</v>
      </c>
      <c r="AC3" s="139" t="str">
        <f ca="1">OFFSET('ACM Performance Curves'!$G$16,'Fan Curves - Ref Only'!AC$1,0)</f>
        <v>FC riding the curve</v>
      </c>
      <c r="AD3" s="139" t="str">
        <f ca="1">OFFSET('ACM Performance Curves'!$G$16,'Fan Curves - Ref Only'!AD$1,0)</f>
        <v>FC with inlet vanes</v>
      </c>
      <c r="AE3" s="139" t="str">
        <f ca="1">OFFSET('ACM Performance Curves'!$G$16,'Fan Curves - Ref Only'!AE$1,0)</f>
        <v>Vane-axial with variable pitch blades</v>
      </c>
      <c r="AF3" s="139" t="str">
        <f ca="1">OFFSET('ACM Performance Curves'!$G$16,'Fan Curves - Ref Only'!AF$1,0)</f>
        <v>Any fan with VSD</v>
      </c>
      <c r="AG3" s="139" t="str">
        <f ca="1">OFFSET('ACM Performance Curves'!$G$16,'Fan Curves - Ref Only'!AG$1,0)</f>
        <v>Any fan with VSD (90.1)</v>
      </c>
      <c r="AH3" s="139" t="str">
        <f ca="1">OFFSET('ACM Performance Curves'!$G$16,'Fan Curves - Ref Only'!AH$1,0)</f>
        <v>VSD with static pressure reset (Good)</v>
      </c>
      <c r="AI3" s="139" t="s">
        <v>744</v>
      </c>
      <c r="AJ3" s="139"/>
      <c r="AK3" s="139"/>
      <c r="AL3" s="139"/>
      <c r="AM3" s="140"/>
    </row>
    <row r="4" spans="1:39" x14ac:dyDescent="0.25">
      <c r="A4">
        <f t="shared" ref="A4:A9" si="3">A3+1</f>
        <v>2</v>
      </c>
      <c r="B4" t="s">
        <v>676</v>
      </c>
      <c r="C4" s="141">
        <f t="shared" ref="C4:K9" ca="1" si="4">HLOOKUP(C$3,$AA$3:$AT$9,$A4,FALSE)</f>
        <v>0.7</v>
      </c>
      <c r="D4" s="141">
        <f t="shared" ca="1" si="4"/>
        <v>0.871</v>
      </c>
      <c r="E4" s="141">
        <f t="shared" ca="1" si="4"/>
        <v>0.5</v>
      </c>
      <c r="F4" s="141">
        <f t="shared" ca="1" si="4"/>
        <v>0.5</v>
      </c>
      <c r="G4" s="141">
        <f t="shared" ca="1" si="4"/>
        <v>0.4</v>
      </c>
      <c r="H4" s="141">
        <f t="shared" ca="1" si="4"/>
        <v>0.1</v>
      </c>
      <c r="I4" s="141">
        <f t="shared" ca="1" si="4"/>
        <v>0.10009999999999999</v>
      </c>
      <c r="J4" s="141" t="e">
        <f t="shared" ca="1" si="4"/>
        <v>#N/A</v>
      </c>
      <c r="K4" s="141">
        <f t="shared" ca="1" si="4"/>
        <v>0.1</v>
      </c>
      <c r="N4" s="141"/>
      <c r="Y4" s="143">
        <v>1</v>
      </c>
      <c r="Z4" t="s">
        <v>109</v>
      </c>
      <c r="AA4" s="139">
        <f ca="1">OFFSET('ACM Performance Curves'!$AG$16,'Fan Curves - Ref Only'!AA$1,$Y4)</f>
        <v>0.7</v>
      </c>
      <c r="AB4" s="139">
        <f ca="1">OFFSET('ACM Performance Curves'!$AG$16,'Fan Curves - Ref Only'!AB$1,$Y4)</f>
        <v>0.871</v>
      </c>
      <c r="AC4" s="139">
        <f ca="1">OFFSET('ACM Performance Curves'!$AG$16,'Fan Curves - Ref Only'!AC$1,$Y4)</f>
        <v>0.5</v>
      </c>
      <c r="AD4" s="139">
        <f ca="1">OFFSET('ACM Performance Curves'!$AG$16,'Fan Curves - Ref Only'!AD$1,$Y4)</f>
        <v>0.5</v>
      </c>
      <c r="AE4" s="139">
        <f ca="1">OFFSET('ACM Performance Curves'!$AG$16,'Fan Curves - Ref Only'!AE$1,$Y4)</f>
        <v>0.4</v>
      </c>
      <c r="AF4" s="139">
        <f ca="1">OFFSET('ACM Performance Curves'!$AG$16,'Fan Curves - Ref Only'!AF$1,$Y4)</f>
        <v>0.1</v>
      </c>
      <c r="AG4" s="139">
        <f ca="1">OFFSET('ACM Performance Curves'!$AG$16,'Fan Curves - Ref Only'!AG$1,$Y4)</f>
        <v>0.19980000000000001</v>
      </c>
      <c r="AH4" s="139">
        <f ca="1">OFFSET('ACM Performance Curves'!$AG$16,'Fan Curves - Ref Only'!AH$1,$Y4)</f>
        <v>0.10009999999999999</v>
      </c>
      <c r="AI4" s="139">
        <v>0.1</v>
      </c>
      <c r="AJ4" s="141"/>
      <c r="AK4" s="141"/>
      <c r="AL4" s="141"/>
    </row>
    <row r="5" spans="1:39" x14ac:dyDescent="0.25">
      <c r="A5">
        <f t="shared" si="3"/>
        <v>3</v>
      </c>
      <c r="B5" t="s">
        <v>677</v>
      </c>
      <c r="C5" s="141">
        <f t="shared" ca="1" si="4"/>
        <v>1</v>
      </c>
      <c r="D5" s="141">
        <f t="shared" ca="1" si="4"/>
        <v>1</v>
      </c>
      <c r="E5" s="141">
        <f t="shared" ca="1" si="4"/>
        <v>1</v>
      </c>
      <c r="F5" s="141">
        <f t="shared" ca="1" si="4"/>
        <v>1</v>
      </c>
      <c r="G5" s="141">
        <f t="shared" ca="1" si="4"/>
        <v>1</v>
      </c>
      <c r="H5" s="141">
        <f t="shared" ca="1" si="4"/>
        <v>1</v>
      </c>
      <c r="I5" s="141">
        <f t="shared" ca="1" si="4"/>
        <v>1</v>
      </c>
      <c r="J5" s="141" t="e">
        <f t="shared" ca="1" si="4"/>
        <v>#N/A</v>
      </c>
      <c r="K5" s="141">
        <f t="shared" ca="1" si="4"/>
        <v>1</v>
      </c>
      <c r="Y5" s="143">
        <v>0</v>
      </c>
      <c r="Z5" t="s">
        <v>108</v>
      </c>
      <c r="AA5" s="139">
        <f ca="1">OFFSET('ACM Performance Curves'!$AG$16,'Fan Curves - Ref Only'!AA$1,$Y5)</f>
        <v>1</v>
      </c>
      <c r="AB5" s="139">
        <f ca="1">OFFSET('ACM Performance Curves'!$AG$16,'Fan Curves - Ref Only'!AB$1,$Y5)</f>
        <v>1</v>
      </c>
      <c r="AC5" s="139">
        <f ca="1">OFFSET('ACM Performance Curves'!$AG$16,'Fan Curves - Ref Only'!AC$1,$Y5)</f>
        <v>1</v>
      </c>
      <c r="AD5" s="139">
        <f ca="1">OFFSET('ACM Performance Curves'!$AG$16,'Fan Curves - Ref Only'!AD$1,$Y5)</f>
        <v>1</v>
      </c>
      <c r="AE5" s="139">
        <f ca="1">OFFSET('ACM Performance Curves'!$AG$16,'Fan Curves - Ref Only'!AE$1,$Y5)</f>
        <v>1</v>
      </c>
      <c r="AF5" s="139">
        <f ca="1">OFFSET('ACM Performance Curves'!$AG$16,'Fan Curves - Ref Only'!AF$1,$Y5)</f>
        <v>1</v>
      </c>
      <c r="AG5" s="139">
        <f ca="1">OFFSET('ACM Performance Curves'!$AG$16,'Fan Curves - Ref Only'!AG$1,$Y5)</f>
        <v>1</v>
      </c>
      <c r="AH5" s="139">
        <f ca="1">OFFSET('ACM Performance Curves'!$AG$16,'Fan Curves - Ref Only'!AH$1,$Y5)</f>
        <v>1</v>
      </c>
      <c r="AI5" s="139">
        <v>1</v>
      </c>
    </row>
    <row r="6" spans="1:39" x14ac:dyDescent="0.25">
      <c r="A6">
        <f t="shared" si="3"/>
        <v>4</v>
      </c>
      <c r="B6" t="s">
        <v>17</v>
      </c>
      <c r="C6" s="171">
        <f t="shared" ca="1" si="4"/>
        <v>0.16309999999999999</v>
      </c>
      <c r="D6" s="171">
        <f t="shared" ca="1" si="4"/>
        <v>0.99770000000000003</v>
      </c>
      <c r="E6" s="171">
        <f t="shared" ca="1" si="4"/>
        <v>0.12239999999999999</v>
      </c>
      <c r="F6" s="171">
        <f t="shared" ca="1" si="4"/>
        <v>0.30380000000000001</v>
      </c>
      <c r="G6" s="171">
        <f t="shared" ca="1" si="4"/>
        <v>0.16389999999999999</v>
      </c>
      <c r="H6" s="171">
        <f t="shared" ca="1" si="4"/>
        <v>7.0428852E-2</v>
      </c>
      <c r="I6" s="171">
        <f t="shared" ca="1" si="4"/>
        <v>4.0759893999999998E-2</v>
      </c>
      <c r="J6" s="171" t="e">
        <f t="shared" ca="1" si="4"/>
        <v>#N/A</v>
      </c>
      <c r="K6" s="171">
        <f t="shared" ca="1" si="4"/>
        <v>0</v>
      </c>
      <c r="Y6" s="143">
        <v>0</v>
      </c>
      <c r="Z6" t="s">
        <v>17</v>
      </c>
      <c r="AA6" s="139">
        <f ca="1">OFFSET('ACM Performance Curves'!$V$16,'Fan Curves - Ref Only'!AA$1,$Y6)</f>
        <v>0.16309999999999999</v>
      </c>
      <c r="AB6" s="139">
        <f ca="1">OFFSET('ACM Performance Curves'!$V$16,'Fan Curves - Ref Only'!AB$1,$Y6)</f>
        <v>0.99770000000000003</v>
      </c>
      <c r="AC6" s="139">
        <f ca="1">OFFSET('ACM Performance Curves'!$V$16,'Fan Curves - Ref Only'!AC$1,$Y6)</f>
        <v>0.12239999999999999</v>
      </c>
      <c r="AD6" s="139">
        <f ca="1">OFFSET('ACM Performance Curves'!$V$16,'Fan Curves - Ref Only'!AD$1,$Y6)</f>
        <v>0.30380000000000001</v>
      </c>
      <c r="AE6" s="139">
        <f ca="1">OFFSET('ACM Performance Curves'!$V$16,'Fan Curves - Ref Only'!AE$1,$Y6)</f>
        <v>0.16389999999999999</v>
      </c>
      <c r="AF6" s="139">
        <f ca="1">OFFSET('ACM Performance Curves'!$V$16,'Fan Curves - Ref Only'!AF$1,$Y6)</f>
        <v>7.0428852E-2</v>
      </c>
      <c r="AG6" s="139">
        <f ca="1">OFFSET('ACM Performance Curves'!$V$16,'Fan Curves - Ref Only'!AG$1,$Y6)</f>
        <v>1.2999999999999999E-3</v>
      </c>
      <c r="AH6" s="139">
        <f ca="1">OFFSET('ACM Performance Curves'!$V$16,'Fan Curves - Ref Only'!AH$1,$Y6)</f>
        <v>4.0759893999999998E-2</v>
      </c>
      <c r="AI6" s="139">
        <v>0</v>
      </c>
    </row>
    <row r="7" spans="1:39" x14ac:dyDescent="0.25">
      <c r="A7">
        <f t="shared" si="3"/>
        <v>5</v>
      </c>
      <c r="B7" t="s">
        <v>18</v>
      </c>
      <c r="C7" s="171">
        <f t="shared" ca="1" si="4"/>
        <v>1.5901000000000001</v>
      </c>
      <c r="D7" s="171">
        <f t="shared" ca="1" si="4"/>
        <v>-0.65900000000000003</v>
      </c>
      <c r="E7" s="171">
        <f t="shared" ca="1" si="4"/>
        <v>0.61199999999999999</v>
      </c>
      <c r="F7" s="171">
        <f t="shared" ca="1" si="4"/>
        <v>-0.76080000000000003</v>
      </c>
      <c r="G7" s="171">
        <f t="shared" ca="1" si="4"/>
        <v>-0.40160000000000001</v>
      </c>
      <c r="H7" s="171">
        <f t="shared" ca="1" si="4"/>
        <v>0.38533020099999998</v>
      </c>
      <c r="I7" s="171">
        <f t="shared" ca="1" si="4"/>
        <v>8.804497E-2</v>
      </c>
      <c r="J7" s="171" t="e">
        <f t="shared" ca="1" si="4"/>
        <v>#N/A</v>
      </c>
      <c r="K7" s="171">
        <f t="shared" ca="1" si="4"/>
        <v>0</v>
      </c>
      <c r="Y7" s="143">
        <f>Y6+1</f>
        <v>1</v>
      </c>
      <c r="Z7" t="s">
        <v>18</v>
      </c>
      <c r="AA7" s="139">
        <f ca="1">OFFSET('ACM Performance Curves'!$V$16,'Fan Curves - Ref Only'!AA$1,$Y7)</f>
        <v>1.5901000000000001</v>
      </c>
      <c r="AB7" s="139">
        <f ca="1">OFFSET('ACM Performance Curves'!$V$16,'Fan Curves - Ref Only'!AB$1,$Y7)</f>
        <v>-0.65900000000000003</v>
      </c>
      <c r="AC7" s="139">
        <f ca="1">OFFSET('ACM Performance Curves'!$V$16,'Fan Curves - Ref Only'!AC$1,$Y7)</f>
        <v>0.61199999999999999</v>
      </c>
      <c r="AD7" s="139">
        <f ca="1">OFFSET('ACM Performance Curves'!$V$16,'Fan Curves - Ref Only'!AD$1,$Y7)</f>
        <v>-0.76080000000000003</v>
      </c>
      <c r="AE7" s="139">
        <f ca="1">OFFSET('ACM Performance Curves'!$V$16,'Fan Curves - Ref Only'!AE$1,$Y7)</f>
        <v>-0.40160000000000001</v>
      </c>
      <c r="AF7" s="139">
        <f ca="1">OFFSET('ACM Performance Curves'!$V$16,'Fan Curves - Ref Only'!AF$1,$Y7)</f>
        <v>0.38533020099999998</v>
      </c>
      <c r="AG7" s="139">
        <f ca="1">OFFSET('ACM Performance Curves'!$V$16,'Fan Curves - Ref Only'!AG$1,$Y7)</f>
        <v>0.14699999999999999</v>
      </c>
      <c r="AH7" s="139">
        <f ca="1">OFFSET('ACM Performance Curves'!$V$16,'Fan Curves - Ref Only'!AH$1,$Y7)</f>
        <v>8.804497E-2</v>
      </c>
      <c r="AI7" s="139">
        <v>0</v>
      </c>
    </row>
    <row r="8" spans="1:39" x14ac:dyDescent="0.25">
      <c r="A8">
        <f t="shared" si="3"/>
        <v>6</v>
      </c>
      <c r="B8" t="s">
        <v>19</v>
      </c>
      <c r="C8" s="171">
        <f t="shared" ca="1" si="4"/>
        <v>-0.88170000000000004</v>
      </c>
      <c r="D8" s="171">
        <f t="shared" ca="1" si="4"/>
        <v>0.95469999999999999</v>
      </c>
      <c r="E8" s="171">
        <f t="shared" ca="1" si="4"/>
        <v>0.59830000000000005</v>
      </c>
      <c r="F8" s="171">
        <f t="shared" ca="1" si="4"/>
        <v>2.2728999999999999</v>
      </c>
      <c r="G8" s="171">
        <f t="shared" ca="1" si="4"/>
        <v>1.9908999999999999</v>
      </c>
      <c r="H8" s="171">
        <f t="shared" ca="1" si="4"/>
        <v>-0.46086411799999999</v>
      </c>
      <c r="I8" s="171">
        <f t="shared" ca="1" si="4"/>
        <v>-7.2926119999999997E-2</v>
      </c>
      <c r="J8" s="171" t="e">
        <f t="shared" ca="1" si="4"/>
        <v>#N/A</v>
      </c>
      <c r="K8" s="171">
        <f t="shared" ca="1" si="4"/>
        <v>0</v>
      </c>
      <c r="Y8" s="143">
        <f t="shared" ref="Y8:Y9" si="5">Y7+1</f>
        <v>2</v>
      </c>
      <c r="Z8" t="s">
        <v>19</v>
      </c>
      <c r="AA8" s="139">
        <f ca="1">OFFSET('ACM Performance Curves'!$V$16,'Fan Curves - Ref Only'!AA$1,$Y8)</f>
        <v>-0.88170000000000004</v>
      </c>
      <c r="AB8" s="139">
        <f ca="1">OFFSET('ACM Performance Curves'!$V$16,'Fan Curves - Ref Only'!AB$1,$Y8)</f>
        <v>0.95469999999999999</v>
      </c>
      <c r="AC8" s="139">
        <f ca="1">OFFSET('ACM Performance Curves'!$V$16,'Fan Curves - Ref Only'!AC$1,$Y8)</f>
        <v>0.59830000000000005</v>
      </c>
      <c r="AD8" s="139">
        <f ca="1">OFFSET('ACM Performance Curves'!$V$16,'Fan Curves - Ref Only'!AD$1,$Y8)</f>
        <v>2.2728999999999999</v>
      </c>
      <c r="AE8" s="139">
        <f ca="1">OFFSET('ACM Performance Curves'!$V$16,'Fan Curves - Ref Only'!AE$1,$Y8)</f>
        <v>1.9908999999999999</v>
      </c>
      <c r="AF8" s="139">
        <f ca="1">OFFSET('ACM Performance Curves'!$V$16,'Fan Curves - Ref Only'!AF$1,$Y8)</f>
        <v>-0.46086411799999999</v>
      </c>
      <c r="AG8" s="139">
        <f ca="1">OFFSET('ACM Performance Curves'!$V$16,'Fan Curves - Ref Only'!AG$1,$Y8)</f>
        <v>0.9506</v>
      </c>
      <c r="AH8" s="139">
        <f ca="1">OFFSET('ACM Performance Curves'!$V$16,'Fan Curves - Ref Only'!AH$1,$Y8)</f>
        <v>-7.2926119999999997E-2</v>
      </c>
      <c r="AI8" s="139">
        <v>0</v>
      </c>
    </row>
    <row r="9" spans="1:39" x14ac:dyDescent="0.25">
      <c r="A9">
        <f t="shared" si="3"/>
        <v>7</v>
      </c>
      <c r="B9" t="s">
        <v>20</v>
      </c>
      <c r="C9" s="171">
        <f t="shared" ca="1" si="4"/>
        <v>0.12809999999999999</v>
      </c>
      <c r="D9" s="171">
        <f t="shared" ca="1" si="4"/>
        <v>-0.29360000000000003</v>
      </c>
      <c r="E9" s="171">
        <f t="shared" ca="1" si="4"/>
        <v>-0.33339999999999997</v>
      </c>
      <c r="F9" s="171">
        <f t="shared" ca="1" si="4"/>
        <v>-0.81689999999999996</v>
      </c>
      <c r="G9" s="171">
        <f t="shared" ca="1" si="4"/>
        <v>-0.75409999999999999</v>
      </c>
      <c r="H9" s="171">
        <f t="shared" ca="1" si="4"/>
        <v>1.0092034400000001</v>
      </c>
      <c r="I9" s="171">
        <f t="shared" ca="1" si="4"/>
        <v>0.94373982300000003</v>
      </c>
      <c r="J9" s="171" t="e">
        <f t="shared" ca="1" si="4"/>
        <v>#N/A</v>
      </c>
      <c r="K9" s="171">
        <f t="shared" ca="1" si="4"/>
        <v>1</v>
      </c>
      <c r="Y9" s="143">
        <f t="shared" si="5"/>
        <v>3</v>
      </c>
      <c r="Z9" t="s">
        <v>20</v>
      </c>
      <c r="AA9" s="139">
        <f ca="1">OFFSET('ACM Performance Curves'!$V$16,'Fan Curves - Ref Only'!AA$1,$Y9)</f>
        <v>0.12809999999999999</v>
      </c>
      <c r="AB9" s="139">
        <f ca="1">OFFSET('ACM Performance Curves'!$V$16,'Fan Curves - Ref Only'!AB$1,$Y9)</f>
        <v>-0.29360000000000003</v>
      </c>
      <c r="AC9" s="139">
        <f ca="1">OFFSET('ACM Performance Curves'!$V$16,'Fan Curves - Ref Only'!AC$1,$Y9)</f>
        <v>-0.33339999999999997</v>
      </c>
      <c r="AD9" s="139">
        <f ca="1">OFFSET('ACM Performance Curves'!$V$16,'Fan Curves - Ref Only'!AD$1,$Y9)</f>
        <v>-0.81689999999999996</v>
      </c>
      <c r="AE9" s="139">
        <f ca="1">OFFSET('ACM Performance Curves'!$V$16,'Fan Curves - Ref Only'!AE$1,$Y9)</f>
        <v>-0.75409999999999999</v>
      </c>
      <c r="AF9" s="139">
        <f ca="1">OFFSET('ACM Performance Curves'!$V$16,'Fan Curves - Ref Only'!AF$1,$Y9)</f>
        <v>1.0092034400000001</v>
      </c>
      <c r="AG9" s="139">
        <f ca="1">OFFSET('ACM Performance Curves'!$V$16,'Fan Curves - Ref Only'!AG$1,$Y9)</f>
        <v>-9.98E-2</v>
      </c>
      <c r="AH9" s="139">
        <f ca="1">OFFSET('ACM Performance Curves'!$V$16,'Fan Curves - Ref Only'!AH$1,$Y9)</f>
        <v>0.94373982300000003</v>
      </c>
      <c r="AI9" s="139">
        <v>1</v>
      </c>
    </row>
    <row r="10" spans="1:39" x14ac:dyDescent="0.25">
      <c r="Y10" s="143"/>
    </row>
    <row r="12" spans="1:39" x14ac:dyDescent="0.25">
      <c r="B12">
        <v>0</v>
      </c>
      <c r="C12" s="141">
        <f ca="1">IF((C$6+(C$7*$B12)+(C$8*$B12^2)+(C$9*$B12^3))&lt;C$4,C$4,IF((C$6+(C$7*$B12)+(C$8*$B12^2)+(C$9*$B12^3))&gt;C$5,C$5,C$6+(C$7*$B12)+(C$8*$B12^2)+(C$9*$B12^3)))</f>
        <v>0.7</v>
      </c>
      <c r="D12" s="141">
        <f t="shared" ref="C12:K32" ca="1" si="6">IF((D$6+(D$7*$B12)+(D$8*$B12^2)+(D$9*$B12^3))&lt;D$4,D$4,IF((D$6+(D$7*$B12)+(D$8*$B12^2)+(D$9*$B12^3))&gt;D$5,D$5,D$6+(D$7*$B12)+(D$8*$B12^2)+(D$9*$B12^3)))</f>
        <v>0.99770000000000003</v>
      </c>
      <c r="E12" s="141">
        <f t="shared" ref="E12:K27" ca="1" si="7">IF((E$6+(E$7*$B12)+(E$8*$B12^2)+(E$9*$B12^3))&lt;E$4,E$4,IF((E$6+(E$7*$B12)+(E$8*$B12^2)+(E$9*$B12^3))&gt;E$5,E$5,E$6+(E$7*$B12)+(E$8*$B12^2)+(E$9*$B12^3)))</f>
        <v>0.5</v>
      </c>
      <c r="F12" s="141">
        <f t="shared" ca="1" si="7"/>
        <v>0.5</v>
      </c>
      <c r="G12" s="141">
        <f t="shared" ca="1" si="7"/>
        <v>0.4</v>
      </c>
      <c r="H12" s="141">
        <f t="shared" ca="1" si="7"/>
        <v>0.1</v>
      </c>
      <c r="I12" s="141">
        <f t="shared" ca="1" si="7"/>
        <v>0.10009999999999999</v>
      </c>
      <c r="J12" s="141" t="e">
        <f t="shared" ca="1" si="7"/>
        <v>#N/A</v>
      </c>
      <c r="K12" s="141">
        <f t="shared" ca="1" si="7"/>
        <v>0.1</v>
      </c>
      <c r="L12" s="142">
        <f ca="1">1-(D12/C12)</f>
        <v>-0.42528571428571449</v>
      </c>
      <c r="M12" s="142"/>
    </row>
    <row r="13" spans="1:39" x14ac:dyDescent="0.25">
      <c r="B13">
        <f>B12+0.05</f>
        <v>0.05</v>
      </c>
      <c r="C13" s="141">
        <f t="shared" ca="1" si="6"/>
        <v>0.7</v>
      </c>
      <c r="D13" s="141">
        <f t="shared" ca="1" si="6"/>
        <v>0.96710004999999999</v>
      </c>
      <c r="E13" s="141">
        <f t="shared" ca="1" si="7"/>
        <v>0.5</v>
      </c>
      <c r="F13" s="141">
        <f t="shared" ca="1" si="7"/>
        <v>0.5</v>
      </c>
      <c r="G13" s="141">
        <f t="shared" ca="1" si="7"/>
        <v>0.4</v>
      </c>
      <c r="H13" s="141">
        <f t="shared" ca="1" si="7"/>
        <v>0.1</v>
      </c>
      <c r="I13" s="141">
        <f t="shared" ca="1" si="7"/>
        <v>0.10009999999999999</v>
      </c>
      <c r="J13" s="141" t="e">
        <f t="shared" ca="1" si="7"/>
        <v>#N/A</v>
      </c>
      <c r="K13" s="141">
        <f t="shared" ca="1" si="7"/>
        <v>0.1</v>
      </c>
      <c r="L13" s="142">
        <f t="shared" ref="L13:L32" ca="1" si="8">1-(D13/C13)</f>
        <v>-0.38157150000000017</v>
      </c>
      <c r="M13" s="142"/>
    </row>
    <row r="14" spans="1:39" x14ac:dyDescent="0.25">
      <c r="B14">
        <f t="shared" ref="B14:B32" si="9">B13+0.05</f>
        <v>0.1</v>
      </c>
      <c r="C14" s="141">
        <f t="shared" ca="1" si="6"/>
        <v>0.7</v>
      </c>
      <c r="D14" s="141">
        <f t="shared" ca="1" si="6"/>
        <v>0.94105340000000004</v>
      </c>
      <c r="E14" s="141">
        <f t="shared" ca="1" si="7"/>
        <v>0.5</v>
      </c>
      <c r="F14" s="141">
        <f t="shared" ca="1" si="7"/>
        <v>0.5</v>
      </c>
      <c r="G14" s="141">
        <f t="shared" ca="1" si="7"/>
        <v>0.4</v>
      </c>
      <c r="H14" s="141">
        <f t="shared" ca="1" si="7"/>
        <v>0.10536243435999999</v>
      </c>
      <c r="I14" s="141">
        <f t="shared" ca="1" si="7"/>
        <v>0.10009999999999999</v>
      </c>
      <c r="J14" s="141" t="e">
        <f t="shared" ca="1" si="7"/>
        <v>#N/A</v>
      </c>
      <c r="K14" s="141">
        <f t="shared" ca="1" si="7"/>
        <v>0.1</v>
      </c>
      <c r="L14" s="142">
        <f t="shared" ca="1" si="8"/>
        <v>-0.34436200000000006</v>
      </c>
      <c r="M14" s="142"/>
    </row>
    <row r="15" spans="1:39" x14ac:dyDescent="0.25">
      <c r="B15">
        <f t="shared" si="9"/>
        <v>0.15000000000000002</v>
      </c>
      <c r="C15" s="141">
        <f t="shared" ca="1" si="6"/>
        <v>0.7</v>
      </c>
      <c r="D15" s="141">
        <f t="shared" ca="1" si="6"/>
        <v>0.91933985000000007</v>
      </c>
      <c r="E15" s="141">
        <f t="shared" ca="1" si="7"/>
        <v>0.5</v>
      </c>
      <c r="F15" s="141">
        <f t="shared" ca="1" si="7"/>
        <v>0.5</v>
      </c>
      <c r="G15" s="141">
        <f t="shared" ca="1" si="7"/>
        <v>0.4</v>
      </c>
      <c r="H15" s="141">
        <f t="shared" ca="1" si="7"/>
        <v>0.12126500110500001</v>
      </c>
      <c r="I15" s="141">
        <f t="shared" ca="1" si="7"/>
        <v>0.10009999999999999</v>
      </c>
      <c r="J15" s="141" t="e">
        <f t="shared" ca="1" si="7"/>
        <v>#N/A</v>
      </c>
      <c r="K15" s="141">
        <f t="shared" ca="1" si="7"/>
        <v>0.1</v>
      </c>
      <c r="L15" s="142">
        <f t="shared" ca="1" si="8"/>
        <v>-0.31334264285714308</v>
      </c>
      <c r="M15" s="142"/>
    </row>
    <row r="16" spans="1:39" x14ac:dyDescent="0.25">
      <c r="B16">
        <f t="shared" si="9"/>
        <v>0.2</v>
      </c>
      <c r="C16" s="141">
        <f t="shared" ca="1" si="6"/>
        <v>0.7</v>
      </c>
      <c r="D16" s="141">
        <f t="shared" ca="1" si="6"/>
        <v>0.90173919999999996</v>
      </c>
      <c r="E16" s="141">
        <f t="shared" ca="1" si="7"/>
        <v>0.5</v>
      </c>
      <c r="F16" s="141">
        <f t="shared" ca="1" si="7"/>
        <v>0.5</v>
      </c>
      <c r="G16" s="141">
        <f t="shared" ca="1" si="7"/>
        <v>0.4</v>
      </c>
      <c r="H16" s="141">
        <f t="shared" ca="1" si="7"/>
        <v>0.13713395500000003</v>
      </c>
      <c r="I16" s="141">
        <f t="shared" ca="1" si="7"/>
        <v>0.10009999999999999</v>
      </c>
      <c r="J16" s="141" t="e">
        <f t="shared" ca="1" si="7"/>
        <v>#N/A</v>
      </c>
      <c r="K16" s="141">
        <f t="shared" ca="1" si="7"/>
        <v>0.1</v>
      </c>
      <c r="L16" s="142">
        <f t="shared" ca="1" si="8"/>
        <v>-0.28819885714285709</v>
      </c>
      <c r="M16" s="142"/>
    </row>
    <row r="17" spans="2:13" x14ac:dyDescent="0.25">
      <c r="B17">
        <f t="shared" si="9"/>
        <v>0.25</v>
      </c>
      <c r="C17" s="141">
        <f t="shared" ca="1" si="6"/>
        <v>0.7</v>
      </c>
      <c r="D17" s="141">
        <f t="shared" ca="1" si="6"/>
        <v>0.88803125000000016</v>
      </c>
      <c r="E17" s="141">
        <f t="shared" ca="1" si="7"/>
        <v>0.5</v>
      </c>
      <c r="F17" s="141">
        <f t="shared" ca="1" si="7"/>
        <v>0.5</v>
      </c>
      <c r="G17" s="141">
        <f t="shared" ca="1" si="7"/>
        <v>0.4</v>
      </c>
      <c r="H17" s="141">
        <f t="shared" ca="1" si="7"/>
        <v>0.153726198625</v>
      </c>
      <c r="I17" s="141">
        <f t="shared" ca="1" si="7"/>
        <v>0.10009999999999999</v>
      </c>
      <c r="J17" s="141" t="e">
        <f t="shared" ca="1" si="7"/>
        <v>#N/A</v>
      </c>
      <c r="K17" s="141">
        <f t="shared" ca="1" si="7"/>
        <v>0.1</v>
      </c>
      <c r="L17" s="142">
        <f t="shared" ca="1" si="8"/>
        <v>-0.26861607142857169</v>
      </c>
      <c r="M17" s="142"/>
    </row>
    <row r="18" spans="2:13" x14ac:dyDescent="0.25">
      <c r="B18">
        <f t="shared" si="9"/>
        <v>0.3</v>
      </c>
      <c r="C18" s="141">
        <f t="shared" ca="1" si="6"/>
        <v>0.7</v>
      </c>
      <c r="D18" s="141">
        <f t="shared" ca="1" si="6"/>
        <v>0.87799579999999999</v>
      </c>
      <c r="E18" s="141">
        <f t="shared" ca="1" si="7"/>
        <v>0.5</v>
      </c>
      <c r="F18" s="141">
        <f t="shared" ca="1" si="7"/>
        <v>0.5</v>
      </c>
      <c r="G18" s="141">
        <f t="shared" ca="1" si="7"/>
        <v>0.4</v>
      </c>
      <c r="H18" s="141">
        <f t="shared" ca="1" si="7"/>
        <v>0.17179863456</v>
      </c>
      <c r="I18" s="141">
        <f t="shared" ca="1" si="7"/>
        <v>0.10009999999999999</v>
      </c>
      <c r="J18" s="141" t="e">
        <f t="shared" ca="1" si="7"/>
        <v>#N/A</v>
      </c>
      <c r="K18" s="141">
        <f t="shared" ca="1" si="7"/>
        <v>0.1</v>
      </c>
      <c r="L18" s="142">
        <f t="shared" ca="1" si="8"/>
        <v>-0.25427971428571428</v>
      </c>
      <c r="M18" s="142"/>
    </row>
    <row r="19" spans="2:13" x14ac:dyDescent="0.25">
      <c r="B19">
        <f t="shared" si="9"/>
        <v>0.35</v>
      </c>
      <c r="C19" s="141">
        <f t="shared" ca="1" si="6"/>
        <v>0.7</v>
      </c>
      <c r="D19" s="141">
        <f t="shared" ca="1" si="6"/>
        <v>0.87141265000000001</v>
      </c>
      <c r="E19" s="141">
        <f t="shared" ca="1" si="7"/>
        <v>0.5</v>
      </c>
      <c r="F19" s="141">
        <f t="shared" ca="1" si="7"/>
        <v>0.5</v>
      </c>
      <c r="G19" s="141">
        <f t="shared" ca="1" si="7"/>
        <v>0.4</v>
      </c>
      <c r="H19" s="141">
        <f t="shared" ca="1" si="7"/>
        <v>0.19210816538500003</v>
      </c>
      <c r="I19" s="141">
        <f t="shared" ca="1" si="7"/>
        <v>0.10310502871112499</v>
      </c>
      <c r="J19" s="141" t="e">
        <f t="shared" ca="1" si="7"/>
        <v>#N/A</v>
      </c>
      <c r="K19" s="141">
        <f t="shared" ca="1" si="7"/>
        <v>0.1</v>
      </c>
      <c r="L19" s="142">
        <f t="shared" ca="1" si="8"/>
        <v>-0.24487521428571446</v>
      </c>
      <c r="M19" s="142"/>
    </row>
    <row r="20" spans="2:13" x14ac:dyDescent="0.25">
      <c r="B20">
        <f t="shared" si="9"/>
        <v>0.39999999999999997</v>
      </c>
      <c r="C20" s="141">
        <f t="shared" ca="1" si="6"/>
        <v>0.7</v>
      </c>
      <c r="D20" s="141">
        <f t="shared" ca="1" si="6"/>
        <v>0.871</v>
      </c>
      <c r="E20" s="141">
        <f t="shared" ca="1" si="7"/>
        <v>0.5</v>
      </c>
      <c r="F20" s="141">
        <f t="shared" ca="1" si="7"/>
        <v>0.5</v>
      </c>
      <c r="G20" s="141">
        <f t="shared" ca="1" si="7"/>
        <v>0.4</v>
      </c>
      <c r="H20" s="141">
        <f t="shared" ca="1" si="7"/>
        <v>0.21541169367999996</v>
      </c>
      <c r="I20" s="141">
        <f t="shared" ca="1" si="7"/>
        <v>0.12470905147199998</v>
      </c>
      <c r="J20" s="141" t="e">
        <f t="shared" ca="1" si="7"/>
        <v>#N/A</v>
      </c>
      <c r="K20" s="141">
        <f t="shared" ca="1" si="7"/>
        <v>0.1</v>
      </c>
      <c r="L20" s="142">
        <f t="shared" ca="1" si="8"/>
        <v>-0.24428571428571444</v>
      </c>
      <c r="M20" s="142"/>
    </row>
    <row r="21" spans="2:13" x14ac:dyDescent="0.25">
      <c r="B21">
        <f t="shared" si="9"/>
        <v>0.44999999999999996</v>
      </c>
      <c r="C21" s="141">
        <f t="shared" ca="1" si="6"/>
        <v>0.71177386250000008</v>
      </c>
      <c r="D21" s="141">
        <f t="shared" ca="1" si="6"/>
        <v>0.871</v>
      </c>
      <c r="E21" s="141">
        <f t="shared" ca="1" si="7"/>
        <v>0.5</v>
      </c>
      <c r="F21" s="141">
        <f t="shared" ca="1" si="7"/>
        <v>0.5</v>
      </c>
      <c r="G21" s="141">
        <f t="shared" ca="1" si="7"/>
        <v>0.4</v>
      </c>
      <c r="H21" s="141">
        <f t="shared" ca="1" si="7"/>
        <v>0.24246612202499995</v>
      </c>
      <c r="I21" s="141">
        <f t="shared" ca="1" si="7"/>
        <v>0.15161088257087496</v>
      </c>
      <c r="J21" s="141" t="e">
        <f t="shared" ca="1" si="7"/>
        <v>#N/A</v>
      </c>
      <c r="K21" s="141">
        <f t="shared" ca="1" si="7"/>
        <v>0.1</v>
      </c>
      <c r="L21" s="142">
        <f t="shared" ca="1" si="8"/>
        <v>-0.22370326572647903</v>
      </c>
      <c r="M21" s="142"/>
    </row>
    <row r="22" spans="2:13" x14ac:dyDescent="0.25">
      <c r="B22">
        <f t="shared" si="9"/>
        <v>0.49999999999999994</v>
      </c>
      <c r="C22" s="141">
        <f t="shared" ca="1" si="6"/>
        <v>0.75373749999999995</v>
      </c>
      <c r="D22" s="141">
        <f t="shared" ca="1" si="6"/>
        <v>0.871</v>
      </c>
      <c r="E22" s="141">
        <f t="shared" ca="1" si="7"/>
        <v>0.53629999999999989</v>
      </c>
      <c r="F22" s="141">
        <f t="shared" ca="1" si="7"/>
        <v>0.5</v>
      </c>
      <c r="G22" s="141">
        <f t="shared" ca="1" si="7"/>
        <v>0.4</v>
      </c>
      <c r="H22" s="141">
        <f t="shared" ca="1" si="7"/>
        <v>0.27402835299999995</v>
      </c>
      <c r="I22" s="141">
        <f t="shared" ca="1" si="7"/>
        <v>0.18451832687499997</v>
      </c>
      <c r="J22" s="141" t="e">
        <f t="shared" ca="1" si="7"/>
        <v>#N/A</v>
      </c>
      <c r="K22" s="141">
        <f t="shared" ca="1" si="7"/>
        <v>0.12499999999999996</v>
      </c>
      <c r="L22" s="142">
        <f t="shared" ca="1" si="8"/>
        <v>-0.15557471931541156</v>
      </c>
      <c r="M22" s="142"/>
    </row>
    <row r="23" spans="2:13" x14ac:dyDescent="0.25">
      <c r="B23">
        <f t="shared" si="9"/>
        <v>0.54999999999999993</v>
      </c>
      <c r="C23" s="141">
        <f t="shared" ca="1" si="6"/>
        <v>0.79225338750000007</v>
      </c>
      <c r="D23" s="141">
        <f t="shared" ca="1" si="6"/>
        <v>0.87519905000000009</v>
      </c>
      <c r="E23" s="141">
        <f t="shared" ca="1" si="7"/>
        <v>0.58451632499999995</v>
      </c>
      <c r="F23" s="141">
        <f t="shared" ca="1" si="7"/>
        <v>0.5</v>
      </c>
      <c r="G23" s="141">
        <f t="shared" ca="1" si="7"/>
        <v>0.41980386249999979</v>
      </c>
      <c r="H23" s="141">
        <f t="shared" ca="1" si="7"/>
        <v>0.31085528918499994</v>
      </c>
      <c r="I23" s="141">
        <f t="shared" ca="1" si="7"/>
        <v>0.22413918925162496</v>
      </c>
      <c r="J23" s="141" t="e">
        <f t="shared" ca="1" si="7"/>
        <v>#N/A</v>
      </c>
      <c r="K23" s="141">
        <f t="shared" ca="1" si="7"/>
        <v>0.16637499999999994</v>
      </c>
      <c r="L23" s="142">
        <f t="shared" ca="1" si="8"/>
        <v>-0.1046958761031489</v>
      </c>
      <c r="M23" s="142"/>
    </row>
    <row r="24" spans="2:13" x14ac:dyDescent="0.25">
      <c r="B24">
        <f t="shared" si="9"/>
        <v>0.6</v>
      </c>
      <c r="C24" s="141">
        <f t="shared" ca="1" si="6"/>
        <v>0.82741759999999986</v>
      </c>
      <c r="D24" s="141">
        <f t="shared" ca="1" si="6"/>
        <v>0.88257440000000009</v>
      </c>
      <c r="E24" s="141">
        <f t="shared" ca="1" si="7"/>
        <v>0.63297359999999991</v>
      </c>
      <c r="F24" s="141">
        <f t="shared" ca="1" si="7"/>
        <v>0.5</v>
      </c>
      <c r="G24" s="141">
        <f t="shared" ca="1" si="7"/>
        <v>0.47677839999999994</v>
      </c>
      <c r="H24" s="141">
        <f t="shared" ca="1" si="7"/>
        <v>0.35370383315999998</v>
      </c>
      <c r="I24" s="141">
        <f t="shared" ca="1" si="7"/>
        <v>0.27118127456800001</v>
      </c>
      <c r="J24" s="141" t="e">
        <f t="shared" ca="1" si="7"/>
        <v>#N/A</v>
      </c>
      <c r="K24" s="141">
        <f t="shared" ca="1" si="7"/>
        <v>0.216</v>
      </c>
      <c r="L24" s="142">
        <f t="shared" ca="1" si="8"/>
        <v>-6.6661381145385556E-2</v>
      </c>
      <c r="M24" s="142"/>
    </row>
    <row r="25" spans="2:13" x14ac:dyDescent="0.25">
      <c r="B25">
        <f t="shared" si="9"/>
        <v>0.65</v>
      </c>
      <c r="C25" s="141">
        <f t="shared" ca="1" si="6"/>
        <v>0.85932621250000008</v>
      </c>
      <c r="D25" s="141">
        <f t="shared" ca="1" si="6"/>
        <v>0.89208085000000004</v>
      </c>
      <c r="E25" s="141">
        <f t="shared" ca="1" si="7"/>
        <v>0.68142177500000001</v>
      </c>
      <c r="F25" s="141">
        <f t="shared" ca="1" si="7"/>
        <v>0.54523908750000005</v>
      </c>
      <c r="G25" s="141">
        <f t="shared" ca="1" si="7"/>
        <v>0.53692053749999991</v>
      </c>
      <c r="H25" s="141">
        <f t="shared" ca="1" si="7"/>
        <v>0.40333088750500007</v>
      </c>
      <c r="I25" s="141">
        <f t="shared" ca="1" si="7"/>
        <v>0.32635238769137509</v>
      </c>
      <c r="J25" s="141" t="e">
        <f t="shared" ca="1" si="7"/>
        <v>#N/A</v>
      </c>
      <c r="K25" s="141">
        <f t="shared" ca="1" si="7"/>
        <v>0.27462500000000006</v>
      </c>
      <c r="L25" s="142">
        <f t="shared" ca="1" si="8"/>
        <v>-3.8116651189666673E-2</v>
      </c>
      <c r="M25" s="142"/>
    </row>
    <row r="26" spans="2:13" x14ac:dyDescent="0.25">
      <c r="B26">
        <f t="shared" si="9"/>
        <v>0.70000000000000007</v>
      </c>
      <c r="C26" s="141">
        <f t="shared" ca="1" si="6"/>
        <v>0.88807530000000012</v>
      </c>
      <c r="D26" s="141">
        <f t="shared" ca="1" si="6"/>
        <v>0.90349819999999992</v>
      </c>
      <c r="E26" s="141">
        <f t="shared" ca="1" si="7"/>
        <v>0.72961080000000011</v>
      </c>
      <c r="F26" s="141">
        <f t="shared" ca="1" si="7"/>
        <v>0.60476430000000003</v>
      </c>
      <c r="G26" s="141">
        <f t="shared" ca="1" si="7"/>
        <v>0.59966470000000005</v>
      </c>
      <c r="H26" s="141">
        <f t="shared" ca="1" si="7"/>
        <v>0.46049335480000009</v>
      </c>
      <c r="I26" s="141">
        <f t="shared" ca="1" si="7"/>
        <v>0.39036033348900012</v>
      </c>
      <c r="J26" s="141" t="e">
        <f t="shared" ca="1" si="7"/>
        <v>#N/A</v>
      </c>
      <c r="K26" s="141">
        <f t="shared" ca="1" si="7"/>
        <v>0.34300000000000008</v>
      </c>
      <c r="L26" s="142">
        <f t="shared" ca="1" si="8"/>
        <v>-1.736665798497028E-2</v>
      </c>
      <c r="M26" s="142"/>
    </row>
    <row r="27" spans="2:13" x14ac:dyDescent="0.25">
      <c r="B27">
        <f t="shared" si="9"/>
        <v>0.75000000000000011</v>
      </c>
      <c r="C27" s="141">
        <f t="shared" ca="1" si="6"/>
        <v>0.91376093749999998</v>
      </c>
      <c r="D27" s="141">
        <f t="shared" ca="1" si="6"/>
        <v>0.91660624999999996</v>
      </c>
      <c r="E27" s="141">
        <f t="shared" ca="1" si="7"/>
        <v>0.77729062500000012</v>
      </c>
      <c r="F27" s="141">
        <f t="shared" ca="1" si="7"/>
        <v>0.66707656250000014</v>
      </c>
      <c r="G27" s="141">
        <f t="shared" ca="1" si="7"/>
        <v>0.66444531250000005</v>
      </c>
      <c r="H27" s="141">
        <f t="shared" ca="1" si="7"/>
        <v>0.52594813762500014</v>
      </c>
      <c r="I27" s="141">
        <f t="shared" ca="1" si="7"/>
        <v>0.46391291682812524</v>
      </c>
      <c r="J27" s="141" t="e">
        <f t="shared" ca="1" si="7"/>
        <v>#N/A</v>
      </c>
      <c r="K27" s="141">
        <f t="shared" ca="1" si="7"/>
        <v>0.42187500000000022</v>
      </c>
      <c r="L27" s="142">
        <f t="shared" ca="1" si="8"/>
        <v>-3.113847816459181E-3</v>
      </c>
      <c r="M27" s="142"/>
    </row>
    <row r="28" spans="2:13" x14ac:dyDescent="0.25">
      <c r="B28">
        <f t="shared" si="9"/>
        <v>0.80000000000000016</v>
      </c>
      <c r="C28" s="141">
        <f t="shared" ca="1" si="6"/>
        <v>0.93647920000000018</v>
      </c>
      <c r="D28" s="141">
        <f t="shared" ca="1" si="6"/>
        <v>0.93118480000000003</v>
      </c>
      <c r="E28" s="141">
        <f t="shared" ca="1" si="6"/>
        <v>0.82421120000000014</v>
      </c>
      <c r="F28" s="141">
        <f t="shared" ca="1" si="6"/>
        <v>0.73156320000000008</v>
      </c>
      <c r="G28" s="141">
        <f t="shared" ca="1" si="6"/>
        <v>0.73069680000000015</v>
      </c>
      <c r="H28" s="141">
        <f t="shared" ca="1" si="6"/>
        <v>0.60045213856000013</v>
      </c>
      <c r="I28" s="141">
        <f t="shared" ca="1" si="6"/>
        <v>0.54771794257600026</v>
      </c>
      <c r="J28" s="141" t="e">
        <f t="shared" ca="1" si="6"/>
        <v>#N/A</v>
      </c>
      <c r="K28" s="141">
        <f t="shared" ca="1" si="6"/>
        <v>0.51200000000000023</v>
      </c>
      <c r="L28" s="142">
        <f t="shared" ca="1" si="8"/>
        <v>5.6535158495780724E-3</v>
      </c>
      <c r="M28" s="142"/>
    </row>
    <row r="29" spans="2:13" x14ac:dyDescent="0.25">
      <c r="B29">
        <f t="shared" si="9"/>
        <v>0.8500000000000002</v>
      </c>
      <c r="C29" s="141">
        <f t="shared" ca="1" si="6"/>
        <v>0.95632616250000024</v>
      </c>
      <c r="D29" s="141">
        <f t="shared" ca="1" si="6"/>
        <v>0.94701365000000004</v>
      </c>
      <c r="E29" s="141">
        <f t="shared" ca="1" si="6"/>
        <v>0.87012247500000006</v>
      </c>
      <c r="F29" s="141">
        <f t="shared" ca="1" si="6"/>
        <v>0.79761153750000036</v>
      </c>
      <c r="G29" s="141">
        <f t="shared" ca="1" si="6"/>
        <v>0.79785358750000002</v>
      </c>
      <c r="H29" s="141">
        <f t="shared" ca="1" si="6"/>
        <v>0.68476226018500042</v>
      </c>
      <c r="I29" s="141">
        <f t="shared" ca="1" si="6"/>
        <v>0.64248321559987542</v>
      </c>
      <c r="J29" s="141" t="e">
        <f t="shared" ca="1" si="6"/>
        <v>#N/A</v>
      </c>
      <c r="K29" s="141">
        <f t="shared" ca="1" si="6"/>
        <v>0.61412500000000048</v>
      </c>
      <c r="L29" s="142">
        <f t="shared" ca="1" si="8"/>
        <v>9.7377995763032743E-3</v>
      </c>
      <c r="M29" s="142"/>
    </row>
    <row r="30" spans="2:13" x14ac:dyDescent="0.25">
      <c r="B30">
        <f t="shared" si="9"/>
        <v>0.90000000000000024</v>
      </c>
      <c r="C30" s="141">
        <f t="shared" ca="1" si="6"/>
        <v>0.97339790000000015</v>
      </c>
      <c r="D30" s="141">
        <f t="shared" ca="1" si="6"/>
        <v>0.96387260000000008</v>
      </c>
      <c r="E30" s="141">
        <f t="shared" ca="1" si="6"/>
        <v>0.91477440000000032</v>
      </c>
      <c r="F30" s="141">
        <f t="shared" ca="1" si="6"/>
        <v>0.86460890000000024</v>
      </c>
      <c r="G30" s="141">
        <f t="shared" ca="1" si="6"/>
        <v>0.86535010000000034</v>
      </c>
      <c r="H30" s="141">
        <f t="shared" ca="1" si="6"/>
        <v>0.7796354050800004</v>
      </c>
      <c r="I30" s="141">
        <f t="shared" ca="1" si="6"/>
        <v>0.74891654076700054</v>
      </c>
      <c r="J30" s="141" t="e">
        <f t="shared" ca="1" si="6"/>
        <v>#N/A</v>
      </c>
      <c r="K30" s="141">
        <f t="shared" ca="1" si="6"/>
        <v>0.72900000000000054</v>
      </c>
      <c r="L30" s="142">
        <f t="shared" ca="1" si="8"/>
        <v>9.7856179882862548E-3</v>
      </c>
      <c r="M30" s="142"/>
    </row>
    <row r="31" spans="2:13" x14ac:dyDescent="0.25">
      <c r="B31">
        <f t="shared" si="9"/>
        <v>0.95000000000000029</v>
      </c>
      <c r="C31" s="141">
        <f t="shared" ca="1" si="6"/>
        <v>0.9877904875000002</v>
      </c>
      <c r="D31" s="141">
        <f t="shared" ca="1" si="6"/>
        <v>0.98154145000000004</v>
      </c>
      <c r="E31" s="141">
        <f t="shared" ca="1" si="6"/>
        <v>0.95791692500000036</v>
      </c>
      <c r="F31" s="141">
        <f t="shared" ca="1" si="6"/>
        <v>0.93194261250000043</v>
      </c>
      <c r="G31" s="141">
        <f t="shared" ca="1" si="6"/>
        <v>0.93262076250000014</v>
      </c>
      <c r="H31" s="141">
        <f t="shared" ca="1" si="6"/>
        <v>0.88582847582500057</v>
      </c>
      <c r="I31" s="141">
        <f t="shared" ca="1" si="6"/>
        <v>0.86772572294462569</v>
      </c>
      <c r="J31" s="141" t="e">
        <f t="shared" ca="1" si="6"/>
        <v>#N/A</v>
      </c>
      <c r="K31" s="141">
        <f t="shared" ca="1" si="6"/>
        <v>0.85737500000000078</v>
      </c>
      <c r="L31" s="142">
        <f t="shared" ca="1" si="8"/>
        <v>6.3262782736609458E-3</v>
      </c>
      <c r="M31" s="142"/>
    </row>
    <row r="32" spans="2:13" x14ac:dyDescent="0.25">
      <c r="B32">
        <f t="shared" si="9"/>
        <v>1.0000000000000002</v>
      </c>
      <c r="C32" s="141">
        <f t="shared" ca="1" si="6"/>
        <v>0.99960000000000016</v>
      </c>
      <c r="D32" s="141">
        <f t="shared" ca="1" si="6"/>
        <v>0.99980000000000002</v>
      </c>
      <c r="E32" s="141">
        <f t="shared" ca="1" si="6"/>
        <v>0.9993000000000003</v>
      </c>
      <c r="F32" s="141">
        <f t="shared" ca="1" si="6"/>
        <v>0.999</v>
      </c>
      <c r="G32" s="141">
        <f t="shared" ca="1" si="6"/>
        <v>0.99909999999999999</v>
      </c>
      <c r="H32" s="141">
        <f t="shared" ca="1" si="6"/>
        <v>1</v>
      </c>
      <c r="I32" s="141">
        <f t="shared" ca="1" si="6"/>
        <v>0.99961856700000074</v>
      </c>
      <c r="J32" s="141" t="e">
        <f t="shared" ca="1" si="6"/>
        <v>#N/A</v>
      </c>
      <c r="K32" s="141">
        <f t="shared" ca="1" si="6"/>
        <v>1.0000000000000007</v>
      </c>
      <c r="L32" s="142">
        <f t="shared" ca="1" si="8"/>
        <v>-2.0008003201277269E-4</v>
      </c>
      <c r="M32" s="142"/>
    </row>
    <row r="33" spans="3:13" x14ac:dyDescent="0.25">
      <c r="C33" s="141"/>
      <c r="D33" s="141"/>
      <c r="E33" s="141"/>
      <c r="F33" s="141"/>
      <c r="G33" s="141"/>
      <c r="H33" s="141"/>
      <c r="I33" s="141"/>
      <c r="J33" s="141"/>
      <c r="K33" s="141"/>
      <c r="L33" s="142"/>
      <c r="M33" s="142"/>
    </row>
    <row r="34" spans="3:13" x14ac:dyDescent="0.25">
      <c r="C34" s="141"/>
      <c r="D34" s="141"/>
      <c r="E34" s="141"/>
      <c r="F34" s="141"/>
      <c r="G34" s="141"/>
      <c r="H34" s="141"/>
      <c r="I34" s="141"/>
      <c r="J34" s="141"/>
      <c r="K34" s="141"/>
      <c r="L34" s="142"/>
      <c r="M34" s="142"/>
    </row>
    <row r="35" spans="3:13" x14ac:dyDescent="0.25">
      <c r="C35" s="141"/>
      <c r="D35" s="141"/>
      <c r="E35" s="141"/>
      <c r="F35" s="141"/>
      <c r="G35" s="141"/>
      <c r="H35" s="141"/>
      <c r="I35" s="141"/>
      <c r="J35" s="141"/>
      <c r="K35" s="141"/>
      <c r="L35" s="142"/>
      <c r="M35" s="142"/>
    </row>
    <row r="36" spans="3:13" x14ac:dyDescent="0.25">
      <c r="C36" s="141"/>
      <c r="D36" s="141"/>
      <c r="E36" s="141"/>
      <c r="F36" s="141"/>
      <c r="G36" s="141"/>
      <c r="H36" s="141"/>
      <c r="I36" s="141"/>
      <c r="J36" s="141"/>
      <c r="K36" s="141"/>
      <c r="L36" s="142"/>
      <c r="M36" s="142"/>
    </row>
    <row r="37" spans="3:13" x14ac:dyDescent="0.25">
      <c r="C37" s="141"/>
      <c r="D37" s="141"/>
      <c r="E37" s="141"/>
      <c r="F37" s="141"/>
      <c r="G37" s="141"/>
      <c r="H37" s="141"/>
      <c r="I37" s="141"/>
      <c r="J37" s="141"/>
      <c r="K37" s="141"/>
      <c r="L37" s="142"/>
      <c r="M37" s="142"/>
    </row>
    <row r="38" spans="3:13" x14ac:dyDescent="0.25">
      <c r="C38" s="141"/>
      <c r="D38" s="141"/>
      <c r="E38" s="141"/>
      <c r="F38" s="141"/>
      <c r="G38" s="141"/>
      <c r="H38" s="141"/>
      <c r="I38" s="141"/>
      <c r="J38" s="141"/>
      <c r="K38" s="141"/>
      <c r="L38" s="142"/>
      <c r="M38" s="142"/>
    </row>
    <row r="39" spans="3:13" x14ac:dyDescent="0.25">
      <c r="C39" s="141"/>
      <c r="D39" s="141"/>
      <c r="E39" s="141"/>
      <c r="F39" s="141"/>
      <c r="G39" s="141"/>
      <c r="H39" s="141"/>
      <c r="I39" s="141"/>
      <c r="J39" s="141"/>
      <c r="K39" s="141"/>
      <c r="L39" s="142"/>
      <c r="M39" s="142"/>
    </row>
    <row r="40" spans="3:13" x14ac:dyDescent="0.25">
      <c r="C40" s="141"/>
      <c r="D40" s="141"/>
      <c r="E40" s="141"/>
      <c r="F40" s="141"/>
      <c r="G40" s="141"/>
      <c r="H40" s="141"/>
      <c r="I40" s="141"/>
      <c r="J40" s="141"/>
      <c r="K40" s="141"/>
      <c r="L40" s="142"/>
      <c r="M40" s="142"/>
    </row>
    <row r="41" spans="3:13" x14ac:dyDescent="0.25">
      <c r="C41" s="141"/>
      <c r="D41" s="141"/>
      <c r="E41" s="141"/>
      <c r="F41" s="141"/>
      <c r="G41" s="141"/>
      <c r="H41" s="141"/>
      <c r="I41" s="141"/>
      <c r="J41" s="141"/>
      <c r="K41" s="141"/>
      <c r="L41" s="142"/>
      <c r="M41" s="142"/>
    </row>
    <row r="42" spans="3:13" x14ac:dyDescent="0.25">
      <c r="C42" s="141"/>
      <c r="D42" s="141"/>
      <c r="E42" s="141"/>
      <c r="F42" s="141"/>
      <c r="G42" s="141"/>
      <c r="H42" s="141"/>
      <c r="I42" s="141"/>
      <c r="J42" s="141"/>
      <c r="K42" s="141"/>
      <c r="L42" s="142"/>
      <c r="M42" s="142"/>
    </row>
    <row r="43" spans="3:13" x14ac:dyDescent="0.25">
      <c r="C43" s="141"/>
      <c r="D43" s="141"/>
      <c r="E43" s="141"/>
      <c r="F43" s="141"/>
      <c r="G43" s="141"/>
      <c r="H43" s="141"/>
      <c r="I43" s="141"/>
      <c r="J43" s="141"/>
      <c r="K43" s="141"/>
      <c r="L43" s="142"/>
      <c r="M43" s="142"/>
    </row>
    <row r="44" spans="3:13" x14ac:dyDescent="0.25">
      <c r="C44" s="141"/>
      <c r="D44" s="141"/>
      <c r="E44" s="141"/>
      <c r="F44" s="141"/>
      <c r="G44" s="141"/>
      <c r="H44" s="141"/>
      <c r="I44" s="141"/>
      <c r="J44" s="141"/>
      <c r="K44" s="141"/>
      <c r="L44" s="142"/>
      <c r="M44" s="142"/>
    </row>
    <row r="45" spans="3:13" x14ac:dyDescent="0.25">
      <c r="C45" s="141"/>
      <c r="D45" s="141"/>
      <c r="E45" s="141"/>
      <c r="F45" s="141"/>
      <c r="G45" s="141"/>
      <c r="H45" s="141"/>
      <c r="I45" s="141"/>
      <c r="J45" s="141"/>
      <c r="K45" s="141"/>
      <c r="L45" s="142"/>
      <c r="M45" s="142"/>
    </row>
    <row r="46" spans="3:13" x14ac:dyDescent="0.25">
      <c r="C46" s="141"/>
      <c r="D46" s="141"/>
      <c r="E46" s="141"/>
      <c r="F46" s="141"/>
      <c r="G46" s="141"/>
      <c r="H46" s="141"/>
      <c r="I46" s="141"/>
      <c r="J46" s="141"/>
      <c r="K46" s="141"/>
      <c r="L46" s="142"/>
      <c r="M46" s="142"/>
    </row>
    <row r="47" spans="3:13" x14ac:dyDescent="0.25">
      <c r="C47" s="141"/>
      <c r="D47" s="141"/>
      <c r="E47" s="141"/>
      <c r="F47" s="141"/>
      <c r="G47" s="141"/>
      <c r="H47" s="141"/>
      <c r="I47" s="141"/>
      <c r="J47" s="141"/>
      <c r="K47" s="141"/>
      <c r="L47" s="142"/>
      <c r="M47" s="142"/>
    </row>
    <row r="48" spans="3:13" x14ac:dyDescent="0.25">
      <c r="C48" s="141"/>
      <c r="D48" s="141"/>
      <c r="E48" s="141"/>
      <c r="F48" s="141"/>
      <c r="G48" s="141"/>
      <c r="H48" s="141"/>
      <c r="I48" s="141"/>
      <c r="J48" s="141"/>
      <c r="K48" s="141"/>
      <c r="L48" s="142"/>
      <c r="M48" s="142"/>
    </row>
    <row r="49" spans="3:13" x14ac:dyDescent="0.25">
      <c r="C49" s="141"/>
      <c r="D49" s="141"/>
      <c r="E49" s="141"/>
      <c r="F49" s="141"/>
      <c r="G49" s="141"/>
      <c r="H49" s="141"/>
      <c r="I49" s="141"/>
      <c r="J49" s="141"/>
      <c r="K49" s="141"/>
      <c r="L49" s="142"/>
      <c r="M49" s="142"/>
    </row>
    <row r="50" spans="3:13" x14ac:dyDescent="0.25">
      <c r="C50" s="141"/>
      <c r="D50" s="141"/>
      <c r="E50" s="141"/>
      <c r="F50" s="141"/>
      <c r="G50" s="141"/>
      <c r="H50" s="141"/>
      <c r="I50" s="141"/>
      <c r="J50" s="141"/>
      <c r="K50" s="141"/>
      <c r="L50" s="142"/>
      <c r="M50" s="142"/>
    </row>
    <row r="51" spans="3:13" x14ac:dyDescent="0.25">
      <c r="C51" s="141"/>
      <c r="D51" s="141"/>
      <c r="E51" s="141"/>
      <c r="F51" s="141"/>
      <c r="G51" s="141"/>
      <c r="H51" s="141"/>
      <c r="I51" s="141"/>
      <c r="J51" s="141"/>
      <c r="K51" s="141"/>
      <c r="L51" s="142"/>
      <c r="M51" s="142"/>
    </row>
    <row r="52" spans="3:13" x14ac:dyDescent="0.25">
      <c r="C52" s="141"/>
      <c r="D52" s="141"/>
      <c r="E52" s="141"/>
      <c r="F52" s="141"/>
      <c r="G52" s="141"/>
      <c r="H52" s="141"/>
      <c r="I52" s="141"/>
      <c r="J52" s="141"/>
      <c r="K52" s="141"/>
      <c r="L52" s="142"/>
      <c r="M52" s="142"/>
    </row>
    <row r="53" spans="3:13" x14ac:dyDescent="0.25">
      <c r="C53" s="141"/>
      <c r="D53" s="141"/>
      <c r="E53" s="141"/>
      <c r="F53" s="141"/>
      <c r="G53" s="141"/>
      <c r="H53" s="141"/>
      <c r="I53" s="141"/>
      <c r="J53" s="141"/>
      <c r="K53" s="141"/>
      <c r="L53" s="142"/>
      <c r="M53" s="142"/>
    </row>
    <row r="54" spans="3:13" x14ac:dyDescent="0.25">
      <c r="C54" s="141"/>
      <c r="D54" s="141"/>
      <c r="E54" s="141"/>
      <c r="F54" s="141"/>
      <c r="G54" s="141"/>
      <c r="H54" s="141"/>
      <c r="I54" s="141"/>
      <c r="J54" s="141"/>
      <c r="K54" s="141"/>
      <c r="L54" s="142"/>
      <c r="M54" s="142"/>
    </row>
    <row r="55" spans="3:13" x14ac:dyDescent="0.25">
      <c r="C55" s="141"/>
      <c r="D55" s="141"/>
      <c r="E55" s="141"/>
      <c r="F55" s="141"/>
      <c r="G55" s="141"/>
      <c r="H55" s="141"/>
      <c r="I55" s="141"/>
      <c r="J55" s="141"/>
      <c r="K55" s="141"/>
      <c r="L55" s="142"/>
      <c r="M55" s="142"/>
    </row>
    <row r="56" spans="3:13" x14ac:dyDescent="0.25">
      <c r="C56" s="141"/>
      <c r="D56" s="141"/>
      <c r="E56" s="141"/>
      <c r="F56" s="141"/>
      <c r="G56" s="141"/>
      <c r="H56" s="141"/>
      <c r="I56" s="141"/>
      <c r="J56" s="141"/>
      <c r="K56" s="141"/>
      <c r="L56" s="142"/>
      <c r="M56" s="142"/>
    </row>
    <row r="57" spans="3:13" x14ac:dyDescent="0.25">
      <c r="C57" s="141"/>
      <c r="D57" s="141"/>
      <c r="E57" s="141"/>
      <c r="F57" s="141"/>
      <c r="G57" s="141"/>
      <c r="H57" s="141"/>
      <c r="I57" s="141"/>
      <c r="J57" s="141"/>
      <c r="K57" s="141"/>
      <c r="L57" s="142"/>
      <c r="M57" s="142"/>
    </row>
    <row r="58" spans="3:13" x14ac:dyDescent="0.25">
      <c r="C58" s="141"/>
      <c r="D58" s="141"/>
      <c r="E58" s="141"/>
      <c r="F58" s="141"/>
      <c r="G58" s="141"/>
      <c r="H58" s="141"/>
      <c r="I58" s="141"/>
      <c r="J58" s="141"/>
      <c r="K58" s="141"/>
      <c r="L58" s="142"/>
      <c r="M58" s="142"/>
    </row>
    <row r="59" spans="3:13" x14ac:dyDescent="0.25">
      <c r="C59" s="141"/>
      <c r="D59" s="141"/>
      <c r="E59" s="141"/>
      <c r="F59" s="141"/>
      <c r="G59" s="141"/>
      <c r="H59" s="141"/>
      <c r="I59" s="141"/>
      <c r="J59" s="141"/>
      <c r="K59" s="141"/>
      <c r="L59" s="142"/>
      <c r="M59" s="142"/>
    </row>
    <row r="60" spans="3:13" x14ac:dyDescent="0.25">
      <c r="C60" s="141"/>
      <c r="D60" s="141"/>
      <c r="E60" s="141"/>
      <c r="F60" s="141"/>
      <c r="G60" s="141"/>
      <c r="H60" s="141"/>
      <c r="I60" s="141"/>
      <c r="J60" s="141"/>
      <c r="K60" s="141"/>
      <c r="L60" s="142"/>
      <c r="M60" s="142"/>
    </row>
    <row r="61" spans="3:13" x14ac:dyDescent="0.25">
      <c r="C61" s="141"/>
      <c r="D61" s="141"/>
      <c r="E61" s="141"/>
      <c r="F61" s="141"/>
      <c r="G61" s="141"/>
      <c r="H61" s="141"/>
      <c r="I61" s="141"/>
      <c r="J61" s="141"/>
      <c r="K61" s="141"/>
      <c r="L61" s="142"/>
      <c r="M61" s="142"/>
    </row>
    <row r="62" spans="3:13" x14ac:dyDescent="0.25">
      <c r="C62" s="141"/>
      <c r="D62" s="141"/>
      <c r="E62" s="141"/>
      <c r="F62" s="141"/>
      <c r="G62" s="141"/>
      <c r="H62" s="141"/>
      <c r="I62" s="141"/>
      <c r="J62" s="141"/>
      <c r="K62" s="141"/>
      <c r="L62" s="142"/>
      <c r="M62" s="142"/>
    </row>
  </sheetData>
  <dataConsolidate/>
  <dataValidations count="1">
    <dataValidation type="list" allowBlank="1" showInputMessage="1" showErrorMessage="1" sqref="C3:L3" xr:uid="{00000000-0002-0000-0600-000000000000}">
      <formula1>$AA$3:$AJ$3</formula1>
    </dataValidation>
  </dataValidations>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J22"/>
  <sheetViews>
    <sheetView zoomScale="115" zoomScaleNormal="115" workbookViewId="0">
      <selection activeCell="L33" sqref="L33"/>
    </sheetView>
  </sheetViews>
  <sheetFormatPr defaultRowHeight="15" x14ac:dyDescent="0.25"/>
  <cols>
    <col min="2" max="2" width="39.5703125" customWidth="1"/>
    <col min="8" max="8" width="14.85546875" customWidth="1"/>
    <col min="9" max="10" width="13.5703125" customWidth="1"/>
  </cols>
  <sheetData>
    <row r="1" spans="2:10" x14ac:dyDescent="0.25">
      <c r="C1" t="s">
        <v>17</v>
      </c>
      <c r="D1" t="s">
        <v>18</v>
      </c>
      <c r="E1" t="s">
        <v>19</v>
      </c>
      <c r="F1" t="s">
        <v>20</v>
      </c>
      <c r="H1" t="s">
        <v>148</v>
      </c>
      <c r="I1" s="139" t="s">
        <v>714</v>
      </c>
      <c r="J1" s="139" t="s">
        <v>715</v>
      </c>
    </row>
    <row r="2" spans="2:10" x14ac:dyDescent="0.25">
      <c r="B2" t="s">
        <v>716</v>
      </c>
      <c r="C2" s="155">
        <v>0</v>
      </c>
      <c r="D2" s="155">
        <v>0.5726</v>
      </c>
      <c r="E2" s="155">
        <v>-0.30099999999999999</v>
      </c>
      <c r="F2" s="155">
        <v>0.73470000000000002</v>
      </c>
      <c r="H2">
        <v>1</v>
      </c>
      <c r="I2">
        <f t="shared" ref="I2:I18" si="0">$C$2+$D$2*H2+$E$2*H2^2+$F$2*H2^3</f>
        <v>1.0063</v>
      </c>
      <c r="J2">
        <f t="shared" ref="J2:J18" si="1">$C$3+$D$3*H2+$E$3*H2^2+$F$3*H2^3</f>
        <v>1.0059</v>
      </c>
    </row>
    <row r="3" spans="2:10" x14ac:dyDescent="0.25">
      <c r="B3" t="s">
        <v>717</v>
      </c>
      <c r="C3" s="155">
        <v>0</v>
      </c>
      <c r="D3" s="155">
        <v>2.0500000000000001E-2</v>
      </c>
      <c r="E3" s="155">
        <v>0.41010000000000002</v>
      </c>
      <c r="F3" s="155">
        <v>0.57530000000000003</v>
      </c>
      <c r="H3">
        <v>0.95</v>
      </c>
      <c r="I3">
        <f t="shared" si="0"/>
        <v>0.90223091249999987</v>
      </c>
      <c r="J3">
        <f t="shared" si="1"/>
        <v>0.88283808749999992</v>
      </c>
    </row>
    <row r="4" spans="2:10" x14ac:dyDescent="0.25">
      <c r="B4" t="s">
        <v>718</v>
      </c>
      <c r="C4" s="155">
        <v>0.10299999999999999</v>
      </c>
      <c r="D4" s="155">
        <v>-0.04</v>
      </c>
      <c r="E4" s="155">
        <v>0.76700000000000002</v>
      </c>
      <c r="F4" s="155">
        <v>0.16789999999999999</v>
      </c>
      <c r="H4">
        <v>0.9</v>
      </c>
      <c r="I4">
        <f t="shared" si="0"/>
        <v>0.80712630000000019</v>
      </c>
      <c r="J4">
        <f t="shared" si="1"/>
        <v>0.77002470000000023</v>
      </c>
    </row>
    <row r="5" spans="2:10" x14ac:dyDescent="0.25">
      <c r="B5" t="s">
        <v>719</v>
      </c>
      <c r="C5" s="155">
        <v>2.7300000000000001E-2</v>
      </c>
      <c r="D5" s="155">
        <v>-0.13170000000000001</v>
      </c>
      <c r="E5" s="155">
        <v>0.66420000000000001</v>
      </c>
      <c r="F5" s="155">
        <v>0.44450000000000001</v>
      </c>
      <c r="H5">
        <v>0.85</v>
      </c>
      <c r="I5">
        <f t="shared" si="0"/>
        <v>0.72043513749999999</v>
      </c>
      <c r="J5">
        <f t="shared" si="1"/>
        <v>0.66702836249999997</v>
      </c>
    </row>
    <row r="6" spans="2:10" x14ac:dyDescent="0.25">
      <c r="H6">
        <v>0.8</v>
      </c>
      <c r="I6">
        <f t="shared" si="0"/>
        <v>0.64160640000000013</v>
      </c>
      <c r="J6">
        <f t="shared" si="1"/>
        <v>0.57341760000000019</v>
      </c>
    </row>
    <row r="7" spans="2:10" x14ac:dyDescent="0.25">
      <c r="H7">
        <v>0.75</v>
      </c>
      <c r="I7">
        <f t="shared" si="0"/>
        <v>0.57008906250000002</v>
      </c>
      <c r="J7">
        <f t="shared" si="1"/>
        <v>0.48876093750000005</v>
      </c>
    </row>
    <row r="8" spans="2:10" x14ac:dyDescent="0.25">
      <c r="H8">
        <v>0.7</v>
      </c>
      <c r="I8">
        <f t="shared" si="0"/>
        <v>0.50533209999999995</v>
      </c>
      <c r="J8">
        <f t="shared" si="1"/>
        <v>0.41262689999999996</v>
      </c>
    </row>
    <row r="9" spans="2:10" x14ac:dyDescent="0.25">
      <c r="H9">
        <v>0.65</v>
      </c>
      <c r="I9">
        <f t="shared" si="0"/>
        <v>0.44678448750000005</v>
      </c>
      <c r="J9">
        <f t="shared" si="1"/>
        <v>0.34458401250000009</v>
      </c>
    </row>
    <row r="10" spans="2:10" x14ac:dyDescent="0.25">
      <c r="H10">
        <v>0.6</v>
      </c>
      <c r="I10">
        <f t="shared" si="0"/>
        <v>0.3938952</v>
      </c>
      <c r="J10">
        <f t="shared" si="1"/>
        <v>0.28420080000000003</v>
      </c>
    </row>
    <row r="11" spans="2:10" x14ac:dyDescent="0.25">
      <c r="H11">
        <v>0.55000000000000004</v>
      </c>
      <c r="I11">
        <f t="shared" si="0"/>
        <v>0.34611321250000004</v>
      </c>
      <c r="J11">
        <f t="shared" si="1"/>
        <v>0.23104578750000004</v>
      </c>
    </row>
    <row r="12" spans="2:10" x14ac:dyDescent="0.25">
      <c r="H12">
        <v>0.5</v>
      </c>
      <c r="I12">
        <f t="shared" si="0"/>
        <v>0.30288750000000003</v>
      </c>
      <c r="J12">
        <f t="shared" si="1"/>
        <v>0.1846875</v>
      </c>
    </row>
    <row r="13" spans="2:10" x14ac:dyDescent="0.25">
      <c r="H13">
        <v>0.45</v>
      </c>
      <c r="I13">
        <f t="shared" si="0"/>
        <v>0.26366703750000003</v>
      </c>
      <c r="J13">
        <f t="shared" si="1"/>
        <v>0.14469446250000001</v>
      </c>
    </row>
    <row r="14" spans="2:10" x14ac:dyDescent="0.25">
      <c r="H14">
        <v>0.39999999999999902</v>
      </c>
      <c r="I14">
        <f t="shared" si="0"/>
        <v>0.22790079999999935</v>
      </c>
      <c r="J14">
        <f t="shared" si="1"/>
        <v>0.11063519999999941</v>
      </c>
    </row>
    <row r="15" spans="2:10" x14ac:dyDescent="0.25">
      <c r="H15">
        <v>0.34999999999999898</v>
      </c>
      <c r="I15">
        <f t="shared" si="0"/>
        <v>0.19503776249999938</v>
      </c>
      <c r="J15">
        <f t="shared" si="1"/>
        <v>8.2078237499999485E-2</v>
      </c>
    </row>
    <row r="16" spans="2:10" x14ac:dyDescent="0.25">
      <c r="H16">
        <v>0.29999999999999899</v>
      </c>
      <c r="I16">
        <f t="shared" si="0"/>
        <v>0.16452689999999942</v>
      </c>
      <c r="J16">
        <f t="shared" si="1"/>
        <v>5.8592099999999578E-2</v>
      </c>
    </row>
    <row r="17" spans="8:10" x14ac:dyDescent="0.25">
      <c r="H17">
        <v>0.249999999999999</v>
      </c>
      <c r="I17">
        <f t="shared" si="0"/>
        <v>0.13581718749999944</v>
      </c>
      <c r="J17">
        <f t="shared" si="1"/>
        <v>3.9745312499999672E-2</v>
      </c>
    </row>
    <row r="18" spans="8:10" x14ac:dyDescent="0.25">
      <c r="H18" s="156">
        <v>0.19999999999999901</v>
      </c>
      <c r="I18" s="156">
        <f t="shared" si="0"/>
        <v>0.10835759999999946</v>
      </c>
      <c r="J18" s="156">
        <f t="shared" si="1"/>
        <v>2.5106399999999751E-2</v>
      </c>
    </row>
    <row r="19" spans="8:10" x14ac:dyDescent="0.25">
      <c r="H19" s="156">
        <v>0.149999999999999</v>
      </c>
      <c r="I19" s="156">
        <f t="shared" ref="I19:J22" si="2">I18</f>
        <v>0.10835759999999946</v>
      </c>
      <c r="J19" s="156">
        <f t="shared" si="2"/>
        <v>2.5106399999999751E-2</v>
      </c>
    </row>
    <row r="20" spans="8:10" x14ac:dyDescent="0.25">
      <c r="H20" s="156">
        <v>9.9999999999999006E-2</v>
      </c>
      <c r="I20" s="156">
        <f t="shared" si="2"/>
        <v>0.10835759999999946</v>
      </c>
      <c r="J20" s="156">
        <f t="shared" si="2"/>
        <v>2.5106399999999751E-2</v>
      </c>
    </row>
    <row r="21" spans="8:10" x14ac:dyDescent="0.25">
      <c r="H21" s="156">
        <v>4.9999999999998997E-2</v>
      </c>
      <c r="I21" s="156">
        <f t="shared" si="2"/>
        <v>0.10835759999999946</v>
      </c>
      <c r="J21" s="156">
        <f t="shared" si="2"/>
        <v>2.5106399999999751E-2</v>
      </c>
    </row>
    <row r="22" spans="8:10" x14ac:dyDescent="0.25">
      <c r="H22" s="156">
        <v>0</v>
      </c>
      <c r="I22" s="156">
        <f t="shared" si="2"/>
        <v>0.10835759999999946</v>
      </c>
      <c r="J22" s="156">
        <f t="shared" si="2"/>
        <v>2.5106399999999751E-2</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2:J99"/>
  <sheetViews>
    <sheetView zoomScale="70" zoomScaleNormal="70" workbookViewId="0">
      <pane xSplit="5" ySplit="14" topLeftCell="F15" activePane="bottomRight" state="frozen"/>
      <selection pane="topRight" activeCell="D1" sqref="D1"/>
      <selection pane="bottomLeft" activeCell="A15" sqref="A15"/>
      <selection pane="bottomRight" activeCell="D30" sqref="D30"/>
    </sheetView>
  </sheetViews>
  <sheetFormatPr defaultColWidth="9.140625" defaultRowHeight="15" outlineLevelRow="1" x14ac:dyDescent="0.25"/>
  <cols>
    <col min="1" max="1" width="3.5703125" style="17" customWidth="1"/>
    <col min="2" max="2" width="9.42578125" style="14" bestFit="1" customWidth="1"/>
    <col min="3" max="3" width="9.42578125" style="14" customWidth="1"/>
    <col min="4" max="4" width="37.28515625" style="14" bestFit="1" customWidth="1"/>
    <col min="5" max="5" width="23.85546875" style="19" customWidth="1"/>
    <col min="6" max="6" width="21.5703125" style="19" customWidth="1"/>
    <col min="7" max="7" width="12.5703125" style="19" bestFit="1" customWidth="1"/>
    <col min="8" max="8" width="13.7109375" style="24" customWidth="1"/>
    <col min="9" max="9" width="17.28515625" style="14" customWidth="1"/>
    <col min="10" max="10" width="184.7109375" style="14" customWidth="1"/>
    <col min="11" max="16384" width="9.140625" style="14"/>
  </cols>
  <sheetData>
    <row r="2" spans="1:10" x14ac:dyDescent="0.25">
      <c r="B2" s="14" t="s">
        <v>420</v>
      </c>
      <c r="H2" s="20"/>
    </row>
    <row r="6" spans="1:10" x14ac:dyDescent="0.25">
      <c r="H6" s="20"/>
    </row>
    <row r="11" spans="1:10" x14ac:dyDescent="0.25">
      <c r="G11" s="329" t="s">
        <v>27</v>
      </c>
      <c r="H11" s="329"/>
      <c r="I11" s="329"/>
    </row>
    <row r="12" spans="1:10" x14ac:dyDescent="0.25">
      <c r="G12" s="21" t="s">
        <v>264</v>
      </c>
      <c r="H12" s="329" t="s">
        <v>265</v>
      </c>
      <c r="I12" s="329"/>
    </row>
    <row r="13" spans="1:10" x14ac:dyDescent="0.25">
      <c r="B13" s="17" t="s">
        <v>419</v>
      </c>
      <c r="C13" s="17" t="s">
        <v>437</v>
      </c>
      <c r="D13" s="17" t="s">
        <v>161</v>
      </c>
      <c r="E13" s="17" t="s">
        <v>164</v>
      </c>
      <c r="F13" s="17" t="s">
        <v>163</v>
      </c>
      <c r="G13" s="21" t="s">
        <v>114</v>
      </c>
      <c r="H13" s="22" t="s">
        <v>114</v>
      </c>
      <c r="I13" s="22" t="s">
        <v>115</v>
      </c>
      <c r="J13" s="17" t="s">
        <v>262</v>
      </c>
    </row>
    <row r="14" spans="1:10" x14ac:dyDescent="0.25">
      <c r="D14" s="17"/>
      <c r="E14" s="17"/>
      <c r="F14" s="17"/>
      <c r="H14" s="17"/>
      <c r="I14" s="17"/>
    </row>
    <row r="15" spans="1:10" x14ac:dyDescent="0.25">
      <c r="A15" s="17" t="s">
        <v>268</v>
      </c>
      <c r="D15" s="17"/>
      <c r="E15" s="17"/>
      <c r="F15" s="17"/>
      <c r="H15" s="17"/>
      <c r="I15" s="17"/>
    </row>
    <row r="16" spans="1:10" ht="47.25" x14ac:dyDescent="0.25">
      <c r="B16" s="23" t="s">
        <v>421</v>
      </c>
      <c r="C16" s="23" t="s">
        <v>438</v>
      </c>
      <c r="D16" s="23" t="s">
        <v>259</v>
      </c>
      <c r="E16" s="23" t="s">
        <v>526</v>
      </c>
      <c r="F16" s="23" t="s">
        <v>428</v>
      </c>
      <c r="G16" s="16" t="s">
        <v>275</v>
      </c>
      <c r="H16" s="16" t="s">
        <v>120</v>
      </c>
      <c r="I16" s="23"/>
      <c r="J16" s="16" t="s">
        <v>263</v>
      </c>
    </row>
    <row r="17" spans="1:10" x14ac:dyDescent="0.25">
      <c r="A17" s="17" t="s">
        <v>386</v>
      </c>
      <c r="B17" s="23"/>
      <c r="C17" s="23"/>
      <c r="D17" s="23"/>
      <c r="E17" s="23"/>
      <c r="F17" s="23"/>
      <c r="G17" s="16"/>
      <c r="H17" s="16"/>
      <c r="I17" s="23"/>
      <c r="J17" s="16"/>
    </row>
    <row r="18" spans="1:10" ht="45" x14ac:dyDescent="0.25">
      <c r="B18" s="23" t="s">
        <v>422</v>
      </c>
      <c r="C18" s="23"/>
      <c r="D18" s="23" t="s">
        <v>387</v>
      </c>
      <c r="E18" s="16" t="s">
        <v>528</v>
      </c>
      <c r="F18" s="23" t="s">
        <v>230</v>
      </c>
      <c r="G18" s="16" t="s">
        <v>275</v>
      </c>
      <c r="H18" s="16" t="s">
        <v>148</v>
      </c>
      <c r="I18" s="23"/>
      <c r="J18" s="16" t="s">
        <v>388</v>
      </c>
    </row>
    <row r="19" spans="1:10" x14ac:dyDescent="0.25">
      <c r="A19" s="17" t="s">
        <v>308</v>
      </c>
      <c r="B19" s="23"/>
      <c r="C19" s="23"/>
      <c r="D19" s="23"/>
      <c r="E19" s="23"/>
      <c r="F19" s="23"/>
      <c r="G19" s="16"/>
      <c r="H19" s="16"/>
      <c r="I19" s="23"/>
      <c r="J19" s="16"/>
    </row>
    <row r="20" spans="1:10" ht="45" x14ac:dyDescent="0.25">
      <c r="B20" s="23" t="s">
        <v>423</v>
      </c>
      <c r="C20" s="23"/>
      <c r="D20" s="16" t="s">
        <v>171</v>
      </c>
      <c r="E20" s="16" t="s">
        <v>267</v>
      </c>
      <c r="F20" s="16" t="s">
        <v>165</v>
      </c>
      <c r="G20" s="16" t="s">
        <v>160</v>
      </c>
      <c r="H20" s="16" t="s">
        <v>116</v>
      </c>
      <c r="I20" s="23" t="s">
        <v>461</v>
      </c>
      <c r="J20" s="16" t="s">
        <v>328</v>
      </c>
    </row>
    <row r="21" spans="1:10" ht="60" outlineLevel="1" x14ac:dyDescent="0.25">
      <c r="E21" s="24" t="s">
        <v>170</v>
      </c>
      <c r="F21" s="24" t="s">
        <v>230</v>
      </c>
      <c r="G21" s="24" t="s">
        <v>160</v>
      </c>
      <c r="H21" s="24" t="s">
        <v>120</v>
      </c>
      <c r="J21" s="25" t="s">
        <v>329</v>
      </c>
    </row>
    <row r="22" spans="1:10" ht="60" outlineLevel="1" x14ac:dyDescent="0.25">
      <c r="E22" s="24" t="s">
        <v>169</v>
      </c>
      <c r="F22" s="24" t="s">
        <v>165</v>
      </c>
      <c r="G22" s="24" t="s">
        <v>288</v>
      </c>
      <c r="H22" s="24" t="s">
        <v>116</v>
      </c>
      <c r="I22" s="24" t="s">
        <v>461</v>
      </c>
      <c r="J22" s="24" t="s">
        <v>330</v>
      </c>
    </row>
    <row r="23" spans="1:10" ht="60" outlineLevel="1" x14ac:dyDescent="0.25">
      <c r="E23" s="24" t="s">
        <v>168</v>
      </c>
      <c r="F23" s="24" t="s">
        <v>535</v>
      </c>
      <c r="G23" s="24" t="s">
        <v>288</v>
      </c>
      <c r="H23" s="24" t="s">
        <v>120</v>
      </c>
      <c r="J23" s="24" t="s">
        <v>331</v>
      </c>
    </row>
    <row r="24" spans="1:10" ht="45" outlineLevel="1" x14ac:dyDescent="0.25">
      <c r="E24" s="24" t="s">
        <v>167</v>
      </c>
      <c r="F24" s="24" t="s">
        <v>535</v>
      </c>
      <c r="G24" s="24" t="s">
        <v>288</v>
      </c>
      <c r="H24" s="24" t="s">
        <v>160</v>
      </c>
      <c r="J24" s="24" t="s">
        <v>453</v>
      </c>
    </row>
    <row r="25" spans="1:10" ht="61.5" customHeight="1" x14ac:dyDescent="0.25">
      <c r="B25" s="14" t="s">
        <v>424</v>
      </c>
      <c r="D25" s="24" t="s">
        <v>503</v>
      </c>
      <c r="E25" s="24" t="s">
        <v>319</v>
      </c>
      <c r="F25" s="26" t="s">
        <v>322</v>
      </c>
      <c r="G25" s="24" t="s">
        <v>450</v>
      </c>
      <c r="H25" s="24" t="s">
        <v>515</v>
      </c>
      <c r="I25" s="24"/>
      <c r="J25" s="24" t="s">
        <v>326</v>
      </c>
    </row>
    <row r="26" spans="1:10" ht="75" outlineLevel="1" x14ac:dyDescent="0.25">
      <c r="D26" s="24"/>
      <c r="E26" s="24" t="s">
        <v>320</v>
      </c>
      <c r="F26" s="26" t="s">
        <v>517</v>
      </c>
      <c r="G26" s="24" t="s">
        <v>451</v>
      </c>
      <c r="H26" s="24" t="s">
        <v>516</v>
      </c>
      <c r="I26" s="24"/>
      <c r="J26" s="24" t="s">
        <v>327</v>
      </c>
    </row>
    <row r="27" spans="1:10" ht="61.5" customHeight="1" outlineLevel="1" x14ac:dyDescent="0.25">
      <c r="E27" s="24" t="s">
        <v>321</v>
      </c>
      <c r="F27" s="26" t="s">
        <v>322</v>
      </c>
      <c r="G27" s="24" t="s">
        <v>275</v>
      </c>
      <c r="H27" s="24" t="s">
        <v>515</v>
      </c>
      <c r="I27" s="24"/>
      <c r="J27" s="24" t="s">
        <v>326</v>
      </c>
    </row>
    <row r="28" spans="1:10" ht="61.5" customHeight="1" x14ac:dyDescent="0.25">
      <c r="B28" s="23" t="s">
        <v>423</v>
      </c>
      <c r="C28" s="23"/>
      <c r="D28" s="16" t="s">
        <v>287</v>
      </c>
      <c r="E28" s="16" t="s">
        <v>267</v>
      </c>
      <c r="F28" s="16" t="s">
        <v>165</v>
      </c>
      <c r="G28" s="16" t="s">
        <v>160</v>
      </c>
      <c r="H28" s="16" t="s">
        <v>116</v>
      </c>
      <c r="I28" s="23" t="s">
        <v>461</v>
      </c>
      <c r="J28" s="16" t="s">
        <v>269</v>
      </c>
    </row>
    <row r="29" spans="1:10" ht="61.5" customHeight="1" outlineLevel="1" x14ac:dyDescent="0.25">
      <c r="E29" s="24" t="s">
        <v>170</v>
      </c>
      <c r="F29" s="24" t="s">
        <v>230</v>
      </c>
      <c r="G29" s="24" t="s">
        <v>160</v>
      </c>
      <c r="H29" s="24" t="s">
        <v>120</v>
      </c>
      <c r="J29" s="25" t="s">
        <v>270</v>
      </c>
    </row>
    <row r="30" spans="1:10" ht="61.5" customHeight="1" outlineLevel="1" x14ac:dyDescent="0.25">
      <c r="E30" s="24" t="s">
        <v>169</v>
      </c>
      <c r="F30" s="24" t="s">
        <v>165</v>
      </c>
      <c r="G30" s="24" t="s">
        <v>288</v>
      </c>
      <c r="H30" s="24" t="s">
        <v>116</v>
      </c>
      <c r="I30" s="24" t="s">
        <v>461</v>
      </c>
      <c r="J30" s="24" t="s">
        <v>309</v>
      </c>
    </row>
    <row r="31" spans="1:10" ht="61.5" customHeight="1" outlineLevel="1" x14ac:dyDescent="0.25">
      <c r="E31" s="24" t="s">
        <v>168</v>
      </c>
      <c r="F31" s="24" t="s">
        <v>535</v>
      </c>
      <c r="G31" s="24" t="s">
        <v>288</v>
      </c>
      <c r="H31" s="24" t="s">
        <v>120</v>
      </c>
      <c r="J31" s="24" t="s">
        <v>271</v>
      </c>
    </row>
    <row r="32" spans="1:10" ht="45" outlineLevel="1" x14ac:dyDescent="0.25">
      <c r="E32" s="24" t="s">
        <v>167</v>
      </c>
      <c r="F32" s="24" t="s">
        <v>535</v>
      </c>
      <c r="G32" s="24" t="s">
        <v>288</v>
      </c>
      <c r="H32" s="24" t="s">
        <v>160</v>
      </c>
      <c r="J32" s="24" t="s">
        <v>452</v>
      </c>
    </row>
    <row r="33" spans="1:10" ht="61.5" customHeight="1" outlineLevel="1" x14ac:dyDescent="0.25">
      <c r="E33" s="24" t="s">
        <v>332</v>
      </c>
      <c r="F33" s="16" t="s">
        <v>165</v>
      </c>
      <c r="G33" s="16" t="s">
        <v>160</v>
      </c>
      <c r="H33" s="16" t="s">
        <v>116</v>
      </c>
      <c r="I33" s="23" t="s">
        <v>461</v>
      </c>
      <c r="J33" s="25" t="s">
        <v>334</v>
      </c>
    </row>
    <row r="34" spans="1:10" ht="61.5" customHeight="1" outlineLevel="1" x14ac:dyDescent="0.25">
      <c r="E34" s="24" t="s">
        <v>333</v>
      </c>
      <c r="F34" s="24" t="s">
        <v>165</v>
      </c>
      <c r="G34" s="24" t="s">
        <v>288</v>
      </c>
      <c r="H34" s="24" t="s">
        <v>116</v>
      </c>
      <c r="I34" s="24" t="s">
        <v>461</v>
      </c>
      <c r="J34" s="25" t="s">
        <v>335</v>
      </c>
    </row>
    <row r="35" spans="1:10" x14ac:dyDescent="0.25">
      <c r="A35" s="17" t="s">
        <v>298</v>
      </c>
      <c r="E35" s="24"/>
      <c r="F35" s="24"/>
      <c r="G35" s="24"/>
      <c r="J35" s="24"/>
    </row>
    <row r="36" spans="1:10" ht="45" x14ac:dyDescent="0.25">
      <c r="B36" s="14" t="s">
        <v>425</v>
      </c>
      <c r="D36" s="24" t="s">
        <v>166</v>
      </c>
      <c r="E36" s="24" t="s">
        <v>167</v>
      </c>
      <c r="F36" s="24" t="s">
        <v>535</v>
      </c>
      <c r="G36" s="24" t="s">
        <v>295</v>
      </c>
      <c r="H36" s="24" t="s">
        <v>160</v>
      </c>
      <c r="J36" s="24" t="s">
        <v>311</v>
      </c>
    </row>
    <row r="37" spans="1:10" ht="75" x14ac:dyDescent="0.25">
      <c r="B37" s="14" t="s">
        <v>426</v>
      </c>
      <c r="D37" s="24" t="s">
        <v>310</v>
      </c>
      <c r="E37" s="24" t="s">
        <v>172</v>
      </c>
      <c r="F37" s="24" t="s">
        <v>536</v>
      </c>
      <c r="G37" s="24" t="s">
        <v>160</v>
      </c>
      <c r="H37" s="24" t="s">
        <v>460</v>
      </c>
      <c r="I37" s="27" t="s">
        <v>418</v>
      </c>
      <c r="J37" s="24" t="s">
        <v>312</v>
      </c>
    </row>
    <row r="38" spans="1:10" ht="60" outlineLevel="1" x14ac:dyDescent="0.25">
      <c r="E38" s="24" t="s">
        <v>173</v>
      </c>
      <c r="F38" s="24" t="s">
        <v>535</v>
      </c>
      <c r="G38" s="24"/>
      <c r="J38" s="24" t="s">
        <v>313</v>
      </c>
    </row>
    <row r="39" spans="1:10" ht="75" outlineLevel="1" x14ac:dyDescent="0.25">
      <c r="E39" s="24" t="s">
        <v>169</v>
      </c>
      <c r="F39" s="24" t="s">
        <v>536</v>
      </c>
      <c r="G39" s="24"/>
      <c r="J39" s="24" t="s">
        <v>314</v>
      </c>
    </row>
    <row r="40" spans="1:10" ht="60" outlineLevel="1" x14ac:dyDescent="0.25">
      <c r="E40" s="24" t="s">
        <v>168</v>
      </c>
      <c r="F40" s="24" t="s">
        <v>535</v>
      </c>
      <c r="G40" s="24"/>
      <c r="J40" s="24" t="s">
        <v>315</v>
      </c>
    </row>
    <row r="41" spans="1:10" ht="75" outlineLevel="1" x14ac:dyDescent="0.25">
      <c r="E41" s="24" t="s">
        <v>167</v>
      </c>
      <c r="F41" s="24" t="s">
        <v>535</v>
      </c>
      <c r="G41" s="24"/>
      <c r="J41" s="24" t="s">
        <v>316</v>
      </c>
    </row>
    <row r="42" spans="1:10" ht="60" outlineLevel="1" x14ac:dyDescent="0.25">
      <c r="E42" s="24" t="s">
        <v>174</v>
      </c>
      <c r="F42" s="24" t="s">
        <v>165</v>
      </c>
      <c r="G42" s="24"/>
      <c r="J42" s="24" t="s">
        <v>317</v>
      </c>
    </row>
    <row r="43" spans="1:10" ht="60" x14ac:dyDescent="0.25">
      <c r="B43" s="14" t="s">
        <v>427</v>
      </c>
      <c r="D43" s="28" t="s">
        <v>336</v>
      </c>
      <c r="E43" s="24" t="s">
        <v>337</v>
      </c>
      <c r="F43" s="26" t="s">
        <v>322</v>
      </c>
      <c r="G43" s="24" t="s">
        <v>160</v>
      </c>
      <c r="H43" s="24" t="s">
        <v>515</v>
      </c>
      <c r="I43" s="28"/>
      <c r="J43" s="24" t="s">
        <v>339</v>
      </c>
    </row>
    <row r="44" spans="1:10" ht="45" outlineLevel="1" x14ac:dyDescent="0.25">
      <c r="E44" s="24" t="s">
        <v>338</v>
      </c>
      <c r="F44" s="26" t="s">
        <v>322</v>
      </c>
      <c r="G44" s="24" t="s">
        <v>275</v>
      </c>
      <c r="H44" s="92"/>
      <c r="I44" s="28"/>
      <c r="J44" s="24" t="s">
        <v>325</v>
      </c>
    </row>
    <row r="45" spans="1:10" x14ac:dyDescent="0.25">
      <c r="A45" s="17" t="s">
        <v>363</v>
      </c>
      <c r="B45" s="29"/>
      <c r="C45" s="29"/>
      <c r="D45" s="29"/>
      <c r="E45" s="30"/>
      <c r="F45" s="30"/>
      <c r="G45" s="30"/>
      <c r="H45" s="30"/>
      <c r="I45" s="29"/>
      <c r="J45" s="29"/>
    </row>
    <row r="46" spans="1:10" ht="90" x14ac:dyDescent="0.25">
      <c r="B46" s="31" t="s">
        <v>179</v>
      </c>
      <c r="C46" s="31"/>
      <c r="D46" s="31" t="s">
        <v>178</v>
      </c>
      <c r="E46" s="28" t="s">
        <v>237</v>
      </c>
      <c r="F46" s="28" t="s">
        <v>537</v>
      </c>
      <c r="G46" s="32" t="s">
        <v>365</v>
      </c>
      <c r="H46" s="32" t="s">
        <v>160</v>
      </c>
      <c r="I46" s="31"/>
      <c r="J46" s="28" t="s">
        <v>367</v>
      </c>
    </row>
    <row r="47" spans="1:10" x14ac:dyDescent="0.25">
      <c r="B47" s="31"/>
      <c r="C47" s="31"/>
      <c r="D47" s="31"/>
      <c r="E47" s="28"/>
      <c r="F47" s="28"/>
      <c r="G47" s="32"/>
      <c r="H47" s="32"/>
      <c r="I47" s="31"/>
      <c r="J47" s="28"/>
    </row>
    <row r="48" spans="1:10" s="31" customFormat="1" ht="75" x14ac:dyDescent="0.25">
      <c r="A48" s="33"/>
      <c r="B48" s="31" t="s">
        <v>236</v>
      </c>
      <c r="D48" s="31" t="s">
        <v>180</v>
      </c>
      <c r="E48" s="28" t="s">
        <v>366</v>
      </c>
      <c r="F48" s="28" t="s">
        <v>162</v>
      </c>
      <c r="G48" s="28" t="s">
        <v>295</v>
      </c>
      <c r="H48" s="28" t="s">
        <v>160</v>
      </c>
      <c r="J48" s="28" t="s">
        <v>368</v>
      </c>
    </row>
    <row r="49" spans="1:10" s="31" customFormat="1" x14ac:dyDescent="0.25">
      <c r="A49" s="33" t="s">
        <v>370</v>
      </c>
      <c r="E49" s="28"/>
      <c r="F49" s="28"/>
      <c r="G49" s="28"/>
      <c r="H49" s="28"/>
      <c r="J49" s="28"/>
    </row>
    <row r="50" spans="1:10" s="31" customFormat="1" ht="30" x14ac:dyDescent="0.25">
      <c r="A50" s="33"/>
      <c r="B50" s="31" t="s">
        <v>197</v>
      </c>
      <c r="D50" s="31" t="s">
        <v>195</v>
      </c>
      <c r="E50" s="28" t="s">
        <v>246</v>
      </c>
      <c r="F50" s="28" t="s">
        <v>200</v>
      </c>
      <c r="G50" s="28" t="s">
        <v>160</v>
      </c>
      <c r="H50" s="28" t="s">
        <v>439</v>
      </c>
      <c r="J50" s="28" t="s">
        <v>196</v>
      </c>
    </row>
    <row r="51" spans="1:10" s="31" customFormat="1" ht="30" x14ac:dyDescent="0.25">
      <c r="A51" s="33"/>
      <c r="E51" s="28" t="s">
        <v>198</v>
      </c>
      <c r="F51" s="28" t="s">
        <v>200</v>
      </c>
      <c r="G51" s="28"/>
      <c r="H51" s="28" t="s">
        <v>160</v>
      </c>
      <c r="J51" s="28" t="s">
        <v>199</v>
      </c>
    </row>
    <row r="52" spans="1:10" s="31" customFormat="1" ht="30" x14ac:dyDescent="0.25">
      <c r="A52" s="33"/>
      <c r="E52" s="28" t="s">
        <v>247</v>
      </c>
      <c r="F52" s="28"/>
      <c r="G52" s="28"/>
      <c r="H52" s="28"/>
      <c r="J52" s="28" t="s">
        <v>201</v>
      </c>
    </row>
    <row r="53" spans="1:10" s="31" customFormat="1" x14ac:dyDescent="0.25">
      <c r="A53" s="33"/>
      <c r="E53" s="28"/>
      <c r="F53" s="28" t="s">
        <v>165</v>
      </c>
      <c r="G53" s="28"/>
      <c r="H53" s="28"/>
    </row>
    <row r="54" spans="1:10" s="31" customFormat="1" ht="60" x14ac:dyDescent="0.25">
      <c r="A54" s="33"/>
      <c r="B54" s="31" t="s">
        <v>203</v>
      </c>
      <c r="D54" s="31" t="s">
        <v>202</v>
      </c>
      <c r="E54" s="28" t="s">
        <v>248</v>
      </c>
      <c r="F54" s="28" t="s">
        <v>165</v>
      </c>
      <c r="G54" s="28"/>
      <c r="H54" s="28"/>
      <c r="J54" s="28" t="s">
        <v>377</v>
      </c>
    </row>
    <row r="55" spans="1:10" s="31" customFormat="1" ht="60" x14ac:dyDescent="0.25">
      <c r="A55" s="33"/>
      <c r="E55" s="28" t="s">
        <v>249</v>
      </c>
      <c r="F55" s="28" t="s">
        <v>165</v>
      </c>
      <c r="G55" s="28"/>
      <c r="H55" s="28"/>
      <c r="J55" s="28" t="s">
        <v>378</v>
      </c>
    </row>
    <row r="56" spans="1:10" s="31" customFormat="1" ht="105" x14ac:dyDescent="0.25">
      <c r="A56" s="33"/>
      <c r="E56" s="28" t="s">
        <v>250</v>
      </c>
      <c r="F56" s="28" t="s">
        <v>200</v>
      </c>
      <c r="G56" s="28"/>
      <c r="H56" s="28"/>
      <c r="J56" s="28" t="s">
        <v>379</v>
      </c>
    </row>
    <row r="57" spans="1:10" s="31" customFormat="1" ht="75" x14ac:dyDescent="0.25">
      <c r="A57" s="33"/>
      <c r="B57" s="31" t="s">
        <v>211</v>
      </c>
      <c r="D57" s="28" t="s">
        <v>204</v>
      </c>
      <c r="E57" s="28" t="s">
        <v>248</v>
      </c>
      <c r="F57" s="28" t="s">
        <v>165</v>
      </c>
      <c r="G57" s="28"/>
      <c r="H57" s="28"/>
      <c r="J57" s="28" t="s">
        <v>205</v>
      </c>
    </row>
    <row r="58" spans="1:10" s="31" customFormat="1" ht="75" x14ac:dyDescent="0.25">
      <c r="A58" s="33"/>
      <c r="E58" s="28" t="s">
        <v>249</v>
      </c>
      <c r="F58" s="28" t="s">
        <v>165</v>
      </c>
      <c r="G58" s="28"/>
      <c r="H58" s="28"/>
      <c r="J58" s="34" t="s">
        <v>206</v>
      </c>
    </row>
    <row r="59" spans="1:10" s="31" customFormat="1" ht="167.25" customHeight="1" x14ac:dyDescent="0.25">
      <c r="A59" s="33"/>
      <c r="E59" s="28" t="s">
        <v>250</v>
      </c>
      <c r="F59" s="28" t="s">
        <v>207</v>
      </c>
      <c r="G59" s="28"/>
      <c r="H59" s="28"/>
      <c r="J59" s="28" t="s">
        <v>208</v>
      </c>
    </row>
    <row r="60" spans="1:10" s="31" customFormat="1" x14ac:dyDescent="0.25">
      <c r="A60" s="33" t="s">
        <v>389</v>
      </c>
      <c r="E60" s="28"/>
      <c r="F60" s="28"/>
      <c r="G60" s="28"/>
      <c r="H60" s="28"/>
      <c r="J60" s="28"/>
    </row>
    <row r="61" spans="1:10" ht="45" x14ac:dyDescent="0.25">
      <c r="B61" s="29" t="s">
        <v>182</v>
      </c>
      <c r="C61" s="29"/>
      <c r="D61" s="29" t="s">
        <v>181</v>
      </c>
      <c r="E61" s="30" t="s">
        <v>238</v>
      </c>
      <c r="F61" s="30" t="s">
        <v>162</v>
      </c>
      <c r="G61" s="30"/>
      <c r="H61" s="30"/>
      <c r="I61" s="29"/>
      <c r="J61" s="30" t="s">
        <v>183</v>
      </c>
    </row>
    <row r="62" spans="1:10" ht="30" x14ac:dyDescent="0.25">
      <c r="B62" s="29"/>
      <c r="C62" s="29"/>
      <c r="D62" s="29"/>
      <c r="E62" s="30" t="s">
        <v>239</v>
      </c>
      <c r="F62" s="30" t="s">
        <v>162</v>
      </c>
      <c r="G62" s="30"/>
      <c r="H62" s="30"/>
      <c r="I62" s="29"/>
      <c r="J62" s="30" t="s">
        <v>184</v>
      </c>
    </row>
    <row r="63" spans="1:10" ht="60" x14ac:dyDescent="0.25">
      <c r="B63" s="29"/>
      <c r="C63" s="29"/>
      <c r="D63" s="29" t="s">
        <v>185</v>
      </c>
      <c r="E63" s="30" t="s">
        <v>240</v>
      </c>
      <c r="F63" s="30" t="s">
        <v>535</v>
      </c>
      <c r="G63" s="30"/>
      <c r="H63" s="30"/>
      <c r="I63" s="29"/>
      <c r="J63" s="30" t="s">
        <v>186</v>
      </c>
    </row>
    <row r="64" spans="1:10" ht="60" x14ac:dyDescent="0.25">
      <c r="B64" s="29"/>
      <c r="C64" s="29"/>
      <c r="D64" s="29"/>
      <c r="E64" s="30" t="s">
        <v>241</v>
      </c>
      <c r="F64" s="30" t="s">
        <v>535</v>
      </c>
      <c r="G64" s="30"/>
      <c r="H64" s="30"/>
      <c r="I64" s="29"/>
      <c r="J64" s="30" t="s">
        <v>187</v>
      </c>
    </row>
    <row r="65" spans="2:10" ht="45" x14ac:dyDescent="0.25">
      <c r="B65" s="29"/>
      <c r="C65" s="29"/>
      <c r="D65" s="29"/>
      <c r="E65" s="30" t="s">
        <v>242</v>
      </c>
      <c r="F65" s="30" t="s">
        <v>535</v>
      </c>
      <c r="G65" s="30"/>
      <c r="H65" s="30"/>
      <c r="I65" s="29"/>
      <c r="J65" s="30" t="s">
        <v>188</v>
      </c>
    </row>
    <row r="66" spans="2:10" ht="45" customHeight="1" x14ac:dyDescent="0.25">
      <c r="B66" s="29"/>
      <c r="C66" s="29"/>
      <c r="D66" s="29"/>
      <c r="E66" s="30" t="s">
        <v>189</v>
      </c>
      <c r="F66" s="30" t="s">
        <v>535</v>
      </c>
      <c r="G66" s="30"/>
      <c r="H66" s="30"/>
      <c r="I66" s="29"/>
      <c r="J66" s="30" t="s">
        <v>190</v>
      </c>
    </row>
    <row r="67" spans="2:10" ht="45" x14ac:dyDescent="0.25">
      <c r="B67" s="29"/>
      <c r="C67" s="29"/>
      <c r="D67" s="29"/>
      <c r="E67" s="30" t="s">
        <v>243</v>
      </c>
      <c r="F67" s="30" t="s">
        <v>535</v>
      </c>
      <c r="G67" s="30"/>
      <c r="H67" s="30"/>
      <c r="I67" s="29"/>
      <c r="J67" s="30" t="s">
        <v>191</v>
      </c>
    </row>
    <row r="68" spans="2:10" ht="60" x14ac:dyDescent="0.25">
      <c r="B68" s="29"/>
      <c r="C68" s="29"/>
      <c r="D68" s="29"/>
      <c r="E68" s="30" t="s">
        <v>244</v>
      </c>
      <c r="F68" s="30" t="s">
        <v>535</v>
      </c>
      <c r="G68" s="30"/>
      <c r="H68" s="30"/>
      <c r="I68" s="29"/>
      <c r="J68" s="30" t="s">
        <v>192</v>
      </c>
    </row>
    <row r="69" spans="2:10" ht="60" x14ac:dyDescent="0.25">
      <c r="B69" s="29"/>
      <c r="C69" s="29"/>
      <c r="D69" s="29"/>
      <c r="E69" s="30" t="s">
        <v>245</v>
      </c>
      <c r="F69" s="30" t="s">
        <v>535</v>
      </c>
      <c r="G69" s="30"/>
      <c r="H69" s="30"/>
      <c r="I69" s="29"/>
      <c r="J69" s="30" t="s">
        <v>193</v>
      </c>
    </row>
    <row r="70" spans="2:10" x14ac:dyDescent="0.25">
      <c r="B70" s="29"/>
      <c r="C70" s="29"/>
      <c r="D70" s="29"/>
      <c r="E70" s="30"/>
      <c r="F70" s="30"/>
      <c r="G70" s="30"/>
      <c r="H70" s="30"/>
      <c r="I70" s="29"/>
      <c r="J70" s="29"/>
    </row>
    <row r="71" spans="2:10" ht="75" x14ac:dyDescent="0.25">
      <c r="B71" s="29" t="s">
        <v>211</v>
      </c>
      <c r="C71" s="29"/>
      <c r="D71" s="30" t="s">
        <v>204</v>
      </c>
      <c r="E71" s="30" t="s">
        <v>248</v>
      </c>
      <c r="F71" s="30" t="s">
        <v>165</v>
      </c>
      <c r="G71" s="30"/>
      <c r="H71" s="30"/>
      <c r="I71" s="29"/>
      <c r="J71" s="30" t="s">
        <v>205</v>
      </c>
    </row>
    <row r="72" spans="2:10" ht="75" x14ac:dyDescent="0.25">
      <c r="B72" s="29"/>
      <c r="C72" s="29"/>
      <c r="D72" s="29"/>
      <c r="E72" s="30" t="s">
        <v>249</v>
      </c>
      <c r="F72" s="30" t="s">
        <v>165</v>
      </c>
      <c r="G72" s="30"/>
      <c r="H72" s="30"/>
      <c r="I72" s="29"/>
      <c r="J72" s="35" t="s">
        <v>206</v>
      </c>
    </row>
    <row r="73" spans="2:10" ht="167.25" customHeight="1" x14ac:dyDescent="0.25">
      <c r="B73" s="29"/>
      <c r="C73" s="29"/>
      <c r="D73" s="29"/>
      <c r="E73" s="30" t="s">
        <v>250</v>
      </c>
      <c r="F73" s="30" t="s">
        <v>207</v>
      </c>
      <c r="G73" s="30"/>
      <c r="H73" s="30"/>
      <c r="I73" s="29"/>
      <c r="J73" s="30" t="s">
        <v>208</v>
      </c>
    </row>
    <row r="74" spans="2:10" ht="30" x14ac:dyDescent="0.25">
      <c r="B74" s="29" t="s">
        <v>210</v>
      </c>
      <c r="C74" s="29"/>
      <c r="D74" s="29" t="s">
        <v>209</v>
      </c>
      <c r="E74" s="29" t="s">
        <v>194</v>
      </c>
      <c r="F74" s="30" t="s">
        <v>200</v>
      </c>
      <c r="G74" s="30"/>
      <c r="H74" s="30"/>
      <c r="I74" s="29"/>
      <c r="J74" s="30" t="s">
        <v>196</v>
      </c>
    </row>
    <row r="75" spans="2:10" ht="30" x14ac:dyDescent="0.25">
      <c r="B75" s="29"/>
      <c r="C75" s="29"/>
      <c r="D75" s="29"/>
      <c r="E75" s="30" t="s">
        <v>198</v>
      </c>
      <c r="F75" s="30" t="s">
        <v>200</v>
      </c>
      <c r="G75" s="30"/>
      <c r="H75" s="30"/>
      <c r="I75" s="29"/>
      <c r="J75" s="30" t="s">
        <v>212</v>
      </c>
    </row>
    <row r="76" spans="2:10" ht="30" x14ac:dyDescent="0.25">
      <c r="B76" s="29"/>
      <c r="C76" s="29"/>
      <c r="D76" s="29"/>
      <c r="E76" s="30" t="s">
        <v>251</v>
      </c>
      <c r="F76" s="30" t="s">
        <v>200</v>
      </c>
      <c r="G76" s="30"/>
      <c r="H76" s="30"/>
      <c r="I76" s="29"/>
      <c r="J76" s="30" t="s">
        <v>201</v>
      </c>
    </row>
    <row r="77" spans="2:10" ht="75" x14ac:dyDescent="0.25">
      <c r="B77" s="29"/>
      <c r="C77" s="29"/>
      <c r="D77" s="29"/>
      <c r="E77" s="30" t="s">
        <v>213</v>
      </c>
      <c r="F77" s="30" t="s">
        <v>162</v>
      </c>
      <c r="G77" s="30"/>
      <c r="H77" s="30"/>
      <c r="I77" s="29"/>
      <c r="J77" s="30" t="s">
        <v>214</v>
      </c>
    </row>
    <row r="78" spans="2:10" ht="75" x14ac:dyDescent="0.25">
      <c r="B78" s="29"/>
      <c r="C78" s="29"/>
      <c r="D78" s="29"/>
      <c r="E78" s="30" t="s">
        <v>254</v>
      </c>
      <c r="F78" s="30" t="s">
        <v>162</v>
      </c>
      <c r="G78" s="30"/>
      <c r="H78" s="30"/>
      <c r="I78" s="29"/>
      <c r="J78" s="30" t="s">
        <v>215</v>
      </c>
    </row>
    <row r="79" spans="2:10" ht="75" x14ac:dyDescent="0.25">
      <c r="B79" s="29"/>
      <c r="C79" s="29"/>
      <c r="D79" s="29"/>
      <c r="E79" s="30" t="s">
        <v>216</v>
      </c>
      <c r="F79" s="30" t="s">
        <v>162</v>
      </c>
      <c r="G79" s="30"/>
      <c r="H79" s="30"/>
      <c r="I79" s="29"/>
      <c r="J79" s="30" t="s">
        <v>218</v>
      </c>
    </row>
    <row r="80" spans="2:10" ht="75" x14ac:dyDescent="0.25">
      <c r="B80" s="29"/>
      <c r="C80" s="29"/>
      <c r="D80" s="29"/>
      <c r="E80" s="30" t="s">
        <v>217</v>
      </c>
      <c r="F80" s="30" t="s">
        <v>162</v>
      </c>
      <c r="G80" s="30"/>
      <c r="H80" s="30"/>
      <c r="I80" s="29"/>
      <c r="J80" s="30" t="s">
        <v>219</v>
      </c>
    </row>
    <row r="81" spans="1:10" ht="75" x14ac:dyDescent="0.25">
      <c r="B81" s="29"/>
      <c r="C81" s="29"/>
      <c r="D81" s="29"/>
      <c r="E81" s="30" t="s">
        <v>220</v>
      </c>
      <c r="F81" s="30" t="s">
        <v>162</v>
      </c>
      <c r="G81" s="30"/>
      <c r="H81" s="30"/>
      <c r="I81" s="29"/>
      <c r="J81" s="30" t="s">
        <v>221</v>
      </c>
    </row>
    <row r="82" spans="1:10" ht="60" x14ac:dyDescent="0.25">
      <c r="B82" s="29"/>
      <c r="C82" s="29"/>
      <c r="D82" s="29"/>
      <c r="E82" s="30" t="s">
        <v>255</v>
      </c>
      <c r="F82" s="30"/>
      <c r="G82" s="30"/>
      <c r="H82" s="30"/>
      <c r="I82" s="29"/>
      <c r="J82" s="30" t="s">
        <v>222</v>
      </c>
    </row>
    <row r="83" spans="1:10" x14ac:dyDescent="0.25">
      <c r="B83" s="29"/>
      <c r="C83" s="29"/>
      <c r="D83" s="29"/>
      <c r="E83" s="30"/>
      <c r="F83" s="30"/>
      <c r="G83" s="30"/>
      <c r="H83" s="30"/>
      <c r="I83" s="29"/>
      <c r="J83" s="29"/>
    </row>
    <row r="84" spans="1:10" x14ac:dyDescent="0.25">
      <c r="B84" s="29" t="s">
        <v>226</v>
      </c>
      <c r="C84" s="29"/>
      <c r="D84" s="29" t="s">
        <v>223</v>
      </c>
      <c r="E84" s="30"/>
      <c r="F84" s="30"/>
      <c r="G84" s="30"/>
      <c r="H84" s="30"/>
      <c r="I84" s="29"/>
      <c r="J84" s="29"/>
    </row>
    <row r="85" spans="1:10" x14ac:dyDescent="0.25">
      <c r="B85" s="29"/>
      <c r="C85" s="29"/>
      <c r="D85" s="29"/>
      <c r="E85" s="30"/>
      <c r="F85" s="30"/>
      <c r="G85" s="30"/>
      <c r="H85" s="30"/>
      <c r="I85" s="29"/>
      <c r="J85" s="29"/>
    </row>
    <row r="86" spans="1:10" x14ac:dyDescent="0.25">
      <c r="B86" s="29" t="s">
        <v>225</v>
      </c>
      <c r="C86" s="29"/>
      <c r="D86" s="29" t="s">
        <v>224</v>
      </c>
      <c r="E86" s="30"/>
      <c r="F86" s="30"/>
      <c r="G86" s="30"/>
      <c r="H86" s="30"/>
      <c r="I86" s="29"/>
      <c r="J86" s="29"/>
    </row>
    <row r="87" spans="1:10" x14ac:dyDescent="0.25">
      <c r="B87" s="29"/>
      <c r="C87" s="29"/>
      <c r="D87" s="29"/>
      <c r="E87" s="30"/>
      <c r="F87" s="30"/>
      <c r="G87" s="30"/>
      <c r="H87" s="30"/>
      <c r="I87" s="29"/>
      <c r="J87" s="29"/>
    </row>
    <row r="88" spans="1:10" x14ac:dyDescent="0.25">
      <c r="B88" s="29" t="s">
        <v>228</v>
      </c>
      <c r="C88" s="29"/>
      <c r="D88" s="29" t="s">
        <v>227</v>
      </c>
      <c r="E88" s="30"/>
      <c r="F88" s="30"/>
      <c r="G88" s="30"/>
      <c r="H88" s="30"/>
      <c r="I88" s="29"/>
      <c r="J88" s="29"/>
    </row>
    <row r="89" spans="1:10" x14ac:dyDescent="0.25">
      <c r="B89" s="29"/>
      <c r="C89" s="29"/>
      <c r="D89" s="29"/>
      <c r="E89" s="30"/>
      <c r="F89" s="30"/>
      <c r="G89" s="30"/>
      <c r="H89" s="30"/>
      <c r="I89" s="29"/>
      <c r="J89" s="29"/>
    </row>
    <row r="90" spans="1:10" ht="45" x14ac:dyDescent="0.25">
      <c r="B90" s="29" t="s">
        <v>229</v>
      </c>
      <c r="C90" s="29"/>
      <c r="D90" s="29" t="s">
        <v>619</v>
      </c>
      <c r="E90" s="30" t="s">
        <v>252</v>
      </c>
      <c r="F90" s="30" t="s">
        <v>230</v>
      </c>
      <c r="G90" s="30"/>
      <c r="H90" s="30"/>
      <c r="I90" s="29"/>
      <c r="J90" s="30" t="s">
        <v>384</v>
      </c>
    </row>
    <row r="91" spans="1:10" ht="75" x14ac:dyDescent="0.25">
      <c r="B91" s="29" t="s">
        <v>232</v>
      </c>
      <c r="C91" s="29"/>
      <c r="D91" s="30" t="s">
        <v>231</v>
      </c>
      <c r="E91" s="30" t="s">
        <v>253</v>
      </c>
      <c r="F91" s="30"/>
      <c r="G91" s="30"/>
      <c r="H91" s="30"/>
      <c r="I91" s="29"/>
      <c r="J91" s="30" t="s">
        <v>233</v>
      </c>
    </row>
    <row r="92" spans="1:10" x14ac:dyDescent="0.25">
      <c r="B92" s="29" t="s">
        <v>235</v>
      </c>
      <c r="C92" s="29"/>
      <c r="D92" s="29" t="s">
        <v>234</v>
      </c>
      <c r="E92" s="30"/>
      <c r="F92" s="30"/>
      <c r="G92" s="30"/>
      <c r="H92" s="30"/>
      <c r="I92" s="29"/>
      <c r="J92" s="29"/>
    </row>
    <row r="93" spans="1:10" x14ac:dyDescent="0.25">
      <c r="B93" s="29"/>
      <c r="C93" s="29"/>
      <c r="D93" s="29"/>
      <c r="E93" s="30"/>
      <c r="F93" s="30"/>
      <c r="G93" s="30"/>
      <c r="H93" s="30"/>
      <c r="I93" s="29"/>
      <c r="J93" s="29"/>
    </row>
    <row r="94" spans="1:10" s="39" customFormat="1" ht="60" x14ac:dyDescent="0.25">
      <c r="A94" s="36"/>
      <c r="B94" s="37" t="s">
        <v>176</v>
      </c>
      <c r="C94" s="37"/>
      <c r="D94" s="38" t="s">
        <v>651</v>
      </c>
      <c r="E94" s="37" t="s">
        <v>175</v>
      </c>
      <c r="F94" s="30"/>
      <c r="G94" s="38"/>
      <c r="H94" s="37"/>
      <c r="I94" s="38"/>
      <c r="J94" s="37" t="s">
        <v>177</v>
      </c>
    </row>
    <row r="95" spans="1:10" x14ac:dyDescent="0.25">
      <c r="B95" s="29"/>
      <c r="C95" s="29"/>
      <c r="D95" s="29"/>
      <c r="E95" s="30"/>
      <c r="F95" s="30"/>
      <c r="G95" s="30"/>
      <c r="H95" s="30"/>
      <c r="I95" s="29"/>
      <c r="J95" s="29"/>
    </row>
    <row r="96" spans="1:10" ht="45" x14ac:dyDescent="0.25">
      <c r="B96" s="14" t="s">
        <v>653</v>
      </c>
      <c r="D96" s="14" t="s">
        <v>652</v>
      </c>
      <c r="E96" s="16" t="s">
        <v>650</v>
      </c>
      <c r="F96" s="28" t="s">
        <v>535</v>
      </c>
      <c r="G96" s="28"/>
      <c r="H96" s="28" t="s">
        <v>160</v>
      </c>
      <c r="J96" s="24" t="s">
        <v>654</v>
      </c>
    </row>
    <row r="97" spans="5:6" x14ac:dyDescent="0.25">
      <c r="E97" s="16"/>
      <c r="F97" s="16"/>
    </row>
    <row r="98" spans="5:6" x14ac:dyDescent="0.25">
      <c r="E98" s="16"/>
      <c r="F98" s="16"/>
    </row>
    <row r="99" spans="5:6" x14ac:dyDescent="0.25">
      <c r="E99" s="16"/>
      <c r="F99" s="16"/>
    </row>
  </sheetData>
  <mergeCells count="2">
    <mergeCell ref="H12:I12"/>
    <mergeCell ref="G11:I11"/>
  </mergeCells>
  <conditionalFormatting sqref="A15:K203">
    <cfRule type="expression" dxfId="1" priority="7">
      <formula>NOT(ISBLANK($B15))</formula>
    </cfRule>
    <cfRule type="expression" dxfId="0" priority="8">
      <formula>NOT(ISBLANK($A15))</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990290846016F40B4E0B62D1CB78470" ma:contentTypeVersion="0" ma:contentTypeDescription="Create a new document." ma:contentTypeScope="" ma:versionID="5ce0c972bff79f070e2b72d08b919443">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847741BB-B33D-4DD1-929D-62533B5CC02F}">
  <ds:schemaRefs>
    <ds:schemaRef ds:uri="http://purl.org/dc/dcmitype/"/>
    <ds:schemaRef ds:uri="http://purl.org/dc/elements/1.1/"/>
    <ds:schemaRef ds:uri="http://schemas.microsoft.com/office/2006/documentManagement/types"/>
    <ds:schemaRef ds:uri="http://purl.org/dc/terms/"/>
    <ds:schemaRef ds:uri="http://schemas.microsoft.com/office/2006/metadata/propertie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D654B72B-F65C-4635-AB22-1E9E6D8931F0}">
  <ds:schemaRefs>
    <ds:schemaRef ds:uri="http://schemas.microsoft.com/sharepoint/v3/contenttype/forms"/>
  </ds:schemaRefs>
</ds:datastoreItem>
</file>

<file path=customXml/itemProps3.xml><?xml version="1.0" encoding="utf-8"?>
<ds:datastoreItem xmlns:ds="http://schemas.openxmlformats.org/officeDocument/2006/customXml" ds:itemID="{54A1AF07-5CB9-42ED-A985-132640B5FA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ACM Performance Curves</vt:lpstr>
      <vt:lpstr>TO DO</vt:lpstr>
      <vt:lpstr>Data Maps</vt:lpstr>
      <vt:lpstr>Abbreviations</vt:lpstr>
      <vt:lpstr>DX SEER Curves - Ref Only</vt:lpstr>
      <vt:lpstr>Chiller Curves - Ref Only</vt:lpstr>
      <vt:lpstr>Fan Curves - Ref Only</vt:lpstr>
      <vt:lpstr>Pump Curves - Ref Only</vt:lpstr>
      <vt:lpstr>E+ Reference</vt:lpstr>
      <vt:lpstr>SEER CrvMap</vt:lpstr>
      <vt:lpstr>VRF E+ to CSE</vt:lpstr>
      <vt:lpstr>SDD Curve Name Proposal</vt:lpstr>
      <vt:lpstr>'Chiller Curves - Ref Only'!dT</vt:lpstr>
    </vt:vector>
  </TitlesOfParts>
  <Company>Architectural Energy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Arent</dc:creator>
  <cp:lastModifiedBy>Jireh Peng</cp:lastModifiedBy>
  <dcterms:created xsi:type="dcterms:W3CDTF">2012-07-03T18:05:16Z</dcterms:created>
  <dcterms:modified xsi:type="dcterms:W3CDTF">2022-07-22T17:20:38Z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0x010100F990290846016F40B4E0B62D1CB78470</vt:lpwstr>
  </property>
</Properties>
</file>