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360 Local\AEC Repo\Local 90.1 Test Model Repo\Workbooks\"/>
    </mc:Choice>
  </mc:AlternateContent>
  <bookViews>
    <workbookView xWindow="0" yWindow="0" windowWidth="28800" windowHeight="14235" activeTab="1"/>
  </bookViews>
  <sheets>
    <sheet name="Fan Static Pressure Adjustments" sheetId="3" r:id="rId1"/>
    <sheet name="Fan Power Ratios - SP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0" i="1" l="1"/>
  <c r="M71" i="1"/>
  <c r="M69" i="1"/>
  <c r="S20" i="1" l="1"/>
  <c r="S17" i="1"/>
  <c r="S15" i="1"/>
  <c r="S14" i="1"/>
  <c r="S13" i="1"/>
  <c r="S12" i="1"/>
  <c r="S11" i="1"/>
  <c r="P20" i="1"/>
  <c r="P17" i="1"/>
  <c r="P15" i="1"/>
  <c r="P14" i="1"/>
  <c r="P13" i="1"/>
  <c r="P12" i="1"/>
  <c r="P11" i="1"/>
  <c r="M20" i="1"/>
  <c r="M17" i="1"/>
  <c r="M15" i="1"/>
  <c r="M14" i="1"/>
  <c r="M13" i="1"/>
  <c r="M12" i="1"/>
  <c r="M11" i="1"/>
  <c r="K25" i="1"/>
  <c r="U25" i="1" s="1"/>
  <c r="K24" i="1"/>
  <c r="U24" i="1" s="1"/>
  <c r="K21" i="1"/>
  <c r="U21" i="1" s="1"/>
  <c r="K20" i="1"/>
  <c r="U20" i="1" s="1"/>
  <c r="K19" i="1"/>
  <c r="U19" i="1" s="1"/>
  <c r="K18" i="1"/>
  <c r="U18" i="1" s="1"/>
  <c r="K17" i="1"/>
  <c r="U17" i="1" s="1"/>
  <c r="O34" i="1" s="1"/>
  <c r="Q34" i="1" s="1"/>
  <c r="K15" i="1"/>
  <c r="U15" i="1" s="1"/>
  <c r="I53" i="1" s="1"/>
  <c r="K14" i="1"/>
  <c r="U14" i="1" s="1"/>
  <c r="I52" i="1" s="1"/>
  <c r="K13" i="1"/>
  <c r="U13" i="1" s="1"/>
  <c r="I51" i="1" s="1"/>
  <c r="K12" i="1"/>
  <c r="U12" i="1" s="1"/>
  <c r="I50" i="1" s="1"/>
  <c r="K11" i="1"/>
  <c r="U11" i="1" s="1"/>
  <c r="I49" i="1" s="1"/>
  <c r="K16" i="1"/>
  <c r="U16" i="1" s="1"/>
  <c r="J23" i="1"/>
  <c r="M23" i="1" s="1"/>
  <c r="J22" i="1"/>
  <c r="P22" i="1" s="1"/>
  <c r="J20" i="1"/>
  <c r="J19" i="1"/>
  <c r="S19" i="1" s="1"/>
  <c r="J18" i="1"/>
  <c r="S18" i="1" s="1"/>
  <c r="J17" i="1"/>
  <c r="J15" i="1"/>
  <c r="J14" i="1"/>
  <c r="J13" i="1"/>
  <c r="J12" i="1"/>
  <c r="J11" i="1"/>
  <c r="J16" i="1"/>
  <c r="P16" i="1" s="1"/>
  <c r="I15" i="1"/>
  <c r="R15" i="1" s="1"/>
  <c r="I14" i="1"/>
  <c r="O14" i="1" s="1"/>
  <c r="I13" i="1"/>
  <c r="L13" i="1" s="1"/>
  <c r="I12" i="1"/>
  <c r="O12" i="1" s="1"/>
  <c r="I11" i="1"/>
  <c r="O11" i="1" s="1"/>
  <c r="I25" i="1"/>
  <c r="L25" i="1" s="1"/>
  <c r="I24" i="1"/>
  <c r="I23" i="1"/>
  <c r="R23" i="1" s="1"/>
  <c r="I22" i="1"/>
  <c r="L22" i="1" s="1"/>
  <c r="I20" i="1"/>
  <c r="O20" i="1" s="1"/>
  <c r="I19" i="1"/>
  <c r="R19" i="1" s="1"/>
  <c r="I18" i="1"/>
  <c r="I17" i="1"/>
  <c r="L17" i="1" s="1"/>
  <c r="I16" i="1"/>
  <c r="N31" i="1"/>
  <c r="I7" i="1" l="1"/>
  <c r="R16" i="1"/>
  <c r="O18" i="1"/>
  <c r="R18" i="1"/>
  <c r="T19" i="1"/>
  <c r="M19" i="1"/>
  <c r="P19" i="1"/>
  <c r="H69" i="1"/>
  <c r="K51" i="1" s="1"/>
  <c r="M18" i="1"/>
  <c r="P18" i="1"/>
  <c r="M16" i="1"/>
  <c r="S16" i="1"/>
  <c r="L16" i="1"/>
  <c r="Q14" i="1"/>
  <c r="G52" i="1" s="1"/>
  <c r="R24" i="1"/>
  <c r="L24" i="1"/>
  <c r="S23" i="1"/>
  <c r="T23" i="1" s="1"/>
  <c r="O19" i="1"/>
  <c r="W14" i="1"/>
  <c r="L23" i="1"/>
  <c r="N23" i="1" s="1"/>
  <c r="R13" i="1"/>
  <c r="T13" i="1" s="1"/>
  <c r="H51" i="1" s="1"/>
  <c r="W15" i="1"/>
  <c r="T15" i="1"/>
  <c r="H53" i="1" s="1"/>
  <c r="L19" i="1"/>
  <c r="P23" i="1"/>
  <c r="L14" i="1"/>
  <c r="W13" i="1"/>
  <c r="W11" i="1"/>
  <c r="L15" i="1"/>
  <c r="N15" i="1" s="1"/>
  <c r="W12" i="1"/>
  <c r="O22" i="1"/>
  <c r="Q22" i="1" s="1"/>
  <c r="R22" i="1"/>
  <c r="Q12" i="1"/>
  <c r="G50" i="1" s="1"/>
  <c r="O23" i="1"/>
  <c r="O16" i="1"/>
  <c r="R14" i="1"/>
  <c r="T14" i="1" s="1"/>
  <c r="H52" i="1" s="1"/>
  <c r="Q20" i="1"/>
  <c r="O24" i="1"/>
  <c r="N17" i="1"/>
  <c r="Q11" i="1"/>
  <c r="G49" i="1" s="1"/>
  <c r="N13" i="1"/>
  <c r="L18" i="1"/>
  <c r="O13" i="1"/>
  <c r="Q13" i="1" s="1"/>
  <c r="G51" i="1" s="1"/>
  <c r="L12" i="1"/>
  <c r="M22" i="1"/>
  <c r="N22" i="1" s="1"/>
  <c r="O17" i="1"/>
  <c r="O25" i="1"/>
  <c r="R11" i="1"/>
  <c r="R20" i="1"/>
  <c r="T20" i="1" s="1"/>
  <c r="R17" i="1"/>
  <c r="R25" i="1"/>
  <c r="T18" i="1"/>
  <c r="L11" i="1"/>
  <c r="L20" i="1"/>
  <c r="N20" i="1" s="1"/>
  <c r="O15" i="1"/>
  <c r="Q15" i="1" s="1"/>
  <c r="G53" i="1" s="1"/>
  <c r="R12" i="1"/>
  <c r="T12" i="1" s="1"/>
  <c r="H50" i="1" s="1"/>
  <c r="S22" i="1"/>
  <c r="P34" i="1"/>
  <c r="R34" i="1"/>
  <c r="S34" i="1"/>
  <c r="BA10" i="3"/>
  <c r="BA11" i="3"/>
  <c r="BA12" i="3"/>
  <c r="BA13" i="3"/>
  <c r="BA14" i="3"/>
  <c r="BA15" i="3"/>
  <c r="BA16" i="3"/>
  <c r="BA17" i="3"/>
  <c r="BA18" i="3"/>
  <c r="BA19" i="3"/>
  <c r="BA20" i="3"/>
  <c r="N19" i="1" l="1"/>
  <c r="R7" i="1"/>
  <c r="K50" i="1"/>
  <c r="K52" i="1"/>
  <c r="K53" i="1"/>
  <c r="K49" i="1"/>
  <c r="Q18" i="1"/>
  <c r="Q19" i="1"/>
  <c r="N18" i="1"/>
  <c r="T16" i="1"/>
  <c r="V16" i="1"/>
  <c r="Q16" i="1"/>
  <c r="V14" i="1"/>
  <c r="BA21" i="3"/>
  <c r="Q23" i="1"/>
  <c r="N14" i="1"/>
  <c r="F52" i="1" s="1"/>
  <c r="J52" i="1" s="1"/>
  <c r="T22" i="1"/>
  <c r="V13" i="1"/>
  <c r="T11" i="1"/>
  <c r="H49" i="1" s="1"/>
  <c r="N11" i="1"/>
  <c r="V11" i="1"/>
  <c r="Q17" i="1"/>
  <c r="X15" i="1"/>
  <c r="F53" i="1"/>
  <c r="J53" i="1" s="1"/>
  <c r="T17" i="1"/>
  <c r="V15" i="1"/>
  <c r="V12" i="1"/>
  <c r="N12" i="1"/>
  <c r="F51" i="1"/>
  <c r="J51" i="1" s="1"/>
  <c r="X13" i="1"/>
  <c r="J25" i="3"/>
  <c r="R37" i="3"/>
  <c r="L61" i="3" s="1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49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K42" i="3"/>
  <c r="O42" i="3" s="1"/>
  <c r="G66" i="3" s="1"/>
  <c r="K41" i="3"/>
  <c r="V41" i="3" s="1"/>
  <c r="P65" i="3" s="1"/>
  <c r="K40" i="3"/>
  <c r="U40" i="3" s="1"/>
  <c r="O64" i="3" s="1"/>
  <c r="K39" i="3"/>
  <c r="O39" i="3" s="1"/>
  <c r="G63" i="3" s="1"/>
  <c r="K38" i="3"/>
  <c r="K37" i="3"/>
  <c r="U37" i="3" s="1"/>
  <c r="O61" i="3" s="1"/>
  <c r="K36" i="3"/>
  <c r="Q36" i="3" s="1"/>
  <c r="K35" i="3"/>
  <c r="O35" i="3" s="1"/>
  <c r="G59" i="3" s="1"/>
  <c r="K34" i="3"/>
  <c r="O34" i="3" s="1"/>
  <c r="G58" i="3" s="1"/>
  <c r="K33" i="3"/>
  <c r="V33" i="3" s="1"/>
  <c r="P57" i="3" s="1"/>
  <c r="K32" i="3"/>
  <c r="U32" i="3" s="1"/>
  <c r="O56" i="3" s="1"/>
  <c r="K31" i="3"/>
  <c r="O31" i="3" s="1"/>
  <c r="G55" i="3" s="1"/>
  <c r="K30" i="3"/>
  <c r="S30" i="3" s="1"/>
  <c r="M54" i="3" s="1"/>
  <c r="K29" i="3"/>
  <c r="U29" i="3" s="1"/>
  <c r="O53" i="3" s="1"/>
  <c r="K28" i="3"/>
  <c r="Q28" i="3" s="1"/>
  <c r="K27" i="3"/>
  <c r="O27" i="3" s="1"/>
  <c r="G51" i="3" s="1"/>
  <c r="K26" i="3"/>
  <c r="O26" i="3" s="1"/>
  <c r="G50" i="3" s="1"/>
  <c r="K25" i="3"/>
  <c r="O25" i="3" s="1"/>
  <c r="G49" i="3" s="1"/>
  <c r="I42" i="3"/>
  <c r="M42" i="3" s="1"/>
  <c r="I41" i="3"/>
  <c r="I40" i="3"/>
  <c r="I39" i="3"/>
  <c r="I38" i="3"/>
  <c r="M38" i="3" s="1"/>
  <c r="I37" i="3"/>
  <c r="I36" i="3"/>
  <c r="I35" i="3"/>
  <c r="I34" i="3"/>
  <c r="I33" i="3"/>
  <c r="N33" i="3" s="1"/>
  <c r="I32" i="3"/>
  <c r="I31" i="3"/>
  <c r="N31" i="3" s="1"/>
  <c r="I30" i="3"/>
  <c r="I29" i="3"/>
  <c r="M29" i="3" s="1"/>
  <c r="I28" i="3"/>
  <c r="I27" i="3"/>
  <c r="I26" i="3"/>
  <c r="I25" i="3"/>
  <c r="AA25" i="3" s="1"/>
  <c r="L20" i="3"/>
  <c r="M20" i="3" s="1"/>
  <c r="L19" i="3"/>
  <c r="P19" i="3" s="1"/>
  <c r="L18" i="3"/>
  <c r="M18" i="3" s="1"/>
  <c r="L17" i="3"/>
  <c r="O17" i="3" s="1"/>
  <c r="L16" i="3"/>
  <c r="O16" i="3" s="1"/>
  <c r="L15" i="3"/>
  <c r="M15" i="3" s="1"/>
  <c r="L14" i="3"/>
  <c r="N14" i="3" s="1"/>
  <c r="L13" i="3"/>
  <c r="M13" i="3" s="1"/>
  <c r="L12" i="3"/>
  <c r="M12" i="3" s="1"/>
  <c r="L11" i="3"/>
  <c r="P11" i="3" s="1"/>
  <c r="L10" i="3"/>
  <c r="M10" i="3" s="1"/>
  <c r="AA31" i="3" l="1"/>
  <c r="U55" i="3" s="1"/>
  <c r="Z27" i="3"/>
  <c r="T51" i="3" s="1"/>
  <c r="AE35" i="3"/>
  <c r="Y59" i="3" s="1"/>
  <c r="AB28" i="3"/>
  <c r="V52" i="3" s="1"/>
  <c r="AB36" i="3"/>
  <c r="V60" i="3" s="1"/>
  <c r="AC37" i="3"/>
  <c r="W61" i="3" s="1"/>
  <c r="Q29" i="3"/>
  <c r="K53" i="3" s="1"/>
  <c r="Y41" i="3"/>
  <c r="S65" i="3" s="1"/>
  <c r="W27" i="3"/>
  <c r="Q51" i="3" s="1"/>
  <c r="AF26" i="3"/>
  <c r="Z50" i="3" s="1"/>
  <c r="T35" i="3"/>
  <c r="N59" i="3" s="1"/>
  <c r="AA42" i="3"/>
  <c r="U66" i="3" s="1"/>
  <c r="U39" i="3"/>
  <c r="O63" i="3" s="1"/>
  <c r="U41" i="3"/>
  <c r="O65" i="3" s="1"/>
  <c r="W39" i="3"/>
  <c r="Q63" i="3" s="1"/>
  <c r="AE42" i="3"/>
  <c r="Y66" i="3" s="1"/>
  <c r="AE38" i="3"/>
  <c r="Y62" i="3" s="1"/>
  <c r="AD27" i="3"/>
  <c r="X51" i="3" s="1"/>
  <c r="M27" i="3"/>
  <c r="E51" i="3" s="1"/>
  <c r="R29" i="3"/>
  <c r="L53" i="3" s="1"/>
  <c r="N27" i="3"/>
  <c r="F51" i="3" s="1"/>
  <c r="W31" i="3"/>
  <c r="Q55" i="3" s="1"/>
  <c r="AB30" i="3"/>
  <c r="V54" i="3" s="1"/>
  <c r="AA39" i="3"/>
  <c r="U63" i="3" s="1"/>
  <c r="AC40" i="3"/>
  <c r="W64" i="3" s="1"/>
  <c r="L38" i="3"/>
  <c r="D62" i="3" s="1"/>
  <c r="Z31" i="3"/>
  <c r="T55" i="3" s="1"/>
  <c r="Z36" i="3"/>
  <c r="T60" i="3" s="1"/>
  <c r="R34" i="3"/>
  <c r="L58" i="3" s="1"/>
  <c r="AC36" i="3"/>
  <c r="W60" i="3" s="1"/>
  <c r="V26" i="3"/>
  <c r="P50" i="3" s="1"/>
  <c r="S29" i="3"/>
  <c r="M53" i="3" s="1"/>
  <c r="S34" i="3"/>
  <c r="M58" i="3" s="1"/>
  <c r="T36" i="3"/>
  <c r="N60" i="3" s="1"/>
  <c r="Y28" i="3"/>
  <c r="S52" i="3" s="1"/>
  <c r="AD31" i="3"/>
  <c r="X55" i="3" s="1"/>
  <c r="AD36" i="3"/>
  <c r="X60" i="3" s="1"/>
  <c r="W35" i="3"/>
  <c r="Q59" i="3" s="1"/>
  <c r="AF29" i="3"/>
  <c r="Z53" i="3" s="1"/>
  <c r="L37" i="3"/>
  <c r="W26" i="3"/>
  <c r="Q50" i="3" s="1"/>
  <c r="V34" i="3"/>
  <c r="P58" i="3" s="1"/>
  <c r="Q37" i="3"/>
  <c r="K61" i="3" s="1"/>
  <c r="R42" i="3"/>
  <c r="L66" i="3" s="1"/>
  <c r="Z28" i="3"/>
  <c r="T52" i="3" s="1"/>
  <c r="AB33" i="3"/>
  <c r="V57" i="3" s="1"/>
  <c r="AE36" i="3"/>
  <c r="Y60" i="3" s="1"/>
  <c r="Y36" i="3"/>
  <c r="S60" i="3" s="1"/>
  <c r="S26" i="3"/>
  <c r="M50" i="3" s="1"/>
  <c r="Q27" i="3"/>
  <c r="K51" i="3" s="1"/>
  <c r="W34" i="3"/>
  <c r="Q58" i="3" s="1"/>
  <c r="S42" i="3"/>
  <c r="M66" i="3" s="1"/>
  <c r="AF33" i="3"/>
  <c r="Z57" i="3" s="1"/>
  <c r="AF34" i="3"/>
  <c r="Z58" i="3" s="1"/>
  <c r="M30" i="3"/>
  <c r="E54" i="3" s="1"/>
  <c r="S27" i="3"/>
  <c r="M51" i="3" s="1"/>
  <c r="T31" i="3"/>
  <c r="N55" i="3" s="1"/>
  <c r="Q35" i="3"/>
  <c r="S39" i="3"/>
  <c r="M63" i="3" s="1"/>
  <c r="V42" i="3"/>
  <c r="P66" i="3" s="1"/>
  <c r="AD28" i="3"/>
  <c r="X52" i="3" s="1"/>
  <c r="AG33" i="3"/>
  <c r="AA57" i="3" s="1"/>
  <c r="AG28" i="3"/>
  <c r="AA52" i="3" s="1"/>
  <c r="R26" i="3"/>
  <c r="L50" i="3" s="1"/>
  <c r="AB38" i="3"/>
  <c r="V62" i="3" s="1"/>
  <c r="L30" i="3"/>
  <c r="D54" i="3" s="1"/>
  <c r="S31" i="3"/>
  <c r="M55" i="3" s="1"/>
  <c r="AC28" i="3"/>
  <c r="W52" i="3" s="1"/>
  <c r="AG36" i="3"/>
  <c r="AA60" i="3" s="1"/>
  <c r="N36" i="3"/>
  <c r="F60" i="3" s="1"/>
  <c r="T27" i="3"/>
  <c r="N51" i="3" s="1"/>
  <c r="U31" i="3"/>
  <c r="O55" i="3" s="1"/>
  <c r="S35" i="3"/>
  <c r="M59" i="3" s="1"/>
  <c r="T39" i="3"/>
  <c r="N63" i="3" s="1"/>
  <c r="W42" i="3"/>
  <c r="Q66" i="3" s="1"/>
  <c r="AE28" i="3"/>
  <c r="Y52" i="3" s="1"/>
  <c r="K52" i="3"/>
  <c r="AF32" i="3"/>
  <c r="Z56" i="3" s="1"/>
  <c r="AE32" i="3"/>
  <c r="Y56" i="3" s="1"/>
  <c r="AD32" i="3"/>
  <c r="X56" i="3" s="1"/>
  <c r="AB32" i="3"/>
  <c r="AA32" i="3"/>
  <c r="U56" i="3" s="1"/>
  <c r="O38" i="3"/>
  <c r="G62" i="3" s="1"/>
  <c r="Q38" i="3"/>
  <c r="W38" i="3"/>
  <c r="Q62" i="3" s="1"/>
  <c r="U38" i="3"/>
  <c r="O62" i="3" s="1"/>
  <c r="T38" i="3"/>
  <c r="N62" i="3" s="1"/>
  <c r="N26" i="3"/>
  <c r="F50" i="3" s="1"/>
  <c r="AD26" i="3"/>
  <c r="X50" i="3" s="1"/>
  <c r="AC26" i="3"/>
  <c r="W50" i="3" s="1"/>
  <c r="AB26" i="3"/>
  <c r="V50" i="3" s="1"/>
  <c r="Z26" i="3"/>
  <c r="T50" i="3" s="1"/>
  <c r="M26" i="3"/>
  <c r="E50" i="3" s="1"/>
  <c r="AG26" i="3"/>
  <c r="AA50" i="3" s="1"/>
  <c r="Y26" i="3"/>
  <c r="S50" i="3" s="1"/>
  <c r="AF42" i="3"/>
  <c r="Z66" i="3" s="1"/>
  <c r="L27" i="3"/>
  <c r="D51" i="3" s="1"/>
  <c r="AC27" i="3"/>
  <c r="W51" i="3" s="1"/>
  <c r="AB27" i="3"/>
  <c r="V51" i="3" s="1"/>
  <c r="AA27" i="3"/>
  <c r="U51" i="3" s="1"/>
  <c r="AG27" i="3"/>
  <c r="AA51" i="3" s="1"/>
  <c r="Y27" i="3"/>
  <c r="AF27" i="3"/>
  <c r="Z51" i="3" s="1"/>
  <c r="AC29" i="3"/>
  <c r="W53" i="3" s="1"/>
  <c r="Y32" i="3"/>
  <c r="S56" i="3" s="1"/>
  <c r="R30" i="3"/>
  <c r="L54" i="3" s="1"/>
  <c r="T32" i="3"/>
  <c r="N56" i="3" s="1"/>
  <c r="Z32" i="3"/>
  <c r="T56" i="3" s="1"/>
  <c r="AE34" i="3"/>
  <c r="Y58" i="3" s="1"/>
  <c r="AA29" i="3"/>
  <c r="U53" i="3" s="1"/>
  <c r="Z37" i="3"/>
  <c r="T61" i="3" s="1"/>
  <c r="AC33" i="3"/>
  <c r="W57" i="3" s="1"/>
  <c r="Z33" i="3"/>
  <c r="T57" i="3" s="1"/>
  <c r="AC41" i="3"/>
  <c r="W65" i="3" s="1"/>
  <c r="Z41" i="3"/>
  <c r="T65" i="3" s="1"/>
  <c r="T40" i="3"/>
  <c r="N64" i="3" s="1"/>
  <c r="AA30" i="3"/>
  <c r="U54" i="3" s="1"/>
  <c r="AC32" i="3"/>
  <c r="W56" i="3" s="1"/>
  <c r="Z39" i="3"/>
  <c r="T63" i="3" s="1"/>
  <c r="AB41" i="3"/>
  <c r="V65" i="3" s="1"/>
  <c r="M40" i="3"/>
  <c r="E64" i="3" s="1"/>
  <c r="AF40" i="3"/>
  <c r="Z64" i="3" s="1"/>
  <c r="AD40" i="3"/>
  <c r="X64" i="3" s="1"/>
  <c r="AE40" i="3"/>
  <c r="Y64" i="3" s="1"/>
  <c r="AB40" i="3"/>
  <c r="AA40" i="3"/>
  <c r="U64" i="3" s="1"/>
  <c r="V38" i="3"/>
  <c r="P62" i="3" s="1"/>
  <c r="AG37" i="3"/>
  <c r="AA61" i="3" s="1"/>
  <c r="Y37" i="3"/>
  <c r="S61" i="3" s="1"/>
  <c r="AD37" i="3"/>
  <c r="X61" i="3" s="1"/>
  <c r="AD34" i="3"/>
  <c r="X58" i="3" s="1"/>
  <c r="AC34" i="3"/>
  <c r="W58" i="3" s="1"/>
  <c r="M34" i="3"/>
  <c r="E58" i="3" s="1"/>
  <c r="AB34" i="3"/>
  <c r="V58" i="3" s="1"/>
  <c r="Z34" i="3"/>
  <c r="AG34" i="3"/>
  <c r="AA58" i="3" s="1"/>
  <c r="Y34" i="3"/>
  <c r="S58" i="3" s="1"/>
  <c r="N42" i="3"/>
  <c r="F66" i="3" s="1"/>
  <c r="AD42" i="3"/>
  <c r="X66" i="3" s="1"/>
  <c r="AB42" i="3"/>
  <c r="V66" i="3" s="1"/>
  <c r="AC42" i="3"/>
  <c r="W66" i="3" s="1"/>
  <c r="Z42" i="3"/>
  <c r="AG42" i="3"/>
  <c r="AA66" i="3" s="1"/>
  <c r="Y42" i="3"/>
  <c r="S66" i="3" s="1"/>
  <c r="O32" i="3"/>
  <c r="G56" i="3" s="1"/>
  <c r="S32" i="3"/>
  <c r="M56" i="3" s="1"/>
  <c r="Q32" i="3"/>
  <c r="R32" i="3"/>
  <c r="L56" i="3" s="1"/>
  <c r="W32" i="3"/>
  <c r="Q56" i="3" s="1"/>
  <c r="V32" i="3"/>
  <c r="P56" i="3" s="1"/>
  <c r="AA38" i="3"/>
  <c r="U62" i="3" s="1"/>
  <c r="L35" i="3"/>
  <c r="D59" i="3" s="1"/>
  <c r="AC35" i="3"/>
  <c r="W59" i="3" s="1"/>
  <c r="M35" i="3"/>
  <c r="E59" i="3" s="1"/>
  <c r="AB35" i="3"/>
  <c r="V59" i="3" s="1"/>
  <c r="AA35" i="3"/>
  <c r="U59" i="3" s="1"/>
  <c r="AG35" i="3"/>
  <c r="AA59" i="3" s="1"/>
  <c r="Y35" i="3"/>
  <c r="AF35" i="3"/>
  <c r="Z59" i="3" s="1"/>
  <c r="O41" i="3"/>
  <c r="G65" i="3" s="1"/>
  <c r="T41" i="3"/>
  <c r="N65" i="3" s="1"/>
  <c r="R41" i="3"/>
  <c r="L65" i="3" s="1"/>
  <c r="S41" i="3"/>
  <c r="M65" i="3" s="1"/>
  <c r="W41" i="3"/>
  <c r="Q65" i="3" s="1"/>
  <c r="AE27" i="3"/>
  <c r="Y51" i="3" s="1"/>
  <c r="AA34" i="3"/>
  <c r="U58" i="3" s="1"/>
  <c r="O28" i="3"/>
  <c r="G52" i="3" s="1"/>
  <c r="W28" i="3"/>
  <c r="Q52" i="3" s="1"/>
  <c r="U28" i="3"/>
  <c r="O52" i="3" s="1"/>
  <c r="V28" i="3"/>
  <c r="P52" i="3" s="1"/>
  <c r="S28" i="3"/>
  <c r="M52" i="3" s="1"/>
  <c r="R38" i="3"/>
  <c r="L62" i="3" s="1"/>
  <c r="AA26" i="3"/>
  <c r="U50" i="3" s="1"/>
  <c r="AG32" i="3"/>
  <c r="AA56" i="3" s="1"/>
  <c r="Z35" i="3"/>
  <c r="T59" i="3" s="1"/>
  <c r="AF41" i="3"/>
  <c r="Z65" i="3" s="1"/>
  <c r="O30" i="3"/>
  <c r="G54" i="3" s="1"/>
  <c r="Q30" i="3"/>
  <c r="W30" i="3"/>
  <c r="Q54" i="3" s="1"/>
  <c r="U30" i="3"/>
  <c r="O54" i="3" s="1"/>
  <c r="Y40" i="3"/>
  <c r="S64" i="3" s="1"/>
  <c r="AG29" i="3"/>
  <c r="AA53" i="3" s="1"/>
  <c r="Y29" i="3"/>
  <c r="S53" i="3" s="1"/>
  <c r="AD29" i="3"/>
  <c r="X53" i="3" s="1"/>
  <c r="AF37" i="3"/>
  <c r="Z61" i="3" s="1"/>
  <c r="Z40" i="3"/>
  <c r="T64" i="3" s="1"/>
  <c r="O40" i="3"/>
  <c r="G64" i="3" s="1"/>
  <c r="S40" i="3"/>
  <c r="M64" i="3" s="1"/>
  <c r="Q40" i="3"/>
  <c r="R40" i="3"/>
  <c r="L64" i="3" s="1"/>
  <c r="W40" i="3"/>
  <c r="Q64" i="3" s="1"/>
  <c r="V40" i="3"/>
  <c r="P64" i="3" s="1"/>
  <c r="AB29" i="3"/>
  <c r="V53" i="3" s="1"/>
  <c r="O33" i="3"/>
  <c r="G57" i="3" s="1"/>
  <c r="T33" i="3"/>
  <c r="N57" i="3" s="1"/>
  <c r="R33" i="3"/>
  <c r="L57" i="3" s="1"/>
  <c r="S33" i="3"/>
  <c r="M57" i="3" s="1"/>
  <c r="W33" i="3"/>
  <c r="Q57" i="3" s="1"/>
  <c r="AG40" i="3"/>
  <c r="AA64" i="3" s="1"/>
  <c r="L42" i="3"/>
  <c r="D66" i="3" s="1"/>
  <c r="N30" i="3"/>
  <c r="F54" i="3" s="1"/>
  <c r="Z30" i="3"/>
  <c r="T54" i="3" s="1"/>
  <c r="AG30" i="3"/>
  <c r="AA54" i="3" s="1"/>
  <c r="Y30" i="3"/>
  <c r="AF30" i="3"/>
  <c r="Z54" i="3" s="1"/>
  <c r="AD30" i="3"/>
  <c r="X54" i="3" s="1"/>
  <c r="AC30" i="3"/>
  <c r="W54" i="3" s="1"/>
  <c r="N38" i="3"/>
  <c r="F62" i="3" s="1"/>
  <c r="Z38" i="3"/>
  <c r="T62" i="3" s="1"/>
  <c r="AF38" i="3"/>
  <c r="Z62" i="3" s="1"/>
  <c r="AG38" i="3"/>
  <c r="AA62" i="3" s="1"/>
  <c r="Y38" i="3"/>
  <c r="AD38" i="3"/>
  <c r="X62" i="3" s="1"/>
  <c r="AC38" i="3"/>
  <c r="W62" i="3" s="1"/>
  <c r="O36" i="3"/>
  <c r="G60" i="3" s="1"/>
  <c r="W36" i="3"/>
  <c r="Q60" i="3" s="1"/>
  <c r="U36" i="3"/>
  <c r="O60" i="3" s="1"/>
  <c r="V36" i="3"/>
  <c r="P60" i="3" s="1"/>
  <c r="S36" i="3"/>
  <c r="M60" i="3" s="1"/>
  <c r="R36" i="3"/>
  <c r="L34" i="3"/>
  <c r="R28" i="3"/>
  <c r="T30" i="3"/>
  <c r="N54" i="3" s="1"/>
  <c r="Q33" i="3"/>
  <c r="K57" i="3" s="1"/>
  <c r="AG31" i="3"/>
  <c r="AA55" i="3" s="1"/>
  <c r="Y31" i="3"/>
  <c r="S55" i="3" s="1"/>
  <c r="AF31" i="3"/>
  <c r="Z55" i="3" s="1"/>
  <c r="AE31" i="3"/>
  <c r="Y55" i="3" s="1"/>
  <c r="AC31" i="3"/>
  <c r="M31" i="3"/>
  <c r="E55" i="3" s="1"/>
  <c r="AB31" i="3"/>
  <c r="V55" i="3" s="1"/>
  <c r="AG39" i="3"/>
  <c r="AA63" i="3" s="1"/>
  <c r="Y39" i="3"/>
  <c r="S63" i="3" s="1"/>
  <c r="N39" i="3"/>
  <c r="F63" i="3" s="1"/>
  <c r="AE39" i="3"/>
  <c r="Y63" i="3" s="1"/>
  <c r="AF39" i="3"/>
  <c r="Z63" i="3" s="1"/>
  <c r="M39" i="3"/>
  <c r="E63" i="3" s="1"/>
  <c r="AC39" i="3"/>
  <c r="AB39" i="3"/>
  <c r="V63" i="3" s="1"/>
  <c r="O29" i="3"/>
  <c r="G53" i="3" s="1"/>
  <c r="V29" i="3"/>
  <c r="P53" i="3" s="1"/>
  <c r="W29" i="3"/>
  <c r="Q53" i="3" s="1"/>
  <c r="T29" i="3"/>
  <c r="N53" i="3" s="1"/>
  <c r="O37" i="3"/>
  <c r="G61" i="3" s="1"/>
  <c r="V37" i="3"/>
  <c r="P61" i="3" s="1"/>
  <c r="W37" i="3"/>
  <c r="Q61" i="3" s="1"/>
  <c r="T37" i="3"/>
  <c r="N61" i="3" s="1"/>
  <c r="S37" i="3"/>
  <c r="L26" i="3"/>
  <c r="D50" i="3" s="1"/>
  <c r="N35" i="3"/>
  <c r="F59" i="3" s="1"/>
  <c r="K60" i="3"/>
  <c r="T28" i="3"/>
  <c r="N52" i="3" s="1"/>
  <c r="V30" i="3"/>
  <c r="P54" i="3" s="1"/>
  <c r="U33" i="3"/>
  <c r="O57" i="3" s="1"/>
  <c r="S38" i="3"/>
  <c r="M62" i="3" s="1"/>
  <c r="Q41" i="3"/>
  <c r="AE26" i="3"/>
  <c r="Y50" i="3" s="1"/>
  <c r="AE30" i="3"/>
  <c r="Y54" i="3" s="1"/>
  <c r="Y33" i="3"/>
  <c r="S57" i="3" s="1"/>
  <c r="AD35" i="3"/>
  <c r="X59" i="3" s="1"/>
  <c r="AB37" i="3"/>
  <c r="V61" i="3" s="1"/>
  <c r="AD39" i="3"/>
  <c r="X63" i="3" s="1"/>
  <c r="AG41" i="3"/>
  <c r="AA65" i="3" s="1"/>
  <c r="U49" i="3"/>
  <c r="N41" i="3"/>
  <c r="F65" i="3" s="1"/>
  <c r="M37" i="3"/>
  <c r="E61" i="3" s="1"/>
  <c r="Q26" i="3"/>
  <c r="R27" i="3"/>
  <c r="L51" i="3" s="1"/>
  <c r="V31" i="3"/>
  <c r="P55" i="3" s="1"/>
  <c r="Q34" i="3"/>
  <c r="R35" i="3"/>
  <c r="L59" i="3" s="1"/>
  <c r="V39" i="3"/>
  <c r="P63" i="3" s="1"/>
  <c r="Q42" i="3"/>
  <c r="K66" i="3" s="1"/>
  <c r="AF28" i="3"/>
  <c r="Z52" i="3" s="1"/>
  <c r="AE29" i="3"/>
  <c r="Y53" i="3" s="1"/>
  <c r="AA33" i="3"/>
  <c r="AF36" i="3"/>
  <c r="Z60" i="3" s="1"/>
  <c r="AE37" i="3"/>
  <c r="Y61" i="3" s="1"/>
  <c r="AA41" i="3"/>
  <c r="N28" i="3"/>
  <c r="F52" i="3" s="1"/>
  <c r="T26" i="3"/>
  <c r="N50" i="3" s="1"/>
  <c r="U27" i="3"/>
  <c r="O51" i="3" s="1"/>
  <c r="Q31" i="3"/>
  <c r="T34" i="3"/>
  <c r="N58" i="3" s="1"/>
  <c r="U35" i="3"/>
  <c r="O59" i="3" s="1"/>
  <c r="Q39" i="3"/>
  <c r="T42" i="3"/>
  <c r="N66" i="3" s="1"/>
  <c r="AA28" i="3"/>
  <c r="U52" i="3" s="1"/>
  <c r="Z29" i="3"/>
  <c r="T53" i="3" s="1"/>
  <c r="AD33" i="3"/>
  <c r="X57" i="3" s="1"/>
  <c r="AA36" i="3"/>
  <c r="U60" i="3" s="1"/>
  <c r="AD41" i="3"/>
  <c r="X65" i="3" s="1"/>
  <c r="N37" i="3"/>
  <c r="F61" i="3" s="1"/>
  <c r="L29" i="3"/>
  <c r="D53" i="3" s="1"/>
  <c r="U26" i="3"/>
  <c r="O50" i="3" s="1"/>
  <c r="V27" i="3"/>
  <c r="P51" i="3" s="1"/>
  <c r="R31" i="3"/>
  <c r="L55" i="3" s="1"/>
  <c r="U34" i="3"/>
  <c r="O58" i="3" s="1"/>
  <c r="V35" i="3"/>
  <c r="P59" i="3" s="1"/>
  <c r="R39" i="3"/>
  <c r="L63" i="3" s="1"/>
  <c r="U42" i="3"/>
  <c r="O66" i="3" s="1"/>
  <c r="AE33" i="3"/>
  <c r="Y57" i="3" s="1"/>
  <c r="AA37" i="3"/>
  <c r="U61" i="3" s="1"/>
  <c r="AE41" i="3"/>
  <c r="Y65" i="3" s="1"/>
  <c r="X14" i="1"/>
  <c r="O31" i="1"/>
  <c r="F50" i="1"/>
  <c r="J50" i="1" s="1"/>
  <c r="X12" i="1"/>
  <c r="X11" i="1"/>
  <c r="F49" i="1"/>
  <c r="V25" i="3"/>
  <c r="P49" i="3" s="1"/>
  <c r="AF25" i="3"/>
  <c r="Z49" i="3" s="1"/>
  <c r="T25" i="3"/>
  <c r="N49" i="3" s="1"/>
  <c r="U25" i="3"/>
  <c r="O49" i="3" s="1"/>
  <c r="W25" i="3"/>
  <c r="Q49" i="3" s="1"/>
  <c r="Y25" i="3"/>
  <c r="S49" i="3" s="1"/>
  <c r="AG25" i="3"/>
  <c r="AA49" i="3" s="1"/>
  <c r="AB25" i="3"/>
  <c r="V49" i="3" s="1"/>
  <c r="S25" i="3"/>
  <c r="M49" i="3" s="1"/>
  <c r="AD25" i="3"/>
  <c r="X49" i="3" s="1"/>
  <c r="Z25" i="3"/>
  <c r="T49" i="3" s="1"/>
  <c r="R25" i="3"/>
  <c r="L49" i="3" s="1"/>
  <c r="AC25" i="3"/>
  <c r="W49" i="3" s="1"/>
  <c r="AE25" i="3"/>
  <c r="Y49" i="3" s="1"/>
  <c r="Q25" i="3"/>
  <c r="L33" i="3"/>
  <c r="D57" i="3" s="1"/>
  <c r="L41" i="3"/>
  <c r="D65" i="3" s="1"/>
  <c r="M25" i="3"/>
  <c r="E49" i="3" s="1"/>
  <c r="L28" i="3"/>
  <c r="D52" i="3" s="1"/>
  <c r="M33" i="3"/>
  <c r="E57" i="3" s="1"/>
  <c r="L36" i="3"/>
  <c r="D60" i="3" s="1"/>
  <c r="M41" i="3"/>
  <c r="E65" i="3" s="1"/>
  <c r="N32" i="3"/>
  <c r="F56" i="3" s="1"/>
  <c r="N40" i="3"/>
  <c r="F64" i="3" s="1"/>
  <c r="L25" i="3"/>
  <c r="E62" i="3"/>
  <c r="N25" i="3"/>
  <c r="F49" i="3" s="1"/>
  <c r="M28" i="3"/>
  <c r="L31" i="3"/>
  <c r="D55" i="3" s="1"/>
  <c r="M36" i="3"/>
  <c r="E60" i="3" s="1"/>
  <c r="L39" i="3"/>
  <c r="D63" i="3" s="1"/>
  <c r="L32" i="3"/>
  <c r="D56" i="3" s="1"/>
  <c r="N34" i="3"/>
  <c r="F58" i="3" s="1"/>
  <c r="L40" i="3"/>
  <c r="D64" i="3" s="1"/>
  <c r="N29" i="3"/>
  <c r="F53" i="3" s="1"/>
  <c r="M32" i="3"/>
  <c r="F57" i="3"/>
  <c r="E66" i="3"/>
  <c r="F55" i="3"/>
  <c r="M19" i="3"/>
  <c r="N19" i="3"/>
  <c r="N15" i="3"/>
  <c r="M14" i="3"/>
  <c r="P12" i="3"/>
  <c r="N13" i="3"/>
  <c r="P15" i="3"/>
  <c r="O11" i="3"/>
  <c r="O15" i="3"/>
  <c r="P14" i="3"/>
  <c r="O14" i="3"/>
  <c r="N20" i="3"/>
  <c r="N17" i="3"/>
  <c r="M17" i="3"/>
  <c r="O12" i="3"/>
  <c r="N12" i="3"/>
  <c r="O19" i="3"/>
  <c r="P10" i="3"/>
  <c r="O10" i="3"/>
  <c r="N10" i="3"/>
  <c r="N16" i="3"/>
  <c r="M16" i="3"/>
  <c r="N11" i="3"/>
  <c r="P20" i="3"/>
  <c r="M11" i="3"/>
  <c r="O20" i="3"/>
  <c r="P17" i="3"/>
  <c r="P13" i="3"/>
  <c r="N18" i="3"/>
  <c r="P16" i="3"/>
  <c r="O13" i="3"/>
  <c r="P18" i="3"/>
  <c r="O18" i="3"/>
  <c r="F35" i="1"/>
  <c r="I21" i="1" s="1"/>
  <c r="F40" i="1"/>
  <c r="L41" i="1"/>
  <c r="N32" i="1"/>
  <c r="K23" i="1" l="1"/>
  <c r="U23" i="1" s="1"/>
  <c r="I61" i="1" s="1"/>
  <c r="K22" i="1"/>
  <c r="U22" i="1" s="1"/>
  <c r="J25" i="1"/>
  <c r="J24" i="1"/>
  <c r="J21" i="1"/>
  <c r="O21" i="1"/>
  <c r="L21" i="1"/>
  <c r="R21" i="1"/>
  <c r="AB52" i="3"/>
  <c r="X35" i="3"/>
  <c r="X39" i="3"/>
  <c r="R53" i="3"/>
  <c r="AB60" i="3"/>
  <c r="P35" i="3"/>
  <c r="H59" i="3" s="1"/>
  <c r="X27" i="3"/>
  <c r="AB53" i="3"/>
  <c r="R51" i="3"/>
  <c r="K59" i="3"/>
  <c r="R59" i="3" s="1"/>
  <c r="AB61" i="3"/>
  <c r="X36" i="3"/>
  <c r="AI36" i="3"/>
  <c r="X38" i="3"/>
  <c r="X42" i="3"/>
  <c r="R64" i="3"/>
  <c r="K55" i="3"/>
  <c r="AI31" i="3"/>
  <c r="X28" i="3"/>
  <c r="AI27" i="3"/>
  <c r="AI40" i="3"/>
  <c r="K64" i="3"/>
  <c r="AH29" i="3"/>
  <c r="AI37" i="3"/>
  <c r="AH32" i="3"/>
  <c r="V56" i="3"/>
  <c r="AB56" i="3" s="1"/>
  <c r="R57" i="3"/>
  <c r="L52" i="3"/>
  <c r="R52" i="3" s="1"/>
  <c r="AH34" i="3"/>
  <c r="T58" i="3"/>
  <c r="AB58" i="3" s="1"/>
  <c r="P40" i="3"/>
  <c r="H64" i="3" s="1"/>
  <c r="L60" i="3"/>
  <c r="R60" i="3" s="1"/>
  <c r="AH41" i="3"/>
  <c r="U65" i="3"/>
  <c r="AB65" i="3" s="1"/>
  <c r="AI35" i="3"/>
  <c r="X29" i="3"/>
  <c r="AH35" i="3"/>
  <c r="S59" i="3"/>
  <c r="AB59" i="3" s="1"/>
  <c r="AH42" i="3"/>
  <c r="T66" i="3"/>
  <c r="AB66" i="3" s="1"/>
  <c r="AI32" i="3"/>
  <c r="K56" i="3"/>
  <c r="R56" i="3" s="1"/>
  <c r="R66" i="3"/>
  <c r="X30" i="3"/>
  <c r="AI30" i="3"/>
  <c r="K54" i="3"/>
  <c r="AB50" i="3"/>
  <c r="X31" i="3"/>
  <c r="S54" i="3"/>
  <c r="AB54" i="3" s="1"/>
  <c r="AH30" i="3"/>
  <c r="X41" i="3"/>
  <c r="X34" i="3"/>
  <c r="AH36" i="3"/>
  <c r="K63" i="3"/>
  <c r="AI39" i="3"/>
  <c r="K58" i="3"/>
  <c r="AI34" i="3"/>
  <c r="K65" i="3"/>
  <c r="AI41" i="3"/>
  <c r="AI29" i="3"/>
  <c r="AC52" i="3"/>
  <c r="AH33" i="3"/>
  <c r="U57" i="3"/>
  <c r="AC57" i="3" s="1"/>
  <c r="K50" i="3"/>
  <c r="AI26" i="3"/>
  <c r="AH39" i="3"/>
  <c r="W63" i="3"/>
  <c r="AB63" i="3" s="1"/>
  <c r="X40" i="3"/>
  <c r="AH40" i="3"/>
  <c r="V64" i="3"/>
  <c r="AB64" i="3" s="1"/>
  <c r="AH31" i="3"/>
  <c r="W55" i="3"/>
  <c r="AB55" i="3" s="1"/>
  <c r="AI42" i="3"/>
  <c r="AC53" i="3"/>
  <c r="S62" i="3"/>
  <c r="AB62" i="3" s="1"/>
  <c r="AH38" i="3"/>
  <c r="AH37" i="3"/>
  <c r="AH27" i="3"/>
  <c r="S51" i="3"/>
  <c r="AB51" i="3" s="1"/>
  <c r="X26" i="3"/>
  <c r="AH28" i="3"/>
  <c r="M61" i="3"/>
  <c r="R61" i="3" s="1"/>
  <c r="X37" i="3"/>
  <c r="X33" i="3"/>
  <c r="AI33" i="3"/>
  <c r="X32" i="3"/>
  <c r="AH26" i="3"/>
  <c r="AI38" i="3"/>
  <c r="K62" i="3"/>
  <c r="AI28" i="3"/>
  <c r="K49" i="3"/>
  <c r="AC49" i="3" s="1"/>
  <c r="AI25" i="3"/>
  <c r="P31" i="1"/>
  <c r="S31" i="1"/>
  <c r="Q31" i="1"/>
  <c r="R31" i="1"/>
  <c r="J49" i="1"/>
  <c r="G69" i="1" s="1"/>
  <c r="I69" i="1" s="1"/>
  <c r="AB49" i="3"/>
  <c r="X25" i="3"/>
  <c r="AH25" i="3"/>
  <c r="P39" i="3"/>
  <c r="H63" i="3" s="1"/>
  <c r="P32" i="3"/>
  <c r="H56" i="3" s="1"/>
  <c r="E56" i="3"/>
  <c r="P25" i="3"/>
  <c r="H49" i="3" s="1"/>
  <c r="D49" i="3"/>
  <c r="P31" i="3"/>
  <c r="H55" i="3" s="1"/>
  <c r="P27" i="3"/>
  <c r="H51" i="3" s="1"/>
  <c r="P29" i="3"/>
  <c r="H53" i="3" s="1"/>
  <c r="E53" i="3"/>
  <c r="P37" i="3"/>
  <c r="H61" i="3" s="1"/>
  <c r="D61" i="3"/>
  <c r="P36" i="3"/>
  <c r="H60" i="3" s="1"/>
  <c r="P28" i="3"/>
  <c r="H52" i="3" s="1"/>
  <c r="E52" i="3"/>
  <c r="P41" i="3"/>
  <c r="H65" i="3" s="1"/>
  <c r="P26" i="3"/>
  <c r="H50" i="3" s="1"/>
  <c r="P34" i="3"/>
  <c r="H58" i="3" s="1"/>
  <c r="D58" i="3"/>
  <c r="P33" i="3"/>
  <c r="H57" i="3" s="1"/>
  <c r="P42" i="3"/>
  <c r="H66" i="3" s="1"/>
  <c r="P30" i="3"/>
  <c r="H54" i="3" s="1"/>
  <c r="P38" i="3"/>
  <c r="H62" i="3" s="1"/>
  <c r="N41" i="1"/>
  <c r="N40" i="1"/>
  <c r="N39" i="1"/>
  <c r="N38" i="1"/>
  <c r="N37" i="1"/>
  <c r="N36" i="1"/>
  <c r="N35" i="1"/>
  <c r="N34" i="1"/>
  <c r="N33" i="1"/>
  <c r="I63" i="1"/>
  <c r="I62" i="1"/>
  <c r="I59" i="1"/>
  <c r="I58" i="1"/>
  <c r="I57" i="1"/>
  <c r="I56" i="1"/>
  <c r="I55" i="1"/>
  <c r="I54" i="1"/>
  <c r="H70" i="1" l="1"/>
  <c r="K57" i="1" s="1"/>
  <c r="P21" i="1"/>
  <c r="Q21" i="1" s="1"/>
  <c r="G59" i="1" s="1"/>
  <c r="S21" i="1"/>
  <c r="T21" i="1" s="1"/>
  <c r="M21" i="1"/>
  <c r="N21" i="1" s="1"/>
  <c r="F59" i="1" s="1"/>
  <c r="S24" i="1"/>
  <c r="T24" i="1" s="1"/>
  <c r="M24" i="1"/>
  <c r="N24" i="1" s="1"/>
  <c r="P24" i="1"/>
  <c r="Q24" i="1" s="1"/>
  <c r="S25" i="1"/>
  <c r="T25" i="1" s="1"/>
  <c r="M25" i="1"/>
  <c r="N25" i="1" s="1"/>
  <c r="P25" i="1"/>
  <c r="Q25" i="1" s="1"/>
  <c r="O41" i="1"/>
  <c r="J73" i="3"/>
  <c r="AC59" i="3"/>
  <c r="AC61" i="3"/>
  <c r="AB57" i="3"/>
  <c r="J72" i="3" s="1"/>
  <c r="AC60" i="3"/>
  <c r="AC66" i="3"/>
  <c r="J71" i="3"/>
  <c r="AC50" i="3"/>
  <c r="R50" i="3"/>
  <c r="AC51" i="3"/>
  <c r="AC58" i="3"/>
  <c r="R58" i="3"/>
  <c r="AI43" i="3"/>
  <c r="AC56" i="3"/>
  <c r="AC64" i="3"/>
  <c r="AC55" i="3"/>
  <c r="R55" i="3"/>
  <c r="AC63" i="3"/>
  <c r="R63" i="3"/>
  <c r="AC62" i="3"/>
  <c r="R62" i="3"/>
  <c r="R54" i="3"/>
  <c r="AC54" i="3"/>
  <c r="AC65" i="3"/>
  <c r="R65" i="3"/>
  <c r="R49" i="3"/>
  <c r="L69" i="1"/>
  <c r="J69" i="1"/>
  <c r="K69" i="1"/>
  <c r="G55" i="1"/>
  <c r="H72" i="3"/>
  <c r="H71" i="3"/>
  <c r="D71" i="3" s="1"/>
  <c r="H73" i="3"/>
  <c r="G57" i="1"/>
  <c r="H56" i="1"/>
  <c r="W17" i="1"/>
  <c r="H57" i="1"/>
  <c r="W20" i="1"/>
  <c r="H58" i="1"/>
  <c r="G58" i="1"/>
  <c r="H55" i="1"/>
  <c r="V20" i="1"/>
  <c r="H54" i="1"/>
  <c r="H61" i="1"/>
  <c r="W19" i="1"/>
  <c r="W18" i="1"/>
  <c r="G54" i="1"/>
  <c r="W16" i="1"/>
  <c r="I60" i="1"/>
  <c r="F56" i="1"/>
  <c r="K54" i="1" l="1"/>
  <c r="K55" i="1"/>
  <c r="H71" i="1"/>
  <c r="K58" i="1"/>
  <c r="K56" i="1"/>
  <c r="S41" i="1"/>
  <c r="R41" i="1"/>
  <c r="P41" i="1"/>
  <c r="Q41" i="1"/>
  <c r="I71" i="3"/>
  <c r="I73" i="3"/>
  <c r="K73" i="3"/>
  <c r="N71" i="1" s="1"/>
  <c r="AI67" i="3"/>
  <c r="K71" i="3"/>
  <c r="N69" i="1" s="1"/>
  <c r="O69" i="1" s="1"/>
  <c r="K72" i="3"/>
  <c r="N70" i="1" s="1"/>
  <c r="I72" i="3"/>
  <c r="V17" i="1"/>
  <c r="O32" i="1" s="1"/>
  <c r="W23" i="1"/>
  <c r="G72" i="3"/>
  <c r="F72" i="3"/>
  <c r="E72" i="3"/>
  <c r="D72" i="3"/>
  <c r="G71" i="3"/>
  <c r="F71" i="3"/>
  <c r="E71" i="3"/>
  <c r="F73" i="3"/>
  <c r="E73" i="3"/>
  <c r="D73" i="3"/>
  <c r="G73" i="3"/>
  <c r="V18" i="1"/>
  <c r="V24" i="1"/>
  <c r="O38" i="1" s="1"/>
  <c r="N16" i="1"/>
  <c r="F54" i="1" s="1"/>
  <c r="W21" i="1"/>
  <c r="F55" i="1"/>
  <c r="J55" i="1" s="1"/>
  <c r="F58" i="1"/>
  <c r="J58" i="1" s="1"/>
  <c r="X19" i="1"/>
  <c r="F57" i="1"/>
  <c r="J57" i="1" s="1"/>
  <c r="V21" i="1"/>
  <c r="O35" i="1" s="1"/>
  <c r="V19" i="1"/>
  <c r="G61" i="1"/>
  <c r="H60" i="1"/>
  <c r="F60" i="1"/>
  <c r="G62" i="1"/>
  <c r="H62" i="1"/>
  <c r="V23" i="1"/>
  <c r="O37" i="1" s="1"/>
  <c r="W22" i="1"/>
  <c r="K63" i="1" l="1"/>
  <c r="K59" i="1"/>
  <c r="K61" i="1"/>
  <c r="K62" i="1"/>
  <c r="K60" i="1"/>
  <c r="P69" i="1"/>
  <c r="S69" i="1"/>
  <c r="Q69" i="1"/>
  <c r="K74" i="3"/>
  <c r="X16" i="1"/>
  <c r="O33" i="1"/>
  <c r="J54" i="1"/>
  <c r="R38" i="1"/>
  <c r="S38" i="1"/>
  <c r="Q38" i="1"/>
  <c r="P38" i="1"/>
  <c r="S32" i="1"/>
  <c r="P32" i="1"/>
  <c r="R32" i="1"/>
  <c r="Q32" i="1"/>
  <c r="Q35" i="1"/>
  <c r="S35" i="1"/>
  <c r="P35" i="1"/>
  <c r="R35" i="1"/>
  <c r="S37" i="1"/>
  <c r="R37" i="1"/>
  <c r="P37" i="1"/>
  <c r="Q37" i="1"/>
  <c r="W24" i="1"/>
  <c r="W25" i="1"/>
  <c r="F63" i="1"/>
  <c r="X17" i="1"/>
  <c r="X20" i="1"/>
  <c r="X22" i="1"/>
  <c r="G60" i="1"/>
  <c r="X21" i="1"/>
  <c r="H59" i="1"/>
  <c r="X23" i="1"/>
  <c r="F61" i="1"/>
  <c r="X18" i="1"/>
  <c r="G56" i="1"/>
  <c r="J56" i="1" s="1"/>
  <c r="V25" i="1"/>
  <c r="O39" i="1" s="1"/>
  <c r="G63" i="1"/>
  <c r="H63" i="1"/>
  <c r="V22" i="1"/>
  <c r="O36" i="1" s="1"/>
  <c r="R69" i="1" l="1"/>
  <c r="L52" i="1"/>
  <c r="L53" i="1"/>
  <c r="L49" i="1"/>
  <c r="L50" i="1"/>
  <c r="L51" i="1"/>
  <c r="O40" i="1"/>
  <c r="P40" i="1" s="1"/>
  <c r="S36" i="1"/>
  <c r="Q36" i="1"/>
  <c r="R36" i="1"/>
  <c r="P36" i="1"/>
  <c r="J59" i="1"/>
  <c r="J61" i="1"/>
  <c r="J60" i="1"/>
  <c r="G70" i="1"/>
  <c r="S39" i="1"/>
  <c r="R39" i="1"/>
  <c r="P39" i="1"/>
  <c r="Q39" i="1"/>
  <c r="S33" i="1"/>
  <c r="Q33" i="1"/>
  <c r="P33" i="1"/>
  <c r="R33" i="1"/>
  <c r="J63" i="1"/>
  <c r="X25" i="1"/>
  <c r="X24" i="1"/>
  <c r="F62" i="1"/>
  <c r="J62" i="1" s="1"/>
  <c r="Q40" i="1" l="1"/>
  <c r="S40" i="1"/>
  <c r="R40" i="1"/>
  <c r="J70" i="1"/>
  <c r="P70" i="1" s="1"/>
  <c r="L70" i="1"/>
  <c r="S70" i="1" s="1"/>
  <c r="K70" i="1"/>
  <c r="Q70" i="1" s="1"/>
  <c r="I70" i="1"/>
  <c r="O70" i="1" s="1"/>
  <c r="G71" i="1"/>
  <c r="I71" i="1" s="1"/>
  <c r="O71" i="1" s="1"/>
  <c r="L56" i="1" l="1"/>
  <c r="L54" i="1"/>
  <c r="L55" i="1"/>
  <c r="L57" i="1"/>
  <c r="L58" i="1"/>
  <c r="R70" i="1"/>
  <c r="L71" i="1"/>
  <c r="S71" i="1" s="1"/>
  <c r="K71" i="1"/>
  <c r="Q71" i="1" s="1"/>
  <c r="J71" i="1"/>
  <c r="P71" i="1" s="1"/>
  <c r="R71" i="1" l="1"/>
  <c r="L61" i="1"/>
  <c r="L62" i="1"/>
  <c r="L63" i="1"/>
  <c r="L59" i="1"/>
  <c r="L60" i="1"/>
</calcChain>
</file>

<file path=xl/sharedStrings.xml><?xml version="1.0" encoding="utf-8"?>
<sst xmlns="http://schemas.openxmlformats.org/spreadsheetml/2006/main" count="542" uniqueCount="163">
  <si>
    <t>(cfm)</t>
  </si>
  <si>
    <t>Flows</t>
  </si>
  <si>
    <t>Systems</t>
  </si>
  <si>
    <t>ExhFlow</t>
  </si>
  <si>
    <t>PriZnToSysAirFlowRatio</t>
  </si>
  <si>
    <t>VentZnToSysAirFlowRatio</t>
  </si>
  <si>
    <t>ExhZnToSysAirFlowRatio</t>
  </si>
  <si>
    <t>Core_top Thermal Zone</t>
  </si>
  <si>
    <t>Perimeter_top_ZN_1 Thermal Zone</t>
  </si>
  <si>
    <t>Perimeter_top_ZN_2 Thermal Zone</t>
  </si>
  <si>
    <t>Perimeter_top_ZN_3 Thermal Zone</t>
  </si>
  <si>
    <t>Perimeter_top_ZN_4 Thermal Zone</t>
  </si>
  <si>
    <t>Core_TopZn_PTAC</t>
  </si>
  <si>
    <t>Perim_TopZn1_PTAC</t>
  </si>
  <si>
    <t>Perim_TopZn2_PTAC</t>
  </si>
  <si>
    <t>Perim_TopZn3_PTAC</t>
  </si>
  <si>
    <t>Perim_TopZn4_PTAC</t>
  </si>
  <si>
    <t>TopFlrDOAS</t>
  </si>
  <si>
    <t>Top SW Zones ExhSys</t>
  </si>
  <si>
    <t>Core_mid Thermal Zone</t>
  </si>
  <si>
    <t>Perimeter_mid_ZN_1 Thermal Zone</t>
  </si>
  <si>
    <t>Perimeter_mid_ZN_2 Thermal Zone</t>
  </si>
  <si>
    <t>Perimeter_mid_ZN_3 Thermal Zone</t>
  </si>
  <si>
    <t>Perimeter_mid_ZN_4 Thermal Zone</t>
  </si>
  <si>
    <t>Mid VAV-SW Zones</t>
  </si>
  <si>
    <t>Mid VAV NW_Core Zones</t>
  </si>
  <si>
    <t>Mid SE Zones ExhSys</t>
  </si>
  <si>
    <t>SupFanCap</t>
  </si>
  <si>
    <t>RetFanCap</t>
  </si>
  <si>
    <t>ReliefFanCap</t>
  </si>
  <si>
    <t>PriAirCondgSysDsgnFlow</t>
  </si>
  <si>
    <t>VentSysDsgnFlow</t>
  </si>
  <si>
    <t>DsgnExhFlow</t>
  </si>
  <si>
    <t>Ratios</t>
  </si>
  <si>
    <t>Zone Fan Pwrs</t>
  </si>
  <si>
    <t>SupFanPwr</t>
  </si>
  <si>
    <t>RetFanPwr</t>
  </si>
  <si>
    <t>ReliefFanPwr</t>
  </si>
  <si>
    <t>ExhFanPwr</t>
  </si>
  <si>
    <t>(frac.)</t>
  </si>
  <si>
    <t>(kW)</t>
  </si>
  <si>
    <t>PriAirCondgSysRef</t>
  </si>
  <si>
    <t>VentSysRef</t>
  </si>
  <si>
    <t>ExhSysRef</t>
  </si>
  <si>
    <t>Thermal Zone</t>
  </si>
  <si>
    <t>PROPOSED</t>
  </si>
  <si>
    <t>BASELINE</t>
  </si>
  <si>
    <t>TotPropFanPwr</t>
  </si>
  <si>
    <t>RetFanPwrRatio</t>
  </si>
  <si>
    <t>ReliefFanPwrRatio</t>
  </si>
  <si>
    <t>ExhFanPwrRatio</t>
  </si>
  <si>
    <t>SupFanPwrRatio</t>
  </si>
  <si>
    <t>BaseAirSys6</t>
  </si>
  <si>
    <t>BaseAirSys6-2</t>
  </si>
  <si>
    <t>BaseAirSys6-3</t>
  </si>
  <si>
    <t>PriSysPropSupFanPwr</t>
  </si>
  <si>
    <t>VentSysPropSupFanPwr</t>
  </si>
  <si>
    <t>TotPropSupFanPwr</t>
  </si>
  <si>
    <t>PriSysPropRetFanPwr</t>
  </si>
  <si>
    <t>VentSysPropRetFanPwr</t>
  </si>
  <si>
    <t>TotPropRetFanPwr</t>
  </si>
  <si>
    <t>PriSysPropReliefFanPwr</t>
  </si>
  <si>
    <t>VentSysPropReliefFanPwr</t>
  </si>
  <si>
    <t>TotPropReliefFanPwr</t>
  </si>
  <si>
    <t>PropExhFanPwr</t>
  </si>
  <si>
    <t>TotPriSysPropFanPwr</t>
  </si>
  <si>
    <t>TotVentSysPropFanPwr</t>
  </si>
  <si>
    <t>TotSysFanPwr</t>
  </si>
  <si>
    <t>TotPropSysFanPwr</t>
  </si>
  <si>
    <t>System Name</t>
  </si>
  <si>
    <t>BottomVAV</t>
  </si>
  <si>
    <t>PVAV</t>
  </si>
  <si>
    <t>Mid VAV NE_Core Zones</t>
  </si>
  <si>
    <t>Exhaust</t>
  </si>
  <si>
    <t>SZAC</t>
  </si>
  <si>
    <t>PTAC</t>
  </si>
  <si>
    <t>Core_bottom Thermal Zone</t>
  </si>
  <si>
    <t>Perimeter_bot_ZN_1 Thermal Zone</t>
  </si>
  <si>
    <t>Perimeter_bot_ZN_2 Thermal Zone</t>
  </si>
  <si>
    <t>Perimeter_bot_ZN_3 Thermal Zone</t>
  </si>
  <si>
    <t>Perimeter_bot_ZN_4 Thermal Zone</t>
  </si>
  <si>
    <t>FirstFloor_Plenum Thermal Zone</t>
  </si>
  <si>
    <t>MidFloor_Plenum Thermal Zone</t>
  </si>
  <si>
    <t>TopFloor_Plenum Thermal Zone</t>
  </si>
  <si>
    <t>NONE</t>
  </si>
  <si>
    <t>ExhFanCap</t>
  </si>
  <si>
    <t xml:space="preserve">FullDuctExhPDAdj         </t>
  </si>
  <si>
    <t xml:space="preserve">FullDuctExhLabOrVivPDAdj </t>
  </si>
  <si>
    <t xml:space="preserve">ExhFiltersPDAdj          </t>
  </si>
  <si>
    <t xml:space="preserve">BioCabinetPDAdj          </t>
  </si>
  <si>
    <t xml:space="preserve">FumeHoodExhPDAdj         </t>
  </si>
  <si>
    <t xml:space="preserve">LabOrVivExhHiRisePDAdj   </t>
  </si>
  <si>
    <t xml:space="preserve">SndAttnExhPDAdj          </t>
  </si>
  <si>
    <t xml:space="preserve">FullDuctRetPDAdj         </t>
  </si>
  <si>
    <t xml:space="preserve">FullDuctRetLabOrVivPDAdj </t>
  </si>
  <si>
    <t xml:space="preserve">MERV9To12PDAdj           </t>
  </si>
  <si>
    <t xml:space="preserve">MERV13To15PDAdj          </t>
  </si>
  <si>
    <t xml:space="preserve">MERVGTE16PDAdj           </t>
  </si>
  <si>
    <t xml:space="preserve">GasPhaseAirCleanersPDAdj </t>
  </si>
  <si>
    <t xml:space="preserve">ERVPDAdj                 </t>
  </si>
  <si>
    <t xml:space="preserve">EvapHumOrClrPDAdj        </t>
  </si>
  <si>
    <t xml:space="preserve">SndAttnPDAdj             </t>
  </si>
  <si>
    <t xml:space="preserve">FullDuctExhDevFlow         </t>
  </si>
  <si>
    <t xml:space="preserve">FullDuctExhLabOrVivDevFlow </t>
  </si>
  <si>
    <t xml:space="preserve">ExhFiltersDevFlow          </t>
  </si>
  <si>
    <t xml:space="preserve">BioCabinetDevFlow          </t>
  </si>
  <si>
    <t xml:space="preserve">FumeHoodExhDevFlow         </t>
  </si>
  <si>
    <t xml:space="preserve">LabOrVivExhHiRiseDevFlow   </t>
  </si>
  <si>
    <t xml:space="preserve">SndAttnExhDevFlow          </t>
  </si>
  <si>
    <t xml:space="preserve">FullDuctRetDevFlow         </t>
  </si>
  <si>
    <t xml:space="preserve">FullDuctRetLabOrVivDevFlow </t>
  </si>
  <si>
    <t xml:space="preserve">MERV9To12DevFlow           </t>
  </si>
  <si>
    <t xml:space="preserve">MERV13To15DevFlow          </t>
  </si>
  <si>
    <t xml:space="preserve">MERVGTE16DevFlow           </t>
  </si>
  <si>
    <t xml:space="preserve">GasPhaseAirCleanersDevFlow </t>
  </si>
  <si>
    <t xml:space="preserve">ERVDevFlow                 </t>
  </si>
  <si>
    <t xml:space="preserve">EvapHumOrClrDevFlow        </t>
  </si>
  <si>
    <t xml:space="preserve">SndAttnDevFlow             </t>
  </si>
  <si>
    <t>Type</t>
  </si>
  <si>
    <t xml:space="preserve">FullDuctExhFanPwrAdj         </t>
  </si>
  <si>
    <t xml:space="preserve">FullDuctExhLabOrVivFanPwrAdj </t>
  </si>
  <si>
    <t xml:space="preserve">ExhFiltersFanPwrAdj          </t>
  </si>
  <si>
    <t xml:space="preserve">BioCabinetFanPwrAdj          </t>
  </si>
  <si>
    <t xml:space="preserve">FumeHoodExhFanPwrAdj         </t>
  </si>
  <si>
    <t xml:space="preserve">LabOrVivExhHiRiseFanPwrAdj   </t>
  </si>
  <si>
    <t xml:space="preserve">SndAttnExhFanPwrAdj          </t>
  </si>
  <si>
    <t xml:space="preserve">FullDuctRetFanPwrAdj         </t>
  </si>
  <si>
    <t xml:space="preserve">FullDuctRetLabOrVivFanPwrAdj </t>
  </si>
  <si>
    <t xml:space="preserve">MERV9To12FanPwrAdj           </t>
  </si>
  <si>
    <t xml:space="preserve">MERV13To15FanPwrAdj          </t>
  </si>
  <si>
    <t xml:space="preserve">MERVGTE16FanPwrAdj           </t>
  </si>
  <si>
    <t xml:space="preserve">GasPhaseAirCleanersFanPwrAdj </t>
  </si>
  <si>
    <t xml:space="preserve">ERVFanPwrAdj                 </t>
  </si>
  <si>
    <t xml:space="preserve">EvapHumOrClrFanPwrAdj        </t>
  </si>
  <si>
    <t>(bhp)</t>
  </si>
  <si>
    <t>TotFanPwrAdj</t>
  </si>
  <si>
    <t xml:space="preserve">SndAttnFanPwrAdj             </t>
  </si>
  <si>
    <t>(frac)</t>
  </si>
  <si>
    <t>TotExhSysFanPwrAdj</t>
  </si>
  <si>
    <t>TotNonExhSysFanPwrAdj</t>
  </si>
  <si>
    <t>TotSysFanPwrAdj</t>
  </si>
  <si>
    <t>(BHP)</t>
  </si>
  <si>
    <t>TotExhFanPwrAdj</t>
  </si>
  <si>
    <t>TotNonExhFanPwrAdj</t>
  </si>
  <si>
    <t>ZnToSysExhFanPwrRatio</t>
  </si>
  <si>
    <t>Bottom VAV</t>
  </si>
  <si>
    <t>BaseToPropDsgnFlowRat</t>
  </si>
  <si>
    <t>PriZnToSysFlowRat</t>
  </si>
  <si>
    <t>VentZnToSysFlowRat</t>
  </si>
  <si>
    <t>BaseFanBHPAllowance</t>
  </si>
  <si>
    <t>BaseFanBHPWithPressDropCredit</t>
  </si>
  <si>
    <t>MtrBHP</t>
  </si>
  <si>
    <t>Supply Fan</t>
  </si>
  <si>
    <t>Return Fan</t>
  </si>
  <si>
    <t>Relief Fan</t>
  </si>
  <si>
    <t>Exhaust Fan</t>
  </si>
  <si>
    <t>ExhFanMtrBHP</t>
  </si>
  <si>
    <t>Ret+Rel Fan</t>
  </si>
  <si>
    <t>Zone Fan Powers</t>
  </si>
  <si>
    <t>Input Values</t>
  </si>
  <si>
    <t>Intermediate Values</t>
  </si>
  <si>
    <t>Check Values</t>
  </si>
  <si>
    <t>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</si>
</sst>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_(* #,##0.000_);_(* \(#,##0.000\);_(* &quot;-&quot;??_);_(@_)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double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thin">
        <color indexed="64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thin">
        <color indexed="64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1" applyNumberFormat="0" applyAlignment="0" applyProtection="0"/>
    <xf numFmtId="43" fontId="5" fillId="0" borderId="0" applyFont="0" applyFill="0" applyBorder="0" applyAlignment="0" applyProtection="0"/>
    <xf numFmtId="0" fontId="6" fillId="8" borderId="37" applyNumberFormat="0" applyAlignment="0" applyProtection="0"/>
  </cellStyleXfs>
  <cellXfs count="15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" xfId="1"/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1" fillId="2" borderId="18" xfId="1" applyBorder="1"/>
    <xf numFmtId="0" fontId="1" fillId="2" borderId="20" xfId="1" applyBorder="1"/>
    <xf numFmtId="164" fontId="0" fillId="0" borderId="7" xfId="0" applyNumberFormat="1" applyBorder="1"/>
    <xf numFmtId="164" fontId="0" fillId="0" borderId="5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0" fontId="2" fillId="0" borderId="0" xfId="0" applyFont="1"/>
    <xf numFmtId="0" fontId="1" fillId="2" borderId="1" xfId="1" applyBorder="1"/>
    <xf numFmtId="0" fontId="0" fillId="0" borderId="11" xfId="0" applyFill="1" applyBorder="1"/>
    <xf numFmtId="0" fontId="1" fillId="2" borderId="21" xfId="1" applyBorder="1"/>
    <xf numFmtId="0" fontId="1" fillId="2" borderId="22" xfId="1" applyBorder="1"/>
    <xf numFmtId="0" fontId="1" fillId="2" borderId="23" xfId="1" applyBorder="1"/>
    <xf numFmtId="0" fontId="1" fillId="2" borderId="24" xfId="1" applyBorder="1"/>
    <xf numFmtId="0" fontId="1" fillId="2" borderId="25" xfId="1" applyBorder="1"/>
    <xf numFmtId="0" fontId="1" fillId="2" borderId="26" xfId="1" applyBorder="1"/>
    <xf numFmtId="0" fontId="2" fillId="0" borderId="2" xfId="0" applyFont="1" applyBorder="1" applyAlignment="1"/>
    <xf numFmtId="0" fontId="2" fillId="0" borderId="3" xfId="0" applyFont="1" applyBorder="1" applyAlignment="1"/>
    <xf numFmtId="164" fontId="0" fillId="0" borderId="0" xfId="0" applyNumberFormat="1" applyFill="1" applyBorder="1"/>
    <xf numFmtId="164" fontId="0" fillId="0" borderId="8" xfId="0" applyNumberFormat="1" applyFill="1" applyBorder="1"/>
    <xf numFmtId="164" fontId="0" fillId="0" borderId="6" xfId="0" applyNumberFormat="1" applyFill="1" applyBorder="1"/>
    <xf numFmtId="164" fontId="0" fillId="0" borderId="9" xfId="0" applyNumberFormat="1" applyFill="1" applyBorder="1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wrapText="1"/>
    </xf>
    <xf numFmtId="164" fontId="3" fillId="3" borderId="1" xfId="2" applyNumberFormat="1"/>
    <xf numFmtId="164" fontId="3" fillId="3" borderId="18" xfId="2" applyNumberFormat="1" applyBorder="1"/>
    <xf numFmtId="164" fontId="3" fillId="3" borderId="27" xfId="2" applyNumberFormat="1" applyBorder="1"/>
    <xf numFmtId="164" fontId="0" fillId="0" borderId="0" xfId="0" applyNumberFormat="1"/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textRotation="90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4" fillId="4" borderId="0" xfId="0" applyFont="1" applyFill="1"/>
    <xf numFmtId="0" fontId="0" fillId="4" borderId="0" xfId="0" applyFill="1"/>
    <xf numFmtId="0" fontId="4" fillId="7" borderId="0" xfId="0" applyFont="1" applyFill="1"/>
    <xf numFmtId="0" fontId="0" fillId="7" borderId="0" xfId="0" applyFill="1"/>
    <xf numFmtId="0" fontId="0" fillId="0" borderId="13" xfId="0" applyFill="1" applyBorder="1"/>
    <xf numFmtId="0" fontId="0" fillId="0" borderId="17" xfId="0" applyFill="1" applyBorder="1"/>
    <xf numFmtId="0" fontId="0" fillId="0" borderId="12" xfId="0" applyFill="1" applyBorder="1"/>
    <xf numFmtId="0" fontId="0" fillId="6" borderId="2" xfId="0" applyFill="1" applyBorder="1" applyAlignment="1">
      <alignment horizontal="center" textRotation="90"/>
    </xf>
    <xf numFmtId="0" fontId="0" fillId="6" borderId="3" xfId="0" applyFill="1" applyBorder="1" applyAlignment="1">
      <alignment horizontal="center" textRotation="90"/>
    </xf>
    <xf numFmtId="0" fontId="0" fillId="5" borderId="3" xfId="0" applyFill="1" applyBorder="1" applyAlignment="1">
      <alignment horizontal="center" textRotation="90"/>
    </xf>
    <xf numFmtId="0" fontId="0" fillId="0" borderId="16" xfId="0" applyFill="1" applyBorder="1" applyAlignment="1">
      <alignment horizontal="center" textRotation="90"/>
    </xf>
    <xf numFmtId="0" fontId="0" fillId="5" borderId="4" xfId="0" applyFill="1" applyBorder="1" applyAlignment="1">
      <alignment horizontal="center" textRotation="90"/>
    </xf>
    <xf numFmtId="0" fontId="0" fillId="0" borderId="16" xfId="0" applyBorder="1" applyAlignment="1">
      <alignment wrapText="1"/>
    </xf>
    <xf numFmtId="0" fontId="1" fillId="2" borderId="28" xfId="1" applyBorder="1"/>
    <xf numFmtId="0" fontId="1" fillId="2" borderId="29" xfId="1" applyBorder="1"/>
    <xf numFmtId="0" fontId="0" fillId="0" borderId="16" xfId="0" applyFill="1" applyBorder="1" applyAlignment="1">
      <alignment wrapText="1"/>
    </xf>
    <xf numFmtId="0" fontId="1" fillId="2" borderId="30" xfId="1" applyBorder="1"/>
    <xf numFmtId="0" fontId="0" fillId="4" borderId="3" xfId="0" applyFill="1" applyBorder="1" applyAlignment="1">
      <alignment horizontal="center" textRotation="90"/>
    </xf>
    <xf numFmtId="0" fontId="0" fillId="7" borderId="3" xfId="0" applyFill="1" applyBorder="1" applyAlignment="1">
      <alignment horizontal="center" textRotation="90"/>
    </xf>
    <xf numFmtId="0" fontId="0" fillId="0" borderId="0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165" fontId="1" fillId="2" borderId="31" xfId="3" applyNumberFormat="1" applyFont="1" applyFill="1" applyBorder="1"/>
    <xf numFmtId="165" fontId="1" fillId="2" borderId="14" xfId="3" applyNumberFormat="1" applyFont="1" applyFill="1" applyBorder="1"/>
    <xf numFmtId="165" fontId="1" fillId="2" borderId="19" xfId="3" applyNumberFormat="1" applyFont="1" applyFill="1" applyBorder="1"/>
    <xf numFmtId="165" fontId="1" fillId="2" borderId="24" xfId="3" applyNumberFormat="1" applyFont="1" applyFill="1" applyBorder="1"/>
    <xf numFmtId="165" fontId="1" fillId="2" borderId="25" xfId="3" applyNumberFormat="1" applyFont="1" applyFill="1" applyBorder="1"/>
    <xf numFmtId="165" fontId="1" fillId="2" borderId="26" xfId="3" applyNumberFormat="1" applyFont="1" applyFill="1" applyBorder="1"/>
    <xf numFmtId="165" fontId="1" fillId="2" borderId="18" xfId="3" applyNumberFormat="1" applyFont="1" applyFill="1" applyBorder="1"/>
    <xf numFmtId="165" fontId="1" fillId="2" borderId="1" xfId="3" applyNumberFormat="1" applyFont="1" applyFill="1" applyBorder="1"/>
    <xf numFmtId="165" fontId="1" fillId="2" borderId="20" xfId="3" applyNumberFormat="1" applyFont="1" applyFill="1" applyBorder="1"/>
    <xf numFmtId="165" fontId="0" fillId="0" borderId="0" xfId="3" applyNumberFormat="1" applyFont="1"/>
    <xf numFmtId="165" fontId="0" fillId="0" borderId="3" xfId="3" applyNumberFormat="1" applyFont="1" applyBorder="1"/>
    <xf numFmtId="165" fontId="0" fillId="0" borderId="0" xfId="3" applyNumberFormat="1" applyFont="1" applyBorder="1"/>
    <xf numFmtId="165" fontId="0" fillId="0" borderId="12" xfId="3" applyNumberFormat="1" applyFont="1" applyBorder="1"/>
    <xf numFmtId="43" fontId="1" fillId="2" borderId="18" xfId="3" applyNumberFormat="1" applyFont="1" applyFill="1" applyBorder="1"/>
    <xf numFmtId="43" fontId="1" fillId="2" borderId="1" xfId="3" applyNumberFormat="1" applyFont="1" applyFill="1" applyBorder="1"/>
    <xf numFmtId="43" fontId="1" fillId="2" borderId="20" xfId="3" applyNumberFormat="1" applyFont="1" applyFill="1" applyBorder="1"/>
    <xf numFmtId="166" fontId="1" fillId="2" borderId="18" xfId="3" applyNumberFormat="1" applyFont="1" applyFill="1" applyBorder="1"/>
    <xf numFmtId="166" fontId="1" fillId="2" borderId="1" xfId="3" applyNumberFormat="1" applyFont="1" applyFill="1" applyBorder="1"/>
    <xf numFmtId="166" fontId="1" fillId="2" borderId="20" xfId="3" applyNumberFormat="1" applyFont="1" applyFill="1" applyBorder="1"/>
    <xf numFmtId="167" fontId="0" fillId="0" borderId="5" xfId="0" applyNumberFormat="1" applyBorder="1"/>
    <xf numFmtId="165" fontId="1" fillId="2" borderId="35" xfId="3" applyNumberFormat="1" applyFont="1" applyFill="1" applyBorder="1"/>
    <xf numFmtId="166" fontId="1" fillId="2" borderId="35" xfId="3" applyNumberFormat="1" applyFont="1" applyFill="1" applyBorder="1"/>
    <xf numFmtId="43" fontId="1" fillId="2" borderId="35" xfId="3" applyNumberFormat="1" applyFont="1" applyFill="1" applyBorder="1"/>
    <xf numFmtId="0" fontId="1" fillId="2" borderId="35" xfId="1" applyBorder="1"/>
    <xf numFmtId="164" fontId="3" fillId="3" borderId="35" xfId="2" applyNumberFormat="1" applyBorder="1"/>
    <xf numFmtId="164" fontId="0" fillId="0" borderId="33" xfId="0" applyNumberFormat="1" applyBorder="1"/>
    <xf numFmtId="164" fontId="0" fillId="0" borderId="34" xfId="0" applyNumberFormat="1" applyBorder="1"/>
    <xf numFmtId="165" fontId="1" fillId="2" borderId="36" xfId="3" applyNumberFormat="1" applyFont="1" applyFill="1" applyBorder="1"/>
    <xf numFmtId="0" fontId="1" fillId="2" borderId="27" xfId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3" borderId="1" xfId="2" applyNumberFormat="1" applyAlignment="1">
      <alignment horizontal="right"/>
    </xf>
    <xf numFmtId="0" fontId="3" fillId="3" borderId="1" xfId="2" applyAlignment="1">
      <alignment horizontal="right"/>
    </xf>
    <xf numFmtId="164" fontId="3" fillId="3" borderId="22" xfId="2" applyNumberFormat="1" applyBorder="1" applyAlignment="1">
      <alignment horizontal="right"/>
    </xf>
    <xf numFmtId="164" fontId="3" fillId="3" borderId="1" xfId="2" applyNumberFormat="1" applyBorder="1"/>
    <xf numFmtId="164" fontId="3" fillId="3" borderId="20" xfId="2" applyNumberFormat="1" applyBorder="1"/>
    <xf numFmtId="164" fontId="3" fillId="3" borderId="22" xfId="2" applyNumberFormat="1" applyBorder="1"/>
    <xf numFmtId="164" fontId="3" fillId="3" borderId="23" xfId="2" applyNumberFormat="1" applyBorder="1"/>
    <xf numFmtId="164" fontId="6" fillId="9" borderId="43" xfId="4" applyNumberFormat="1" applyFill="1" applyBorder="1"/>
    <xf numFmtId="164" fontId="6" fillId="9" borderId="44" xfId="4" applyNumberFormat="1" applyFill="1" applyBorder="1"/>
    <xf numFmtId="164" fontId="6" fillId="9" borderId="38" xfId="4" applyNumberFormat="1" applyFill="1" applyBorder="1"/>
    <xf numFmtId="164" fontId="6" fillId="9" borderId="37" xfId="4" applyNumberFormat="1" applyFill="1" applyBorder="1"/>
    <xf numFmtId="164" fontId="6" fillId="9" borderId="39" xfId="4" applyNumberFormat="1" applyFill="1" applyBorder="1"/>
    <xf numFmtId="164" fontId="6" fillId="9" borderId="40" xfId="4" applyNumberFormat="1" applyFill="1" applyBorder="1"/>
    <xf numFmtId="164" fontId="6" fillId="9" borderId="41" xfId="4" applyNumberFormat="1" applyFill="1" applyBorder="1"/>
    <xf numFmtId="164" fontId="6" fillId="9" borderId="42" xfId="4" applyNumberFormat="1" applyFill="1" applyBorder="1"/>
    <xf numFmtId="0" fontId="2" fillId="0" borderId="15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7" xfId="0" applyFont="1" applyBorder="1"/>
    <xf numFmtId="0" fontId="3" fillId="3" borderId="1" xfId="2"/>
    <xf numFmtId="3" fontId="1" fillId="2" borderId="1" xfId="1" applyNumberFormat="1"/>
    <xf numFmtId="164" fontId="6" fillId="9" borderId="45" xfId="4" applyNumberFormat="1" applyFill="1" applyBorder="1"/>
    <xf numFmtId="164" fontId="6" fillId="9" borderId="46" xfId="4" applyNumberFormat="1" applyFill="1" applyBorder="1"/>
    <xf numFmtId="164" fontId="6" fillId="9" borderId="47" xfId="4" applyNumberForma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Fill="1" applyBorder="1"/>
    <xf numFmtId="0" fontId="2" fillId="0" borderId="0" xfId="0" applyFont="1" applyFill="1" applyBorder="1"/>
    <xf numFmtId="0" fontId="2" fillId="0" borderId="6" xfId="0" applyFont="1" applyFill="1" applyBorder="1"/>
    <xf numFmtId="0" fontId="7" fillId="2" borderId="1" xfId="1" applyFont="1"/>
    <xf numFmtId="0" fontId="3" fillId="3" borderId="1" xfId="2" applyFont="1"/>
    <xf numFmtId="0" fontId="6" fillId="9" borderId="37" xfId="4" applyFont="1" applyFill="1"/>
  </cellXfs>
  <cellStyles count="5">
    <cellStyle name="Calculation" xfId="2" builtinId="22"/>
    <cellStyle name="Check Cell" xfId="4" builtinId="23"/>
    <cellStyle name="Comma" xfId="3" builtinId="3"/>
    <cellStyle name="Input" xfId="1" builtinId="20"/>
    <cellStyle name="Normal" xfId="0" builtinId="0"/>
  </cellStyles>
  <dxfs count="10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ill>
        <patternFill>
          <bgColor theme="9" tint="0.59996337778862885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4"/>
  <sheetViews>
    <sheetView topLeftCell="A40" zoomScale="70" zoomScaleNormal="70" workbookViewId="0">
      <pane xSplit="2" topLeftCell="C1" activePane="topRight" state="frozen"/>
      <selection pane="topRight" activeCell="D4" sqref="D4"/>
    </sheetView>
  </sheetViews>
  <sheetFormatPr defaultRowHeight="15" x14ac:dyDescent="0.25"/>
  <cols>
    <col min="2" max="2" width="38.28515625" bestFit="1" customWidth="1"/>
    <col min="3" max="4" width="27.7109375" bestFit="1" customWidth="1"/>
    <col min="5" max="5" width="24.42578125" bestFit="1" customWidth="1"/>
    <col min="6" max="7" width="16.7109375" customWidth="1"/>
    <col min="8" max="8" width="19.7109375" bestFit="1" customWidth="1"/>
    <col min="9" max="9" width="20.140625" customWidth="1"/>
    <col min="10" max="11" width="16.7109375" customWidth="1"/>
    <col min="12" max="12" width="16.5703125" bestFit="1" customWidth="1"/>
    <col min="13" max="13" width="18.7109375" bestFit="1" customWidth="1"/>
    <col min="14" max="14" width="18.42578125" bestFit="1" customWidth="1"/>
    <col min="15" max="15" width="20.5703125" bestFit="1" customWidth="1"/>
    <col min="16" max="16" width="18.42578125" bestFit="1" customWidth="1"/>
    <col min="17" max="34" width="6.7109375" customWidth="1"/>
    <col min="35" max="52" width="7.85546875" customWidth="1"/>
  </cols>
  <sheetData>
    <row r="1" spans="1:69" x14ac:dyDescent="0.25">
      <c r="B1" s="26" t="s">
        <v>162</v>
      </c>
    </row>
    <row r="2" spans="1:69" x14ac:dyDescent="0.25">
      <c r="B2" s="149" t="s">
        <v>159</v>
      </c>
    </row>
    <row r="3" spans="1:69" ht="15.75" thickBot="1" x14ac:dyDescent="0.3">
      <c r="B3" s="150" t="s">
        <v>160</v>
      </c>
    </row>
    <row r="4" spans="1:69" ht="16.5" thickTop="1" thickBot="1" x14ac:dyDescent="0.3">
      <c r="B4" s="151" t="s">
        <v>161</v>
      </c>
    </row>
    <row r="5" spans="1:69" ht="15.75" thickTop="1" x14ac:dyDescent="0.25"/>
    <row r="6" spans="1:69" ht="28.5" x14ac:dyDescent="0.45">
      <c r="B6" s="62" t="s">
        <v>45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</row>
    <row r="8" spans="1:69" ht="149.25" x14ac:dyDescent="0.25">
      <c r="A8" s="2"/>
      <c r="B8" s="15" t="s">
        <v>69</v>
      </c>
      <c r="C8" s="16" t="s">
        <v>118</v>
      </c>
      <c r="D8" s="16" t="s">
        <v>27</v>
      </c>
      <c r="E8" s="16" t="s">
        <v>28</v>
      </c>
      <c r="F8" s="16" t="s">
        <v>29</v>
      </c>
      <c r="G8" s="16" t="s">
        <v>85</v>
      </c>
      <c r="H8" s="16" t="s">
        <v>35</v>
      </c>
      <c r="I8" s="16" t="s">
        <v>36</v>
      </c>
      <c r="J8" s="16" t="s">
        <v>37</v>
      </c>
      <c r="K8" s="16" t="s">
        <v>38</v>
      </c>
      <c r="L8" s="15" t="s">
        <v>67</v>
      </c>
      <c r="M8" s="16" t="s">
        <v>51</v>
      </c>
      <c r="N8" s="16" t="s">
        <v>48</v>
      </c>
      <c r="O8" s="16" t="s">
        <v>49</v>
      </c>
      <c r="P8" s="10" t="s">
        <v>50</v>
      </c>
      <c r="Q8" s="67" t="s">
        <v>86</v>
      </c>
      <c r="R8" s="68" t="s">
        <v>87</v>
      </c>
      <c r="S8" s="68" t="s">
        <v>88</v>
      </c>
      <c r="T8" s="68" t="s">
        <v>89</v>
      </c>
      <c r="U8" s="68" t="s">
        <v>90</v>
      </c>
      <c r="V8" s="68" t="s">
        <v>91</v>
      </c>
      <c r="W8" s="68" t="s">
        <v>92</v>
      </c>
      <c r="X8" s="68"/>
      <c r="Y8" s="69" t="s">
        <v>93</v>
      </c>
      <c r="Z8" s="69" t="s">
        <v>94</v>
      </c>
      <c r="AA8" s="69" t="s">
        <v>95</v>
      </c>
      <c r="AB8" s="69" t="s">
        <v>96</v>
      </c>
      <c r="AC8" s="69" t="s">
        <v>97</v>
      </c>
      <c r="AD8" s="69" t="s">
        <v>98</v>
      </c>
      <c r="AE8" s="69" t="s">
        <v>99</v>
      </c>
      <c r="AF8" s="69" t="s">
        <v>100</v>
      </c>
      <c r="AG8" s="71" t="s">
        <v>101</v>
      </c>
      <c r="AH8" s="69"/>
      <c r="AI8" s="67" t="s">
        <v>102</v>
      </c>
      <c r="AJ8" s="68" t="s">
        <v>103</v>
      </c>
      <c r="AK8" s="68" t="s">
        <v>104</v>
      </c>
      <c r="AL8" s="68" t="s">
        <v>105</v>
      </c>
      <c r="AM8" s="68" t="s">
        <v>106</v>
      </c>
      <c r="AN8" s="68" t="s">
        <v>107</v>
      </c>
      <c r="AO8" s="68" t="s">
        <v>108</v>
      </c>
      <c r="AP8" s="68"/>
      <c r="AQ8" s="69" t="s">
        <v>109</v>
      </c>
      <c r="AR8" s="69" t="s">
        <v>110</v>
      </c>
      <c r="AS8" s="69" t="s">
        <v>111</v>
      </c>
      <c r="AT8" s="69" t="s">
        <v>112</v>
      </c>
      <c r="AU8" s="69" t="s">
        <v>113</v>
      </c>
      <c r="AV8" s="69" t="s">
        <v>114</v>
      </c>
      <c r="AW8" s="69" t="s">
        <v>115</v>
      </c>
      <c r="AX8" s="69" t="s">
        <v>116</v>
      </c>
      <c r="AY8" s="69" t="s">
        <v>117</v>
      </c>
      <c r="AZ8" s="71"/>
      <c r="BA8" s="70" t="s">
        <v>140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69" ht="15.75" thickBot="1" x14ac:dyDescent="0.3">
      <c r="A9" s="2"/>
      <c r="B9" s="11"/>
      <c r="C9" s="12"/>
      <c r="D9" s="12" t="s">
        <v>0</v>
      </c>
      <c r="E9" s="12" t="s">
        <v>0</v>
      </c>
      <c r="F9" s="12" t="s">
        <v>0</v>
      </c>
      <c r="G9" s="12" t="s">
        <v>0</v>
      </c>
      <c r="H9" s="12" t="s">
        <v>40</v>
      </c>
      <c r="I9" s="12" t="s">
        <v>40</v>
      </c>
      <c r="J9" s="12" t="s">
        <v>40</v>
      </c>
      <c r="K9" s="12" t="s">
        <v>40</v>
      </c>
      <c r="L9" s="11" t="s">
        <v>40</v>
      </c>
      <c r="M9" s="12" t="s">
        <v>39</v>
      </c>
      <c r="N9" s="12" t="s">
        <v>39</v>
      </c>
      <c r="O9" s="12" t="s">
        <v>39</v>
      </c>
      <c r="P9" s="13" t="s">
        <v>39</v>
      </c>
      <c r="Q9" s="52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4"/>
      <c r="AH9" s="53"/>
      <c r="AI9" s="52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4"/>
      <c r="BA9" s="20"/>
    </row>
    <row r="10" spans="1:69" ht="15.75" thickTop="1" x14ac:dyDescent="0.25">
      <c r="A10" s="2"/>
      <c r="B10" s="1" t="s">
        <v>70</v>
      </c>
      <c r="C10" s="2" t="s">
        <v>71</v>
      </c>
      <c r="D10" s="21">
        <v>17875.900000000001</v>
      </c>
      <c r="E10" s="103">
        <v>16088.3</v>
      </c>
      <c r="F10" s="21"/>
      <c r="G10" s="21"/>
      <c r="H10" s="21">
        <v>14.571099999999999</v>
      </c>
      <c r="I10" s="104">
        <v>16.660399999999999</v>
      </c>
      <c r="J10" s="21"/>
      <c r="K10" s="29"/>
      <c r="L10" s="48">
        <f>SUM(H10:K10)</f>
        <v>31.231499999999997</v>
      </c>
      <c r="M10" s="48">
        <f>H10/$L10</f>
        <v>0.4665513984278693</v>
      </c>
      <c r="N10" s="48">
        <f t="shared" ref="N10:N20" si="0">I10/$L10</f>
        <v>0.5334486015721307</v>
      </c>
      <c r="O10" s="138">
        <f t="shared" ref="O10:O20" si="1">J10/$L10</f>
        <v>0</v>
      </c>
      <c r="P10" s="138">
        <f t="shared" ref="P10:P20" si="2">K10/$L10</f>
        <v>0</v>
      </c>
      <c r="Q10" s="14"/>
      <c r="R10" s="14"/>
      <c r="S10" s="14"/>
      <c r="T10" s="14"/>
      <c r="U10" s="14"/>
      <c r="V10" s="14"/>
      <c r="W10" s="14"/>
      <c r="X10" s="14"/>
      <c r="Y10" s="14">
        <v>0.5</v>
      </c>
      <c r="Z10" s="14"/>
      <c r="AA10" s="14"/>
      <c r="AB10" s="14"/>
      <c r="AC10" s="14">
        <v>1.2</v>
      </c>
      <c r="AD10" s="14"/>
      <c r="AE10" s="14"/>
      <c r="AF10" s="14"/>
      <c r="AG10" s="14">
        <v>0.15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39">
        <v>16088</v>
      </c>
      <c r="AR10" s="14"/>
      <c r="AS10" s="14"/>
      <c r="AT10" s="14"/>
      <c r="AU10" s="139">
        <v>17875.900000000001</v>
      </c>
      <c r="AV10" s="14"/>
      <c r="AW10" s="14"/>
      <c r="AX10" s="14"/>
      <c r="AY10" s="139">
        <v>17875.900000000001</v>
      </c>
      <c r="AZ10" s="14"/>
      <c r="BA10" s="48">
        <f>SUMPRODUCT(Q10:AG10,AI10:AY10)/4131</f>
        <v>7.7890256596465752</v>
      </c>
    </row>
    <row r="11" spans="1:69" x14ac:dyDescent="0.25">
      <c r="A11" s="2"/>
      <c r="B11" s="1" t="s">
        <v>24</v>
      </c>
      <c r="C11" s="2" t="s">
        <v>71</v>
      </c>
      <c r="D11" s="27">
        <v>3644.56</v>
      </c>
      <c r="E11" s="27">
        <v>2962.33</v>
      </c>
      <c r="F11" s="27"/>
      <c r="G11" s="27"/>
      <c r="H11" s="27">
        <v>2.7911100000000002</v>
      </c>
      <c r="I11" s="27">
        <v>1.0059899999999999</v>
      </c>
      <c r="J11" s="27"/>
      <c r="K11" s="30"/>
      <c r="L11" s="48">
        <f t="shared" ref="L11:L20" si="3">SUM(H11:K11)</f>
        <v>3.7971000000000004</v>
      </c>
      <c r="M11" s="48">
        <f t="shared" ref="M11:M20" si="4">H11/$L11</f>
        <v>0.73506360116931335</v>
      </c>
      <c r="N11" s="48">
        <f t="shared" si="0"/>
        <v>0.26493639883068654</v>
      </c>
      <c r="O11" s="138">
        <f t="shared" si="1"/>
        <v>0</v>
      </c>
      <c r="P11" s="138">
        <f t="shared" si="2"/>
        <v>0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>
        <v>1.2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39">
        <v>3644.56</v>
      </c>
      <c r="AV11" s="14"/>
      <c r="AW11" s="14"/>
      <c r="AX11" s="14"/>
      <c r="AY11" s="14"/>
      <c r="AZ11" s="14"/>
      <c r="BA11" s="48">
        <f t="shared" ref="BA11:BA20" si="5">SUMPRODUCT(Q11:AG11,AI11:AY11)/4131</f>
        <v>1.0586957153231662</v>
      </c>
    </row>
    <row r="12" spans="1:69" x14ac:dyDescent="0.25">
      <c r="A12" s="2"/>
      <c r="B12" s="1" t="s">
        <v>72</v>
      </c>
      <c r="C12" s="2" t="s">
        <v>71</v>
      </c>
      <c r="D12" s="27">
        <v>14231.4</v>
      </c>
      <c r="E12" s="27"/>
      <c r="F12" s="27">
        <v>13119.8</v>
      </c>
      <c r="G12" s="27"/>
      <c r="H12" s="27">
        <v>11.675599999999999</v>
      </c>
      <c r="I12" s="27"/>
      <c r="J12" s="27">
        <v>3.4448599999999998</v>
      </c>
      <c r="K12" s="30"/>
      <c r="L12" s="48">
        <f t="shared" si="3"/>
        <v>15.12046</v>
      </c>
      <c r="M12" s="48">
        <f t="shared" si="4"/>
        <v>0.77217227518210418</v>
      </c>
      <c r="N12" s="138">
        <f t="shared" si="0"/>
        <v>0</v>
      </c>
      <c r="O12" s="48">
        <f t="shared" si="1"/>
        <v>0.22782772481789573</v>
      </c>
      <c r="P12" s="138">
        <f t="shared" si="2"/>
        <v>0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>
        <v>1.2</v>
      </c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39">
        <v>14231.4</v>
      </c>
      <c r="AW12" s="14"/>
      <c r="AX12" s="14"/>
      <c r="AY12" s="14"/>
      <c r="AZ12" s="14"/>
      <c r="BA12" s="48">
        <f t="shared" si="5"/>
        <v>4.1340305010893248</v>
      </c>
    </row>
    <row r="13" spans="1:69" x14ac:dyDescent="0.25">
      <c r="A13" s="2"/>
      <c r="B13" s="1" t="s">
        <v>26</v>
      </c>
      <c r="C13" s="2" t="s">
        <v>73</v>
      </c>
      <c r="D13" s="27">
        <v>0</v>
      </c>
      <c r="E13" s="27"/>
      <c r="F13" s="27"/>
      <c r="G13" s="27">
        <v>900</v>
      </c>
      <c r="H13" s="27"/>
      <c r="I13" s="27"/>
      <c r="J13" s="27"/>
      <c r="K13" s="30">
        <v>0.10306999999999999</v>
      </c>
      <c r="L13" s="48">
        <f t="shared" si="3"/>
        <v>0.10306999999999999</v>
      </c>
      <c r="M13" s="138">
        <f t="shared" si="4"/>
        <v>0</v>
      </c>
      <c r="N13" s="138">
        <f t="shared" si="0"/>
        <v>0</v>
      </c>
      <c r="O13" s="138">
        <f t="shared" si="1"/>
        <v>0</v>
      </c>
      <c r="P13" s="138">
        <f t="shared" si="2"/>
        <v>1</v>
      </c>
      <c r="Q13" s="14">
        <v>0.5</v>
      </c>
      <c r="R13" s="14"/>
      <c r="S13" s="14"/>
      <c r="T13" s="14">
        <v>1.1000000000000001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>
        <v>900</v>
      </c>
      <c r="AJ13" s="14"/>
      <c r="AK13" s="14"/>
      <c r="AL13" s="14">
        <v>450</v>
      </c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48">
        <f t="shared" si="5"/>
        <v>0.22875816993464052</v>
      </c>
    </row>
    <row r="14" spans="1:69" x14ac:dyDescent="0.25">
      <c r="A14" s="2"/>
      <c r="B14" s="1" t="s">
        <v>17</v>
      </c>
      <c r="C14" s="2" t="s">
        <v>74</v>
      </c>
      <c r="D14" s="27">
        <v>1565</v>
      </c>
      <c r="E14" s="27"/>
      <c r="F14" s="27"/>
      <c r="G14" s="27"/>
      <c r="H14" s="27">
        <v>0.46949999999999997</v>
      </c>
      <c r="I14" s="27"/>
      <c r="J14" s="27"/>
      <c r="K14" s="30"/>
      <c r="L14" s="48">
        <f t="shared" si="3"/>
        <v>0.46949999999999997</v>
      </c>
      <c r="M14" s="138">
        <f t="shared" si="4"/>
        <v>1</v>
      </c>
      <c r="N14" s="138">
        <f t="shared" si="0"/>
        <v>0</v>
      </c>
      <c r="O14" s="138">
        <f t="shared" si="1"/>
        <v>0</v>
      </c>
      <c r="P14" s="138">
        <f t="shared" si="2"/>
        <v>0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48">
        <f t="shared" si="5"/>
        <v>0</v>
      </c>
    </row>
    <row r="15" spans="1:69" x14ac:dyDescent="0.25">
      <c r="A15" s="2"/>
      <c r="B15" s="4" t="s">
        <v>18</v>
      </c>
      <c r="C15" s="5" t="s">
        <v>73</v>
      </c>
      <c r="D15" s="22">
        <v>0</v>
      </c>
      <c r="E15" s="22"/>
      <c r="F15" s="22"/>
      <c r="G15" s="22">
        <v>400</v>
      </c>
      <c r="H15" s="22"/>
      <c r="I15" s="22"/>
      <c r="J15" s="22"/>
      <c r="K15" s="31">
        <v>4.5809000000000002E-2</v>
      </c>
      <c r="L15" s="48">
        <f t="shared" si="3"/>
        <v>4.5809000000000002E-2</v>
      </c>
      <c r="M15" s="138">
        <f t="shared" si="4"/>
        <v>0</v>
      </c>
      <c r="N15" s="138">
        <f t="shared" si="0"/>
        <v>0</v>
      </c>
      <c r="O15" s="138">
        <f t="shared" si="1"/>
        <v>0</v>
      </c>
      <c r="P15" s="138">
        <f t="shared" si="2"/>
        <v>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48">
        <f t="shared" si="5"/>
        <v>0</v>
      </c>
    </row>
    <row r="16" spans="1:69" x14ac:dyDescent="0.25">
      <c r="A16" s="2"/>
      <c r="B16" s="15" t="s">
        <v>13</v>
      </c>
      <c r="C16" s="16" t="s">
        <v>75</v>
      </c>
      <c r="D16" s="21">
        <v>2000</v>
      </c>
      <c r="E16" s="21"/>
      <c r="F16" s="21"/>
      <c r="G16" s="21"/>
      <c r="H16" s="21">
        <v>0.6</v>
      </c>
      <c r="I16" s="21"/>
      <c r="J16" s="21"/>
      <c r="K16" s="29"/>
      <c r="L16" s="138">
        <f t="shared" si="3"/>
        <v>0.6</v>
      </c>
      <c r="M16" s="138">
        <f t="shared" si="4"/>
        <v>1</v>
      </c>
      <c r="N16" s="138">
        <f t="shared" si="0"/>
        <v>0</v>
      </c>
      <c r="O16" s="138">
        <f t="shared" si="1"/>
        <v>0</v>
      </c>
      <c r="P16" s="138">
        <f t="shared" si="2"/>
        <v>0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>
        <v>0.5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>
        <v>2000</v>
      </c>
      <c r="AT16" s="14"/>
      <c r="AU16" s="14"/>
      <c r="AV16" s="14"/>
      <c r="AW16" s="14"/>
      <c r="AX16" s="14"/>
      <c r="AY16" s="14"/>
      <c r="AZ16" s="14"/>
      <c r="BA16" s="48">
        <f t="shared" si="5"/>
        <v>0.24207213749697409</v>
      </c>
    </row>
    <row r="17" spans="1:54" x14ac:dyDescent="0.25">
      <c r="A17" s="2"/>
      <c r="B17" s="1" t="s">
        <v>14</v>
      </c>
      <c r="C17" s="2" t="s">
        <v>75</v>
      </c>
      <c r="D17" s="27">
        <v>2000</v>
      </c>
      <c r="E17" s="27"/>
      <c r="F17" s="27"/>
      <c r="G17" s="27"/>
      <c r="H17" s="27">
        <v>0.6</v>
      </c>
      <c r="I17" s="27"/>
      <c r="J17" s="27"/>
      <c r="K17" s="30"/>
      <c r="L17" s="138">
        <f t="shared" si="3"/>
        <v>0.6</v>
      </c>
      <c r="M17" s="138">
        <f t="shared" si="4"/>
        <v>1</v>
      </c>
      <c r="N17" s="138">
        <f t="shared" si="0"/>
        <v>0</v>
      </c>
      <c r="O17" s="138">
        <f t="shared" si="1"/>
        <v>0</v>
      </c>
      <c r="P17" s="138">
        <f t="shared" si="2"/>
        <v>0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48">
        <f t="shared" si="5"/>
        <v>0</v>
      </c>
    </row>
    <row r="18" spans="1:54" x14ac:dyDescent="0.25">
      <c r="A18" s="2"/>
      <c r="B18" s="1" t="s">
        <v>15</v>
      </c>
      <c r="C18" s="2" t="s">
        <v>75</v>
      </c>
      <c r="D18" s="27">
        <v>2000</v>
      </c>
      <c r="E18" s="27"/>
      <c r="F18" s="27"/>
      <c r="G18" s="27"/>
      <c r="H18" s="27">
        <v>0.6</v>
      </c>
      <c r="I18" s="27"/>
      <c r="J18" s="27"/>
      <c r="K18" s="30"/>
      <c r="L18" s="138">
        <f t="shared" si="3"/>
        <v>0.6</v>
      </c>
      <c r="M18" s="138">
        <f t="shared" si="4"/>
        <v>1</v>
      </c>
      <c r="N18" s="138">
        <f t="shared" si="0"/>
        <v>0</v>
      </c>
      <c r="O18" s="138">
        <f t="shared" si="1"/>
        <v>0</v>
      </c>
      <c r="P18" s="138">
        <f t="shared" si="2"/>
        <v>0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48">
        <f t="shared" si="5"/>
        <v>0</v>
      </c>
    </row>
    <row r="19" spans="1:54" x14ac:dyDescent="0.25">
      <c r="A19" s="2"/>
      <c r="B19" s="1" t="s">
        <v>16</v>
      </c>
      <c r="C19" s="2" t="s">
        <v>75</v>
      </c>
      <c r="D19" s="27">
        <v>2000</v>
      </c>
      <c r="E19" s="27"/>
      <c r="F19" s="27"/>
      <c r="G19" s="27"/>
      <c r="H19" s="27">
        <v>0.6</v>
      </c>
      <c r="I19" s="27"/>
      <c r="J19" s="27"/>
      <c r="K19" s="30"/>
      <c r="L19" s="138">
        <f t="shared" si="3"/>
        <v>0.6</v>
      </c>
      <c r="M19" s="138">
        <f t="shared" si="4"/>
        <v>1</v>
      </c>
      <c r="N19" s="138">
        <f t="shared" si="0"/>
        <v>0</v>
      </c>
      <c r="O19" s="138">
        <f t="shared" si="1"/>
        <v>0</v>
      </c>
      <c r="P19" s="138">
        <f t="shared" si="2"/>
        <v>0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>
        <v>0.15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>
        <v>2000</v>
      </c>
      <c r="AZ19" s="14"/>
      <c r="BA19" s="48">
        <f t="shared" si="5"/>
        <v>7.2621641249092234E-2</v>
      </c>
    </row>
    <row r="20" spans="1:54" x14ac:dyDescent="0.25">
      <c r="A20" s="2"/>
      <c r="B20" s="4" t="s">
        <v>12</v>
      </c>
      <c r="C20" s="5" t="s">
        <v>75</v>
      </c>
      <c r="D20" s="22">
        <v>3000</v>
      </c>
      <c r="E20" s="22"/>
      <c r="F20" s="22"/>
      <c r="G20" s="22"/>
      <c r="H20" s="22">
        <v>0.9</v>
      </c>
      <c r="I20" s="22"/>
      <c r="J20" s="22"/>
      <c r="K20" s="31"/>
      <c r="L20" s="138">
        <f t="shared" si="3"/>
        <v>0.9</v>
      </c>
      <c r="M20" s="138">
        <f t="shared" si="4"/>
        <v>1</v>
      </c>
      <c r="N20" s="138">
        <f t="shared" si="0"/>
        <v>0</v>
      </c>
      <c r="O20" s="138">
        <f t="shared" si="1"/>
        <v>0</v>
      </c>
      <c r="P20" s="138">
        <f t="shared" si="2"/>
        <v>0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48">
        <f t="shared" si="5"/>
        <v>0</v>
      </c>
      <c r="BB20" s="51"/>
    </row>
    <row r="21" spans="1:54" x14ac:dyDescent="0.25">
      <c r="AG21" s="2"/>
      <c r="AH21" s="2"/>
      <c r="AI21" s="2"/>
      <c r="BA21" s="51">
        <f>SUM(BA10:BA20)</f>
        <v>13.525203824739771</v>
      </c>
    </row>
    <row r="22" spans="1:54" x14ac:dyDescent="0.25">
      <c r="I22" s="51"/>
    </row>
    <row r="23" spans="1:54" ht="159.75" x14ac:dyDescent="0.25">
      <c r="B23" s="15" t="s">
        <v>44</v>
      </c>
      <c r="C23" s="16" t="s">
        <v>41</v>
      </c>
      <c r="D23" s="16" t="s">
        <v>42</v>
      </c>
      <c r="E23" s="10" t="s">
        <v>43</v>
      </c>
      <c r="F23" s="55" t="s">
        <v>30</v>
      </c>
      <c r="G23" s="56" t="s">
        <v>31</v>
      </c>
      <c r="H23" s="57" t="s">
        <v>32</v>
      </c>
      <c r="I23" s="55" t="s">
        <v>4</v>
      </c>
      <c r="J23" s="56" t="s">
        <v>5</v>
      </c>
      <c r="K23" s="57" t="s">
        <v>6</v>
      </c>
      <c r="L23" s="55" t="s">
        <v>57</v>
      </c>
      <c r="M23" s="56" t="s">
        <v>60</v>
      </c>
      <c r="N23" s="56" t="s">
        <v>63</v>
      </c>
      <c r="O23" s="58" t="s">
        <v>64</v>
      </c>
      <c r="P23" s="59" t="s">
        <v>47</v>
      </c>
      <c r="Q23" s="67" t="s">
        <v>119</v>
      </c>
      <c r="R23" s="68" t="s">
        <v>120</v>
      </c>
      <c r="S23" s="68" t="s">
        <v>121</v>
      </c>
      <c r="T23" s="68" t="s">
        <v>122</v>
      </c>
      <c r="U23" s="68" t="s">
        <v>123</v>
      </c>
      <c r="V23" s="68" t="s">
        <v>124</v>
      </c>
      <c r="W23" s="68" t="s">
        <v>125</v>
      </c>
      <c r="X23" s="78" t="s">
        <v>142</v>
      </c>
      <c r="Y23" s="69" t="s">
        <v>126</v>
      </c>
      <c r="Z23" s="69" t="s">
        <v>127</v>
      </c>
      <c r="AA23" s="69" t="s">
        <v>128</v>
      </c>
      <c r="AB23" s="69" t="s">
        <v>129</v>
      </c>
      <c r="AC23" s="69" t="s">
        <v>130</v>
      </c>
      <c r="AD23" s="69" t="s">
        <v>131</v>
      </c>
      <c r="AE23" s="69" t="s">
        <v>132</v>
      </c>
      <c r="AF23" s="69" t="s">
        <v>133</v>
      </c>
      <c r="AG23" s="69" t="s">
        <v>136</v>
      </c>
      <c r="AH23" s="77" t="s">
        <v>143</v>
      </c>
      <c r="AI23" s="70" t="s">
        <v>135</v>
      </c>
    </row>
    <row r="24" spans="1:54" ht="15.75" thickBot="1" x14ac:dyDescent="0.3">
      <c r="B24" s="11"/>
      <c r="C24" s="12"/>
      <c r="D24" s="12"/>
      <c r="E24" s="13"/>
      <c r="F24" s="11" t="s">
        <v>0</v>
      </c>
      <c r="G24" s="12" t="s">
        <v>0</v>
      </c>
      <c r="H24" s="13" t="s">
        <v>0</v>
      </c>
      <c r="I24" s="11" t="s">
        <v>39</v>
      </c>
      <c r="J24" s="12" t="s">
        <v>39</v>
      </c>
      <c r="K24" s="13" t="s">
        <v>39</v>
      </c>
      <c r="L24" s="11" t="s">
        <v>40</v>
      </c>
      <c r="M24" s="12" t="s">
        <v>40</v>
      </c>
      <c r="N24" s="12" t="s">
        <v>40</v>
      </c>
      <c r="O24" s="12" t="s">
        <v>40</v>
      </c>
      <c r="P24" s="13" t="s">
        <v>40</v>
      </c>
      <c r="Q24" s="28" t="s">
        <v>134</v>
      </c>
      <c r="R24" s="66" t="s">
        <v>134</v>
      </c>
      <c r="S24" s="66" t="s">
        <v>134</v>
      </c>
      <c r="T24" s="66" t="s">
        <v>134</v>
      </c>
      <c r="U24" s="66" t="s">
        <v>134</v>
      </c>
      <c r="V24" s="66" t="s">
        <v>134</v>
      </c>
      <c r="W24" s="66" t="s">
        <v>134</v>
      </c>
      <c r="X24" s="66" t="s">
        <v>134</v>
      </c>
      <c r="Y24" s="66" t="s">
        <v>134</v>
      </c>
      <c r="Z24" s="66" t="s">
        <v>134</v>
      </c>
      <c r="AA24" s="66" t="s">
        <v>134</v>
      </c>
      <c r="AB24" s="66" t="s">
        <v>134</v>
      </c>
      <c r="AC24" s="66" t="s">
        <v>134</v>
      </c>
      <c r="AD24" s="66" t="s">
        <v>134</v>
      </c>
      <c r="AE24" s="66" t="s">
        <v>134</v>
      </c>
      <c r="AF24" s="66" t="s">
        <v>134</v>
      </c>
      <c r="AG24" s="66" t="s">
        <v>134</v>
      </c>
      <c r="AH24" s="66" t="s">
        <v>134</v>
      </c>
      <c r="AI24" s="65" t="s">
        <v>134</v>
      </c>
    </row>
    <row r="25" spans="1:54" ht="15.75" thickTop="1" x14ac:dyDescent="0.25">
      <c r="B25" s="1" t="s">
        <v>76</v>
      </c>
      <c r="C25" s="2" t="s">
        <v>70</v>
      </c>
      <c r="D25" s="2" t="s">
        <v>70</v>
      </c>
      <c r="E25" s="3"/>
      <c r="F25" s="14">
        <v>10586.7</v>
      </c>
      <c r="G25" s="14">
        <v>10586.7</v>
      </c>
      <c r="H25" s="14"/>
      <c r="I25" s="48">
        <f>IFERROR(F25/SUMIFS($D$10:$D$20,$B$10:$B$20,C25),0)</f>
        <v>0.59223311833250358</v>
      </c>
      <c r="J25" s="48">
        <f>IF($C25=$D25,0,IFERROR(G25/SUMIFS($D$10:$D$20,$B$10:$B$20,D25),0))</f>
        <v>0</v>
      </c>
      <c r="K25" s="48">
        <f>IFERROR(H25/SUMIFS($G$10:$G$20,$B$10:$B$20,E25),0)</f>
        <v>0</v>
      </c>
      <c r="L25" s="48">
        <f>$I25*SUMIFS($H$10:$H$20,$B$10:$B$20,$C25)+IF($C25=$D25,0,$J25*SUMIFS($H$10:$H$20,$B$10:$B$20,$D25))</f>
        <v>8.6294879905347432</v>
      </c>
      <c r="M25" s="48">
        <f>$I25*SUMIFS($I$10:$I$20,$B$10:$B$20,$C25)+IF($C25=$D25,0,$J25*SUMIFS($I$10:$I$20,$B$10:$B$20,$D25))</f>
        <v>9.8668406446668424</v>
      </c>
      <c r="N25" s="48">
        <f>$I25*SUMIFS($J$10:$J$20,$B$10:$B$20,$C25)+IF($C25=$D25,0,$J25*SUMIFS($J$10:$J$20,$B$10:$B$20,$D25))</f>
        <v>0</v>
      </c>
      <c r="O25" s="48">
        <f>$K25*SUMIFS($K$10:$K$20,$B$10:$B$20,$E25)</f>
        <v>0</v>
      </c>
      <c r="P25" s="48">
        <f>SUM(L25:O25)</f>
        <v>18.496328635201586</v>
      </c>
      <c r="Q25" s="48">
        <f>SUMIFS(Q$10:Q$20,$B$10:$B$20,$E25)*SUMIFS(AI$10:AI$20,$B$10:$B$20,$E25)*$K25/4131</f>
        <v>0</v>
      </c>
      <c r="R25" s="48">
        <f t="shared" ref="R25:R42" si="6">SUMIFS(R$10:R$20,$B$10:$B$20,$E25)*SUMIFS(AJ$10:AJ$20,$B$10:$B$20,$E25)*$K25/4131</f>
        <v>0</v>
      </c>
      <c r="S25" s="48">
        <f t="shared" ref="S25:S42" si="7">SUMIFS(S$10:S$20,$B$10:$B$20,$E25)*SUMIFS(AK$10:AK$20,$B$10:$B$20,$E25)*$K25/4131</f>
        <v>0</v>
      </c>
      <c r="T25" s="48">
        <f t="shared" ref="T25:T42" si="8">SUMIFS(T$10:T$20,$B$10:$B$20,$E25)*SUMIFS(AL$10:AL$20,$B$10:$B$20,$E25)*$K25/4131</f>
        <v>0</v>
      </c>
      <c r="U25" s="48">
        <f t="shared" ref="U25:U42" si="9">SUMIFS(U$10:U$20,$B$10:$B$20,$E25)*SUMIFS(AM$10:AM$20,$B$10:$B$20,$E25)*$K25/4131</f>
        <v>0</v>
      </c>
      <c r="V25" s="48">
        <f t="shared" ref="V25:V42" si="10">SUMIFS(V$10:V$20,$B$10:$B$20,$E25)*SUMIFS(AN$10:AN$20,$B$10:$B$20,$E25)*$K25/4131</f>
        <v>0</v>
      </c>
      <c r="W25" s="48">
        <f t="shared" ref="W25:W42" si="11">SUMIFS(W$10:W$20,$B$10:$B$20,$E25)*SUMIFS(AO$10:AO$20,$B$10:$B$20,$E25)*$K25/4131</f>
        <v>0</v>
      </c>
      <c r="X25" s="48">
        <f>SUM(Q25:W25)</f>
        <v>0</v>
      </c>
      <c r="Y25" s="48">
        <f>((SUMIFS(Y$10:Y$20,$B$10:$B$20,$C25)*SUMIFS(AQ$10:AQ$20,$B$10:$B$20,$C25)*$I25)+(SUMIFS(Y$10:Y$20,$B$10:$B$20,$D25)*SUMIFS(AQ$10:AQ$20,$B$10:$B$20,$D25)*$J25))/4131</f>
        <v>1.1532130728314351</v>
      </c>
      <c r="Z25" s="48">
        <f t="shared" ref="Z25:Z42" si="12">((SUMIFS(Z$10:Z$20,$B$10:$B$20,$C25)*SUMIFS(AR$10:AR$20,$B$10:$B$20,$C25)*$I25)+(SUMIFS(Z$10:Z$20,$B$10:$B$20,$D25)*SUMIFS(AR$10:AR$20,$B$10:$B$20,$D25)*$J25))/4131</f>
        <v>0</v>
      </c>
      <c r="AA25" s="48">
        <f t="shared" ref="AA25:AA42" si="13">((SUMIFS(AA$10:AA$20,$B$10:$B$20,$C25)*SUMIFS(AS$10:AS$20,$B$10:$B$20,$C25)*$I25)+(SUMIFS(AA$10:AA$20,$B$10:$B$20,$D25)*SUMIFS(AS$10:AS$20,$B$10:$B$20,$D25)*$J25))/4131</f>
        <v>0</v>
      </c>
      <c r="AB25" s="48">
        <f t="shared" ref="AB25:AB42" si="14">((SUMIFS(AB$10:AB$20,$B$10:$B$20,$C25)*SUMIFS(AT$10:AT$20,$B$10:$B$20,$C25)*$I25)+(SUMIFS(AB$10:AB$20,$B$10:$B$20,$D25)*SUMIFS(AT$10:AT$20,$B$10:$B$20,$D25)*$J25))/4131</f>
        <v>0</v>
      </c>
      <c r="AC25" s="48">
        <f t="shared" ref="AC25:AC42" si="15">((SUMIFS(AC$10:AC$20,$B$10:$B$20,$C25)*SUMIFS(AU$10:AU$20,$B$10:$B$20,$C25)*$I25)+(SUMIFS(AC$10:AC$20,$B$10:$B$20,$D25)*SUMIFS(AU$10:AU$20,$B$10:$B$20,$D25)*$J25))/4131</f>
        <v>3.0752941176470596</v>
      </c>
      <c r="AD25" s="48">
        <f t="shared" ref="AD25:AD42" si="16">((SUMIFS(AD$10:AD$20,$B$10:$B$20,$C25)*SUMIFS(AV$10:AV$20,$B$10:$B$20,$C25)*$I25)+(SUMIFS(AD$10:AD$20,$B$10:$B$20,$D25)*SUMIFS(AV$10:AV$20,$B$10:$B$20,$D25)*$J25))/4131</f>
        <v>0</v>
      </c>
      <c r="AE25" s="48">
        <f t="shared" ref="AE25:AE42" si="17">((SUMIFS(AE$10:AE$20,$B$10:$B$20,$C25)*SUMIFS(AW$10:AW$20,$B$10:$B$20,$C25)*$I25)+(SUMIFS(AE$10:AE$20,$B$10:$B$20,$D25)*SUMIFS(AW$10:AW$20,$B$10:$B$20,$D25)*$J25))/4131</f>
        <v>0</v>
      </c>
      <c r="AF25" s="48">
        <f t="shared" ref="AF25:AF42" si="18">((SUMIFS(AF$10:AF$20,$B$10:$B$20,$C25)*SUMIFS(AX$10:AX$20,$B$10:$B$20,$C25)*$I25)+(SUMIFS(AF$10:AF$20,$B$10:$B$20,$D25)*SUMIFS(AX$10:AX$20,$B$10:$B$20,$D25)*$J25))/4131</f>
        <v>0</v>
      </c>
      <c r="AG25" s="48">
        <f t="shared" ref="AG25:AG42" si="19">((SUMIFS(AG$10:AG$20,$B$10:$B$20,$C25)*SUMIFS(AY$10:AY$20,$B$10:$B$20,$C25)*$I25)+(SUMIFS(AG$10:AG$20,$B$10:$B$20,$D25)*SUMIFS(AY$10:AY$20,$B$10:$B$20,$D25)*$J25))/4131</f>
        <v>0.38441176470588245</v>
      </c>
      <c r="AH25" s="48">
        <f>SUM(Y25:AG25)</f>
        <v>4.6129189551843774</v>
      </c>
      <c r="AI25" s="48">
        <f>SUM(Q25:W25,Y25:AG25)</f>
        <v>4.6129189551843774</v>
      </c>
    </row>
    <row r="26" spans="1:54" x14ac:dyDescent="0.25">
      <c r="B26" s="1" t="s">
        <v>77</v>
      </c>
      <c r="C26" s="2" t="s">
        <v>70</v>
      </c>
      <c r="D26" s="2" t="s">
        <v>70</v>
      </c>
      <c r="E26" s="3"/>
      <c r="F26" s="14">
        <v>2231.7600000000002</v>
      </c>
      <c r="G26" s="14">
        <v>2231.7600000000002</v>
      </c>
      <c r="H26" s="14"/>
      <c r="I26" s="48">
        <f t="shared" ref="I26:I42" si="20">IFERROR(F26/SUMIFS($D$10:$D$20,$B$10:$B$20,C26),0)</f>
        <v>0.12484742026974865</v>
      </c>
      <c r="J26" s="48">
        <f t="shared" ref="J26:J42" si="21">IF($C26=$D26,0,IFERROR(G26/SUMIFS($D$10:$D$20,$B$10:$B$20,D26),0))</f>
        <v>0</v>
      </c>
      <c r="K26" s="48">
        <f t="shared" ref="K26:K42" si="22">IFERROR(H26/SUMIFS($G$10:$G$20,$B$10:$B$20,E26),0)</f>
        <v>0</v>
      </c>
      <c r="L26" s="48">
        <f t="shared" ref="L26:L42" si="23">$I26*SUMIFS($H$10:$H$20,$B$10:$B$20,$C26)+IF($C26=$D26,0,$J26*SUMIFS($H$10:$H$20,$B$10:$B$20,$D26))</f>
        <v>1.8191642454925345</v>
      </c>
      <c r="M26" s="48">
        <f t="shared" ref="M26:M42" si="24">$I26*SUMIFS($I$10:$I$20,$B$10:$B$20,$C26)+IF($C26=$D26,0,$J26*SUMIFS($I$10:$I$20,$B$10:$B$20,$D26))</f>
        <v>2.0800079606621202</v>
      </c>
      <c r="N26" s="48">
        <f t="shared" ref="N26:N42" si="25">$I26*SUMIFS($J$10:$J$20,$B$10:$B$20,$C26)+IF($C26=$D26,0,$J26*SUMIFS($J$10:$J$20,$B$10:$B$20,$D26))</f>
        <v>0</v>
      </c>
      <c r="O26" s="48">
        <f t="shared" ref="O26:O42" si="26">$K26*SUMIFS($K$10:$K$20,$B$10:$B$20,$E26)</f>
        <v>0</v>
      </c>
      <c r="P26" s="48">
        <f t="shared" ref="P26:P42" si="27">SUM(L26:O26)</f>
        <v>3.8991722061546548</v>
      </c>
      <c r="Q26" s="48">
        <f t="shared" ref="Q26:Q42" si="28">SUMIFS(Q$10:Q$20,$B$10:$B$20,$E26)*SUMIFS(AI$10:AI$20,$B$10:$B$20,$E26)*$K26/4131</f>
        <v>0</v>
      </c>
      <c r="R26" s="48">
        <f t="shared" si="6"/>
        <v>0</v>
      </c>
      <c r="S26" s="48">
        <f t="shared" si="7"/>
        <v>0</v>
      </c>
      <c r="T26" s="48">
        <f t="shared" si="8"/>
        <v>0</v>
      </c>
      <c r="U26" s="48">
        <f t="shared" si="9"/>
        <v>0</v>
      </c>
      <c r="V26" s="48">
        <f t="shared" si="10"/>
        <v>0</v>
      </c>
      <c r="W26" s="48">
        <f t="shared" si="11"/>
        <v>0</v>
      </c>
      <c r="X26" s="48">
        <f t="shared" ref="X26:X42" si="29">SUM(Q26:W26)</f>
        <v>0</v>
      </c>
      <c r="Y26" s="48">
        <f t="shared" ref="Y26:Y42" si="30">((SUMIFS(Y$10:Y$20,$B$10:$B$20,$C26)*SUMIFS(AQ$10:AQ$20,$B$10:$B$20,$C26)*$I26)+(SUMIFS(Y$10:Y$20,$B$10:$B$20,$D26)*SUMIFS(AQ$10:AQ$20,$B$10:$B$20,$D26)*$J26))/4131</f>
        <v>0.24310642668841884</v>
      </c>
      <c r="Z26" s="48">
        <f t="shared" si="12"/>
        <v>0</v>
      </c>
      <c r="AA26" s="48">
        <f t="shared" si="13"/>
        <v>0</v>
      </c>
      <c r="AB26" s="48">
        <f t="shared" si="14"/>
        <v>0</v>
      </c>
      <c r="AC26" s="48">
        <f t="shared" si="15"/>
        <v>0.64829629629629637</v>
      </c>
      <c r="AD26" s="48">
        <f t="shared" si="16"/>
        <v>0</v>
      </c>
      <c r="AE26" s="48">
        <f t="shared" si="17"/>
        <v>0</v>
      </c>
      <c r="AF26" s="48">
        <f t="shared" si="18"/>
        <v>0</v>
      </c>
      <c r="AG26" s="48">
        <f t="shared" si="19"/>
        <v>8.1037037037037046E-2</v>
      </c>
      <c r="AH26" s="48">
        <f t="shared" ref="AH26:AH41" si="31">SUM(Y26:AG26)</f>
        <v>0.97243976002175225</v>
      </c>
      <c r="AI26" s="138">
        <f t="shared" ref="AI26:AI42" si="32">SUM(Q26:W26,Y26:AG26)</f>
        <v>0.97243976002175225</v>
      </c>
    </row>
    <row r="27" spans="1:54" x14ac:dyDescent="0.25">
      <c r="B27" s="1" t="s">
        <v>78</v>
      </c>
      <c r="C27" s="2" t="s">
        <v>70</v>
      </c>
      <c r="D27" s="2" t="s">
        <v>70</v>
      </c>
      <c r="E27" s="3"/>
      <c r="F27" s="14">
        <v>1412.9</v>
      </c>
      <c r="G27" s="14">
        <v>1412.9</v>
      </c>
      <c r="H27" s="14"/>
      <c r="I27" s="48">
        <f t="shared" si="20"/>
        <v>7.9039377038358907E-2</v>
      </c>
      <c r="J27" s="48">
        <f t="shared" si="21"/>
        <v>0</v>
      </c>
      <c r="K27" s="48">
        <f t="shared" si="22"/>
        <v>0</v>
      </c>
      <c r="L27" s="48">
        <f t="shared" si="23"/>
        <v>1.1516906667636315</v>
      </c>
      <c r="M27" s="48">
        <f t="shared" si="24"/>
        <v>1.3168276372098746</v>
      </c>
      <c r="N27" s="48">
        <f t="shared" si="25"/>
        <v>0</v>
      </c>
      <c r="O27" s="48">
        <f t="shared" si="26"/>
        <v>0</v>
      </c>
      <c r="P27" s="48">
        <f t="shared" si="27"/>
        <v>2.4685183039735064</v>
      </c>
      <c r="Q27" s="48">
        <f t="shared" si="28"/>
        <v>0</v>
      </c>
      <c r="R27" s="48">
        <f t="shared" si="6"/>
        <v>0</v>
      </c>
      <c r="S27" s="48">
        <f t="shared" si="7"/>
        <v>0</v>
      </c>
      <c r="T27" s="48">
        <f t="shared" si="8"/>
        <v>0</v>
      </c>
      <c r="U27" s="48">
        <f t="shared" si="9"/>
        <v>0</v>
      </c>
      <c r="V27" s="48">
        <f t="shared" si="10"/>
        <v>0</v>
      </c>
      <c r="W27" s="48">
        <f t="shared" si="11"/>
        <v>0</v>
      </c>
      <c r="X27" s="48">
        <f t="shared" si="29"/>
        <v>0</v>
      </c>
      <c r="Y27" s="48">
        <f t="shared" si="30"/>
        <v>0.15390770973046697</v>
      </c>
      <c r="Z27" s="48">
        <f t="shared" si="12"/>
        <v>0</v>
      </c>
      <c r="AA27" s="48">
        <f t="shared" si="13"/>
        <v>0</v>
      </c>
      <c r="AB27" s="48">
        <f t="shared" si="14"/>
        <v>0</v>
      </c>
      <c r="AC27" s="48">
        <f t="shared" si="15"/>
        <v>0.41042846768336966</v>
      </c>
      <c r="AD27" s="48">
        <f t="shared" si="16"/>
        <v>0</v>
      </c>
      <c r="AE27" s="48">
        <f t="shared" si="17"/>
        <v>0</v>
      </c>
      <c r="AF27" s="48">
        <f t="shared" si="18"/>
        <v>0</v>
      </c>
      <c r="AG27" s="48">
        <f t="shared" si="19"/>
        <v>5.1303558460421207E-2</v>
      </c>
      <c r="AH27" s="48">
        <f t="shared" si="31"/>
        <v>0.61563973587425791</v>
      </c>
      <c r="AI27" s="138">
        <f t="shared" si="32"/>
        <v>0.61563973587425791</v>
      </c>
    </row>
    <row r="28" spans="1:54" x14ac:dyDescent="0.25">
      <c r="B28" s="1" t="s">
        <v>79</v>
      </c>
      <c r="C28" s="2" t="s">
        <v>70</v>
      </c>
      <c r="D28" s="2" t="s">
        <v>70</v>
      </c>
      <c r="E28" s="3"/>
      <c r="F28" s="14">
        <v>2231.7600000000002</v>
      </c>
      <c r="G28" s="14">
        <v>2231.7600000000002</v>
      </c>
      <c r="H28" s="14"/>
      <c r="I28" s="48">
        <f t="shared" si="20"/>
        <v>0.12484742026974865</v>
      </c>
      <c r="J28" s="48">
        <f t="shared" si="21"/>
        <v>0</v>
      </c>
      <c r="K28" s="48">
        <f t="shared" si="22"/>
        <v>0</v>
      </c>
      <c r="L28" s="48">
        <f t="shared" si="23"/>
        <v>1.8191642454925345</v>
      </c>
      <c r="M28" s="48">
        <f t="shared" si="24"/>
        <v>2.0800079606621202</v>
      </c>
      <c r="N28" s="48">
        <f t="shared" si="25"/>
        <v>0</v>
      </c>
      <c r="O28" s="48">
        <f t="shared" si="26"/>
        <v>0</v>
      </c>
      <c r="P28" s="48">
        <f t="shared" si="27"/>
        <v>3.8991722061546548</v>
      </c>
      <c r="Q28" s="48">
        <f t="shared" si="28"/>
        <v>0</v>
      </c>
      <c r="R28" s="48">
        <f t="shared" si="6"/>
        <v>0</v>
      </c>
      <c r="S28" s="48">
        <f t="shared" si="7"/>
        <v>0</v>
      </c>
      <c r="T28" s="48">
        <f t="shared" si="8"/>
        <v>0</v>
      </c>
      <c r="U28" s="48">
        <f t="shared" si="9"/>
        <v>0</v>
      </c>
      <c r="V28" s="48">
        <f t="shared" si="10"/>
        <v>0</v>
      </c>
      <c r="W28" s="48">
        <f t="shared" si="11"/>
        <v>0</v>
      </c>
      <c r="X28" s="48">
        <f t="shared" si="29"/>
        <v>0</v>
      </c>
      <c r="Y28" s="48">
        <f t="shared" si="30"/>
        <v>0.24310642668841884</v>
      </c>
      <c r="Z28" s="48">
        <f t="shared" si="12"/>
        <v>0</v>
      </c>
      <c r="AA28" s="48">
        <f t="shared" si="13"/>
        <v>0</v>
      </c>
      <c r="AB28" s="48">
        <f t="shared" si="14"/>
        <v>0</v>
      </c>
      <c r="AC28" s="48">
        <f t="shared" si="15"/>
        <v>0.64829629629629637</v>
      </c>
      <c r="AD28" s="48">
        <f t="shared" si="16"/>
        <v>0</v>
      </c>
      <c r="AE28" s="48">
        <f t="shared" si="17"/>
        <v>0</v>
      </c>
      <c r="AF28" s="48">
        <f t="shared" si="18"/>
        <v>0</v>
      </c>
      <c r="AG28" s="48">
        <f t="shared" si="19"/>
        <v>8.1037037037037046E-2</v>
      </c>
      <c r="AH28" s="48">
        <f t="shared" si="31"/>
        <v>0.97243976002175225</v>
      </c>
      <c r="AI28" s="138">
        <f t="shared" si="32"/>
        <v>0.97243976002175225</v>
      </c>
    </row>
    <row r="29" spans="1:54" x14ac:dyDescent="0.25">
      <c r="B29" s="1" t="s">
        <v>80</v>
      </c>
      <c r="C29" s="2" t="s">
        <v>70</v>
      </c>
      <c r="D29" s="2" t="s">
        <v>70</v>
      </c>
      <c r="E29" s="3"/>
      <c r="F29" s="14">
        <v>1412.8</v>
      </c>
      <c r="G29" s="14">
        <v>1412.8</v>
      </c>
      <c r="H29" s="14"/>
      <c r="I29" s="48">
        <f t="shared" si="20"/>
        <v>7.9033782914426684E-2</v>
      </c>
      <c r="J29" s="48">
        <f t="shared" si="21"/>
        <v>0</v>
      </c>
      <c r="K29" s="48">
        <f t="shared" si="22"/>
        <v>0</v>
      </c>
      <c r="L29" s="48">
        <f t="shared" si="23"/>
        <v>1.1516091542244027</v>
      </c>
      <c r="M29" s="48">
        <f t="shared" si="24"/>
        <v>1.3167344368675142</v>
      </c>
      <c r="N29" s="48">
        <f t="shared" si="25"/>
        <v>0</v>
      </c>
      <c r="O29" s="48">
        <f t="shared" si="26"/>
        <v>0</v>
      </c>
      <c r="P29" s="48">
        <f t="shared" si="27"/>
        <v>2.4683435910919167</v>
      </c>
      <c r="Q29" s="48">
        <f t="shared" si="28"/>
        <v>0</v>
      </c>
      <c r="R29" s="48">
        <f t="shared" si="6"/>
        <v>0</v>
      </c>
      <c r="S29" s="48">
        <f t="shared" si="7"/>
        <v>0</v>
      </c>
      <c r="T29" s="48">
        <f t="shared" si="8"/>
        <v>0</v>
      </c>
      <c r="U29" s="48">
        <f t="shared" si="9"/>
        <v>0</v>
      </c>
      <c r="V29" s="48">
        <f t="shared" si="10"/>
        <v>0</v>
      </c>
      <c r="W29" s="48">
        <f t="shared" si="11"/>
        <v>0</v>
      </c>
      <c r="X29" s="48">
        <f t="shared" si="29"/>
        <v>0</v>
      </c>
      <c r="Y29" s="48">
        <f t="shared" si="30"/>
        <v>0.15389681669417773</v>
      </c>
      <c r="Z29" s="48">
        <f t="shared" si="12"/>
        <v>0</v>
      </c>
      <c r="AA29" s="48">
        <f t="shared" si="13"/>
        <v>0</v>
      </c>
      <c r="AB29" s="48">
        <f t="shared" si="14"/>
        <v>0</v>
      </c>
      <c r="AC29" s="48">
        <f t="shared" si="15"/>
        <v>0.41039941902687005</v>
      </c>
      <c r="AD29" s="48">
        <f t="shared" si="16"/>
        <v>0</v>
      </c>
      <c r="AE29" s="48">
        <f t="shared" si="17"/>
        <v>0</v>
      </c>
      <c r="AF29" s="48">
        <f t="shared" si="18"/>
        <v>0</v>
      </c>
      <c r="AG29" s="48">
        <f t="shared" si="19"/>
        <v>5.1299927378358756E-2</v>
      </c>
      <c r="AH29" s="48">
        <f t="shared" si="31"/>
        <v>0.61559616309940657</v>
      </c>
      <c r="AI29" s="138">
        <f t="shared" si="32"/>
        <v>0.61559616309940657</v>
      </c>
    </row>
    <row r="30" spans="1:54" x14ac:dyDescent="0.25">
      <c r="B30" s="4" t="s">
        <v>81</v>
      </c>
      <c r="C30" s="5" t="s">
        <v>84</v>
      </c>
      <c r="D30" s="5" t="s">
        <v>84</v>
      </c>
      <c r="E30" s="6"/>
      <c r="F30" s="34"/>
      <c r="G30" s="22"/>
      <c r="H30" s="111"/>
      <c r="I30" s="48">
        <f t="shared" si="20"/>
        <v>0</v>
      </c>
      <c r="J30" s="48">
        <f t="shared" si="21"/>
        <v>0</v>
      </c>
      <c r="K30" s="48">
        <f t="shared" si="22"/>
        <v>0</v>
      </c>
      <c r="L30" s="48">
        <f t="shared" si="23"/>
        <v>0</v>
      </c>
      <c r="M30" s="48">
        <f t="shared" si="24"/>
        <v>0</v>
      </c>
      <c r="N30" s="48">
        <f t="shared" si="25"/>
        <v>0</v>
      </c>
      <c r="O30" s="48">
        <f t="shared" si="26"/>
        <v>0</v>
      </c>
      <c r="P30" s="48">
        <f t="shared" si="27"/>
        <v>0</v>
      </c>
      <c r="Q30" s="48">
        <f t="shared" si="28"/>
        <v>0</v>
      </c>
      <c r="R30" s="48">
        <f t="shared" si="6"/>
        <v>0</v>
      </c>
      <c r="S30" s="48">
        <f t="shared" si="7"/>
        <v>0</v>
      </c>
      <c r="T30" s="48">
        <f t="shared" si="8"/>
        <v>0</v>
      </c>
      <c r="U30" s="48">
        <f t="shared" si="9"/>
        <v>0</v>
      </c>
      <c r="V30" s="48">
        <f t="shared" si="10"/>
        <v>0</v>
      </c>
      <c r="W30" s="48">
        <f t="shared" si="11"/>
        <v>0</v>
      </c>
      <c r="X30" s="48">
        <f t="shared" si="29"/>
        <v>0</v>
      </c>
      <c r="Y30" s="48">
        <f t="shared" si="30"/>
        <v>0</v>
      </c>
      <c r="Z30" s="48">
        <f t="shared" si="12"/>
        <v>0</v>
      </c>
      <c r="AA30" s="48">
        <f t="shared" si="13"/>
        <v>0</v>
      </c>
      <c r="AB30" s="48">
        <f t="shared" si="14"/>
        <v>0</v>
      </c>
      <c r="AC30" s="48">
        <f t="shared" si="15"/>
        <v>0</v>
      </c>
      <c r="AD30" s="48">
        <f t="shared" si="16"/>
        <v>0</v>
      </c>
      <c r="AE30" s="48">
        <f t="shared" si="17"/>
        <v>0</v>
      </c>
      <c r="AF30" s="48">
        <f t="shared" si="18"/>
        <v>0</v>
      </c>
      <c r="AG30" s="48">
        <f t="shared" si="19"/>
        <v>0</v>
      </c>
      <c r="AH30" s="48">
        <f t="shared" si="31"/>
        <v>0</v>
      </c>
      <c r="AI30" s="138">
        <f t="shared" si="32"/>
        <v>0</v>
      </c>
    </row>
    <row r="31" spans="1:54" x14ac:dyDescent="0.25">
      <c r="B31" s="15" t="s">
        <v>19</v>
      </c>
      <c r="C31" s="16" t="s">
        <v>72</v>
      </c>
      <c r="D31" s="16" t="s">
        <v>72</v>
      </c>
      <c r="E31" s="10"/>
      <c r="F31" s="21">
        <v>10586.7</v>
      </c>
      <c r="G31" s="21">
        <v>10586.7</v>
      </c>
      <c r="H31" s="21"/>
      <c r="I31" s="48">
        <f t="shared" si="20"/>
        <v>0.74389729752519085</v>
      </c>
      <c r="J31" s="48">
        <f t="shared" si="21"/>
        <v>0</v>
      </c>
      <c r="K31" s="48">
        <f t="shared" si="22"/>
        <v>0</v>
      </c>
      <c r="L31" s="48">
        <f t="shared" si="23"/>
        <v>8.6854472869851183</v>
      </c>
      <c r="M31" s="48">
        <f t="shared" si="24"/>
        <v>0</v>
      </c>
      <c r="N31" s="48">
        <f t="shared" si="25"/>
        <v>2.5626220443526289</v>
      </c>
      <c r="O31" s="48">
        <f t="shared" si="26"/>
        <v>0</v>
      </c>
      <c r="P31" s="48">
        <f t="shared" si="27"/>
        <v>11.248069331337748</v>
      </c>
      <c r="Q31" s="48">
        <f t="shared" si="28"/>
        <v>0</v>
      </c>
      <c r="R31" s="48">
        <f t="shared" si="6"/>
        <v>0</v>
      </c>
      <c r="S31" s="48">
        <f t="shared" si="7"/>
        <v>0</v>
      </c>
      <c r="T31" s="48">
        <f t="shared" si="8"/>
        <v>0</v>
      </c>
      <c r="U31" s="48">
        <f t="shared" si="9"/>
        <v>0</v>
      </c>
      <c r="V31" s="48">
        <f t="shared" si="10"/>
        <v>0</v>
      </c>
      <c r="W31" s="48">
        <f t="shared" si="11"/>
        <v>0</v>
      </c>
      <c r="X31" s="48">
        <f t="shared" si="29"/>
        <v>0</v>
      </c>
      <c r="Y31" s="48">
        <f t="shared" si="30"/>
        <v>0</v>
      </c>
      <c r="Z31" s="48">
        <f t="shared" si="12"/>
        <v>0</v>
      </c>
      <c r="AA31" s="48">
        <f t="shared" si="13"/>
        <v>0</v>
      </c>
      <c r="AB31" s="48">
        <f t="shared" si="14"/>
        <v>0</v>
      </c>
      <c r="AC31" s="48">
        <f t="shared" si="15"/>
        <v>0</v>
      </c>
      <c r="AD31" s="48">
        <f t="shared" si="16"/>
        <v>3.0752941176470592</v>
      </c>
      <c r="AE31" s="48">
        <f t="shared" si="17"/>
        <v>0</v>
      </c>
      <c r="AF31" s="48">
        <f t="shared" si="18"/>
        <v>0</v>
      </c>
      <c r="AG31" s="48">
        <f t="shared" si="19"/>
        <v>0</v>
      </c>
      <c r="AH31" s="48">
        <f t="shared" si="31"/>
        <v>3.0752941176470592</v>
      </c>
      <c r="AI31" s="138">
        <f t="shared" si="32"/>
        <v>3.0752941176470592</v>
      </c>
    </row>
    <row r="32" spans="1:54" x14ac:dyDescent="0.25">
      <c r="B32" s="1" t="s">
        <v>20</v>
      </c>
      <c r="C32" s="2" t="s">
        <v>24</v>
      </c>
      <c r="D32" s="2" t="s">
        <v>24</v>
      </c>
      <c r="E32" s="3" t="s">
        <v>26</v>
      </c>
      <c r="F32" s="14">
        <v>2231.7600000000002</v>
      </c>
      <c r="G32" s="14">
        <v>2231.7600000000002</v>
      </c>
      <c r="H32" s="14">
        <v>500</v>
      </c>
      <c r="I32" s="48">
        <f t="shared" si="20"/>
        <v>0.61235375463704811</v>
      </c>
      <c r="J32" s="48">
        <f t="shared" si="21"/>
        <v>0</v>
      </c>
      <c r="K32" s="48">
        <f t="shared" si="22"/>
        <v>0.55555555555555558</v>
      </c>
      <c r="L32" s="48">
        <f t="shared" si="23"/>
        <v>1.7091466881050115</v>
      </c>
      <c r="M32" s="48">
        <f t="shared" si="24"/>
        <v>0.61602175362732403</v>
      </c>
      <c r="N32" s="48">
        <f t="shared" si="25"/>
        <v>0</v>
      </c>
      <c r="O32" s="48">
        <f t="shared" si="26"/>
        <v>5.726111111111111E-2</v>
      </c>
      <c r="P32" s="48">
        <f t="shared" si="27"/>
        <v>2.3824295528434467</v>
      </c>
      <c r="Q32" s="48">
        <f t="shared" si="28"/>
        <v>6.0518034374243523E-2</v>
      </c>
      <c r="R32" s="48">
        <f t="shared" si="6"/>
        <v>0</v>
      </c>
      <c r="S32" s="48">
        <f t="shared" si="7"/>
        <v>0</v>
      </c>
      <c r="T32" s="48">
        <f t="shared" si="8"/>
        <v>6.6569837811667892E-2</v>
      </c>
      <c r="U32" s="48">
        <f t="shared" si="9"/>
        <v>0</v>
      </c>
      <c r="V32" s="48">
        <f t="shared" si="10"/>
        <v>0</v>
      </c>
      <c r="W32" s="48">
        <f t="shared" si="11"/>
        <v>0</v>
      </c>
      <c r="X32" s="48">
        <f t="shared" si="29"/>
        <v>0.12708787218591142</v>
      </c>
      <c r="Y32" s="48">
        <f t="shared" si="30"/>
        <v>0</v>
      </c>
      <c r="Z32" s="48">
        <f t="shared" si="12"/>
        <v>0</v>
      </c>
      <c r="AA32" s="48">
        <f t="shared" si="13"/>
        <v>0</v>
      </c>
      <c r="AB32" s="48">
        <f t="shared" si="14"/>
        <v>0</v>
      </c>
      <c r="AC32" s="48">
        <f t="shared" si="15"/>
        <v>0.64829629629629637</v>
      </c>
      <c r="AD32" s="48">
        <f t="shared" si="16"/>
        <v>0</v>
      </c>
      <c r="AE32" s="48">
        <f t="shared" si="17"/>
        <v>0</v>
      </c>
      <c r="AF32" s="48">
        <f t="shared" si="18"/>
        <v>0</v>
      </c>
      <c r="AG32" s="48">
        <f t="shared" si="19"/>
        <v>0</v>
      </c>
      <c r="AH32" s="48">
        <f t="shared" si="31"/>
        <v>0.64829629629629637</v>
      </c>
      <c r="AI32" s="138">
        <f t="shared" si="32"/>
        <v>0.77538416848220781</v>
      </c>
    </row>
    <row r="33" spans="2:52" x14ac:dyDescent="0.25">
      <c r="B33" s="1" t="s">
        <v>21</v>
      </c>
      <c r="C33" s="2" t="s">
        <v>72</v>
      </c>
      <c r="D33" s="2" t="s">
        <v>72</v>
      </c>
      <c r="E33" s="3" t="s">
        <v>26</v>
      </c>
      <c r="F33" s="14">
        <v>1412.9</v>
      </c>
      <c r="G33" s="14">
        <v>1412.9</v>
      </c>
      <c r="H33" s="14">
        <v>400</v>
      </c>
      <c r="I33" s="48">
        <f t="shared" si="20"/>
        <v>9.9280464325365053E-2</v>
      </c>
      <c r="J33" s="48">
        <f t="shared" si="21"/>
        <v>0</v>
      </c>
      <c r="K33" s="48">
        <f t="shared" si="22"/>
        <v>0.44444444444444442</v>
      </c>
      <c r="L33" s="48">
        <f t="shared" si="23"/>
        <v>1.159158989277232</v>
      </c>
      <c r="M33" s="48">
        <f t="shared" si="24"/>
        <v>0</v>
      </c>
      <c r="N33" s="48">
        <f t="shared" si="25"/>
        <v>0.34200730033587706</v>
      </c>
      <c r="O33" s="48">
        <f t="shared" si="26"/>
        <v>4.5808888888888885E-2</v>
      </c>
      <c r="P33" s="48">
        <f t="shared" si="27"/>
        <v>1.5469751785019978</v>
      </c>
      <c r="Q33" s="48">
        <f t="shared" si="28"/>
        <v>4.841442749939482E-2</v>
      </c>
      <c r="R33" s="48">
        <f t="shared" si="6"/>
        <v>0</v>
      </c>
      <c r="S33" s="48">
        <f t="shared" si="7"/>
        <v>0</v>
      </c>
      <c r="T33" s="48">
        <f t="shared" si="8"/>
        <v>5.32558702493343E-2</v>
      </c>
      <c r="U33" s="48">
        <f t="shared" si="9"/>
        <v>0</v>
      </c>
      <c r="V33" s="48">
        <f t="shared" si="10"/>
        <v>0</v>
      </c>
      <c r="W33" s="48">
        <f t="shared" si="11"/>
        <v>0</v>
      </c>
      <c r="X33" s="48">
        <f t="shared" si="29"/>
        <v>0.10167029774872913</v>
      </c>
      <c r="Y33" s="48">
        <f t="shared" si="30"/>
        <v>0</v>
      </c>
      <c r="Z33" s="48">
        <f t="shared" si="12"/>
        <v>0</v>
      </c>
      <c r="AA33" s="48">
        <f t="shared" si="13"/>
        <v>0</v>
      </c>
      <c r="AB33" s="48">
        <f t="shared" si="14"/>
        <v>0</v>
      </c>
      <c r="AC33" s="48">
        <f t="shared" si="15"/>
        <v>0</v>
      </c>
      <c r="AD33" s="48">
        <f t="shared" si="16"/>
        <v>0.41042846768336971</v>
      </c>
      <c r="AE33" s="48">
        <f t="shared" si="17"/>
        <v>0</v>
      </c>
      <c r="AF33" s="48">
        <f t="shared" si="18"/>
        <v>0</v>
      </c>
      <c r="AG33" s="48">
        <f t="shared" si="19"/>
        <v>0</v>
      </c>
      <c r="AH33" s="48">
        <f t="shared" si="31"/>
        <v>0.41042846768336971</v>
      </c>
      <c r="AI33" s="138">
        <f t="shared" si="32"/>
        <v>0.51209876543209887</v>
      </c>
    </row>
    <row r="34" spans="2:52" x14ac:dyDescent="0.25">
      <c r="B34" s="1" t="s">
        <v>22</v>
      </c>
      <c r="C34" s="2" t="s">
        <v>72</v>
      </c>
      <c r="D34" s="2" t="s">
        <v>72</v>
      </c>
      <c r="E34" s="3"/>
      <c r="F34" s="14">
        <v>2231.7600000000002</v>
      </c>
      <c r="G34" s="14">
        <v>2231.7600000000002</v>
      </c>
      <c r="H34" s="14"/>
      <c r="I34" s="48">
        <f t="shared" si="20"/>
        <v>0.15681942746321517</v>
      </c>
      <c r="J34" s="48">
        <f t="shared" si="21"/>
        <v>0</v>
      </c>
      <c r="K34" s="48">
        <f t="shared" si="22"/>
        <v>0</v>
      </c>
      <c r="L34" s="48">
        <f t="shared" si="23"/>
        <v>1.830960907289515</v>
      </c>
      <c r="M34" s="48">
        <f t="shared" si="24"/>
        <v>0</v>
      </c>
      <c r="N34" s="48">
        <f t="shared" si="25"/>
        <v>0.54022097289093141</v>
      </c>
      <c r="O34" s="48">
        <f t="shared" si="26"/>
        <v>0</v>
      </c>
      <c r="P34" s="48">
        <f t="shared" si="27"/>
        <v>2.3711818801804463</v>
      </c>
      <c r="Q34" s="48">
        <f t="shared" si="28"/>
        <v>0</v>
      </c>
      <c r="R34" s="48">
        <f t="shared" si="6"/>
        <v>0</v>
      </c>
      <c r="S34" s="48">
        <f t="shared" si="7"/>
        <v>0</v>
      </c>
      <c r="T34" s="48">
        <f t="shared" si="8"/>
        <v>0</v>
      </c>
      <c r="U34" s="48">
        <f t="shared" si="9"/>
        <v>0</v>
      </c>
      <c r="V34" s="48">
        <f t="shared" si="10"/>
        <v>0</v>
      </c>
      <c r="W34" s="48">
        <f t="shared" si="11"/>
        <v>0</v>
      </c>
      <c r="X34" s="48">
        <f t="shared" si="29"/>
        <v>0</v>
      </c>
      <c r="Y34" s="48">
        <f t="shared" si="30"/>
        <v>0</v>
      </c>
      <c r="Z34" s="48">
        <f t="shared" si="12"/>
        <v>0</v>
      </c>
      <c r="AA34" s="48">
        <f t="shared" si="13"/>
        <v>0</v>
      </c>
      <c r="AB34" s="48">
        <f t="shared" si="14"/>
        <v>0</v>
      </c>
      <c r="AC34" s="48">
        <f t="shared" si="15"/>
        <v>0</v>
      </c>
      <c r="AD34" s="48">
        <f t="shared" si="16"/>
        <v>0.64829629629629637</v>
      </c>
      <c r="AE34" s="48">
        <f t="shared" si="17"/>
        <v>0</v>
      </c>
      <c r="AF34" s="48">
        <f t="shared" si="18"/>
        <v>0</v>
      </c>
      <c r="AG34" s="48">
        <f t="shared" si="19"/>
        <v>0</v>
      </c>
      <c r="AH34" s="48">
        <f t="shared" si="31"/>
        <v>0.64829629629629637</v>
      </c>
      <c r="AI34" s="138">
        <f t="shared" si="32"/>
        <v>0.64829629629629637</v>
      </c>
    </row>
    <row r="35" spans="2:52" x14ac:dyDescent="0.25">
      <c r="B35" s="1" t="s">
        <v>23</v>
      </c>
      <c r="C35" s="2" t="s">
        <v>24</v>
      </c>
      <c r="D35" s="2" t="s">
        <v>24</v>
      </c>
      <c r="E35" s="3"/>
      <c r="F35" s="14">
        <v>1412.8</v>
      </c>
      <c r="G35" s="14">
        <v>1412.8</v>
      </c>
      <c r="H35" s="14"/>
      <c r="I35" s="48">
        <f t="shared" si="20"/>
        <v>0.38764624536295189</v>
      </c>
      <c r="J35" s="48">
        <f t="shared" si="21"/>
        <v>0</v>
      </c>
      <c r="K35" s="48">
        <f t="shared" si="22"/>
        <v>0</v>
      </c>
      <c r="L35" s="48">
        <f t="shared" si="23"/>
        <v>1.0819633118949887</v>
      </c>
      <c r="M35" s="48">
        <f t="shared" si="24"/>
        <v>0.38996824637267596</v>
      </c>
      <c r="N35" s="48">
        <f t="shared" si="25"/>
        <v>0</v>
      </c>
      <c r="O35" s="48">
        <f t="shared" si="26"/>
        <v>0</v>
      </c>
      <c r="P35" s="48">
        <f t="shared" si="27"/>
        <v>1.4719315582676646</v>
      </c>
      <c r="Q35" s="48">
        <f t="shared" si="28"/>
        <v>0</v>
      </c>
      <c r="R35" s="48">
        <f t="shared" si="6"/>
        <v>0</v>
      </c>
      <c r="S35" s="48">
        <f t="shared" si="7"/>
        <v>0</v>
      </c>
      <c r="T35" s="48">
        <f t="shared" si="8"/>
        <v>0</v>
      </c>
      <c r="U35" s="48">
        <f t="shared" si="9"/>
        <v>0</v>
      </c>
      <c r="V35" s="48">
        <f t="shared" si="10"/>
        <v>0</v>
      </c>
      <c r="W35" s="48">
        <f t="shared" si="11"/>
        <v>0</v>
      </c>
      <c r="X35" s="48">
        <f t="shared" si="29"/>
        <v>0</v>
      </c>
      <c r="Y35" s="48">
        <f t="shared" si="30"/>
        <v>0</v>
      </c>
      <c r="Z35" s="48">
        <f t="shared" si="12"/>
        <v>0</v>
      </c>
      <c r="AA35" s="48">
        <f t="shared" si="13"/>
        <v>0</v>
      </c>
      <c r="AB35" s="48">
        <f t="shared" si="14"/>
        <v>0</v>
      </c>
      <c r="AC35" s="48">
        <f t="shared" si="15"/>
        <v>0.41039941902686999</v>
      </c>
      <c r="AD35" s="48">
        <f t="shared" si="16"/>
        <v>0</v>
      </c>
      <c r="AE35" s="48">
        <f t="shared" si="17"/>
        <v>0</v>
      </c>
      <c r="AF35" s="48">
        <f t="shared" si="18"/>
        <v>0</v>
      </c>
      <c r="AG35" s="48">
        <f t="shared" si="19"/>
        <v>0</v>
      </c>
      <c r="AH35" s="48">
        <f t="shared" si="31"/>
        <v>0.41039941902686999</v>
      </c>
      <c r="AI35" s="138">
        <f t="shared" si="32"/>
        <v>0.41039941902686999</v>
      </c>
    </row>
    <row r="36" spans="2:52" x14ac:dyDescent="0.25">
      <c r="B36" s="4" t="s">
        <v>82</v>
      </c>
      <c r="C36" s="5" t="s">
        <v>84</v>
      </c>
      <c r="D36" s="5" t="s">
        <v>84</v>
      </c>
      <c r="E36" s="6"/>
      <c r="F36" s="34"/>
      <c r="G36" s="22"/>
      <c r="H36" s="111"/>
      <c r="I36" s="48">
        <f t="shared" si="20"/>
        <v>0</v>
      </c>
      <c r="J36" s="48">
        <f t="shared" si="21"/>
        <v>0</v>
      </c>
      <c r="K36" s="48">
        <f t="shared" si="22"/>
        <v>0</v>
      </c>
      <c r="L36" s="48">
        <f t="shared" si="23"/>
        <v>0</v>
      </c>
      <c r="M36" s="48">
        <f t="shared" si="24"/>
        <v>0</v>
      </c>
      <c r="N36" s="48">
        <f t="shared" si="25"/>
        <v>0</v>
      </c>
      <c r="O36" s="48">
        <f t="shared" si="26"/>
        <v>0</v>
      </c>
      <c r="P36" s="48">
        <f t="shared" si="27"/>
        <v>0</v>
      </c>
      <c r="Q36" s="48">
        <f t="shared" si="28"/>
        <v>0</v>
      </c>
      <c r="R36" s="48">
        <f t="shared" si="6"/>
        <v>0</v>
      </c>
      <c r="S36" s="48">
        <f t="shared" si="7"/>
        <v>0</v>
      </c>
      <c r="T36" s="48">
        <f t="shared" si="8"/>
        <v>0</v>
      </c>
      <c r="U36" s="48">
        <f t="shared" si="9"/>
        <v>0</v>
      </c>
      <c r="V36" s="48">
        <f t="shared" si="10"/>
        <v>0</v>
      </c>
      <c r="W36" s="48">
        <f t="shared" si="11"/>
        <v>0</v>
      </c>
      <c r="X36" s="48">
        <f t="shared" si="29"/>
        <v>0</v>
      </c>
      <c r="Y36" s="48">
        <f t="shared" si="30"/>
        <v>0</v>
      </c>
      <c r="Z36" s="48">
        <f t="shared" si="12"/>
        <v>0</v>
      </c>
      <c r="AA36" s="48">
        <f t="shared" si="13"/>
        <v>0</v>
      </c>
      <c r="AB36" s="48">
        <f t="shared" si="14"/>
        <v>0</v>
      </c>
      <c r="AC36" s="48">
        <f t="shared" si="15"/>
        <v>0</v>
      </c>
      <c r="AD36" s="48">
        <f t="shared" si="16"/>
        <v>0</v>
      </c>
      <c r="AE36" s="48">
        <f t="shared" si="17"/>
        <v>0</v>
      </c>
      <c r="AF36" s="48">
        <f t="shared" si="18"/>
        <v>0</v>
      </c>
      <c r="AG36" s="48">
        <f t="shared" si="19"/>
        <v>0</v>
      </c>
      <c r="AH36" s="48">
        <f t="shared" si="31"/>
        <v>0</v>
      </c>
      <c r="AI36" s="138">
        <f t="shared" si="32"/>
        <v>0</v>
      </c>
    </row>
    <row r="37" spans="2:52" x14ac:dyDescent="0.25">
      <c r="B37" s="15" t="s">
        <v>7</v>
      </c>
      <c r="C37" s="16" t="s">
        <v>12</v>
      </c>
      <c r="D37" s="16" t="s">
        <v>17</v>
      </c>
      <c r="E37" s="10"/>
      <c r="F37" s="21">
        <v>3000</v>
      </c>
      <c r="G37" s="21">
        <v>1165</v>
      </c>
      <c r="H37" s="21"/>
      <c r="I37" s="48">
        <f t="shared" si="20"/>
        <v>1</v>
      </c>
      <c r="J37" s="48">
        <f t="shared" si="21"/>
        <v>0.74440894568690097</v>
      </c>
      <c r="K37" s="48">
        <f t="shared" si="22"/>
        <v>0</v>
      </c>
      <c r="L37" s="48">
        <f t="shared" si="23"/>
        <v>1.2495000000000001</v>
      </c>
      <c r="M37" s="48">
        <f t="shared" si="24"/>
        <v>0</v>
      </c>
      <c r="N37" s="48">
        <f t="shared" si="25"/>
        <v>0</v>
      </c>
      <c r="O37" s="48">
        <f t="shared" si="26"/>
        <v>0</v>
      </c>
      <c r="P37" s="48">
        <f t="shared" si="27"/>
        <v>1.2495000000000001</v>
      </c>
      <c r="Q37" s="48">
        <f t="shared" si="28"/>
        <v>0</v>
      </c>
      <c r="R37" s="48">
        <f t="shared" si="6"/>
        <v>0</v>
      </c>
      <c r="S37" s="48">
        <f t="shared" si="7"/>
        <v>0</v>
      </c>
      <c r="T37" s="48">
        <f t="shared" si="8"/>
        <v>0</v>
      </c>
      <c r="U37" s="48">
        <f t="shared" si="9"/>
        <v>0</v>
      </c>
      <c r="V37" s="48">
        <f t="shared" si="10"/>
        <v>0</v>
      </c>
      <c r="W37" s="48">
        <f t="shared" si="11"/>
        <v>0</v>
      </c>
      <c r="X37" s="48">
        <f t="shared" si="29"/>
        <v>0</v>
      </c>
      <c r="Y37" s="48">
        <f t="shared" si="30"/>
        <v>0</v>
      </c>
      <c r="Z37" s="48">
        <f t="shared" si="12"/>
        <v>0</v>
      </c>
      <c r="AA37" s="48">
        <f t="shared" si="13"/>
        <v>0</v>
      </c>
      <c r="AB37" s="48">
        <f t="shared" si="14"/>
        <v>0</v>
      </c>
      <c r="AC37" s="48">
        <f t="shared" si="15"/>
        <v>0</v>
      </c>
      <c r="AD37" s="48">
        <f t="shared" si="16"/>
        <v>0</v>
      </c>
      <c r="AE37" s="48">
        <f t="shared" si="17"/>
        <v>0</v>
      </c>
      <c r="AF37" s="48">
        <f t="shared" si="18"/>
        <v>0</v>
      </c>
      <c r="AG37" s="48">
        <f t="shared" si="19"/>
        <v>0</v>
      </c>
      <c r="AH37" s="48">
        <f t="shared" si="31"/>
        <v>0</v>
      </c>
      <c r="AI37" s="138">
        <f t="shared" si="32"/>
        <v>0</v>
      </c>
    </row>
    <row r="38" spans="2:52" x14ac:dyDescent="0.25">
      <c r="B38" s="1" t="s">
        <v>8</v>
      </c>
      <c r="C38" s="2" t="s">
        <v>13</v>
      </c>
      <c r="D38" s="2" t="s">
        <v>13</v>
      </c>
      <c r="E38" s="3" t="s">
        <v>18</v>
      </c>
      <c r="F38" s="14">
        <v>2000</v>
      </c>
      <c r="G38" s="14">
        <v>2000</v>
      </c>
      <c r="H38" s="14">
        <v>245</v>
      </c>
      <c r="I38" s="48">
        <f t="shared" si="20"/>
        <v>1</v>
      </c>
      <c r="J38" s="48">
        <f t="shared" si="21"/>
        <v>0</v>
      </c>
      <c r="K38" s="48">
        <f t="shared" si="22"/>
        <v>0.61250000000000004</v>
      </c>
      <c r="L38" s="48">
        <f t="shared" si="23"/>
        <v>0.6</v>
      </c>
      <c r="M38" s="48">
        <f t="shared" si="24"/>
        <v>0</v>
      </c>
      <c r="N38" s="48">
        <f t="shared" si="25"/>
        <v>0</v>
      </c>
      <c r="O38" s="48">
        <f t="shared" si="26"/>
        <v>2.8058012500000003E-2</v>
      </c>
      <c r="P38" s="48">
        <f t="shared" si="27"/>
        <v>0.62805801249999993</v>
      </c>
      <c r="Q38" s="48">
        <f t="shared" si="28"/>
        <v>0</v>
      </c>
      <c r="R38" s="48">
        <f t="shared" si="6"/>
        <v>0</v>
      </c>
      <c r="S38" s="48">
        <f t="shared" si="7"/>
        <v>0</v>
      </c>
      <c r="T38" s="48">
        <f t="shared" si="8"/>
        <v>0</v>
      </c>
      <c r="U38" s="48">
        <f t="shared" si="9"/>
        <v>0</v>
      </c>
      <c r="V38" s="48">
        <f t="shared" si="10"/>
        <v>0</v>
      </c>
      <c r="W38" s="48">
        <f t="shared" si="11"/>
        <v>0</v>
      </c>
      <c r="X38" s="48">
        <f t="shared" si="29"/>
        <v>0</v>
      </c>
      <c r="Y38" s="48">
        <f t="shared" si="30"/>
        <v>0</v>
      </c>
      <c r="Z38" s="48">
        <f t="shared" si="12"/>
        <v>0</v>
      </c>
      <c r="AA38" s="48">
        <f t="shared" si="13"/>
        <v>0.24207213749697409</v>
      </c>
      <c r="AB38" s="48">
        <f t="shared" si="14"/>
        <v>0</v>
      </c>
      <c r="AC38" s="48">
        <f t="shared" si="15"/>
        <v>0</v>
      </c>
      <c r="AD38" s="48">
        <f t="shared" si="16"/>
        <v>0</v>
      </c>
      <c r="AE38" s="48">
        <f t="shared" si="17"/>
        <v>0</v>
      </c>
      <c r="AF38" s="48">
        <f t="shared" si="18"/>
        <v>0</v>
      </c>
      <c r="AG38" s="48">
        <f t="shared" si="19"/>
        <v>0</v>
      </c>
      <c r="AH38" s="48">
        <f t="shared" si="31"/>
        <v>0.24207213749697409</v>
      </c>
      <c r="AI38" s="138">
        <f t="shared" si="32"/>
        <v>0.24207213749697409</v>
      </c>
    </row>
    <row r="39" spans="2:52" x14ac:dyDescent="0.25">
      <c r="B39" s="1" t="s">
        <v>9</v>
      </c>
      <c r="C39" s="2" t="s">
        <v>14</v>
      </c>
      <c r="D39" s="2" t="s">
        <v>14</v>
      </c>
      <c r="E39" s="3" t="s">
        <v>18</v>
      </c>
      <c r="F39" s="14">
        <v>2000</v>
      </c>
      <c r="G39" s="14">
        <v>2000</v>
      </c>
      <c r="H39" s="14">
        <v>155</v>
      </c>
      <c r="I39" s="48">
        <f t="shared" si="20"/>
        <v>1</v>
      </c>
      <c r="J39" s="48">
        <f t="shared" si="21"/>
        <v>0</v>
      </c>
      <c r="K39" s="48">
        <f t="shared" si="22"/>
        <v>0.38750000000000001</v>
      </c>
      <c r="L39" s="48">
        <f t="shared" si="23"/>
        <v>0.6</v>
      </c>
      <c r="M39" s="48">
        <f t="shared" si="24"/>
        <v>0</v>
      </c>
      <c r="N39" s="48">
        <f t="shared" si="25"/>
        <v>0</v>
      </c>
      <c r="O39" s="48">
        <f t="shared" si="26"/>
        <v>1.7750987500000003E-2</v>
      </c>
      <c r="P39" s="48">
        <f t="shared" si="27"/>
        <v>0.61775098750000002</v>
      </c>
      <c r="Q39" s="48">
        <f t="shared" si="28"/>
        <v>0</v>
      </c>
      <c r="R39" s="48">
        <f t="shared" si="6"/>
        <v>0</v>
      </c>
      <c r="S39" s="48">
        <f t="shared" si="7"/>
        <v>0</v>
      </c>
      <c r="T39" s="48">
        <f t="shared" si="8"/>
        <v>0</v>
      </c>
      <c r="U39" s="48">
        <f t="shared" si="9"/>
        <v>0</v>
      </c>
      <c r="V39" s="48">
        <f t="shared" si="10"/>
        <v>0</v>
      </c>
      <c r="W39" s="48">
        <f t="shared" si="11"/>
        <v>0</v>
      </c>
      <c r="X39" s="48">
        <f t="shared" si="29"/>
        <v>0</v>
      </c>
      <c r="Y39" s="48">
        <f t="shared" si="30"/>
        <v>0</v>
      </c>
      <c r="Z39" s="48">
        <f t="shared" si="12"/>
        <v>0</v>
      </c>
      <c r="AA39" s="48">
        <f t="shared" si="13"/>
        <v>0</v>
      </c>
      <c r="AB39" s="48">
        <f t="shared" si="14"/>
        <v>0</v>
      </c>
      <c r="AC39" s="48">
        <f t="shared" si="15"/>
        <v>0</v>
      </c>
      <c r="AD39" s="48">
        <f t="shared" si="16"/>
        <v>0</v>
      </c>
      <c r="AE39" s="48">
        <f t="shared" si="17"/>
        <v>0</v>
      </c>
      <c r="AF39" s="48">
        <f t="shared" si="18"/>
        <v>0</v>
      </c>
      <c r="AG39" s="48">
        <f t="shared" si="19"/>
        <v>0</v>
      </c>
      <c r="AH39" s="48">
        <f t="shared" si="31"/>
        <v>0</v>
      </c>
      <c r="AI39" s="138">
        <f t="shared" si="32"/>
        <v>0</v>
      </c>
    </row>
    <row r="40" spans="2:52" x14ac:dyDescent="0.25">
      <c r="B40" s="1" t="s">
        <v>10</v>
      </c>
      <c r="C40" s="2" t="s">
        <v>15</v>
      </c>
      <c r="D40" s="2" t="s">
        <v>17</v>
      </c>
      <c r="E40" s="3"/>
      <c r="F40" s="14">
        <v>2000</v>
      </c>
      <c r="G40" s="14">
        <v>245</v>
      </c>
      <c r="H40" s="14"/>
      <c r="I40" s="48">
        <f t="shared" si="20"/>
        <v>1</v>
      </c>
      <c r="J40" s="48">
        <f t="shared" si="21"/>
        <v>0.15654952076677317</v>
      </c>
      <c r="K40" s="48">
        <f t="shared" si="22"/>
        <v>0</v>
      </c>
      <c r="L40" s="48">
        <f t="shared" si="23"/>
        <v>0.67349999999999999</v>
      </c>
      <c r="M40" s="48">
        <f t="shared" si="24"/>
        <v>0</v>
      </c>
      <c r="N40" s="48">
        <f t="shared" si="25"/>
        <v>0</v>
      </c>
      <c r="O40" s="48">
        <f t="shared" si="26"/>
        <v>0</v>
      </c>
      <c r="P40" s="48">
        <f t="shared" si="27"/>
        <v>0.67349999999999999</v>
      </c>
      <c r="Q40" s="48">
        <f t="shared" si="28"/>
        <v>0</v>
      </c>
      <c r="R40" s="48">
        <f t="shared" si="6"/>
        <v>0</v>
      </c>
      <c r="S40" s="48">
        <f t="shared" si="7"/>
        <v>0</v>
      </c>
      <c r="T40" s="48">
        <f t="shared" si="8"/>
        <v>0</v>
      </c>
      <c r="U40" s="48">
        <f t="shared" si="9"/>
        <v>0</v>
      </c>
      <c r="V40" s="48">
        <f t="shared" si="10"/>
        <v>0</v>
      </c>
      <c r="W40" s="48">
        <f t="shared" si="11"/>
        <v>0</v>
      </c>
      <c r="X40" s="48">
        <f t="shared" si="29"/>
        <v>0</v>
      </c>
      <c r="Y40" s="48">
        <f t="shared" si="30"/>
        <v>0</v>
      </c>
      <c r="Z40" s="48">
        <f t="shared" si="12"/>
        <v>0</v>
      </c>
      <c r="AA40" s="48">
        <f t="shared" si="13"/>
        <v>0</v>
      </c>
      <c r="AB40" s="48">
        <f t="shared" si="14"/>
        <v>0</v>
      </c>
      <c r="AC40" s="48">
        <f t="shared" si="15"/>
        <v>0</v>
      </c>
      <c r="AD40" s="48">
        <f t="shared" si="16"/>
        <v>0</v>
      </c>
      <c r="AE40" s="48">
        <f t="shared" si="17"/>
        <v>0</v>
      </c>
      <c r="AF40" s="48">
        <f t="shared" si="18"/>
        <v>0</v>
      </c>
      <c r="AG40" s="48">
        <f t="shared" si="19"/>
        <v>0</v>
      </c>
      <c r="AH40" s="48">
        <f t="shared" si="31"/>
        <v>0</v>
      </c>
      <c r="AI40" s="138">
        <f t="shared" si="32"/>
        <v>0</v>
      </c>
    </row>
    <row r="41" spans="2:52" x14ac:dyDescent="0.25">
      <c r="B41" s="1" t="s">
        <v>11</v>
      </c>
      <c r="C41" s="2" t="s">
        <v>16</v>
      </c>
      <c r="D41" s="2" t="s">
        <v>17</v>
      </c>
      <c r="E41" s="3"/>
      <c r="F41" s="14">
        <v>2000</v>
      </c>
      <c r="G41" s="14">
        <v>155</v>
      </c>
      <c r="H41" s="14"/>
      <c r="I41" s="48">
        <f t="shared" si="20"/>
        <v>1</v>
      </c>
      <c r="J41" s="48">
        <f t="shared" si="21"/>
        <v>9.9041533546325874E-2</v>
      </c>
      <c r="K41" s="48">
        <f t="shared" si="22"/>
        <v>0</v>
      </c>
      <c r="L41" s="48">
        <f t="shared" si="23"/>
        <v>0.64649999999999996</v>
      </c>
      <c r="M41" s="48">
        <f t="shared" si="24"/>
        <v>0</v>
      </c>
      <c r="N41" s="48">
        <f t="shared" si="25"/>
        <v>0</v>
      </c>
      <c r="O41" s="48">
        <f t="shared" si="26"/>
        <v>0</v>
      </c>
      <c r="P41" s="48">
        <f t="shared" si="27"/>
        <v>0.64649999999999996</v>
      </c>
      <c r="Q41" s="48">
        <f t="shared" si="28"/>
        <v>0</v>
      </c>
      <c r="R41" s="48">
        <f t="shared" si="6"/>
        <v>0</v>
      </c>
      <c r="S41" s="48">
        <f t="shared" si="7"/>
        <v>0</v>
      </c>
      <c r="T41" s="48">
        <f t="shared" si="8"/>
        <v>0</v>
      </c>
      <c r="U41" s="48">
        <f t="shared" si="9"/>
        <v>0</v>
      </c>
      <c r="V41" s="48">
        <f t="shared" si="10"/>
        <v>0</v>
      </c>
      <c r="W41" s="48">
        <f t="shared" si="11"/>
        <v>0</v>
      </c>
      <c r="X41" s="48">
        <f t="shared" si="29"/>
        <v>0</v>
      </c>
      <c r="Y41" s="48">
        <f t="shared" si="30"/>
        <v>0</v>
      </c>
      <c r="Z41" s="48">
        <f t="shared" si="12"/>
        <v>0</v>
      </c>
      <c r="AA41" s="48">
        <f t="shared" si="13"/>
        <v>0</v>
      </c>
      <c r="AB41" s="48">
        <f t="shared" si="14"/>
        <v>0</v>
      </c>
      <c r="AC41" s="48">
        <f t="shared" si="15"/>
        <v>0</v>
      </c>
      <c r="AD41" s="48">
        <f t="shared" si="16"/>
        <v>0</v>
      </c>
      <c r="AE41" s="48">
        <f t="shared" si="17"/>
        <v>0</v>
      </c>
      <c r="AF41" s="48">
        <f t="shared" si="18"/>
        <v>0</v>
      </c>
      <c r="AG41" s="48">
        <f t="shared" si="19"/>
        <v>7.2621641249092234E-2</v>
      </c>
      <c r="AH41" s="48">
        <f t="shared" si="31"/>
        <v>7.2621641249092234E-2</v>
      </c>
      <c r="AI41" s="138">
        <f t="shared" si="32"/>
        <v>7.2621641249092234E-2</v>
      </c>
    </row>
    <row r="42" spans="2:52" x14ac:dyDescent="0.25">
      <c r="B42" s="4" t="s">
        <v>83</v>
      </c>
      <c r="C42" s="5" t="s">
        <v>84</v>
      </c>
      <c r="D42" s="5" t="s">
        <v>84</v>
      </c>
      <c r="E42" s="6"/>
      <c r="F42" s="14"/>
      <c r="G42" s="14"/>
      <c r="H42" s="14"/>
      <c r="I42" s="48">
        <f t="shared" si="20"/>
        <v>0</v>
      </c>
      <c r="J42" s="48">
        <f t="shared" si="21"/>
        <v>0</v>
      </c>
      <c r="K42" s="48">
        <f t="shared" si="22"/>
        <v>0</v>
      </c>
      <c r="L42" s="48">
        <f t="shared" si="23"/>
        <v>0</v>
      </c>
      <c r="M42" s="48">
        <f t="shared" si="24"/>
        <v>0</v>
      </c>
      <c r="N42" s="48">
        <f t="shared" si="25"/>
        <v>0</v>
      </c>
      <c r="O42" s="48">
        <f t="shared" si="26"/>
        <v>0</v>
      </c>
      <c r="P42" s="48">
        <f t="shared" si="27"/>
        <v>0</v>
      </c>
      <c r="Q42" s="48">
        <f t="shared" si="28"/>
        <v>0</v>
      </c>
      <c r="R42" s="48">
        <f t="shared" si="6"/>
        <v>0</v>
      </c>
      <c r="S42" s="48">
        <f t="shared" si="7"/>
        <v>0</v>
      </c>
      <c r="T42" s="48">
        <f t="shared" si="8"/>
        <v>0</v>
      </c>
      <c r="U42" s="48">
        <f t="shared" si="9"/>
        <v>0</v>
      </c>
      <c r="V42" s="48">
        <f t="shared" si="10"/>
        <v>0</v>
      </c>
      <c r="W42" s="48">
        <f t="shared" si="11"/>
        <v>0</v>
      </c>
      <c r="X42" s="48">
        <f t="shared" si="29"/>
        <v>0</v>
      </c>
      <c r="Y42" s="48">
        <f t="shared" si="30"/>
        <v>0</v>
      </c>
      <c r="Z42" s="48">
        <f t="shared" si="12"/>
        <v>0</v>
      </c>
      <c r="AA42" s="48">
        <f t="shared" si="13"/>
        <v>0</v>
      </c>
      <c r="AB42" s="48">
        <f t="shared" si="14"/>
        <v>0</v>
      </c>
      <c r="AC42" s="48">
        <f t="shared" si="15"/>
        <v>0</v>
      </c>
      <c r="AD42" s="48">
        <f t="shared" si="16"/>
        <v>0</v>
      </c>
      <c r="AE42" s="48">
        <f t="shared" si="17"/>
        <v>0</v>
      </c>
      <c r="AF42" s="48">
        <f t="shared" si="18"/>
        <v>0</v>
      </c>
      <c r="AG42" s="48">
        <f t="shared" si="19"/>
        <v>0</v>
      </c>
      <c r="AH42" s="48">
        <f>SUM(Y42:AG42)</f>
        <v>0</v>
      </c>
      <c r="AI42" s="138">
        <f t="shared" si="32"/>
        <v>0</v>
      </c>
    </row>
    <row r="43" spans="2:52" x14ac:dyDescent="0.25">
      <c r="AI43" s="51">
        <f>SUM(AI25:AI42)</f>
        <v>13.525200919832146</v>
      </c>
    </row>
    <row r="45" spans="2:52" ht="28.5" x14ac:dyDescent="0.45">
      <c r="B45" s="60" t="s">
        <v>46</v>
      </c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</row>
    <row r="47" spans="2:52" ht="159.75" x14ac:dyDescent="0.25">
      <c r="B47" s="15" t="s">
        <v>44</v>
      </c>
      <c r="C47" s="10" t="s">
        <v>41</v>
      </c>
      <c r="D47" s="55" t="s">
        <v>57</v>
      </c>
      <c r="E47" s="56" t="s">
        <v>60</v>
      </c>
      <c r="F47" s="56" t="s">
        <v>63</v>
      </c>
      <c r="G47" s="58" t="s">
        <v>64</v>
      </c>
      <c r="H47" s="58" t="s">
        <v>47</v>
      </c>
      <c r="I47" s="72" t="s">
        <v>30</v>
      </c>
      <c r="J47" s="75" t="s">
        <v>146</v>
      </c>
      <c r="K47" s="67" t="s">
        <v>119</v>
      </c>
      <c r="L47" s="68" t="s">
        <v>120</v>
      </c>
      <c r="M47" s="68" t="s">
        <v>121</v>
      </c>
      <c r="N47" s="68" t="s">
        <v>122</v>
      </c>
      <c r="O47" s="68" t="s">
        <v>123</v>
      </c>
      <c r="P47" s="68" t="s">
        <v>124</v>
      </c>
      <c r="Q47" s="68" t="s">
        <v>125</v>
      </c>
      <c r="R47" s="78" t="s">
        <v>142</v>
      </c>
      <c r="S47" s="69" t="s">
        <v>126</v>
      </c>
      <c r="T47" s="69" t="s">
        <v>127</v>
      </c>
      <c r="U47" s="69" t="s">
        <v>128</v>
      </c>
      <c r="V47" s="69" t="s">
        <v>129</v>
      </c>
      <c r="W47" s="69" t="s">
        <v>130</v>
      </c>
      <c r="X47" s="69" t="s">
        <v>131</v>
      </c>
      <c r="Y47" s="69" t="s">
        <v>132</v>
      </c>
      <c r="Z47" s="69" t="s">
        <v>133</v>
      </c>
      <c r="AA47" s="69" t="s">
        <v>136</v>
      </c>
      <c r="AB47" s="77" t="s">
        <v>143</v>
      </c>
      <c r="AC47" s="70" t="s">
        <v>135</v>
      </c>
    </row>
    <row r="48" spans="2:52" ht="15.75" thickBot="1" x14ac:dyDescent="0.3">
      <c r="B48" s="11"/>
      <c r="C48" s="13"/>
      <c r="D48" s="11" t="s">
        <v>40</v>
      </c>
      <c r="E48" s="12" t="s">
        <v>40</v>
      </c>
      <c r="F48" s="12" t="s">
        <v>40</v>
      </c>
      <c r="G48" s="12" t="s">
        <v>40</v>
      </c>
      <c r="H48" s="12" t="s">
        <v>40</v>
      </c>
      <c r="I48" s="65" t="s">
        <v>0</v>
      </c>
      <c r="J48" s="65" t="s">
        <v>137</v>
      </c>
      <c r="K48" s="11" t="s">
        <v>134</v>
      </c>
      <c r="L48" s="12" t="s">
        <v>134</v>
      </c>
      <c r="M48" s="12" t="s">
        <v>134</v>
      </c>
      <c r="N48" s="12" t="s">
        <v>134</v>
      </c>
      <c r="O48" s="12" t="s">
        <v>134</v>
      </c>
      <c r="P48" s="12" t="s">
        <v>134</v>
      </c>
      <c r="Q48" s="12" t="s">
        <v>134</v>
      </c>
      <c r="R48" s="12" t="s">
        <v>134</v>
      </c>
      <c r="S48" s="12" t="s">
        <v>134</v>
      </c>
      <c r="T48" s="12" t="s">
        <v>134</v>
      </c>
      <c r="U48" s="12" t="s">
        <v>134</v>
      </c>
      <c r="V48" s="12" t="s">
        <v>134</v>
      </c>
      <c r="W48" s="12" t="s">
        <v>134</v>
      </c>
      <c r="X48" s="12" t="s">
        <v>134</v>
      </c>
      <c r="Y48" s="12" t="s">
        <v>134</v>
      </c>
      <c r="Z48" s="12" t="s">
        <v>134</v>
      </c>
      <c r="AA48" s="12" t="s">
        <v>134</v>
      </c>
      <c r="AB48" s="12" t="s">
        <v>134</v>
      </c>
      <c r="AC48" s="20" t="s">
        <v>134</v>
      </c>
    </row>
    <row r="49" spans="2:29" ht="15.75" thickTop="1" x14ac:dyDescent="0.25">
      <c r="B49" s="1" t="s">
        <v>76</v>
      </c>
      <c r="C49" s="3" t="s">
        <v>52</v>
      </c>
      <c r="D49" s="48">
        <f t="shared" ref="D49:D66" si="33">L25</f>
        <v>8.6294879905347432</v>
      </c>
      <c r="E49" s="48">
        <f t="shared" ref="E49:E66" si="34">M25</f>
        <v>9.8668406446668424</v>
      </c>
      <c r="F49" s="48">
        <f t="shared" ref="F49:F66" si="35">N25</f>
        <v>0</v>
      </c>
      <c r="G49" s="48">
        <f t="shared" ref="G49:G66" si="36">O25</f>
        <v>0</v>
      </c>
      <c r="H49" s="48">
        <f t="shared" ref="H49:H66" si="37">P25</f>
        <v>18.496328635201586</v>
      </c>
      <c r="I49" s="73">
        <v>5618.35</v>
      </c>
      <c r="J49" s="48">
        <f>IFERROR(I49/MAX(F25,G25),0)</f>
        <v>0.53069889578433316</v>
      </c>
      <c r="K49" s="48">
        <f>Q25</f>
        <v>0</v>
      </c>
      <c r="L49" s="48">
        <f>R25</f>
        <v>0</v>
      </c>
      <c r="M49" s="48">
        <f>S25</f>
        <v>0</v>
      </c>
      <c r="N49" s="48">
        <f>T25</f>
        <v>0</v>
      </c>
      <c r="O49" s="48">
        <f>U25</f>
        <v>0</v>
      </c>
      <c r="P49" s="48">
        <f>V25</f>
        <v>0</v>
      </c>
      <c r="Q49" s="48">
        <f>W25</f>
        <v>0</v>
      </c>
      <c r="R49" s="48">
        <f>SUM(K49:Q49)</f>
        <v>0</v>
      </c>
      <c r="S49" s="48">
        <f>Y25*$J49</f>
        <v>0.61200890435570043</v>
      </c>
      <c r="T49" s="48">
        <f>Z25*$J49</f>
        <v>0</v>
      </c>
      <c r="U49" s="48">
        <f>AA25*$J49</f>
        <v>0</v>
      </c>
      <c r="V49" s="48">
        <f>AB25*$J49</f>
        <v>0</v>
      </c>
      <c r="W49" s="48">
        <f>AC25*$J49</f>
        <v>1.6320551924473496</v>
      </c>
      <c r="X49" s="48">
        <f>AD25*$J49</f>
        <v>0</v>
      </c>
      <c r="Y49" s="48">
        <f>AE25*$J49</f>
        <v>0</v>
      </c>
      <c r="Z49" s="48">
        <f>AF25*$J49</f>
        <v>0</v>
      </c>
      <c r="AA49" s="48">
        <f>AG25*$J49</f>
        <v>0.20400689905591871</v>
      </c>
      <c r="AB49" s="48">
        <f>SUM(S49:AA49)</f>
        <v>2.4480709958589686</v>
      </c>
      <c r="AC49" s="48">
        <f t="shared" ref="AC49:AC66" si="38">SUM(K49:Q49,S49:AA49)</f>
        <v>2.4480709958589686</v>
      </c>
    </row>
    <row r="50" spans="2:29" x14ac:dyDescent="0.25">
      <c r="B50" s="1" t="s">
        <v>77</v>
      </c>
      <c r="C50" s="3" t="s">
        <v>52</v>
      </c>
      <c r="D50" s="48">
        <f t="shared" si="33"/>
        <v>1.8191642454925345</v>
      </c>
      <c r="E50" s="48">
        <f t="shared" si="34"/>
        <v>2.0800079606621202</v>
      </c>
      <c r="F50" s="48">
        <f t="shared" si="35"/>
        <v>0</v>
      </c>
      <c r="G50" s="48">
        <f t="shared" si="36"/>
        <v>0</v>
      </c>
      <c r="H50" s="48">
        <f t="shared" si="37"/>
        <v>3.8991722061546548</v>
      </c>
      <c r="I50" s="73">
        <v>1700.44</v>
      </c>
      <c r="J50" s="48">
        <f t="shared" ref="J50:J66" si="39">IFERROR(I50/MAX(F26,G26),0)</f>
        <v>0.76192780585726061</v>
      </c>
      <c r="K50" s="48">
        <f>Q26</f>
        <v>0</v>
      </c>
      <c r="L50" s="48">
        <f>R26</f>
        <v>0</v>
      </c>
      <c r="M50" s="48">
        <f>S26</f>
        <v>0</v>
      </c>
      <c r="N50" s="48">
        <f>T26</f>
        <v>0</v>
      </c>
      <c r="O50" s="48">
        <f>U26</f>
        <v>0</v>
      </c>
      <c r="P50" s="48">
        <f>V26</f>
        <v>0</v>
      </c>
      <c r="Q50" s="48">
        <f>W26</f>
        <v>0</v>
      </c>
      <c r="R50" s="48">
        <f t="shared" ref="R50:R66" si="40">SUM(K50:Q50)</f>
        <v>0</v>
      </c>
      <c r="S50" s="48">
        <f>Y26*$J50</f>
        <v>0.18522954627650595</v>
      </c>
      <c r="T50" s="48">
        <f>Z26*$J50</f>
        <v>0</v>
      </c>
      <c r="U50" s="48">
        <f>AA26*$J50</f>
        <v>0</v>
      </c>
      <c r="V50" s="48">
        <f>AB26*$J50</f>
        <v>0</v>
      </c>
      <c r="W50" s="48">
        <f>AC26*$J50</f>
        <v>0.4939549745824256</v>
      </c>
      <c r="X50" s="48">
        <f>AD26*$J50</f>
        <v>0</v>
      </c>
      <c r="Y50" s="48">
        <f>AE26*$J50</f>
        <v>0</v>
      </c>
      <c r="Z50" s="48">
        <f>AF26*$J50</f>
        <v>0</v>
      </c>
      <c r="AA50" s="48">
        <f>AG26*$J50</f>
        <v>6.17443718228032E-2</v>
      </c>
      <c r="AB50" s="48">
        <f t="shared" ref="AB50:AB65" si="41">SUM(S50:AA50)</f>
        <v>0.74092889268173479</v>
      </c>
      <c r="AC50" s="48">
        <f t="shared" si="38"/>
        <v>0.74092889268173479</v>
      </c>
    </row>
    <row r="51" spans="2:29" x14ac:dyDescent="0.25">
      <c r="B51" s="1" t="s">
        <v>78</v>
      </c>
      <c r="C51" s="3" t="s">
        <v>52</v>
      </c>
      <c r="D51" s="48">
        <f t="shared" si="33"/>
        <v>1.1516906667636315</v>
      </c>
      <c r="E51" s="48">
        <f t="shared" si="34"/>
        <v>1.3168276372098746</v>
      </c>
      <c r="F51" s="48">
        <f t="shared" si="35"/>
        <v>0</v>
      </c>
      <c r="G51" s="48">
        <f t="shared" si="36"/>
        <v>0</v>
      </c>
      <c r="H51" s="48">
        <f t="shared" si="37"/>
        <v>2.4685183039735064</v>
      </c>
      <c r="I51" s="73">
        <v>1412.83</v>
      </c>
      <c r="J51" s="48">
        <f t="shared" si="39"/>
        <v>0.99995045650789149</v>
      </c>
      <c r="K51" s="48">
        <f>Q27</f>
        <v>0</v>
      </c>
      <c r="L51" s="48">
        <f>R27</f>
        <v>0</v>
      </c>
      <c r="M51" s="48">
        <f>S27</f>
        <v>0</v>
      </c>
      <c r="N51" s="48">
        <f>T27</f>
        <v>0</v>
      </c>
      <c r="O51" s="48">
        <f>U27</f>
        <v>0</v>
      </c>
      <c r="P51" s="48">
        <f>V27</f>
        <v>0</v>
      </c>
      <c r="Q51" s="48">
        <f>W27</f>
        <v>0</v>
      </c>
      <c r="R51" s="48">
        <f t="shared" si="40"/>
        <v>0</v>
      </c>
      <c r="S51" s="48">
        <f>Y27*$J51</f>
        <v>0.15390008460506449</v>
      </c>
      <c r="T51" s="48">
        <f>Z27*$J51</f>
        <v>0</v>
      </c>
      <c r="U51" s="48">
        <f>AA27*$J51</f>
        <v>0</v>
      </c>
      <c r="V51" s="48">
        <f>AB27*$J51</f>
        <v>0</v>
      </c>
      <c r="W51" s="48">
        <f>AC27*$J51</f>
        <v>0.41040813362381989</v>
      </c>
      <c r="X51" s="48">
        <f>AD27*$J51</f>
        <v>0</v>
      </c>
      <c r="Y51" s="48">
        <f>AE27*$J51</f>
        <v>0</v>
      </c>
      <c r="Z51" s="48">
        <f>AF27*$J51</f>
        <v>0</v>
      </c>
      <c r="AA51" s="48">
        <f>AG27*$J51</f>
        <v>5.1301016702977487E-2</v>
      </c>
      <c r="AB51" s="48">
        <f t="shared" si="41"/>
        <v>0.61560923493186182</v>
      </c>
      <c r="AC51" s="48">
        <f t="shared" si="38"/>
        <v>0.61560923493186182</v>
      </c>
    </row>
    <row r="52" spans="2:29" x14ac:dyDescent="0.25">
      <c r="B52" s="1" t="s">
        <v>79</v>
      </c>
      <c r="C52" s="3" t="s">
        <v>52</v>
      </c>
      <c r="D52" s="48">
        <f t="shared" si="33"/>
        <v>1.8191642454925345</v>
      </c>
      <c r="E52" s="48">
        <f t="shared" si="34"/>
        <v>2.0800079606621202</v>
      </c>
      <c r="F52" s="48">
        <f t="shared" si="35"/>
        <v>0</v>
      </c>
      <c r="G52" s="48">
        <f t="shared" si="36"/>
        <v>0</v>
      </c>
      <c r="H52" s="48">
        <f t="shared" si="37"/>
        <v>3.8991722061546548</v>
      </c>
      <c r="I52" s="73">
        <v>1543.53</v>
      </c>
      <c r="J52" s="48">
        <f t="shared" si="39"/>
        <v>0.6916200666738358</v>
      </c>
      <c r="K52" s="48">
        <f>Q28</f>
        <v>0</v>
      </c>
      <c r="L52" s="48">
        <f>R28</f>
        <v>0</v>
      </c>
      <c r="M52" s="48">
        <f>S28</f>
        <v>0</v>
      </c>
      <c r="N52" s="48">
        <f>T28</f>
        <v>0</v>
      </c>
      <c r="O52" s="48">
        <f>U28</f>
        <v>0</v>
      </c>
      <c r="P52" s="48">
        <f>V28</f>
        <v>0</v>
      </c>
      <c r="Q52" s="48">
        <f>W28</f>
        <v>0</v>
      </c>
      <c r="R52" s="48">
        <f t="shared" si="40"/>
        <v>0</v>
      </c>
      <c r="S52" s="48">
        <f>Y28*$J52</f>
        <v>0.16813728303508221</v>
      </c>
      <c r="T52" s="48">
        <f>Z28*$J52</f>
        <v>0</v>
      </c>
      <c r="U52" s="48">
        <f>AA28*$J52</f>
        <v>0</v>
      </c>
      <c r="V52" s="48">
        <f>AB28*$J52</f>
        <v>0</v>
      </c>
      <c r="W52" s="48">
        <f>AC28*$J52</f>
        <v>0.44837472766884529</v>
      </c>
      <c r="X52" s="48">
        <f>AD28*$J52</f>
        <v>0</v>
      </c>
      <c r="Y52" s="48">
        <f>AE28*$J52</f>
        <v>0</v>
      </c>
      <c r="Z52" s="48">
        <f>AF28*$J52</f>
        <v>0</v>
      </c>
      <c r="AA52" s="48">
        <f>AG28*$J52</f>
        <v>5.6046840958605661E-2</v>
      </c>
      <c r="AB52" s="48">
        <f t="shared" si="41"/>
        <v>0.67255885166253315</v>
      </c>
      <c r="AC52" s="48">
        <f t="shared" si="38"/>
        <v>0.67255885166253315</v>
      </c>
    </row>
    <row r="53" spans="2:29" x14ac:dyDescent="0.25">
      <c r="B53" s="1" t="s">
        <v>80</v>
      </c>
      <c r="C53" s="3" t="s">
        <v>52</v>
      </c>
      <c r="D53" s="48">
        <f t="shared" si="33"/>
        <v>1.1516091542244027</v>
      </c>
      <c r="E53" s="48">
        <f t="shared" si="34"/>
        <v>1.3167344368675142</v>
      </c>
      <c r="F53" s="48">
        <f t="shared" si="35"/>
        <v>0</v>
      </c>
      <c r="G53" s="48">
        <f t="shared" si="36"/>
        <v>0</v>
      </c>
      <c r="H53" s="48">
        <f t="shared" si="37"/>
        <v>2.4683435910919167</v>
      </c>
      <c r="I53" s="73">
        <v>1572.03</v>
      </c>
      <c r="J53" s="48">
        <f t="shared" si="39"/>
        <v>1.1127052661381653</v>
      </c>
      <c r="K53" s="48">
        <f>Q29</f>
        <v>0</v>
      </c>
      <c r="L53" s="48">
        <f>R29</f>
        <v>0</v>
      </c>
      <c r="M53" s="48">
        <f>S29</f>
        <v>0</v>
      </c>
      <c r="N53" s="48">
        <f>T29</f>
        <v>0</v>
      </c>
      <c r="O53" s="48">
        <f>U29</f>
        <v>0</v>
      </c>
      <c r="P53" s="48">
        <f>V29</f>
        <v>0</v>
      </c>
      <c r="Q53" s="48">
        <f>W29</f>
        <v>0</v>
      </c>
      <c r="R53" s="48">
        <f t="shared" si="40"/>
        <v>0</v>
      </c>
      <c r="S53" s="48">
        <f>Y29*$J53</f>
        <v>0.17124179837751149</v>
      </c>
      <c r="T53" s="48">
        <f>Z29*$J53</f>
        <v>0</v>
      </c>
      <c r="U53" s="48">
        <f>AA29*$J53</f>
        <v>0</v>
      </c>
      <c r="V53" s="48">
        <f>AB29*$J53</f>
        <v>0</v>
      </c>
      <c r="W53" s="48">
        <f>AC29*$J53</f>
        <v>0.4566535947712419</v>
      </c>
      <c r="X53" s="48">
        <f>AD29*$J53</f>
        <v>0</v>
      </c>
      <c r="Y53" s="48">
        <f>AE29*$J53</f>
        <v>0</v>
      </c>
      <c r="Z53" s="48">
        <f>AF29*$J53</f>
        <v>0</v>
      </c>
      <c r="AA53" s="48">
        <f>AG29*$J53</f>
        <v>5.7081699346405237E-2</v>
      </c>
      <c r="AB53" s="48">
        <f t="shared" si="41"/>
        <v>0.6849770924951587</v>
      </c>
      <c r="AC53" s="48">
        <f t="shared" si="38"/>
        <v>0.6849770924951587</v>
      </c>
    </row>
    <row r="54" spans="2:29" x14ac:dyDescent="0.25">
      <c r="B54" s="4" t="s">
        <v>81</v>
      </c>
      <c r="C54" s="6" t="s">
        <v>52</v>
      </c>
      <c r="D54" s="48">
        <f t="shared" si="33"/>
        <v>0</v>
      </c>
      <c r="E54" s="48">
        <f t="shared" si="34"/>
        <v>0</v>
      </c>
      <c r="F54" s="48">
        <f t="shared" si="35"/>
        <v>0</v>
      </c>
      <c r="G54" s="48">
        <f t="shared" si="36"/>
        <v>0</v>
      </c>
      <c r="H54" s="48">
        <f t="shared" si="37"/>
        <v>0</v>
      </c>
      <c r="I54" s="74"/>
      <c r="J54" s="48">
        <f t="shared" si="39"/>
        <v>0</v>
      </c>
      <c r="K54" s="48">
        <f>Q30</f>
        <v>0</v>
      </c>
      <c r="L54" s="48">
        <f>R30</f>
        <v>0</v>
      </c>
      <c r="M54" s="48">
        <f>S30</f>
        <v>0</v>
      </c>
      <c r="N54" s="48">
        <f>T30</f>
        <v>0</v>
      </c>
      <c r="O54" s="48">
        <f>U30</f>
        <v>0</v>
      </c>
      <c r="P54" s="48">
        <f>V30</f>
        <v>0</v>
      </c>
      <c r="Q54" s="48">
        <f>W30</f>
        <v>0</v>
      </c>
      <c r="R54" s="48">
        <f t="shared" si="40"/>
        <v>0</v>
      </c>
      <c r="S54" s="48">
        <f>Y30*$J54</f>
        <v>0</v>
      </c>
      <c r="T54" s="48">
        <f>Z30*$J54</f>
        <v>0</v>
      </c>
      <c r="U54" s="48">
        <f>AA30*$J54</f>
        <v>0</v>
      </c>
      <c r="V54" s="48">
        <f>AB30*$J54</f>
        <v>0</v>
      </c>
      <c r="W54" s="48">
        <f>AC30*$J54</f>
        <v>0</v>
      </c>
      <c r="X54" s="48">
        <f>AD30*$J54</f>
        <v>0</v>
      </c>
      <c r="Y54" s="48">
        <f>AE30*$J54</f>
        <v>0</v>
      </c>
      <c r="Z54" s="48">
        <f>AF30*$J54</f>
        <v>0</v>
      </c>
      <c r="AA54" s="48">
        <f>AG30*$J54</f>
        <v>0</v>
      </c>
      <c r="AB54" s="48">
        <f t="shared" si="41"/>
        <v>0</v>
      </c>
      <c r="AC54" s="48">
        <f t="shared" si="38"/>
        <v>0</v>
      </c>
    </row>
    <row r="55" spans="2:29" x14ac:dyDescent="0.25">
      <c r="B55" s="15" t="s">
        <v>19</v>
      </c>
      <c r="C55" s="10" t="s">
        <v>53</v>
      </c>
      <c r="D55" s="48">
        <f t="shared" si="33"/>
        <v>8.6854472869851183</v>
      </c>
      <c r="E55" s="48">
        <f t="shared" si="34"/>
        <v>0</v>
      </c>
      <c r="F55" s="48">
        <f t="shared" si="35"/>
        <v>2.5626220443526289</v>
      </c>
      <c r="G55" s="48">
        <f t="shared" si="36"/>
        <v>0</v>
      </c>
      <c r="H55" s="48">
        <f t="shared" si="37"/>
        <v>11.248069331337748</v>
      </c>
      <c r="I55" s="76">
        <v>5741.9</v>
      </c>
      <c r="J55" s="48">
        <f t="shared" si="39"/>
        <v>0.54236919908942349</v>
      </c>
      <c r="K55" s="48">
        <f>Q31</f>
        <v>0</v>
      </c>
      <c r="L55" s="48">
        <f>R31</f>
        <v>0</v>
      </c>
      <c r="M55" s="48">
        <f>S31</f>
        <v>0</v>
      </c>
      <c r="N55" s="48">
        <f>T31</f>
        <v>0</v>
      </c>
      <c r="O55" s="48">
        <f>U31</f>
        <v>0</v>
      </c>
      <c r="P55" s="48">
        <f>V31</f>
        <v>0</v>
      </c>
      <c r="Q55" s="48">
        <f>W31</f>
        <v>0</v>
      </c>
      <c r="R55" s="48">
        <f t="shared" si="40"/>
        <v>0</v>
      </c>
      <c r="S55" s="48">
        <f>Y31*$J55</f>
        <v>0</v>
      </c>
      <c r="T55" s="48">
        <f>Z31*$J55</f>
        <v>0</v>
      </c>
      <c r="U55" s="48">
        <f>AA31*$J55</f>
        <v>0</v>
      </c>
      <c r="V55" s="48">
        <f>AB31*$J55</f>
        <v>0</v>
      </c>
      <c r="W55" s="48">
        <f>AC31*$J55</f>
        <v>0</v>
      </c>
      <c r="X55" s="48">
        <f>AD31*$J55</f>
        <v>1.6679448075526508</v>
      </c>
      <c r="Y55" s="48">
        <f>AE31*$J55</f>
        <v>0</v>
      </c>
      <c r="Z55" s="48">
        <f>AF31*$J55</f>
        <v>0</v>
      </c>
      <c r="AA55" s="48">
        <f>AG31*$J55</f>
        <v>0</v>
      </c>
      <c r="AB55" s="48">
        <f t="shared" si="41"/>
        <v>1.6679448075526508</v>
      </c>
      <c r="AC55" s="48">
        <f t="shared" si="38"/>
        <v>1.6679448075526508</v>
      </c>
    </row>
    <row r="56" spans="2:29" x14ac:dyDescent="0.25">
      <c r="B56" s="1" t="s">
        <v>20</v>
      </c>
      <c r="C56" s="3" t="s">
        <v>53</v>
      </c>
      <c r="D56" s="48">
        <f t="shared" si="33"/>
        <v>1.7091466881050115</v>
      </c>
      <c r="E56" s="48">
        <f t="shared" si="34"/>
        <v>0.61602175362732403</v>
      </c>
      <c r="F56" s="48">
        <f t="shared" si="35"/>
        <v>0</v>
      </c>
      <c r="G56" s="48">
        <f t="shared" si="36"/>
        <v>5.726111111111111E-2</v>
      </c>
      <c r="H56" s="48">
        <f t="shared" si="37"/>
        <v>2.3824295528434467</v>
      </c>
      <c r="I56" s="73">
        <v>1872</v>
      </c>
      <c r="J56" s="48">
        <f t="shared" si="39"/>
        <v>0.83879987095386588</v>
      </c>
      <c r="K56" s="48">
        <f>Q32</f>
        <v>6.0518034374243523E-2</v>
      </c>
      <c r="L56" s="48">
        <f>R32</f>
        <v>0</v>
      </c>
      <c r="M56" s="48">
        <f>S32</f>
        <v>0</v>
      </c>
      <c r="N56" s="48">
        <f>T32</f>
        <v>6.6569837811667892E-2</v>
      </c>
      <c r="O56" s="48">
        <f>U32</f>
        <v>0</v>
      </c>
      <c r="P56" s="48">
        <f>V32</f>
        <v>0</v>
      </c>
      <c r="Q56" s="48">
        <f>W32</f>
        <v>0</v>
      </c>
      <c r="R56" s="48">
        <f t="shared" si="40"/>
        <v>0.12708787218591142</v>
      </c>
      <c r="S56" s="48">
        <f>Y32*$J56</f>
        <v>0</v>
      </c>
      <c r="T56" s="48">
        <f>Z32*$J56</f>
        <v>0</v>
      </c>
      <c r="U56" s="48">
        <f>AA32*$J56</f>
        <v>0</v>
      </c>
      <c r="V56" s="48">
        <f>AB32*$J56</f>
        <v>0</v>
      </c>
      <c r="W56" s="48">
        <f>AC32*$J56</f>
        <v>0.54379084967320257</v>
      </c>
      <c r="X56" s="48">
        <f>AD32*$J56</f>
        <v>0</v>
      </c>
      <c r="Y56" s="48">
        <f>AE32*$J56</f>
        <v>0</v>
      </c>
      <c r="Z56" s="48">
        <f>AF32*$J56</f>
        <v>0</v>
      </c>
      <c r="AA56" s="48">
        <f>AG32*$J56</f>
        <v>0</v>
      </c>
      <c r="AB56" s="48">
        <f t="shared" si="41"/>
        <v>0.54379084967320257</v>
      </c>
      <c r="AC56" s="48">
        <f t="shared" si="38"/>
        <v>0.67087872185911401</v>
      </c>
    </row>
    <row r="57" spans="2:29" x14ac:dyDescent="0.25">
      <c r="B57" s="1" t="s">
        <v>21</v>
      </c>
      <c r="C57" s="3" t="s">
        <v>53</v>
      </c>
      <c r="D57" s="48">
        <f t="shared" si="33"/>
        <v>1.159158989277232</v>
      </c>
      <c r="E57" s="48">
        <f t="shared" si="34"/>
        <v>0</v>
      </c>
      <c r="F57" s="48">
        <f t="shared" si="35"/>
        <v>0.34200730033587706</v>
      </c>
      <c r="G57" s="48">
        <f t="shared" si="36"/>
        <v>4.5808888888888885E-2</v>
      </c>
      <c r="H57" s="48">
        <f t="shared" si="37"/>
        <v>1.5469751785019978</v>
      </c>
      <c r="I57" s="73">
        <v>1587.29</v>
      </c>
      <c r="J57" s="48">
        <f t="shared" si="39"/>
        <v>1.1234269941255572</v>
      </c>
      <c r="K57" s="48">
        <f>Q33</f>
        <v>4.841442749939482E-2</v>
      </c>
      <c r="L57" s="48">
        <f>R33</f>
        <v>0</v>
      </c>
      <c r="M57" s="48">
        <f>S33</f>
        <v>0</v>
      </c>
      <c r="N57" s="48">
        <f>T33</f>
        <v>5.32558702493343E-2</v>
      </c>
      <c r="O57" s="48">
        <f>U33</f>
        <v>0</v>
      </c>
      <c r="P57" s="48">
        <f>V33</f>
        <v>0</v>
      </c>
      <c r="Q57" s="48">
        <f>W33</f>
        <v>0</v>
      </c>
      <c r="R57" s="48">
        <f t="shared" si="40"/>
        <v>0.10167029774872913</v>
      </c>
      <c r="S57" s="48">
        <f>Y33*$J57</f>
        <v>0</v>
      </c>
      <c r="T57" s="48">
        <f>Z33*$J57</f>
        <v>0</v>
      </c>
      <c r="U57" s="48">
        <f>AA33*$J57</f>
        <v>0</v>
      </c>
      <c r="V57" s="48">
        <f>AB33*$J57</f>
        <v>0</v>
      </c>
      <c r="W57" s="48">
        <f>AC33*$J57</f>
        <v>0</v>
      </c>
      <c r="X57" s="48">
        <f>AD33*$J57</f>
        <v>0.46108641975308645</v>
      </c>
      <c r="Y57" s="48">
        <f>AE33*$J57</f>
        <v>0</v>
      </c>
      <c r="Z57" s="48">
        <f>AF33*$J57</f>
        <v>0</v>
      </c>
      <c r="AA57" s="48">
        <f>AG33*$J57</f>
        <v>0</v>
      </c>
      <c r="AB57" s="48">
        <f t="shared" si="41"/>
        <v>0.46108641975308645</v>
      </c>
      <c r="AC57" s="48">
        <f t="shared" si="38"/>
        <v>0.56275671750181555</v>
      </c>
    </row>
    <row r="58" spans="2:29" x14ac:dyDescent="0.25">
      <c r="B58" s="1" t="s">
        <v>22</v>
      </c>
      <c r="C58" s="3" t="s">
        <v>53</v>
      </c>
      <c r="D58" s="48">
        <f t="shared" si="33"/>
        <v>1.830960907289515</v>
      </c>
      <c r="E58" s="48">
        <f t="shared" si="34"/>
        <v>0</v>
      </c>
      <c r="F58" s="48">
        <f t="shared" si="35"/>
        <v>0.54022097289093141</v>
      </c>
      <c r="G58" s="48">
        <f t="shared" si="36"/>
        <v>0</v>
      </c>
      <c r="H58" s="48">
        <f t="shared" si="37"/>
        <v>2.3711818801804463</v>
      </c>
      <c r="I58" s="73">
        <v>1666.53</v>
      </c>
      <c r="J58" s="48">
        <f t="shared" si="39"/>
        <v>0.7467335197333046</v>
      </c>
      <c r="K58" s="48">
        <f>Q34</f>
        <v>0</v>
      </c>
      <c r="L58" s="48">
        <f>R34</f>
        <v>0</v>
      </c>
      <c r="M58" s="48">
        <f>S34</f>
        <v>0</v>
      </c>
      <c r="N58" s="48">
        <f>T34</f>
        <v>0</v>
      </c>
      <c r="O58" s="48">
        <f>U34</f>
        <v>0</v>
      </c>
      <c r="P58" s="48">
        <f>V34</f>
        <v>0</v>
      </c>
      <c r="Q58" s="48">
        <f>W34</f>
        <v>0</v>
      </c>
      <c r="R58" s="48">
        <f t="shared" si="40"/>
        <v>0</v>
      </c>
      <c r="S58" s="48">
        <f>Y34*$J58</f>
        <v>0</v>
      </c>
      <c r="T58" s="48">
        <f>Z34*$J58</f>
        <v>0</v>
      </c>
      <c r="U58" s="48">
        <f>AA34*$J58</f>
        <v>0</v>
      </c>
      <c r="V58" s="48">
        <f>AB34*$J58</f>
        <v>0</v>
      </c>
      <c r="W58" s="48">
        <f>AC34*$J58</f>
        <v>0</v>
      </c>
      <c r="X58" s="48">
        <f>AD34*$J58</f>
        <v>0.48410457516339872</v>
      </c>
      <c r="Y58" s="48">
        <f>AE34*$J58</f>
        <v>0</v>
      </c>
      <c r="Z58" s="48">
        <f>AF34*$J58</f>
        <v>0</v>
      </c>
      <c r="AA58" s="48">
        <f>AG34*$J58</f>
        <v>0</v>
      </c>
      <c r="AB58" s="48">
        <f t="shared" si="41"/>
        <v>0.48410457516339872</v>
      </c>
      <c r="AC58" s="48">
        <f t="shared" si="38"/>
        <v>0.48410457516339872</v>
      </c>
    </row>
    <row r="59" spans="2:29" x14ac:dyDescent="0.25">
      <c r="B59" s="1" t="s">
        <v>23</v>
      </c>
      <c r="C59" s="3" t="s">
        <v>53</v>
      </c>
      <c r="D59" s="48">
        <f t="shared" si="33"/>
        <v>1.0819633118949887</v>
      </c>
      <c r="E59" s="48">
        <f t="shared" si="34"/>
        <v>0.38996824637267596</v>
      </c>
      <c r="F59" s="48">
        <f t="shared" si="35"/>
        <v>0</v>
      </c>
      <c r="G59" s="48">
        <f t="shared" si="36"/>
        <v>0</v>
      </c>
      <c r="H59" s="48">
        <f t="shared" si="37"/>
        <v>1.4719315582676646</v>
      </c>
      <c r="I59" s="73">
        <v>1789.05</v>
      </c>
      <c r="J59" s="48">
        <f t="shared" si="39"/>
        <v>1.2663151189127972</v>
      </c>
      <c r="K59" s="48">
        <f>Q35</f>
        <v>0</v>
      </c>
      <c r="L59" s="48">
        <f>R35</f>
        <v>0</v>
      </c>
      <c r="M59" s="48">
        <f>S35</f>
        <v>0</v>
      </c>
      <c r="N59" s="48">
        <f>T35</f>
        <v>0</v>
      </c>
      <c r="O59" s="48">
        <f>U35</f>
        <v>0</v>
      </c>
      <c r="P59" s="48">
        <f>V35</f>
        <v>0</v>
      </c>
      <c r="Q59" s="48">
        <f>W35</f>
        <v>0</v>
      </c>
      <c r="R59" s="48">
        <f t="shared" si="40"/>
        <v>0</v>
      </c>
      <c r="S59" s="48">
        <f>Y35*$J59</f>
        <v>0</v>
      </c>
      <c r="T59" s="48">
        <f>Z35*$J59</f>
        <v>0</v>
      </c>
      <c r="U59" s="48">
        <f>AA35*$J59</f>
        <v>0</v>
      </c>
      <c r="V59" s="48">
        <f>AB35*$J59</f>
        <v>0</v>
      </c>
      <c r="W59" s="48">
        <f>AC35*$J59</f>
        <v>0.51969498910675382</v>
      </c>
      <c r="X59" s="48">
        <f>AD35*$J59</f>
        <v>0</v>
      </c>
      <c r="Y59" s="48">
        <f>AE35*$J59</f>
        <v>0</v>
      </c>
      <c r="Z59" s="48">
        <f>AF35*$J59</f>
        <v>0</v>
      </c>
      <c r="AA59" s="48">
        <f>AG35*$J59</f>
        <v>0</v>
      </c>
      <c r="AB59" s="48">
        <f t="shared" si="41"/>
        <v>0.51969498910675382</v>
      </c>
      <c r="AC59" s="48">
        <f t="shared" si="38"/>
        <v>0.51969498910675382</v>
      </c>
    </row>
    <row r="60" spans="2:29" x14ac:dyDescent="0.25">
      <c r="B60" s="4" t="s">
        <v>82</v>
      </c>
      <c r="C60" s="6" t="s">
        <v>53</v>
      </c>
      <c r="D60" s="48">
        <f t="shared" si="33"/>
        <v>0</v>
      </c>
      <c r="E60" s="48">
        <f t="shared" si="34"/>
        <v>0</v>
      </c>
      <c r="F60" s="48">
        <f t="shared" si="35"/>
        <v>0</v>
      </c>
      <c r="G60" s="48">
        <f t="shared" si="36"/>
        <v>0</v>
      </c>
      <c r="H60" s="48">
        <f t="shared" si="37"/>
        <v>0</v>
      </c>
      <c r="I60" s="74"/>
      <c r="J60" s="48">
        <f t="shared" si="39"/>
        <v>0</v>
      </c>
      <c r="K60" s="48">
        <f>Q36</f>
        <v>0</v>
      </c>
      <c r="L60" s="48">
        <f>R36</f>
        <v>0</v>
      </c>
      <c r="M60" s="48">
        <f>S36</f>
        <v>0</v>
      </c>
      <c r="N60" s="48">
        <f>T36</f>
        <v>0</v>
      </c>
      <c r="O60" s="48">
        <f>U36</f>
        <v>0</v>
      </c>
      <c r="P60" s="48">
        <f>V36</f>
        <v>0</v>
      </c>
      <c r="Q60" s="48">
        <f>W36</f>
        <v>0</v>
      </c>
      <c r="R60" s="48">
        <f t="shared" si="40"/>
        <v>0</v>
      </c>
      <c r="S60" s="48">
        <f>Y36*$J60</f>
        <v>0</v>
      </c>
      <c r="T60" s="48">
        <f>Z36*$J60</f>
        <v>0</v>
      </c>
      <c r="U60" s="48">
        <f>AA36*$J60</f>
        <v>0</v>
      </c>
      <c r="V60" s="48">
        <f>AB36*$J60</f>
        <v>0</v>
      </c>
      <c r="W60" s="48">
        <f>AC36*$J60</f>
        <v>0</v>
      </c>
      <c r="X60" s="48">
        <f>AD36*$J60</f>
        <v>0</v>
      </c>
      <c r="Y60" s="48">
        <f>AE36*$J60</f>
        <v>0</v>
      </c>
      <c r="Z60" s="48">
        <f>AF36*$J60</f>
        <v>0</v>
      </c>
      <c r="AA60" s="48">
        <f>AG36*$J60</f>
        <v>0</v>
      </c>
      <c r="AB60" s="48">
        <f t="shared" si="41"/>
        <v>0</v>
      </c>
      <c r="AC60" s="48">
        <f t="shared" si="38"/>
        <v>0</v>
      </c>
    </row>
    <row r="61" spans="2:29" x14ac:dyDescent="0.25">
      <c r="B61" s="15" t="s">
        <v>7</v>
      </c>
      <c r="C61" s="10" t="s">
        <v>54</v>
      </c>
      <c r="D61" s="48">
        <f t="shared" si="33"/>
        <v>1.2495000000000001</v>
      </c>
      <c r="E61" s="48">
        <f t="shared" si="34"/>
        <v>0</v>
      </c>
      <c r="F61" s="48">
        <f t="shared" si="35"/>
        <v>0</v>
      </c>
      <c r="G61" s="48">
        <f t="shared" si="36"/>
        <v>0</v>
      </c>
      <c r="H61" s="48">
        <f t="shared" si="37"/>
        <v>1.2495000000000001</v>
      </c>
      <c r="I61" s="76">
        <v>5847.76</v>
      </c>
      <c r="J61" s="48">
        <f t="shared" si="39"/>
        <v>1.9492533333333335</v>
      </c>
      <c r="K61" s="48">
        <f>Q37</f>
        <v>0</v>
      </c>
      <c r="L61" s="48">
        <f>R37</f>
        <v>0</v>
      </c>
      <c r="M61" s="48">
        <f>S37</f>
        <v>0</v>
      </c>
      <c r="N61" s="48">
        <f>T37</f>
        <v>0</v>
      </c>
      <c r="O61" s="48">
        <f>U37</f>
        <v>0</v>
      </c>
      <c r="P61" s="48">
        <f>V37</f>
        <v>0</v>
      </c>
      <c r="Q61" s="48">
        <f>W37</f>
        <v>0</v>
      </c>
      <c r="R61" s="48">
        <f t="shared" si="40"/>
        <v>0</v>
      </c>
      <c r="S61" s="48">
        <f>Y37*$J61</f>
        <v>0</v>
      </c>
      <c r="T61" s="48">
        <f>Z37*$J61</f>
        <v>0</v>
      </c>
      <c r="U61" s="48">
        <f>AA37*$J61</f>
        <v>0</v>
      </c>
      <c r="V61" s="48">
        <f>AB37*$J61</f>
        <v>0</v>
      </c>
      <c r="W61" s="48">
        <f>AC37*$J61</f>
        <v>0</v>
      </c>
      <c r="X61" s="48">
        <f>AD37*$J61</f>
        <v>0</v>
      </c>
      <c r="Y61" s="48">
        <f>AE37*$J61</f>
        <v>0</v>
      </c>
      <c r="Z61" s="48">
        <f>AF37*$J61</f>
        <v>0</v>
      </c>
      <c r="AA61" s="48">
        <f>AG37*$J61</f>
        <v>0</v>
      </c>
      <c r="AB61" s="48">
        <f t="shared" si="41"/>
        <v>0</v>
      </c>
      <c r="AC61" s="48">
        <f t="shared" si="38"/>
        <v>0</v>
      </c>
    </row>
    <row r="62" spans="2:29" x14ac:dyDescent="0.25">
      <c r="B62" s="1" t="s">
        <v>8</v>
      </c>
      <c r="C62" s="3" t="s">
        <v>54</v>
      </c>
      <c r="D62" s="48">
        <f t="shared" si="33"/>
        <v>0.6</v>
      </c>
      <c r="E62" s="48">
        <f t="shared" si="34"/>
        <v>0</v>
      </c>
      <c r="F62" s="48">
        <f t="shared" si="35"/>
        <v>0</v>
      </c>
      <c r="G62" s="48">
        <f t="shared" si="36"/>
        <v>2.8058012500000003E-2</v>
      </c>
      <c r="H62" s="48">
        <f t="shared" si="37"/>
        <v>0.62805801249999993</v>
      </c>
      <c r="I62" s="73">
        <v>1921.59</v>
      </c>
      <c r="J62" s="48">
        <f t="shared" si="39"/>
        <v>0.96079499999999995</v>
      </c>
      <c r="K62" s="48">
        <f>Q38</f>
        <v>0</v>
      </c>
      <c r="L62" s="48">
        <f>R38</f>
        <v>0</v>
      </c>
      <c r="M62" s="48">
        <f>S38</f>
        <v>0</v>
      </c>
      <c r="N62" s="48">
        <f>T38</f>
        <v>0</v>
      </c>
      <c r="O62" s="48">
        <f>U38</f>
        <v>0</v>
      </c>
      <c r="P62" s="48">
        <f>V38</f>
        <v>0</v>
      </c>
      <c r="Q62" s="48">
        <f>W38</f>
        <v>0</v>
      </c>
      <c r="R62" s="48">
        <f t="shared" si="40"/>
        <v>0</v>
      </c>
      <c r="S62" s="48">
        <f>Y38*$J62</f>
        <v>0</v>
      </c>
      <c r="T62" s="48">
        <f>Z38*$J62</f>
        <v>0</v>
      </c>
      <c r="U62" s="48">
        <f>AA38*$J62</f>
        <v>0.23258169934640521</v>
      </c>
      <c r="V62" s="48">
        <f>AB38*$J62</f>
        <v>0</v>
      </c>
      <c r="W62" s="48">
        <f>AC38*$J62</f>
        <v>0</v>
      </c>
      <c r="X62" s="48">
        <f>AD38*$J62</f>
        <v>0</v>
      </c>
      <c r="Y62" s="48">
        <f>AE38*$J62</f>
        <v>0</v>
      </c>
      <c r="Z62" s="48">
        <f>AF38*$J62</f>
        <v>0</v>
      </c>
      <c r="AA62" s="48">
        <f>AG38*$J62</f>
        <v>0</v>
      </c>
      <c r="AB62" s="48">
        <f t="shared" si="41"/>
        <v>0.23258169934640521</v>
      </c>
      <c r="AC62" s="48">
        <f t="shared" si="38"/>
        <v>0.23258169934640521</v>
      </c>
    </row>
    <row r="63" spans="2:29" x14ac:dyDescent="0.25">
      <c r="B63" s="1" t="s">
        <v>9</v>
      </c>
      <c r="C63" s="3" t="s">
        <v>54</v>
      </c>
      <c r="D63" s="48">
        <f t="shared" si="33"/>
        <v>0.6</v>
      </c>
      <c r="E63" s="48">
        <f t="shared" si="34"/>
        <v>0</v>
      </c>
      <c r="F63" s="48">
        <f t="shared" si="35"/>
        <v>0</v>
      </c>
      <c r="G63" s="48">
        <f t="shared" si="36"/>
        <v>1.7750987500000003E-2</v>
      </c>
      <c r="H63" s="48">
        <f t="shared" si="37"/>
        <v>0.61775098750000002</v>
      </c>
      <c r="I63" s="73">
        <v>1591.52</v>
      </c>
      <c r="J63" s="48">
        <f t="shared" si="39"/>
        <v>0.79576000000000002</v>
      </c>
      <c r="K63" s="48">
        <f>Q39</f>
        <v>0</v>
      </c>
      <c r="L63" s="48">
        <f>R39</f>
        <v>0</v>
      </c>
      <c r="M63" s="48">
        <f>S39</f>
        <v>0</v>
      </c>
      <c r="N63" s="48">
        <f>T39</f>
        <v>0</v>
      </c>
      <c r="O63" s="48">
        <f>U39</f>
        <v>0</v>
      </c>
      <c r="P63" s="48">
        <f>V39</f>
        <v>0</v>
      </c>
      <c r="Q63" s="48">
        <f>W39</f>
        <v>0</v>
      </c>
      <c r="R63" s="48">
        <f t="shared" si="40"/>
        <v>0</v>
      </c>
      <c r="S63" s="48">
        <f>Y39*$J63</f>
        <v>0</v>
      </c>
      <c r="T63" s="48">
        <f>Z39*$J63</f>
        <v>0</v>
      </c>
      <c r="U63" s="48">
        <f>AA39*$J63</f>
        <v>0</v>
      </c>
      <c r="V63" s="48">
        <f>AB39*$J63</f>
        <v>0</v>
      </c>
      <c r="W63" s="48">
        <f>AC39*$J63</f>
        <v>0</v>
      </c>
      <c r="X63" s="48">
        <f>AD39*$J63</f>
        <v>0</v>
      </c>
      <c r="Y63" s="48">
        <f>AE39*$J63</f>
        <v>0</v>
      </c>
      <c r="Z63" s="48">
        <f>AF39*$J63</f>
        <v>0</v>
      </c>
      <c r="AA63" s="48">
        <f>AG39*$J63</f>
        <v>0</v>
      </c>
      <c r="AB63" s="48">
        <f t="shared" si="41"/>
        <v>0</v>
      </c>
      <c r="AC63" s="48">
        <f t="shared" si="38"/>
        <v>0</v>
      </c>
    </row>
    <row r="64" spans="2:29" x14ac:dyDescent="0.25">
      <c r="B64" s="1" t="s">
        <v>10</v>
      </c>
      <c r="C64" s="3" t="s">
        <v>54</v>
      </c>
      <c r="D64" s="48">
        <f t="shared" si="33"/>
        <v>0.67349999999999999</v>
      </c>
      <c r="E64" s="48">
        <f t="shared" si="34"/>
        <v>0</v>
      </c>
      <c r="F64" s="48">
        <f t="shared" si="35"/>
        <v>0</v>
      </c>
      <c r="G64" s="48">
        <f t="shared" si="36"/>
        <v>0</v>
      </c>
      <c r="H64" s="48">
        <f t="shared" si="37"/>
        <v>0.67349999999999999</v>
      </c>
      <c r="I64" s="73">
        <v>1738.78</v>
      </c>
      <c r="J64" s="48">
        <f t="shared" si="39"/>
        <v>0.86939</v>
      </c>
      <c r="K64" s="48">
        <f>Q40</f>
        <v>0</v>
      </c>
      <c r="L64" s="48">
        <f>R40</f>
        <v>0</v>
      </c>
      <c r="M64" s="48">
        <f>S40</f>
        <v>0</v>
      </c>
      <c r="N64" s="48">
        <f>T40</f>
        <v>0</v>
      </c>
      <c r="O64" s="48">
        <f>U40</f>
        <v>0</v>
      </c>
      <c r="P64" s="48">
        <f>V40</f>
        <v>0</v>
      </c>
      <c r="Q64" s="48">
        <f>W40</f>
        <v>0</v>
      </c>
      <c r="R64" s="48">
        <f t="shared" si="40"/>
        <v>0</v>
      </c>
      <c r="S64" s="48">
        <f>Y40*$J64</f>
        <v>0</v>
      </c>
      <c r="T64" s="48">
        <f>Z40*$J64</f>
        <v>0</v>
      </c>
      <c r="U64" s="48">
        <f>AA40*$J64</f>
        <v>0</v>
      </c>
      <c r="V64" s="48">
        <f>AB40*$J64</f>
        <v>0</v>
      </c>
      <c r="W64" s="48">
        <f>AC40*$J64</f>
        <v>0</v>
      </c>
      <c r="X64" s="48">
        <f>AD40*$J64</f>
        <v>0</v>
      </c>
      <c r="Y64" s="48">
        <f>AE40*$J64</f>
        <v>0</v>
      </c>
      <c r="Z64" s="48">
        <f>AF40*$J64</f>
        <v>0</v>
      </c>
      <c r="AA64" s="48">
        <f>AG40*$J64</f>
        <v>0</v>
      </c>
      <c r="AB64" s="48">
        <f t="shared" si="41"/>
        <v>0</v>
      </c>
      <c r="AC64" s="48">
        <f t="shared" si="38"/>
        <v>0</v>
      </c>
    </row>
    <row r="65" spans="2:35" x14ac:dyDescent="0.25">
      <c r="B65" s="1" t="s">
        <v>11</v>
      </c>
      <c r="C65" s="3" t="s">
        <v>54</v>
      </c>
      <c r="D65" s="48">
        <f t="shared" si="33"/>
        <v>0.64649999999999996</v>
      </c>
      <c r="E65" s="48">
        <f t="shared" si="34"/>
        <v>0</v>
      </c>
      <c r="F65" s="48">
        <f t="shared" si="35"/>
        <v>0</v>
      </c>
      <c r="G65" s="48">
        <f t="shared" si="36"/>
        <v>0</v>
      </c>
      <c r="H65" s="48">
        <f t="shared" si="37"/>
        <v>0.64649999999999996</v>
      </c>
      <c r="I65" s="73">
        <v>1845.72</v>
      </c>
      <c r="J65" s="48">
        <f t="shared" si="39"/>
        <v>0.92286000000000001</v>
      </c>
      <c r="K65" s="48">
        <f>Q41</f>
        <v>0</v>
      </c>
      <c r="L65" s="48">
        <f>R41</f>
        <v>0</v>
      </c>
      <c r="M65" s="48">
        <f>S41</f>
        <v>0</v>
      </c>
      <c r="N65" s="48">
        <f>T41</f>
        <v>0</v>
      </c>
      <c r="O65" s="48">
        <f>U41</f>
        <v>0</v>
      </c>
      <c r="P65" s="48">
        <f>V41</f>
        <v>0</v>
      </c>
      <c r="Q65" s="48">
        <f>W41</f>
        <v>0</v>
      </c>
      <c r="R65" s="48">
        <f t="shared" si="40"/>
        <v>0</v>
      </c>
      <c r="S65" s="48">
        <f>Y41*$J65</f>
        <v>0</v>
      </c>
      <c r="T65" s="48">
        <f>Z41*$J65</f>
        <v>0</v>
      </c>
      <c r="U65" s="48">
        <f>AA41*$J65</f>
        <v>0</v>
      </c>
      <c r="V65" s="48">
        <f>AB41*$J65</f>
        <v>0</v>
      </c>
      <c r="W65" s="48">
        <f>AC41*$J65</f>
        <v>0</v>
      </c>
      <c r="X65" s="48">
        <f>AD41*$J65</f>
        <v>0</v>
      </c>
      <c r="Y65" s="48">
        <f>AE41*$J65</f>
        <v>0</v>
      </c>
      <c r="Z65" s="48">
        <f>AF41*$J65</f>
        <v>0</v>
      </c>
      <c r="AA65" s="48">
        <f>AG41*$J65</f>
        <v>6.7019607843137263E-2</v>
      </c>
      <c r="AB65" s="48">
        <f t="shared" si="41"/>
        <v>6.7019607843137263E-2</v>
      </c>
      <c r="AC65" s="48">
        <f t="shared" si="38"/>
        <v>6.7019607843137263E-2</v>
      </c>
    </row>
    <row r="66" spans="2:35" x14ac:dyDescent="0.25">
      <c r="B66" s="4" t="s">
        <v>83</v>
      </c>
      <c r="C66" s="6" t="s">
        <v>54</v>
      </c>
      <c r="D66" s="48">
        <f t="shared" si="33"/>
        <v>0</v>
      </c>
      <c r="E66" s="48">
        <f t="shared" si="34"/>
        <v>0</v>
      </c>
      <c r="F66" s="48">
        <f t="shared" si="35"/>
        <v>0</v>
      </c>
      <c r="G66" s="48">
        <f t="shared" si="36"/>
        <v>0</v>
      </c>
      <c r="H66" s="48">
        <f t="shared" si="37"/>
        <v>0</v>
      </c>
      <c r="I66" s="74"/>
      <c r="J66" s="48">
        <f t="shared" si="39"/>
        <v>0</v>
      </c>
      <c r="K66" s="48">
        <f>Q42</f>
        <v>0</v>
      </c>
      <c r="L66" s="48">
        <f>R42</f>
        <v>0</v>
      </c>
      <c r="M66" s="48">
        <f>S42</f>
        <v>0</v>
      </c>
      <c r="N66" s="48">
        <f>T42</f>
        <v>0</v>
      </c>
      <c r="O66" s="48">
        <f>U42</f>
        <v>0</v>
      </c>
      <c r="P66" s="48">
        <f>V42</f>
        <v>0</v>
      </c>
      <c r="Q66" s="48">
        <f>W42</f>
        <v>0</v>
      </c>
      <c r="R66" s="48">
        <f t="shared" si="40"/>
        <v>0</v>
      </c>
      <c r="S66" s="48">
        <f>Y42*$J66</f>
        <v>0</v>
      </c>
      <c r="T66" s="48">
        <f>Z42*$J66</f>
        <v>0</v>
      </c>
      <c r="U66" s="48">
        <f>AA42*$J66</f>
        <v>0</v>
      </c>
      <c r="V66" s="48">
        <f>AB42*$J66</f>
        <v>0</v>
      </c>
      <c r="W66" s="48">
        <f>AC42*$J66</f>
        <v>0</v>
      </c>
      <c r="X66" s="48">
        <f>AD42*$J66</f>
        <v>0</v>
      </c>
      <c r="Y66" s="48">
        <f>AE42*$J66</f>
        <v>0</v>
      </c>
      <c r="Z66" s="48">
        <f>AF42*$J66</f>
        <v>0</v>
      </c>
      <c r="AA66" s="48">
        <f>AG42*$J66</f>
        <v>0</v>
      </c>
      <c r="AB66" s="48">
        <f>SUM(S66:AA66)</f>
        <v>0</v>
      </c>
      <c r="AC66" s="48">
        <f t="shared" si="38"/>
        <v>0</v>
      </c>
    </row>
    <row r="67" spans="2:35" x14ac:dyDescent="0.25">
      <c r="B67" s="2"/>
      <c r="D67" s="8"/>
      <c r="E67" s="8"/>
      <c r="F67" s="8"/>
      <c r="G67" s="8"/>
      <c r="H67" s="8"/>
      <c r="AI67" s="51">
        <f>SUM(AC49:AC66)</f>
        <v>9.3671261860035315</v>
      </c>
    </row>
    <row r="69" spans="2:35" ht="30" x14ac:dyDescent="0.25">
      <c r="B69" s="15" t="s">
        <v>69</v>
      </c>
      <c r="C69" s="16" t="s">
        <v>118</v>
      </c>
      <c r="D69" s="15" t="s">
        <v>51</v>
      </c>
      <c r="E69" s="16" t="s">
        <v>48</v>
      </c>
      <c r="F69" s="16" t="s">
        <v>49</v>
      </c>
      <c r="G69" s="16" t="s">
        <v>50</v>
      </c>
      <c r="H69" s="10" t="s">
        <v>68</v>
      </c>
      <c r="I69" s="143" t="s">
        <v>138</v>
      </c>
      <c r="J69" s="144" t="s">
        <v>139</v>
      </c>
      <c r="K69" s="145" t="s">
        <v>140</v>
      </c>
    </row>
    <row r="70" spans="2:35" ht="15.75" thickBot="1" x14ac:dyDescent="0.3">
      <c r="B70" s="11"/>
      <c r="C70" s="12"/>
      <c r="D70" s="11" t="s">
        <v>39</v>
      </c>
      <c r="E70" s="12" t="s">
        <v>39</v>
      </c>
      <c r="F70" s="12" t="s">
        <v>39</v>
      </c>
      <c r="G70" s="12" t="s">
        <v>39</v>
      </c>
      <c r="H70" s="64" t="s">
        <v>40</v>
      </c>
      <c r="I70" s="146" t="s">
        <v>141</v>
      </c>
      <c r="J70" s="147" t="s">
        <v>141</v>
      </c>
      <c r="K70" s="148" t="s">
        <v>141</v>
      </c>
    </row>
    <row r="71" spans="2:35" ht="16.5" thickTop="1" thickBot="1" x14ac:dyDescent="0.3">
      <c r="B71" s="1" t="s">
        <v>52</v>
      </c>
      <c r="C71" s="2"/>
      <c r="D71" s="48">
        <f>SUMIFS(D$49:D$66,$C$49:$C$66,$B71)/$H71</f>
        <v>0.46655139842786925</v>
      </c>
      <c r="E71" s="48">
        <f t="shared" ref="E71:G73" si="42">SUMIFS(E$49:E$66,$C$49:$C$66,$B71)/$H71</f>
        <v>0.53344860157213059</v>
      </c>
      <c r="F71" s="48">
        <f t="shared" si="42"/>
        <v>0</v>
      </c>
      <c r="G71" s="48">
        <f t="shared" si="42"/>
        <v>0</v>
      </c>
      <c r="H71" s="48">
        <f>SUMIFS(H$49:H$66,$C$49:$C$66,$B71)</f>
        <v>31.231534942576321</v>
      </c>
      <c r="I71" s="140">
        <f>SUMIFS($R$49:$R$66,$C$49:$C$66,$B71)</f>
        <v>0</v>
      </c>
      <c r="J71" s="141">
        <f>SUMIFS($AB$49:$AB$66,$C$49:$C$66,$B71)</f>
        <v>5.1621450676302567</v>
      </c>
      <c r="K71" s="142">
        <f>SUMIFS($AC$49:$AC$66,$C$49:$C$66,$B71)</f>
        <v>5.1621450676302567</v>
      </c>
    </row>
    <row r="72" spans="2:35" ht="16.5" thickTop="1" thickBot="1" x14ac:dyDescent="0.3">
      <c r="B72" s="1" t="s">
        <v>53</v>
      </c>
      <c r="C72" s="2"/>
      <c r="D72" s="48">
        <f t="shared" ref="D72:D73" si="43">SUMIFS(D$49:D$66,$C$49:$C$66,$B72)/$H72</f>
        <v>0.76057993385805878</v>
      </c>
      <c r="E72" s="48">
        <f t="shared" si="42"/>
        <v>5.2889533508897447E-2</v>
      </c>
      <c r="F72" s="48">
        <f t="shared" si="42"/>
        <v>0.1811116674169263</v>
      </c>
      <c r="G72" s="48">
        <f t="shared" si="42"/>
        <v>5.4188652161175155E-3</v>
      </c>
      <c r="H72" s="48">
        <f t="shared" ref="H72:H73" si="44">SUMIFS($H$49:$H$66,$C$49:$C$66,$B72)</f>
        <v>19.020587501131303</v>
      </c>
      <c r="I72" s="124">
        <f>SUMIFS($R$49:$R$66,$C$49:$C$66,$B72)</f>
        <v>0.22875816993464054</v>
      </c>
      <c r="J72" s="125">
        <f>SUMIFS($AB$49:$AB$66,$C$49:$C$66,$B72)</f>
        <v>3.676621641249092</v>
      </c>
      <c r="K72" s="126">
        <f>SUMIFS($AC$49:$AC$66,$C$49:$C$66,$B72)</f>
        <v>3.9053798111837326</v>
      </c>
    </row>
    <row r="73" spans="2:35" ht="15.75" thickTop="1" x14ac:dyDescent="0.25">
      <c r="B73" s="4" t="s">
        <v>54</v>
      </c>
      <c r="C73" s="5"/>
      <c r="D73" s="48">
        <f t="shared" si="43"/>
        <v>0.98799337091700845</v>
      </c>
      <c r="E73" s="48">
        <f t="shared" si="42"/>
        <v>0</v>
      </c>
      <c r="F73" s="48">
        <f t="shared" si="42"/>
        <v>0</v>
      </c>
      <c r="G73" s="48">
        <f t="shared" si="42"/>
        <v>1.2006629082991707E-2</v>
      </c>
      <c r="H73" s="48">
        <f t="shared" si="44"/>
        <v>3.8153089999999996</v>
      </c>
      <c r="I73" s="127">
        <f>SUMIFS($R$49:$R$66,$C$49:$C$66,$B73)</f>
        <v>0</v>
      </c>
      <c r="J73" s="128">
        <f>SUMIFS($AB$49:$AB$66,$C$49:$C$66,$B73)</f>
        <v>0.29960130718954248</v>
      </c>
      <c r="K73" s="129">
        <f>SUMIFS($AC$49:$AC$66,$C$49:$C$66,$B73)</f>
        <v>0.29960130718954248</v>
      </c>
    </row>
    <row r="74" spans="2:35" x14ac:dyDescent="0.25">
      <c r="K74" s="51">
        <f>SUM(K71:K73)</f>
        <v>9.3671261860035315</v>
      </c>
    </row>
  </sheetData>
  <conditionalFormatting sqref="A5:BA46 A67:BA73 A47:AU66">
    <cfRule type="cellIs" dxfId="7" priority="6" operator="equal">
      <formula>0</formula>
    </cfRule>
  </conditionalFormatting>
  <conditionalFormatting sqref="AI10:AZ20">
    <cfRule type="expression" dxfId="6" priority="8">
      <formula>Q10&gt;0</formula>
    </cfRule>
  </conditionalFormatting>
  <conditionalFormatting sqref="R49:R66">
    <cfRule type="cellIs" dxfId="5" priority="4" operator="equal">
      <formula>0</formula>
    </cfRule>
  </conditionalFormatting>
  <conditionalFormatting sqref="AB49:AB66">
    <cfRule type="cellIs" dxfId="4" priority="3" operator="equal">
      <formula>0</formula>
    </cfRule>
  </conditionalFormatting>
  <conditionalFormatting sqref="I71:K73">
    <cfRule type="cellIs" dxfId="3" priority="2" operator="equal">
      <formula>0</formula>
    </cfRule>
  </conditionalFormatting>
  <conditionalFormatting sqref="BB2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tabSelected="1" zoomScale="70" zoomScaleNormal="70" workbookViewId="0">
      <pane xSplit="5" ySplit="10" topLeftCell="F11" activePane="bottomRight" state="frozen"/>
      <selection pane="topRight" activeCell="F1" sqref="F1"/>
      <selection pane="bottomLeft" activeCell="A6" sqref="A6"/>
      <selection pane="bottomRight" activeCell="B1" sqref="B1:B4"/>
    </sheetView>
  </sheetViews>
  <sheetFormatPr defaultRowHeight="15" outlineLevelCol="1" x14ac:dyDescent="0.25"/>
  <cols>
    <col min="1" max="1" width="4.42578125" customWidth="1"/>
    <col min="2" max="2" width="33.85546875" bestFit="1" customWidth="1"/>
    <col min="3" max="4" width="24" customWidth="1" outlineLevel="1"/>
    <col min="5" max="5" width="20.7109375" customWidth="1" outlineLevel="1"/>
    <col min="6" max="6" width="12.7109375" customWidth="1"/>
    <col min="7" max="7" width="17.28515625" bestFit="1" customWidth="1"/>
    <col min="8" max="8" width="14" bestFit="1" customWidth="1"/>
    <col min="9" max="9" width="24.28515625" bestFit="1" customWidth="1"/>
    <col min="10" max="10" width="26.42578125" bestFit="1" customWidth="1"/>
    <col min="11" max="11" width="25.28515625" bestFit="1" customWidth="1"/>
    <col min="12" max="12" width="19.7109375" customWidth="1"/>
    <col min="13" max="24" width="16.7109375" customWidth="1"/>
    <col min="25" max="25" width="16.28515625" bestFit="1" customWidth="1"/>
    <col min="26" max="26" width="22.140625" bestFit="1" customWidth="1"/>
    <col min="27" max="27" width="16.85546875" bestFit="1" customWidth="1"/>
    <col min="28" max="28" width="18.85546875" bestFit="1" customWidth="1"/>
    <col min="29" max="29" width="17.140625" bestFit="1" customWidth="1"/>
  </cols>
  <sheetData>
    <row r="1" spans="1:52" x14ac:dyDescent="0.25">
      <c r="B1" s="26" t="s">
        <v>162</v>
      </c>
    </row>
    <row r="2" spans="1:52" x14ac:dyDescent="0.25">
      <c r="B2" s="149" t="s">
        <v>159</v>
      </c>
    </row>
    <row r="3" spans="1:52" ht="15.75" thickBot="1" x14ac:dyDescent="0.3">
      <c r="B3" s="150" t="s">
        <v>160</v>
      </c>
    </row>
    <row r="4" spans="1:52" ht="16.5" thickTop="1" thickBot="1" x14ac:dyDescent="0.3">
      <c r="B4" s="151" t="s">
        <v>161</v>
      </c>
    </row>
    <row r="5" spans="1:52" ht="15.75" thickTop="1" x14ac:dyDescent="0.25"/>
    <row r="6" spans="1:52" ht="28.5" x14ac:dyDescent="0.45">
      <c r="B6" s="62" t="s">
        <v>45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</row>
    <row r="7" spans="1:52" x14ac:dyDescent="0.25">
      <c r="A7" s="26"/>
      <c r="I7" s="51">
        <f>SUM(I16,I18,I19)</f>
        <v>0.99999718931377113</v>
      </c>
      <c r="R7" s="51">
        <f>SUM(R16,R18,R19)</f>
        <v>3.3629905476622124</v>
      </c>
      <c r="X7" s="2"/>
      <c r="Y7" s="2"/>
      <c r="Z7" s="2"/>
      <c r="AA7" s="2"/>
      <c r="AB7" s="2"/>
    </row>
    <row r="8" spans="1:52" x14ac:dyDescent="0.25">
      <c r="B8" s="19"/>
      <c r="C8" s="15"/>
      <c r="D8" s="16"/>
      <c r="E8" s="10"/>
      <c r="F8" s="112" t="s">
        <v>1</v>
      </c>
      <c r="G8" s="112"/>
      <c r="H8" s="113"/>
      <c r="I8" s="114" t="s">
        <v>33</v>
      </c>
      <c r="J8" s="112"/>
      <c r="K8" s="113"/>
      <c r="L8" s="35" t="s">
        <v>34</v>
      </c>
      <c r="M8" s="36"/>
      <c r="N8" s="36"/>
      <c r="O8" s="36"/>
      <c r="P8" s="36"/>
      <c r="Q8" s="36"/>
      <c r="R8" s="36"/>
      <c r="S8" s="36"/>
      <c r="T8" s="36"/>
      <c r="U8" s="10"/>
      <c r="V8" s="10"/>
      <c r="W8" s="10"/>
      <c r="X8" s="10"/>
      <c r="Y8" s="2"/>
      <c r="Z8" s="2"/>
      <c r="AA8" s="2"/>
      <c r="AB8" s="2"/>
    </row>
    <row r="9" spans="1:52" s="41" customFormat="1" ht="30" x14ac:dyDescent="0.25">
      <c r="B9" s="42" t="s">
        <v>44</v>
      </c>
      <c r="C9" s="43" t="s">
        <v>41</v>
      </c>
      <c r="D9" s="44" t="s">
        <v>42</v>
      </c>
      <c r="E9" s="45" t="s">
        <v>43</v>
      </c>
      <c r="F9" s="44" t="s">
        <v>30</v>
      </c>
      <c r="G9" s="44" t="s">
        <v>31</v>
      </c>
      <c r="H9" s="45" t="s">
        <v>32</v>
      </c>
      <c r="I9" s="43" t="s">
        <v>147</v>
      </c>
      <c r="J9" s="44" t="s">
        <v>148</v>
      </c>
      <c r="K9" s="45" t="s">
        <v>6</v>
      </c>
      <c r="L9" s="43" t="s">
        <v>55</v>
      </c>
      <c r="M9" s="44" t="s">
        <v>56</v>
      </c>
      <c r="N9" s="44" t="s">
        <v>57</v>
      </c>
      <c r="O9" s="44" t="s">
        <v>58</v>
      </c>
      <c r="P9" s="44" t="s">
        <v>59</v>
      </c>
      <c r="Q9" s="44" t="s">
        <v>60</v>
      </c>
      <c r="R9" s="44" t="s">
        <v>61</v>
      </c>
      <c r="S9" s="44" t="s">
        <v>62</v>
      </c>
      <c r="T9" s="44" t="s">
        <v>63</v>
      </c>
      <c r="U9" s="46" t="s">
        <v>64</v>
      </c>
      <c r="V9" s="46" t="s">
        <v>65</v>
      </c>
      <c r="W9" s="46" t="s">
        <v>66</v>
      </c>
      <c r="X9" s="46" t="s">
        <v>47</v>
      </c>
      <c r="Y9" s="47"/>
      <c r="Z9" s="44"/>
      <c r="AA9" s="44"/>
      <c r="AB9" s="44"/>
    </row>
    <row r="10" spans="1:52" ht="15.75" thickBot="1" x14ac:dyDescent="0.3">
      <c r="B10" s="20"/>
      <c r="C10" s="11"/>
      <c r="D10" s="12"/>
      <c r="E10" s="13"/>
      <c r="F10" s="12" t="s">
        <v>0</v>
      </c>
      <c r="G10" s="12" t="s">
        <v>0</v>
      </c>
      <c r="H10" s="13" t="s">
        <v>0</v>
      </c>
      <c r="I10" s="11" t="s">
        <v>39</v>
      </c>
      <c r="J10" s="12" t="s">
        <v>39</v>
      </c>
      <c r="K10" s="13" t="s">
        <v>39</v>
      </c>
      <c r="L10" s="11" t="s">
        <v>40</v>
      </c>
      <c r="M10" s="12" t="s">
        <v>40</v>
      </c>
      <c r="N10" s="12" t="s">
        <v>40</v>
      </c>
      <c r="O10" s="12" t="s">
        <v>40</v>
      </c>
      <c r="P10" s="12" t="s">
        <v>40</v>
      </c>
      <c r="Q10" s="12" t="s">
        <v>40</v>
      </c>
      <c r="R10" s="12" t="s">
        <v>40</v>
      </c>
      <c r="S10" s="12" t="s">
        <v>40</v>
      </c>
      <c r="T10" s="12" t="s">
        <v>40</v>
      </c>
      <c r="U10" s="13" t="s">
        <v>40</v>
      </c>
      <c r="V10" s="13" t="s">
        <v>40</v>
      </c>
      <c r="W10" s="13" t="s">
        <v>40</v>
      </c>
      <c r="X10" s="13" t="s">
        <v>40</v>
      </c>
      <c r="Y10" s="2"/>
      <c r="Z10" s="2"/>
      <c r="AA10" s="2"/>
      <c r="AB10" s="2"/>
    </row>
    <row r="11" spans="1:52" ht="15.75" thickTop="1" x14ac:dyDescent="0.25">
      <c r="B11" s="80" t="s">
        <v>76</v>
      </c>
      <c r="C11" s="14" t="s">
        <v>145</v>
      </c>
      <c r="D11" s="14" t="s">
        <v>145</v>
      </c>
      <c r="E11" s="14"/>
      <c r="F11" s="83">
        <v>10586.7</v>
      </c>
      <c r="G11" s="89">
        <v>10586.7</v>
      </c>
      <c r="H11" s="89">
        <v>0</v>
      </c>
      <c r="I11" s="115">
        <f t="shared" ref="I11:I15" si="0">F11/SUMIFS($F$31:$F$41,$B$31:$B$41,$C11)</f>
        <v>0.59222980532557623</v>
      </c>
      <c r="J11" s="115" t="str">
        <f t="shared" ref="J11:J15" si="1">IFERROR(IF($C11=$D11,"-",G11/SUMIFS($F$31:$F$41,$B$31:$B$41,$D11)),"-")</f>
        <v>-</v>
      </c>
      <c r="K11" s="115" t="str">
        <f t="shared" ref="K11:K15" si="2">IFERROR(H11/SUMIFS($L$31:$L$41,$B$31:$B$41,$E11),"-")</f>
        <v>-</v>
      </c>
      <c r="L11" s="115">
        <f t="shared" ref="L11:L16" si="3">$I11*SUMIFS($G$31:$G$41,$B$31:$B$41,$C11)</f>
        <v>8.6294397163795029</v>
      </c>
      <c r="M11" s="115" t="str">
        <f t="shared" ref="M11:M15" si="4">IFERROR(IF($C11=$D11,"-",$J11*SUMIFS($G$31:$G$41,$B$31:$B$41,$D11)),"-")</f>
        <v>-</v>
      </c>
      <c r="N11" s="115">
        <f t="shared" ref="N11:N15" si="5">SUM(L11:M11)</f>
        <v>8.6294397163795029</v>
      </c>
      <c r="O11" s="115">
        <f t="shared" ref="O11:O15" si="6">$I11*SUMIFS($I$31:$I$41,$B$31:$B$41,$C11)</f>
        <v>9.8667854486462296</v>
      </c>
      <c r="P11" s="115" t="str">
        <f t="shared" ref="P11:P15" si="7">IFERROR(IF($C11=$D11,"-",$J11*SUMIFS($I$31:$I$41,$B$31:$B$41,$D11)),"-")</f>
        <v>-</v>
      </c>
      <c r="Q11" s="115">
        <f t="shared" ref="Q11:Q15" si="8">SUM(O11:P11)</f>
        <v>9.8667854486462296</v>
      </c>
      <c r="R11" s="115">
        <f t="shared" ref="R11:R15" si="9">$I11*SUMIFS($K$31:$K$41,$B$31:$B$41,$C11)</f>
        <v>0</v>
      </c>
      <c r="S11" s="115" t="str">
        <f t="shared" ref="S11:S15" si="10">IFERROR(IF($C11=$D11,"-",$J11*SUMIFS($K$31:$K$41,$B$31:$B$41,$D11)),"-")</f>
        <v>-</v>
      </c>
      <c r="T11" s="115">
        <f t="shared" ref="T11:T15" si="11">SUM(R11:S11)</f>
        <v>0</v>
      </c>
      <c r="U11" s="116" t="str">
        <f t="shared" ref="U11:U15" si="12">IFERROR(K11*SUMIFS($M$31:$M$41,$B$31:$B$41,$E11),"-")</f>
        <v>-</v>
      </c>
      <c r="V11" s="115">
        <f t="shared" ref="V11:V15" si="13">L11+O11+R11</f>
        <v>18.496225165025734</v>
      </c>
      <c r="W11" s="115" t="str">
        <f t="shared" ref="W11:W15" si="14">IFERROR(M11+P11+S11,"-")</f>
        <v>-</v>
      </c>
      <c r="X11" s="115">
        <f t="shared" ref="X11:X15" si="15">IFERROR(SUM($N11,$Q11,$T11,$U11),"-")</f>
        <v>18.496225165025734</v>
      </c>
      <c r="Y11" s="2"/>
      <c r="Z11" s="8"/>
      <c r="AA11" s="2"/>
      <c r="AB11" s="2"/>
    </row>
    <row r="12" spans="1:52" x14ac:dyDescent="0.25">
      <c r="B12" s="17" t="s">
        <v>77</v>
      </c>
      <c r="C12" s="14" t="s">
        <v>145</v>
      </c>
      <c r="D12" s="14" t="s">
        <v>145</v>
      </c>
      <c r="E12" s="14"/>
      <c r="F12" s="84">
        <v>2231.7600000000002</v>
      </c>
      <c r="G12" s="90">
        <v>2231.7600000000002</v>
      </c>
      <c r="H12" s="90">
        <v>0</v>
      </c>
      <c r="I12" s="115">
        <f t="shared" si="0"/>
        <v>0.12484672186171404</v>
      </c>
      <c r="J12" s="116" t="str">
        <f t="shared" si="1"/>
        <v>-</v>
      </c>
      <c r="K12" s="115" t="str">
        <f t="shared" si="2"/>
        <v>-</v>
      </c>
      <c r="L12" s="115">
        <f t="shared" si="3"/>
        <v>1.8191540689192214</v>
      </c>
      <c r="M12" s="115" t="str">
        <f t="shared" si="4"/>
        <v>-</v>
      </c>
      <c r="N12" s="115">
        <f t="shared" si="5"/>
        <v>1.8191540689192214</v>
      </c>
      <c r="O12" s="115">
        <f t="shared" si="6"/>
        <v>2.0799963249049007</v>
      </c>
      <c r="P12" s="115" t="str">
        <f t="shared" si="7"/>
        <v>-</v>
      </c>
      <c r="Q12" s="115">
        <f t="shared" si="8"/>
        <v>2.0799963249049007</v>
      </c>
      <c r="R12" s="115">
        <f t="shared" si="9"/>
        <v>0</v>
      </c>
      <c r="S12" s="115" t="str">
        <f t="shared" si="10"/>
        <v>-</v>
      </c>
      <c r="T12" s="115">
        <f t="shared" si="11"/>
        <v>0</v>
      </c>
      <c r="U12" s="115" t="str">
        <f t="shared" si="12"/>
        <v>-</v>
      </c>
      <c r="V12" s="115">
        <f t="shared" si="13"/>
        <v>3.8991503938241223</v>
      </c>
      <c r="W12" s="116" t="str">
        <f t="shared" si="14"/>
        <v>-</v>
      </c>
      <c r="X12" s="115">
        <f t="shared" si="15"/>
        <v>3.8991503938241223</v>
      </c>
      <c r="Y12" s="2"/>
      <c r="Z12" s="2"/>
      <c r="AA12" s="2"/>
      <c r="AB12" s="2"/>
    </row>
    <row r="13" spans="1:52" x14ac:dyDescent="0.25">
      <c r="B13" s="17" t="s">
        <v>78</v>
      </c>
      <c r="C13" s="14" t="s">
        <v>145</v>
      </c>
      <c r="D13" s="14" t="s">
        <v>145</v>
      </c>
      <c r="E13" s="14"/>
      <c r="F13" s="84">
        <v>1412.9</v>
      </c>
      <c r="G13" s="90">
        <v>1412.9</v>
      </c>
      <c r="H13" s="90">
        <v>0</v>
      </c>
      <c r="I13" s="115">
        <f t="shared" si="0"/>
        <v>7.90389348847617E-2</v>
      </c>
      <c r="J13" s="116" t="str">
        <f t="shared" si="1"/>
        <v>-</v>
      </c>
      <c r="K13" s="115" t="str">
        <f t="shared" si="2"/>
        <v>-</v>
      </c>
      <c r="L13" s="115">
        <f t="shared" si="3"/>
        <v>1.1516842240993512</v>
      </c>
      <c r="M13" s="115" t="str">
        <f t="shared" si="4"/>
        <v>-</v>
      </c>
      <c r="N13" s="115">
        <f t="shared" si="5"/>
        <v>1.1516842240993512</v>
      </c>
      <c r="O13" s="115">
        <f t="shared" si="6"/>
        <v>1.3168202707540837</v>
      </c>
      <c r="P13" s="115" t="str">
        <f t="shared" si="7"/>
        <v>-</v>
      </c>
      <c r="Q13" s="115">
        <f t="shared" si="8"/>
        <v>1.3168202707540837</v>
      </c>
      <c r="R13" s="115">
        <f t="shared" si="9"/>
        <v>0</v>
      </c>
      <c r="S13" s="115" t="str">
        <f t="shared" si="10"/>
        <v>-</v>
      </c>
      <c r="T13" s="115">
        <f t="shared" si="11"/>
        <v>0</v>
      </c>
      <c r="U13" s="115" t="str">
        <f t="shared" si="12"/>
        <v>-</v>
      </c>
      <c r="V13" s="115">
        <f t="shared" si="13"/>
        <v>2.4685044948534349</v>
      </c>
      <c r="W13" s="116" t="str">
        <f t="shared" si="14"/>
        <v>-</v>
      </c>
      <c r="X13" s="115">
        <f t="shared" si="15"/>
        <v>2.4685044948534349</v>
      </c>
      <c r="Y13" s="2"/>
      <c r="Z13" s="2"/>
      <c r="AA13" s="2"/>
      <c r="AB13" s="2"/>
    </row>
    <row r="14" spans="1:52" x14ac:dyDescent="0.25">
      <c r="B14" s="17" t="s">
        <v>79</v>
      </c>
      <c r="C14" s="14" t="s">
        <v>145</v>
      </c>
      <c r="D14" s="14" t="s">
        <v>145</v>
      </c>
      <c r="E14" s="14"/>
      <c r="F14" s="84">
        <v>2231.7600000000002</v>
      </c>
      <c r="G14" s="90">
        <v>2231.7600000000002</v>
      </c>
      <c r="H14" s="90">
        <v>0</v>
      </c>
      <c r="I14" s="115">
        <f t="shared" si="0"/>
        <v>0.12484672186171404</v>
      </c>
      <c r="J14" s="116" t="str">
        <f t="shared" si="1"/>
        <v>-</v>
      </c>
      <c r="K14" s="116" t="str">
        <f t="shared" si="2"/>
        <v>-</v>
      </c>
      <c r="L14" s="115">
        <f t="shared" si="3"/>
        <v>1.8191540689192214</v>
      </c>
      <c r="M14" s="115" t="str">
        <f t="shared" si="4"/>
        <v>-</v>
      </c>
      <c r="N14" s="115">
        <f t="shared" si="5"/>
        <v>1.8191540689192214</v>
      </c>
      <c r="O14" s="115">
        <f t="shared" si="6"/>
        <v>2.0799963249049007</v>
      </c>
      <c r="P14" s="115" t="str">
        <f t="shared" si="7"/>
        <v>-</v>
      </c>
      <c r="Q14" s="115">
        <f t="shared" si="8"/>
        <v>2.0799963249049007</v>
      </c>
      <c r="R14" s="115">
        <f t="shared" si="9"/>
        <v>0</v>
      </c>
      <c r="S14" s="115" t="str">
        <f t="shared" si="10"/>
        <v>-</v>
      </c>
      <c r="T14" s="115">
        <f t="shared" si="11"/>
        <v>0</v>
      </c>
      <c r="U14" s="116" t="str">
        <f t="shared" si="12"/>
        <v>-</v>
      </c>
      <c r="V14" s="115">
        <f t="shared" si="13"/>
        <v>3.8991503938241223</v>
      </c>
      <c r="W14" s="116" t="str">
        <f t="shared" si="14"/>
        <v>-</v>
      </c>
      <c r="X14" s="115">
        <f t="shared" si="15"/>
        <v>3.8991503938241223</v>
      </c>
      <c r="Y14" s="2"/>
      <c r="Z14" s="2"/>
      <c r="AA14" s="2"/>
      <c r="AB14" s="2"/>
    </row>
    <row r="15" spans="1:52" x14ac:dyDescent="0.25">
      <c r="B15" s="18" t="s">
        <v>80</v>
      </c>
      <c r="C15" s="14" t="s">
        <v>145</v>
      </c>
      <c r="D15" s="14" t="s">
        <v>145</v>
      </c>
      <c r="E15" s="14"/>
      <c r="F15" s="85">
        <v>1412.8</v>
      </c>
      <c r="G15" s="91">
        <v>1412.8</v>
      </c>
      <c r="H15" s="91">
        <v>0</v>
      </c>
      <c r="I15" s="115">
        <f t="shared" si="0"/>
        <v>7.9033340792123513E-2</v>
      </c>
      <c r="J15" s="116" t="str">
        <f t="shared" si="1"/>
        <v>-</v>
      </c>
      <c r="K15" s="116" t="str">
        <f t="shared" si="2"/>
        <v>-</v>
      </c>
      <c r="L15" s="115">
        <f t="shared" si="3"/>
        <v>1.151602712016111</v>
      </c>
      <c r="M15" s="115" t="str">
        <f t="shared" si="4"/>
        <v>-</v>
      </c>
      <c r="N15" s="115">
        <f t="shared" si="5"/>
        <v>1.151602712016111</v>
      </c>
      <c r="O15" s="115">
        <f t="shared" si="6"/>
        <v>1.3167270709330945</v>
      </c>
      <c r="P15" s="115" t="str">
        <f t="shared" si="7"/>
        <v>-</v>
      </c>
      <c r="Q15" s="115">
        <f t="shared" si="8"/>
        <v>1.3167270709330945</v>
      </c>
      <c r="R15" s="115">
        <f t="shared" si="9"/>
        <v>0</v>
      </c>
      <c r="S15" s="115" t="str">
        <f t="shared" si="10"/>
        <v>-</v>
      </c>
      <c r="T15" s="115">
        <f t="shared" si="11"/>
        <v>0</v>
      </c>
      <c r="U15" s="116" t="str">
        <f t="shared" si="12"/>
        <v>-</v>
      </c>
      <c r="V15" s="115">
        <f t="shared" si="13"/>
        <v>2.4683297829492057</v>
      </c>
      <c r="W15" s="116" t="str">
        <f t="shared" si="14"/>
        <v>-</v>
      </c>
      <c r="X15" s="115">
        <f t="shared" si="15"/>
        <v>2.4683297829492057</v>
      </c>
      <c r="Y15" s="2"/>
      <c r="Z15" s="2"/>
      <c r="AA15" s="2"/>
      <c r="AB15" s="2"/>
    </row>
    <row r="16" spans="1:52" x14ac:dyDescent="0.25">
      <c r="B16" s="17" t="s">
        <v>19</v>
      </c>
      <c r="C16" s="14" t="s">
        <v>72</v>
      </c>
      <c r="D16" s="14" t="s">
        <v>25</v>
      </c>
      <c r="E16" s="14"/>
      <c r="F16" s="83">
        <v>10586.7</v>
      </c>
      <c r="G16" s="89">
        <v>10586.7</v>
      </c>
      <c r="H16" s="89">
        <v>0</v>
      </c>
      <c r="I16" s="115">
        <f>F16/SUMIFS($F$31:$F$41,$B$31:$B$41,$C16)</f>
        <v>0.74389729752519085</v>
      </c>
      <c r="J16" s="115" t="str">
        <f>IFERROR(IF($C16=$D16,"-",G16/SUMIFS($F$31:$F$41,$B$31:$B$41,$D16)),"-")</f>
        <v>-</v>
      </c>
      <c r="K16" s="115" t="str">
        <f>IFERROR(H16/SUMIFS($L$31:$L$41,$B$31:$B$41,$E16),"-")</f>
        <v>-</v>
      </c>
      <c r="L16" s="115">
        <f t="shared" si="3"/>
        <v>8.6854472869851183</v>
      </c>
      <c r="M16" s="115" t="str">
        <f>IFERROR(IF($C16=$D16,"-",$J16*SUMIFS($G$31:$G$41,$B$31:$B$41,$D16)),"-")</f>
        <v>-</v>
      </c>
      <c r="N16" s="115">
        <f>SUM(L16:M16)</f>
        <v>8.6854472869851183</v>
      </c>
      <c r="O16" s="115">
        <f>$I16*SUMIFS($I$31:$I$41,$B$31:$B$41,$C16)</f>
        <v>0</v>
      </c>
      <c r="P16" s="115" t="str">
        <f>IFERROR(IF($C16=$D16,"-",$J16*SUMIFS($I$31:$I$41,$B$31:$B$41,$D16)),"-")</f>
        <v>-</v>
      </c>
      <c r="Q16" s="115">
        <f>SUM(O16:P16)</f>
        <v>0</v>
      </c>
      <c r="R16" s="115">
        <f>$I16*SUMIFS($K$31:$K$41,$B$31:$B$41,$C16)</f>
        <v>2.501726611577217</v>
      </c>
      <c r="S16" s="115" t="str">
        <f>IFERROR(IF($C16=$D16,"-",$J16*SUMIFS($K$31:$K$41,$B$31:$B$41,$D16)),"-")</f>
        <v>-</v>
      </c>
      <c r="T16" s="115">
        <f>SUM(R16:S16)</f>
        <v>2.501726611577217</v>
      </c>
      <c r="U16" s="116" t="str">
        <f>IFERROR(K16*SUMIFS($M$31:$M$41,$B$31:$B$41,$E16),"-")</f>
        <v>-</v>
      </c>
      <c r="V16" s="115">
        <f>L16+O16+R16</f>
        <v>11.187173898562335</v>
      </c>
      <c r="W16" s="115" t="str">
        <f>IFERROR(M16+P16+S16,"-")</f>
        <v>-</v>
      </c>
      <c r="X16" s="115">
        <f t="shared" ref="X16:X25" si="16">IFERROR(SUM($N16,$Q16,$T16,$U16),"-")</f>
        <v>11.187173898562335</v>
      </c>
      <c r="Y16" s="2"/>
      <c r="Z16" s="2"/>
      <c r="AA16" s="2"/>
      <c r="AB16" s="2"/>
    </row>
    <row r="17" spans="2:29" x14ac:dyDescent="0.25">
      <c r="B17" s="17" t="s">
        <v>20</v>
      </c>
      <c r="C17" s="14" t="s">
        <v>24</v>
      </c>
      <c r="D17" s="14" t="s">
        <v>24</v>
      </c>
      <c r="E17" s="14" t="s">
        <v>26</v>
      </c>
      <c r="F17" s="84">
        <v>2231.7600000000002</v>
      </c>
      <c r="G17" s="90">
        <v>2231.7600000000002</v>
      </c>
      <c r="H17" s="90">
        <v>500</v>
      </c>
      <c r="I17" s="115">
        <f t="shared" ref="I17:I25" si="17">F17/SUMIFS($F$31:$F$41,$B$31:$B$41,$C17)</f>
        <v>0.61235375463704811</v>
      </c>
      <c r="J17" s="116" t="str">
        <f t="shared" ref="J17:J25" si="18">IFERROR(IF($C17=$D17,"-",G17/SUMIFS($F$31:$F$41,$B$31:$B$41,$D17)),"-")</f>
        <v>-</v>
      </c>
      <c r="K17" s="115">
        <f t="shared" ref="K17:K25" si="19">IFERROR(H17/SUMIFS($L$31:$L$41,$B$31:$B$41,$E17),"-")</f>
        <v>0.55555555555555558</v>
      </c>
      <c r="L17" s="115">
        <f t="shared" ref="L17:L25" si="20">$I17*SUMIFS($G$31:$G$41,$B$31:$B$41,$C17)</f>
        <v>1.7091466881050115</v>
      </c>
      <c r="M17" s="115" t="str">
        <f t="shared" ref="M17:M25" si="21">IFERROR(IF($C17=$D17,"-",$J17*SUMIFS($G$31:$G$41,$B$31:$B$41,$D17)),"-")</f>
        <v>-</v>
      </c>
      <c r="N17" s="115">
        <f t="shared" ref="N17:N25" si="22">SUM(L17:M17)</f>
        <v>1.7091466881050115</v>
      </c>
      <c r="O17" s="115">
        <f t="shared" ref="O17:O25" si="23">$I17*SUMIFS($I$31:$I$41,$B$31:$B$41,$C17)</f>
        <v>0.68210697082775418</v>
      </c>
      <c r="P17" s="115" t="str">
        <f t="shared" ref="P17:P25" si="24">IFERROR(IF($C17=$D17,"-",$J17*SUMIFS($I$31:$I$41,$B$31:$B$41,$D17)),"-")</f>
        <v>-</v>
      </c>
      <c r="Q17" s="115">
        <f t="shared" ref="Q17:Q25" si="25">SUM(O17:P17)</f>
        <v>0.68210697082775418</v>
      </c>
      <c r="R17" s="115">
        <f t="shared" ref="R17:R25" si="26">$I17*SUMIFS($K$31:$K$41,$B$31:$B$41,$C17)</f>
        <v>0</v>
      </c>
      <c r="S17" s="115" t="str">
        <f t="shared" ref="S17:S25" si="27">IFERROR(IF($C17=$D17,"-",$J17*SUMIFS($K$31:$K$41,$B$31:$B$41,$D17)),"-")</f>
        <v>-</v>
      </c>
      <c r="T17" s="115">
        <f t="shared" ref="T17:T25" si="28">SUM(R17:S17)</f>
        <v>0</v>
      </c>
      <c r="U17" s="115">
        <f t="shared" ref="U17:U25" si="29">IFERROR(K17*SUMIFS($M$31:$M$41,$B$31:$B$41,$E17),"-")</f>
        <v>5.726111111111111E-2</v>
      </c>
      <c r="V17" s="115">
        <f t="shared" ref="V17:V25" si="30">L17+O17+R17</f>
        <v>2.3912536589327655</v>
      </c>
      <c r="W17" s="116" t="str">
        <f t="shared" ref="W17:W25" si="31">IFERROR(M17+P17+S17,"-")</f>
        <v>-</v>
      </c>
      <c r="X17" s="115">
        <f t="shared" si="16"/>
        <v>2.4485147700438765</v>
      </c>
      <c r="Y17" s="2"/>
      <c r="Z17" s="2"/>
      <c r="AA17" s="2"/>
      <c r="AB17" s="2"/>
    </row>
    <row r="18" spans="2:29" x14ac:dyDescent="0.25">
      <c r="B18" s="17" t="s">
        <v>21</v>
      </c>
      <c r="C18" s="14" t="s">
        <v>72</v>
      </c>
      <c r="D18" s="14" t="s">
        <v>25</v>
      </c>
      <c r="E18" s="14" t="s">
        <v>26</v>
      </c>
      <c r="F18" s="84">
        <v>1412.9</v>
      </c>
      <c r="G18" s="90">
        <v>1412.9</v>
      </c>
      <c r="H18" s="90">
        <v>400</v>
      </c>
      <c r="I18" s="115">
        <f t="shared" si="17"/>
        <v>9.9280464325365053E-2</v>
      </c>
      <c r="J18" s="116" t="str">
        <f t="shared" si="18"/>
        <v>-</v>
      </c>
      <c r="K18" s="115">
        <f t="shared" si="19"/>
        <v>0.44444444444444442</v>
      </c>
      <c r="L18" s="115">
        <f t="shared" si="20"/>
        <v>1.159158989277232</v>
      </c>
      <c r="M18" s="115" t="str">
        <f t="shared" si="21"/>
        <v>-</v>
      </c>
      <c r="N18" s="115">
        <f t="shared" si="22"/>
        <v>1.159158989277232</v>
      </c>
      <c r="O18" s="115">
        <f t="shared" si="23"/>
        <v>0</v>
      </c>
      <c r="P18" s="115" t="str">
        <f t="shared" si="24"/>
        <v>-</v>
      </c>
      <c r="Q18" s="115">
        <f t="shared" si="25"/>
        <v>0</v>
      </c>
      <c r="R18" s="115">
        <f t="shared" si="26"/>
        <v>0.33388020152620268</v>
      </c>
      <c r="S18" s="115" t="str">
        <f t="shared" si="27"/>
        <v>-</v>
      </c>
      <c r="T18" s="115">
        <f t="shared" si="28"/>
        <v>0.33388020152620268</v>
      </c>
      <c r="U18" s="115">
        <f t="shared" si="29"/>
        <v>4.5808888888888885E-2</v>
      </c>
      <c r="V18" s="115">
        <f t="shared" si="30"/>
        <v>1.4930391908034348</v>
      </c>
      <c r="W18" s="116" t="str">
        <f t="shared" si="31"/>
        <v>-</v>
      </c>
      <c r="X18" s="115">
        <f t="shared" si="16"/>
        <v>1.5388480796923236</v>
      </c>
      <c r="Y18" s="2"/>
      <c r="Z18" s="2"/>
      <c r="AA18" s="2"/>
      <c r="AB18" s="2"/>
    </row>
    <row r="19" spans="2:29" x14ac:dyDescent="0.25">
      <c r="B19" s="17" t="s">
        <v>22</v>
      </c>
      <c r="C19" s="14" t="s">
        <v>72</v>
      </c>
      <c r="D19" s="14" t="s">
        <v>25</v>
      </c>
      <c r="E19" s="14"/>
      <c r="F19" s="84">
        <v>2231.7600000000002</v>
      </c>
      <c r="G19" s="90">
        <v>2231.7600000000002</v>
      </c>
      <c r="H19" s="90">
        <v>0</v>
      </c>
      <c r="I19" s="115">
        <f t="shared" si="17"/>
        <v>0.15681942746321517</v>
      </c>
      <c r="J19" s="116" t="str">
        <f t="shared" si="18"/>
        <v>-</v>
      </c>
      <c r="K19" s="116" t="str">
        <f t="shared" si="19"/>
        <v>-</v>
      </c>
      <c r="L19" s="115">
        <f t="shared" si="20"/>
        <v>1.830960907289515</v>
      </c>
      <c r="M19" s="115" t="str">
        <f t="shared" si="21"/>
        <v>-</v>
      </c>
      <c r="N19" s="115">
        <f t="shared" si="22"/>
        <v>1.830960907289515</v>
      </c>
      <c r="O19" s="115">
        <f t="shared" si="23"/>
        <v>0</v>
      </c>
      <c r="P19" s="115" t="str">
        <f t="shared" si="24"/>
        <v>-</v>
      </c>
      <c r="Q19" s="115">
        <f t="shared" si="25"/>
        <v>0</v>
      </c>
      <c r="R19" s="115">
        <f t="shared" si="26"/>
        <v>0.52738373455879262</v>
      </c>
      <c r="S19" s="115" t="str">
        <f t="shared" si="27"/>
        <v>-</v>
      </c>
      <c r="T19" s="115">
        <f t="shared" si="28"/>
        <v>0.52738373455879262</v>
      </c>
      <c r="U19" s="116" t="str">
        <f t="shared" si="29"/>
        <v>-</v>
      </c>
      <c r="V19" s="115">
        <f t="shared" si="30"/>
        <v>2.3583446418483076</v>
      </c>
      <c r="W19" s="116" t="str">
        <f t="shared" si="31"/>
        <v>-</v>
      </c>
      <c r="X19" s="115">
        <f t="shared" si="16"/>
        <v>2.3583446418483076</v>
      </c>
      <c r="Y19" s="2"/>
      <c r="Z19" s="2"/>
      <c r="AA19" s="2"/>
      <c r="AB19" s="2"/>
    </row>
    <row r="20" spans="2:29" x14ac:dyDescent="0.25">
      <c r="B20" s="18" t="s">
        <v>23</v>
      </c>
      <c r="C20" s="14" t="s">
        <v>24</v>
      </c>
      <c r="D20" s="14" t="s">
        <v>24</v>
      </c>
      <c r="E20" s="14"/>
      <c r="F20" s="85">
        <v>1412.8</v>
      </c>
      <c r="G20" s="91">
        <v>1412.8</v>
      </c>
      <c r="H20" s="91">
        <v>0</v>
      </c>
      <c r="I20" s="115">
        <f t="shared" si="17"/>
        <v>0.38764624536295189</v>
      </c>
      <c r="J20" s="116" t="str">
        <f t="shared" si="18"/>
        <v>-</v>
      </c>
      <c r="K20" s="116" t="str">
        <f t="shared" si="19"/>
        <v>-</v>
      </c>
      <c r="L20" s="115">
        <f t="shared" si="20"/>
        <v>1.0819633118949887</v>
      </c>
      <c r="M20" s="115" t="str">
        <f t="shared" si="21"/>
        <v>-</v>
      </c>
      <c r="N20" s="115">
        <f t="shared" si="22"/>
        <v>1.0819633118949887</v>
      </c>
      <c r="O20" s="115">
        <f t="shared" si="23"/>
        <v>0.43180302917224572</v>
      </c>
      <c r="P20" s="115" t="str">
        <f t="shared" si="24"/>
        <v>-</v>
      </c>
      <c r="Q20" s="115">
        <f t="shared" si="25"/>
        <v>0.43180302917224572</v>
      </c>
      <c r="R20" s="115">
        <f t="shared" si="26"/>
        <v>0</v>
      </c>
      <c r="S20" s="115" t="str">
        <f t="shared" si="27"/>
        <v>-</v>
      </c>
      <c r="T20" s="115">
        <f t="shared" si="28"/>
        <v>0</v>
      </c>
      <c r="U20" s="116" t="str">
        <f t="shared" si="29"/>
        <v>-</v>
      </c>
      <c r="V20" s="115">
        <f t="shared" si="30"/>
        <v>1.5137663410672344</v>
      </c>
      <c r="W20" s="116" t="str">
        <f t="shared" si="31"/>
        <v>-</v>
      </c>
      <c r="X20" s="115">
        <f t="shared" si="16"/>
        <v>1.5137663410672344</v>
      </c>
      <c r="Y20" s="2"/>
      <c r="Z20" s="2"/>
      <c r="AA20" s="2"/>
      <c r="AB20" s="2"/>
    </row>
    <row r="21" spans="2:29" x14ac:dyDescent="0.25">
      <c r="B21" s="17" t="s">
        <v>7</v>
      </c>
      <c r="C21" s="14" t="s">
        <v>12</v>
      </c>
      <c r="D21" s="14" t="s">
        <v>17</v>
      </c>
      <c r="E21" s="14"/>
      <c r="F21" s="84">
        <v>3000</v>
      </c>
      <c r="G21" s="90">
        <v>1165</v>
      </c>
      <c r="H21" s="90">
        <v>0</v>
      </c>
      <c r="I21" s="115">
        <f t="shared" si="17"/>
        <v>1</v>
      </c>
      <c r="J21" s="115">
        <f t="shared" si="18"/>
        <v>0.74440894568690097</v>
      </c>
      <c r="K21" s="115" t="str">
        <f t="shared" si="19"/>
        <v>-</v>
      </c>
      <c r="L21" s="116">
        <f t="shared" si="20"/>
        <v>0.9</v>
      </c>
      <c r="M21" s="115">
        <f t="shared" si="21"/>
        <v>0.34949999999999998</v>
      </c>
      <c r="N21" s="115">
        <f t="shared" si="22"/>
        <v>1.2495000000000001</v>
      </c>
      <c r="O21" s="115">
        <f t="shared" si="23"/>
        <v>0</v>
      </c>
      <c r="P21" s="115">
        <f t="shared" si="24"/>
        <v>0</v>
      </c>
      <c r="Q21" s="115">
        <f t="shared" si="25"/>
        <v>0</v>
      </c>
      <c r="R21" s="115">
        <f t="shared" si="26"/>
        <v>0</v>
      </c>
      <c r="S21" s="115">
        <f t="shared" si="27"/>
        <v>0</v>
      </c>
      <c r="T21" s="115">
        <f t="shared" si="28"/>
        <v>0</v>
      </c>
      <c r="U21" s="116" t="str">
        <f t="shared" si="29"/>
        <v>-</v>
      </c>
      <c r="V21" s="115">
        <f t="shared" si="30"/>
        <v>0.9</v>
      </c>
      <c r="W21" s="115">
        <f>IFERROR(M21+P21+S21,"-")</f>
        <v>0.34949999999999998</v>
      </c>
      <c r="X21" s="115">
        <f t="shared" si="16"/>
        <v>1.2495000000000001</v>
      </c>
      <c r="Y21" s="2"/>
      <c r="Z21" s="2"/>
      <c r="AA21" s="2"/>
      <c r="AB21" s="2"/>
    </row>
    <row r="22" spans="2:29" x14ac:dyDescent="0.25">
      <c r="B22" s="17" t="s">
        <v>8</v>
      </c>
      <c r="C22" s="14" t="s">
        <v>13</v>
      </c>
      <c r="D22" s="14"/>
      <c r="E22" s="14" t="s">
        <v>18</v>
      </c>
      <c r="F22" s="84">
        <v>2000</v>
      </c>
      <c r="G22" s="90">
        <v>2000</v>
      </c>
      <c r="H22" s="90">
        <v>245</v>
      </c>
      <c r="I22" s="115">
        <f t="shared" si="17"/>
        <v>1</v>
      </c>
      <c r="J22" s="115" t="str">
        <f t="shared" si="18"/>
        <v>-</v>
      </c>
      <c r="K22" s="115">
        <f t="shared" si="19"/>
        <v>0.61250000000000004</v>
      </c>
      <c r="L22" s="116">
        <f t="shared" si="20"/>
        <v>0.6</v>
      </c>
      <c r="M22" s="115" t="str">
        <f t="shared" si="21"/>
        <v>-</v>
      </c>
      <c r="N22" s="115">
        <f t="shared" si="22"/>
        <v>0.6</v>
      </c>
      <c r="O22" s="115">
        <f t="shared" si="23"/>
        <v>0</v>
      </c>
      <c r="P22" s="115" t="str">
        <f t="shared" si="24"/>
        <v>-</v>
      </c>
      <c r="Q22" s="115">
        <f t="shared" si="25"/>
        <v>0</v>
      </c>
      <c r="R22" s="115">
        <f t="shared" si="26"/>
        <v>0</v>
      </c>
      <c r="S22" s="115" t="str">
        <f t="shared" si="27"/>
        <v>-</v>
      </c>
      <c r="T22" s="115">
        <f t="shared" si="28"/>
        <v>0</v>
      </c>
      <c r="U22" s="115">
        <f t="shared" si="29"/>
        <v>2.8058012500000003E-2</v>
      </c>
      <c r="V22" s="115">
        <f t="shared" si="30"/>
        <v>0.6</v>
      </c>
      <c r="W22" s="115" t="str">
        <f t="shared" si="31"/>
        <v>-</v>
      </c>
      <c r="X22" s="115">
        <f t="shared" si="16"/>
        <v>0.62805801249999993</v>
      </c>
      <c r="Y22" s="2"/>
      <c r="Z22" s="2"/>
      <c r="AA22" s="2"/>
      <c r="AB22" s="2"/>
    </row>
    <row r="23" spans="2:29" x14ac:dyDescent="0.25">
      <c r="B23" s="17" t="s">
        <v>9</v>
      </c>
      <c r="C23" s="14" t="s">
        <v>14</v>
      </c>
      <c r="D23" s="14"/>
      <c r="E23" s="14" t="s">
        <v>18</v>
      </c>
      <c r="F23" s="84">
        <v>2000</v>
      </c>
      <c r="G23" s="90">
        <v>2000</v>
      </c>
      <c r="H23" s="90">
        <v>155</v>
      </c>
      <c r="I23" s="115">
        <f t="shared" si="17"/>
        <v>1</v>
      </c>
      <c r="J23" s="115" t="str">
        <f t="shared" si="18"/>
        <v>-</v>
      </c>
      <c r="K23" s="115">
        <f t="shared" si="19"/>
        <v>0.38750000000000001</v>
      </c>
      <c r="L23" s="116">
        <f t="shared" si="20"/>
        <v>0.6</v>
      </c>
      <c r="M23" s="115" t="str">
        <f t="shared" si="21"/>
        <v>-</v>
      </c>
      <c r="N23" s="115">
        <f t="shared" si="22"/>
        <v>0.6</v>
      </c>
      <c r="O23" s="115">
        <f t="shared" si="23"/>
        <v>0</v>
      </c>
      <c r="P23" s="115" t="str">
        <f t="shared" si="24"/>
        <v>-</v>
      </c>
      <c r="Q23" s="115">
        <f t="shared" si="25"/>
        <v>0</v>
      </c>
      <c r="R23" s="115">
        <f t="shared" si="26"/>
        <v>0</v>
      </c>
      <c r="S23" s="115" t="str">
        <f t="shared" si="27"/>
        <v>-</v>
      </c>
      <c r="T23" s="115">
        <f t="shared" si="28"/>
        <v>0</v>
      </c>
      <c r="U23" s="115">
        <f t="shared" si="29"/>
        <v>1.7750987500000003E-2</v>
      </c>
      <c r="V23" s="115">
        <f t="shared" si="30"/>
        <v>0.6</v>
      </c>
      <c r="W23" s="115" t="str">
        <f t="shared" si="31"/>
        <v>-</v>
      </c>
      <c r="X23" s="115">
        <f t="shared" si="16"/>
        <v>0.61775098750000002</v>
      </c>
      <c r="Y23" s="2"/>
      <c r="Z23" s="2"/>
      <c r="AA23" s="2"/>
      <c r="AB23" s="2"/>
    </row>
    <row r="24" spans="2:29" x14ac:dyDescent="0.25">
      <c r="B24" s="17" t="s">
        <v>10</v>
      </c>
      <c r="C24" s="14" t="s">
        <v>15</v>
      </c>
      <c r="D24" s="14" t="s">
        <v>17</v>
      </c>
      <c r="E24" s="14"/>
      <c r="F24" s="84">
        <v>2000</v>
      </c>
      <c r="G24" s="90">
        <v>245</v>
      </c>
      <c r="H24" s="90">
        <v>0</v>
      </c>
      <c r="I24" s="115">
        <f t="shared" si="17"/>
        <v>1</v>
      </c>
      <c r="J24" s="115">
        <f t="shared" si="18"/>
        <v>0.15654952076677317</v>
      </c>
      <c r="K24" s="115" t="str">
        <f t="shared" si="19"/>
        <v>-</v>
      </c>
      <c r="L24" s="116">
        <f>$I24*SUMIFS($G$31:$G$41,$B$31:$B$41,$C24)</f>
        <v>0.6</v>
      </c>
      <c r="M24" s="115">
        <f t="shared" si="21"/>
        <v>7.3499999999999996E-2</v>
      </c>
      <c r="N24" s="115">
        <f t="shared" si="22"/>
        <v>0.67349999999999999</v>
      </c>
      <c r="O24" s="115">
        <f t="shared" si="23"/>
        <v>0</v>
      </c>
      <c r="P24" s="115">
        <f t="shared" si="24"/>
        <v>0</v>
      </c>
      <c r="Q24" s="115">
        <f t="shared" si="25"/>
        <v>0</v>
      </c>
      <c r="R24" s="115">
        <f t="shared" si="26"/>
        <v>0</v>
      </c>
      <c r="S24" s="115">
        <f t="shared" si="27"/>
        <v>0</v>
      </c>
      <c r="T24" s="115">
        <f t="shared" si="28"/>
        <v>0</v>
      </c>
      <c r="U24" s="116" t="str">
        <f t="shared" si="29"/>
        <v>-</v>
      </c>
      <c r="V24" s="115">
        <f t="shared" si="30"/>
        <v>0.6</v>
      </c>
      <c r="W24" s="115">
        <f t="shared" si="31"/>
        <v>7.3499999999999996E-2</v>
      </c>
      <c r="X24" s="115">
        <f t="shared" si="16"/>
        <v>0.67349999999999999</v>
      </c>
      <c r="Y24" s="2"/>
      <c r="Z24" s="2"/>
      <c r="AA24" s="2"/>
      <c r="AB24" s="2"/>
    </row>
    <row r="25" spans="2:29" x14ac:dyDescent="0.25">
      <c r="B25" s="18" t="s">
        <v>11</v>
      </c>
      <c r="C25" s="14" t="s">
        <v>16</v>
      </c>
      <c r="D25" s="14" t="s">
        <v>17</v>
      </c>
      <c r="E25" s="14"/>
      <c r="F25" s="84">
        <v>2000</v>
      </c>
      <c r="G25" s="90">
        <v>155</v>
      </c>
      <c r="H25" s="90">
        <v>0</v>
      </c>
      <c r="I25" s="115">
        <f t="shared" si="17"/>
        <v>1</v>
      </c>
      <c r="J25" s="115">
        <f t="shared" si="18"/>
        <v>9.9041533546325874E-2</v>
      </c>
      <c r="K25" s="115" t="str">
        <f t="shared" si="19"/>
        <v>-</v>
      </c>
      <c r="L25" s="116">
        <f t="shared" si="20"/>
        <v>0.6</v>
      </c>
      <c r="M25" s="115">
        <f t="shared" si="21"/>
        <v>4.6499999999999993E-2</v>
      </c>
      <c r="N25" s="115">
        <f t="shared" si="22"/>
        <v>0.64649999999999996</v>
      </c>
      <c r="O25" s="115">
        <f t="shared" si="23"/>
        <v>0</v>
      </c>
      <c r="P25" s="115">
        <f t="shared" si="24"/>
        <v>0</v>
      </c>
      <c r="Q25" s="115">
        <f t="shared" si="25"/>
        <v>0</v>
      </c>
      <c r="R25" s="115">
        <f t="shared" si="26"/>
        <v>0</v>
      </c>
      <c r="S25" s="115">
        <f t="shared" si="27"/>
        <v>0</v>
      </c>
      <c r="T25" s="115">
        <f t="shared" si="28"/>
        <v>0</v>
      </c>
      <c r="U25" s="116" t="str">
        <f t="shared" si="29"/>
        <v>-</v>
      </c>
      <c r="V25" s="115">
        <f t="shared" si="30"/>
        <v>0.6</v>
      </c>
      <c r="W25" s="115">
        <f t="shared" si="31"/>
        <v>4.6499999999999993E-2</v>
      </c>
      <c r="X25" s="115">
        <f t="shared" si="16"/>
        <v>0.64649999999999996</v>
      </c>
      <c r="Y25" s="2"/>
      <c r="Z25" s="2"/>
      <c r="AA25" s="2"/>
      <c r="AB25" s="2"/>
    </row>
    <row r="26" spans="2:29" x14ac:dyDescent="0.25">
      <c r="G26" s="92"/>
      <c r="H26" s="92"/>
      <c r="Y26" s="2"/>
      <c r="Z26" s="2"/>
      <c r="AA26" s="2"/>
      <c r="AB26" s="2"/>
      <c r="AC26" s="2"/>
    </row>
    <row r="27" spans="2:29" x14ac:dyDescent="0.25">
      <c r="G27" s="92"/>
      <c r="H27" s="92"/>
      <c r="Y27" s="2"/>
      <c r="Z27" s="2"/>
      <c r="AA27" s="2"/>
      <c r="AB27" s="2"/>
      <c r="AC27" s="2"/>
    </row>
    <row r="28" spans="2:29" x14ac:dyDescent="0.25">
      <c r="B28" s="15"/>
      <c r="C28" s="16"/>
      <c r="D28" s="16"/>
      <c r="E28" s="16"/>
      <c r="F28" s="15"/>
      <c r="G28" s="93"/>
      <c r="H28" s="93"/>
      <c r="I28" s="16"/>
      <c r="J28" s="16"/>
      <c r="K28" s="16"/>
      <c r="L28" s="16"/>
      <c r="M28" s="16"/>
      <c r="N28" s="10"/>
      <c r="O28" s="15"/>
      <c r="P28" s="16"/>
      <c r="Q28" s="16"/>
      <c r="R28" s="16"/>
      <c r="S28" s="10"/>
      <c r="Y28" s="2"/>
      <c r="Z28" s="2"/>
      <c r="AA28" s="2"/>
      <c r="AB28" s="2"/>
      <c r="AC28" s="2"/>
    </row>
    <row r="29" spans="2:29" ht="30" x14ac:dyDescent="0.25">
      <c r="B29" s="1" t="s">
        <v>2</v>
      </c>
      <c r="C29" s="2"/>
      <c r="D29" s="2"/>
      <c r="E29" s="2"/>
      <c r="F29" s="1" t="s">
        <v>27</v>
      </c>
      <c r="G29" s="94" t="s">
        <v>35</v>
      </c>
      <c r="H29" s="94" t="s">
        <v>28</v>
      </c>
      <c r="I29" s="2" t="s">
        <v>36</v>
      </c>
      <c r="J29" s="2" t="s">
        <v>29</v>
      </c>
      <c r="K29" s="2" t="s">
        <v>37</v>
      </c>
      <c r="L29" s="2" t="s">
        <v>3</v>
      </c>
      <c r="M29" s="2" t="s">
        <v>38</v>
      </c>
      <c r="N29" s="45" t="s">
        <v>68</v>
      </c>
      <c r="O29" s="45" t="s">
        <v>68</v>
      </c>
      <c r="P29" s="2" t="s">
        <v>51</v>
      </c>
      <c r="Q29" s="2" t="s">
        <v>48</v>
      </c>
      <c r="R29" s="2" t="s">
        <v>49</v>
      </c>
      <c r="S29" s="3" t="s">
        <v>50</v>
      </c>
    </row>
    <row r="30" spans="2:29" ht="15.75" thickBot="1" x14ac:dyDescent="0.3">
      <c r="B30" s="11"/>
      <c r="C30" s="12"/>
      <c r="D30" s="12"/>
      <c r="E30" s="12"/>
      <c r="F30" s="11" t="s">
        <v>0</v>
      </c>
      <c r="G30" s="95" t="s">
        <v>40</v>
      </c>
      <c r="H30" s="95" t="s">
        <v>0</v>
      </c>
      <c r="I30" s="12" t="s">
        <v>40</v>
      </c>
      <c r="J30" s="12" t="s">
        <v>0</v>
      </c>
      <c r="K30" s="12" t="s">
        <v>40</v>
      </c>
      <c r="L30" s="12" t="s">
        <v>0</v>
      </c>
      <c r="M30" s="12" t="s">
        <v>40</v>
      </c>
      <c r="N30" s="13" t="s">
        <v>40</v>
      </c>
      <c r="O30" s="28" t="s">
        <v>40</v>
      </c>
      <c r="P30" s="12" t="s">
        <v>39</v>
      </c>
      <c r="Q30" s="12" t="s">
        <v>39</v>
      </c>
      <c r="R30" s="12" t="s">
        <v>39</v>
      </c>
      <c r="S30" s="13" t="s">
        <v>39</v>
      </c>
      <c r="T30" s="79"/>
    </row>
    <row r="31" spans="2:29" ht="15.75" thickTop="1" x14ac:dyDescent="0.25">
      <c r="B31" s="81" t="s">
        <v>145</v>
      </c>
      <c r="C31" s="82"/>
      <c r="D31" s="82"/>
      <c r="E31" s="82"/>
      <c r="F31" s="110">
        <v>17876</v>
      </c>
      <c r="G31" s="104">
        <v>14.571099999999999</v>
      </c>
      <c r="H31" s="103">
        <v>16088.3</v>
      </c>
      <c r="I31" s="104">
        <v>16.660399999999999</v>
      </c>
      <c r="J31" s="105"/>
      <c r="K31" s="104"/>
      <c r="L31" s="106"/>
      <c r="M31" s="104">
        <v>0</v>
      </c>
      <c r="N31" s="107">
        <f>SUM(G31,I31,K31,M31)</f>
        <v>31.231499999999997</v>
      </c>
      <c r="O31" s="108">
        <f t="shared" ref="O31" si="32">SUMIFS($V$11:$V$25,$C$11:$C$25,$B31)+SUMIFS($W$11:$W$25,$D$11:$D$25,$B31)+SUMIFS($U$11:$U$25,$E$11:$E$25,$B31)</f>
        <v>31.231360230476618</v>
      </c>
      <c r="P31" s="109">
        <f t="shared" ref="P31" si="33">(SUMIFS($L$11:$L$25,$C$11:$C$25,$B31)+SUMIFS($M$11:$M$25,$D$11:$D$25,$B31))/$O31</f>
        <v>0.4665513984278693</v>
      </c>
      <c r="Q31" s="38">
        <f t="shared" ref="Q31" si="34">(SUMIFS($O$11:$O$25,$C$11:$C$25,$B31)+SUMIFS($P$11:$P$25,$D$11:$D$25,$B31))/$O31</f>
        <v>0.53344860157213081</v>
      </c>
      <c r="R31" s="38">
        <f t="shared" ref="R31" si="35">(SUMIFS($R$11:$R$25,$C$11:$C$25,$B31)+SUMIFS($S$11:$S$25,$D$11:$D$25,$B31))/$O31</f>
        <v>0</v>
      </c>
      <c r="S31" s="40">
        <f t="shared" ref="S31" si="36">SUMIFS($U$11:$U$25,$E$11:$E$25,$B31)/$O31</f>
        <v>0</v>
      </c>
      <c r="T31" s="79"/>
    </row>
    <row r="32" spans="2:29" x14ac:dyDescent="0.25">
      <c r="B32" s="1" t="s">
        <v>24</v>
      </c>
      <c r="C32" s="2"/>
      <c r="D32" s="2"/>
      <c r="E32" s="2"/>
      <c r="F32" s="86">
        <v>3644.56</v>
      </c>
      <c r="G32" s="99">
        <v>2.7911100000000002</v>
      </c>
      <c r="H32" s="89">
        <v>3280.11</v>
      </c>
      <c r="I32" s="99">
        <v>1.11391</v>
      </c>
      <c r="J32" s="96"/>
      <c r="K32" s="99"/>
      <c r="L32" s="21"/>
      <c r="M32" s="99">
        <v>0</v>
      </c>
      <c r="N32" s="49">
        <f>SUM(G32,I32,K32,M32)</f>
        <v>3.9050200000000004</v>
      </c>
      <c r="O32" s="102">
        <f>SUMIFS($V$11:$V$25,$C$11:$C$25,$B32)+SUMIFS($W$11:$W$25,$D$11:$D$25,$B32)+SUMIFS($U$11:$U$25,$E$11:$E$25,$B32)</f>
        <v>3.9050199999999999</v>
      </c>
      <c r="P32" s="8">
        <f>(SUMIFS($L$11:$L$25,$C$11:$C$25,$B32)+SUMIFS($M$11:$M$25,$D$11:$D$25,$B32))/$O32</f>
        <v>0.71474922023446752</v>
      </c>
      <c r="Q32" s="37">
        <f>(SUMIFS($O$11:$O$25,$C$11:$C$25,$B32)+SUMIFS($P$11:$P$25,$D$11:$D$25,$B32))/$O32</f>
        <v>0.28525077976553259</v>
      </c>
      <c r="R32" s="37">
        <f>(SUMIFS($R$11:$R$25,$C$11:$C$25,$B32)+SUMIFS($S$11:$S$25,$D$11:$D$25,$B32))/$O32</f>
        <v>0</v>
      </c>
      <c r="S32" s="39">
        <f>SUMIFS($U$11:$U$25,$E$11:$E$25,$B32)/$O32</f>
        <v>0</v>
      </c>
    </row>
    <row r="33" spans="1:52" x14ac:dyDescent="0.25">
      <c r="B33" s="1" t="s">
        <v>72</v>
      </c>
      <c r="C33" s="2"/>
      <c r="D33" s="2"/>
      <c r="E33" s="2"/>
      <c r="F33" s="87">
        <v>14231.4</v>
      </c>
      <c r="G33" s="100">
        <v>11.675599999999999</v>
      </c>
      <c r="H33" s="90"/>
      <c r="I33" s="100"/>
      <c r="J33" s="97">
        <v>13830.5</v>
      </c>
      <c r="K33" s="100">
        <v>3.363</v>
      </c>
      <c r="L33" s="27"/>
      <c r="M33" s="100">
        <v>0</v>
      </c>
      <c r="N33" s="48">
        <f t="shared" ref="N33:N41" si="37">SUM(G33,I33,K33,M33)</f>
        <v>15.038599999999999</v>
      </c>
      <c r="O33" s="7">
        <f t="shared" ref="O33:O41" si="38">SUMIFS($V$11:$V$25,$C$11:$C$25,$B33)+SUMIFS($W$11:$W$25,$D$11:$D$25,$B33)+SUMIFS($U$11:$U$25,$E$11:$E$25,$B33)</f>
        <v>15.038557731214077</v>
      </c>
      <c r="P33" s="8">
        <f t="shared" ref="P33:P41" si="39">(SUMIFS($L$11:$L$25,$C$11:$C$25,$B33)+SUMIFS($M$11:$M$25,$D$11:$D$25,$B33))/$O33</f>
        <v>0.77637546048169381</v>
      </c>
      <c r="Q33" s="37">
        <f t="shared" ref="Q33:Q41" si="40">(SUMIFS($O$11:$O$25,$C$11:$C$25,$B33)+SUMIFS($P$11:$P$25,$D$11:$D$25,$B33))/$O33</f>
        <v>0</v>
      </c>
      <c r="R33" s="37">
        <f t="shared" ref="R33:R41" si="41">(SUMIFS($R$11:$R$25,$C$11:$C$25,$B33)+SUMIFS($S$11:$S$25,$D$11:$D$25,$B33))/$O33</f>
        <v>0.22362453951830627</v>
      </c>
      <c r="S33" s="39">
        <f t="shared" ref="S33:S41" si="42">SUMIFS($U$11:$U$25,$E$11:$E$25,$B33)/$O33</f>
        <v>0</v>
      </c>
    </row>
    <row r="34" spans="1:52" x14ac:dyDescent="0.25">
      <c r="B34" s="4" t="s">
        <v>26</v>
      </c>
      <c r="C34" s="5"/>
      <c r="D34" s="5"/>
      <c r="E34" s="5"/>
      <c r="F34" s="88">
        <v>0</v>
      </c>
      <c r="G34" s="101">
        <v>0</v>
      </c>
      <c r="H34" s="91"/>
      <c r="I34" s="101"/>
      <c r="J34" s="98"/>
      <c r="K34" s="101"/>
      <c r="L34" s="22">
        <v>900</v>
      </c>
      <c r="M34" s="101">
        <v>0.10306999999999999</v>
      </c>
      <c r="N34" s="50">
        <f t="shared" si="37"/>
        <v>0.10306999999999999</v>
      </c>
      <c r="O34" s="23">
        <f t="shared" si="38"/>
        <v>0.10306999999999999</v>
      </c>
      <c r="P34" s="9">
        <f t="shared" si="39"/>
        <v>0</v>
      </c>
      <c r="Q34" s="38">
        <f t="shared" si="40"/>
        <v>0</v>
      </c>
      <c r="R34" s="38">
        <f t="shared" si="41"/>
        <v>0</v>
      </c>
      <c r="S34" s="40">
        <f t="shared" si="42"/>
        <v>1</v>
      </c>
    </row>
    <row r="35" spans="1:52" x14ac:dyDescent="0.25">
      <c r="B35" s="1" t="s">
        <v>12</v>
      </c>
      <c r="C35" s="2"/>
      <c r="D35" s="2"/>
      <c r="E35" s="2"/>
      <c r="F35" s="87">
        <f>F21</f>
        <v>3000</v>
      </c>
      <c r="G35" s="100">
        <v>0.9</v>
      </c>
      <c r="H35" s="90"/>
      <c r="I35" s="100"/>
      <c r="J35" s="97"/>
      <c r="K35" s="100"/>
      <c r="L35" s="27"/>
      <c r="M35" s="100">
        <v>0</v>
      </c>
      <c r="N35" s="49">
        <f t="shared" si="37"/>
        <v>0.9</v>
      </c>
      <c r="O35" s="7">
        <f t="shared" si="38"/>
        <v>0.9</v>
      </c>
      <c r="P35" s="8">
        <f t="shared" si="39"/>
        <v>1</v>
      </c>
      <c r="Q35" s="37">
        <f t="shared" si="40"/>
        <v>0</v>
      </c>
      <c r="R35" s="37">
        <f t="shared" si="41"/>
        <v>0</v>
      </c>
      <c r="S35" s="39">
        <f t="shared" si="42"/>
        <v>0</v>
      </c>
    </row>
    <row r="36" spans="1:52" x14ac:dyDescent="0.25">
      <c r="B36" s="1" t="s">
        <v>13</v>
      </c>
      <c r="C36" s="2"/>
      <c r="D36" s="2"/>
      <c r="E36" s="2"/>
      <c r="F36" s="87">
        <v>2000</v>
      </c>
      <c r="G36" s="100">
        <v>0.6</v>
      </c>
      <c r="H36" s="90"/>
      <c r="I36" s="100"/>
      <c r="J36" s="97"/>
      <c r="K36" s="100"/>
      <c r="L36" s="27"/>
      <c r="M36" s="100">
        <v>0</v>
      </c>
      <c r="N36" s="48">
        <f t="shared" si="37"/>
        <v>0.6</v>
      </c>
      <c r="O36" s="7">
        <f t="shared" si="38"/>
        <v>0.6</v>
      </c>
      <c r="P36" s="8">
        <f t="shared" si="39"/>
        <v>1</v>
      </c>
      <c r="Q36" s="37">
        <f t="shared" si="40"/>
        <v>0</v>
      </c>
      <c r="R36" s="37">
        <f t="shared" si="41"/>
        <v>0</v>
      </c>
      <c r="S36" s="39">
        <f t="shared" si="42"/>
        <v>0</v>
      </c>
    </row>
    <row r="37" spans="1:52" x14ac:dyDescent="0.25">
      <c r="B37" s="1" t="s">
        <v>14</v>
      </c>
      <c r="C37" s="2"/>
      <c r="D37" s="2"/>
      <c r="E37" s="2"/>
      <c r="F37" s="87">
        <v>2000</v>
      </c>
      <c r="G37" s="100">
        <v>0.6</v>
      </c>
      <c r="H37" s="90"/>
      <c r="I37" s="100"/>
      <c r="J37" s="97"/>
      <c r="K37" s="100"/>
      <c r="L37" s="27"/>
      <c r="M37" s="100">
        <v>0</v>
      </c>
      <c r="N37" s="48">
        <f t="shared" si="37"/>
        <v>0.6</v>
      </c>
      <c r="O37" s="7">
        <f t="shared" si="38"/>
        <v>0.6</v>
      </c>
      <c r="P37" s="8">
        <f t="shared" si="39"/>
        <v>1</v>
      </c>
      <c r="Q37" s="37">
        <f t="shared" si="40"/>
        <v>0</v>
      </c>
      <c r="R37" s="37">
        <f t="shared" si="41"/>
        <v>0</v>
      </c>
      <c r="S37" s="39">
        <f t="shared" si="42"/>
        <v>0</v>
      </c>
    </row>
    <row r="38" spans="1:52" x14ac:dyDescent="0.25">
      <c r="B38" s="1" t="s">
        <v>15</v>
      </c>
      <c r="C38" s="2"/>
      <c r="D38" s="2"/>
      <c r="E38" s="2"/>
      <c r="F38" s="87">
        <v>2000</v>
      </c>
      <c r="G38" s="100">
        <v>0.6</v>
      </c>
      <c r="H38" s="90"/>
      <c r="I38" s="100"/>
      <c r="J38" s="97"/>
      <c r="K38" s="100"/>
      <c r="L38" s="27"/>
      <c r="M38" s="100">
        <v>0</v>
      </c>
      <c r="N38" s="48">
        <f t="shared" si="37"/>
        <v>0.6</v>
      </c>
      <c r="O38" s="7">
        <f t="shared" si="38"/>
        <v>0.6</v>
      </c>
      <c r="P38" s="8">
        <f t="shared" si="39"/>
        <v>1</v>
      </c>
      <c r="Q38" s="37">
        <f t="shared" si="40"/>
        <v>0</v>
      </c>
      <c r="R38" s="37">
        <f t="shared" si="41"/>
        <v>0</v>
      </c>
      <c r="S38" s="39">
        <f t="shared" si="42"/>
        <v>0</v>
      </c>
    </row>
    <row r="39" spans="1:52" x14ac:dyDescent="0.25">
      <c r="B39" s="1" t="s">
        <v>16</v>
      </c>
      <c r="C39" s="2"/>
      <c r="D39" s="2"/>
      <c r="E39" s="2"/>
      <c r="F39" s="87">
        <v>2000</v>
      </c>
      <c r="G39" s="100">
        <v>0.6</v>
      </c>
      <c r="H39" s="90"/>
      <c r="I39" s="100"/>
      <c r="J39" s="97"/>
      <c r="K39" s="100"/>
      <c r="L39" s="27"/>
      <c r="M39" s="100">
        <v>0</v>
      </c>
      <c r="N39" s="48">
        <f t="shared" si="37"/>
        <v>0.6</v>
      </c>
      <c r="O39" s="7">
        <f t="shared" si="38"/>
        <v>0.6</v>
      </c>
      <c r="P39" s="8">
        <f t="shared" si="39"/>
        <v>1</v>
      </c>
      <c r="Q39" s="37">
        <f t="shared" si="40"/>
        <v>0</v>
      </c>
      <c r="R39" s="37">
        <f t="shared" si="41"/>
        <v>0</v>
      </c>
      <c r="S39" s="39">
        <f t="shared" si="42"/>
        <v>0</v>
      </c>
    </row>
    <row r="40" spans="1:52" x14ac:dyDescent="0.25">
      <c r="B40" s="1" t="s">
        <v>17</v>
      </c>
      <c r="C40" s="2"/>
      <c r="D40" s="2"/>
      <c r="E40" s="2"/>
      <c r="F40" s="87">
        <f>SUM(G21,G24:G25)</f>
        <v>1565</v>
      </c>
      <c r="G40" s="100">
        <v>0.46949999999999997</v>
      </c>
      <c r="H40" s="90"/>
      <c r="I40" s="100"/>
      <c r="J40" s="97"/>
      <c r="K40" s="100"/>
      <c r="L40" s="27"/>
      <c r="M40" s="100">
        <v>0</v>
      </c>
      <c r="N40" s="48">
        <f t="shared" si="37"/>
        <v>0.46949999999999997</v>
      </c>
      <c r="O40" s="7">
        <f t="shared" si="38"/>
        <v>0.46949999999999997</v>
      </c>
      <c r="P40" s="8">
        <f t="shared" si="39"/>
        <v>1</v>
      </c>
      <c r="Q40" s="37">
        <f t="shared" si="40"/>
        <v>0</v>
      </c>
      <c r="R40" s="37">
        <f t="shared" si="41"/>
        <v>0</v>
      </c>
      <c r="S40" s="39">
        <f t="shared" si="42"/>
        <v>0</v>
      </c>
    </row>
    <row r="41" spans="1:52" x14ac:dyDescent="0.25">
      <c r="B41" s="4" t="s">
        <v>18</v>
      </c>
      <c r="C41" s="5"/>
      <c r="D41" s="5"/>
      <c r="E41" s="5"/>
      <c r="F41" s="88">
        <v>0</v>
      </c>
      <c r="G41" s="101">
        <v>0</v>
      </c>
      <c r="H41" s="91"/>
      <c r="I41" s="101"/>
      <c r="J41" s="98"/>
      <c r="K41" s="101"/>
      <c r="L41" s="22">
        <f>SUM(H22:H23)</f>
        <v>400</v>
      </c>
      <c r="M41" s="101">
        <v>4.5809000000000002E-2</v>
      </c>
      <c r="N41" s="48">
        <f t="shared" si="37"/>
        <v>4.5809000000000002E-2</v>
      </c>
      <c r="O41" s="23">
        <f t="shared" si="38"/>
        <v>4.5809000000000002E-2</v>
      </c>
      <c r="P41" s="9">
        <f t="shared" si="39"/>
        <v>0</v>
      </c>
      <c r="Q41" s="38">
        <f t="shared" si="40"/>
        <v>0</v>
      </c>
      <c r="R41" s="38">
        <f t="shared" si="41"/>
        <v>0</v>
      </c>
      <c r="S41" s="40">
        <f t="shared" si="42"/>
        <v>1</v>
      </c>
    </row>
    <row r="44" spans="1:52" ht="28.5" x14ac:dyDescent="0.45">
      <c r="B44" s="60" t="s">
        <v>46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</row>
    <row r="45" spans="1:52" x14ac:dyDescent="0.25">
      <c r="A45" s="26"/>
    </row>
    <row r="46" spans="1:52" x14ac:dyDescent="0.25">
      <c r="B46" s="19"/>
      <c r="C46" s="15"/>
      <c r="D46" s="16"/>
      <c r="E46" s="10"/>
      <c r="F46" s="36" t="s">
        <v>158</v>
      </c>
      <c r="G46" s="36"/>
      <c r="H46" s="36"/>
      <c r="I46" s="10"/>
      <c r="J46" s="16"/>
      <c r="K46" s="15"/>
      <c r="L46" s="19"/>
    </row>
    <row r="47" spans="1:52" ht="30" x14ac:dyDescent="0.25">
      <c r="B47" s="17" t="s">
        <v>44</v>
      </c>
      <c r="C47" s="1" t="s">
        <v>41</v>
      </c>
      <c r="D47" s="44" t="s">
        <v>42</v>
      </c>
      <c r="E47" s="45" t="s">
        <v>43</v>
      </c>
      <c r="F47" s="44" t="s">
        <v>57</v>
      </c>
      <c r="G47" s="44" t="s">
        <v>60</v>
      </c>
      <c r="H47" s="44" t="s">
        <v>63</v>
      </c>
      <c r="I47" s="46" t="s">
        <v>64</v>
      </c>
      <c r="J47" s="47" t="s">
        <v>47</v>
      </c>
      <c r="K47" s="1" t="s">
        <v>144</v>
      </c>
      <c r="L47" s="130" t="s">
        <v>156</v>
      </c>
    </row>
    <row r="48" spans="1:52" ht="15.75" thickBot="1" x14ac:dyDescent="0.3">
      <c r="B48" s="20"/>
      <c r="C48" s="11"/>
      <c r="D48" s="12"/>
      <c r="E48" s="13"/>
      <c r="F48" s="12" t="s">
        <v>40</v>
      </c>
      <c r="G48" s="12" t="s">
        <v>40</v>
      </c>
      <c r="H48" s="12" t="s">
        <v>40</v>
      </c>
      <c r="I48" s="13" t="s">
        <v>40</v>
      </c>
      <c r="J48" s="12" t="s">
        <v>40</v>
      </c>
      <c r="K48" s="11" t="s">
        <v>39</v>
      </c>
      <c r="L48" s="137" t="s">
        <v>134</v>
      </c>
    </row>
    <row r="49" spans="2:12" ht="16.5" thickTop="1" thickBot="1" x14ac:dyDescent="0.3">
      <c r="B49" s="80" t="s">
        <v>76</v>
      </c>
      <c r="C49" s="14" t="s">
        <v>52</v>
      </c>
      <c r="D49" s="14"/>
      <c r="E49" s="14"/>
      <c r="F49" s="115">
        <f>N11</f>
        <v>8.6294397163795029</v>
      </c>
      <c r="G49" s="115">
        <f>Q11</f>
        <v>9.8667854486462296</v>
      </c>
      <c r="H49" s="115">
        <f>T11</f>
        <v>0</v>
      </c>
      <c r="I49" s="116" t="str">
        <f>U11</f>
        <v>-</v>
      </c>
      <c r="J49" s="117">
        <f>IFERROR(SUM($F49,$G49,$H49,$I49),"-")</f>
        <v>18.496225165025734</v>
      </c>
      <c r="K49" s="24" t="str">
        <f>IFERROR($I49/SUMIFS($H$69:$H$71,$B$69:$B$71,$C49),"-")</f>
        <v>-</v>
      </c>
      <c r="L49" s="122" t="str">
        <f>IFERROR(K49*SUMIFS($S$69:$S$71,$B$69:$B$71,$C49),"-")</f>
        <v>-</v>
      </c>
    </row>
    <row r="50" spans="2:12" ht="16.5" thickTop="1" thickBot="1" x14ac:dyDescent="0.3">
      <c r="B50" s="17" t="s">
        <v>77</v>
      </c>
      <c r="C50" s="14" t="s">
        <v>52</v>
      </c>
      <c r="D50" s="14"/>
      <c r="E50" s="14"/>
      <c r="F50" s="115">
        <f>N12</f>
        <v>1.8191540689192214</v>
      </c>
      <c r="G50" s="115">
        <f>Q12</f>
        <v>2.0799963249049007</v>
      </c>
      <c r="H50" s="115">
        <f>T12</f>
        <v>0</v>
      </c>
      <c r="I50" s="115" t="str">
        <f>U12</f>
        <v>-</v>
      </c>
      <c r="J50" s="117">
        <f>IFERROR(SUM($F50,$G50,$H50,$I50),"-")</f>
        <v>3.8991503938241223</v>
      </c>
      <c r="K50" s="24" t="str">
        <f>IFERROR($I50/SUMIFS($H$69:$H$71,$B$69:$B$71,$C50),"-")</f>
        <v>-</v>
      </c>
      <c r="L50" s="122" t="str">
        <f>IFERROR(K50*SUMIFS($S$69:$S$71,$B$69:$B$71,$C50),"-")</f>
        <v>-</v>
      </c>
    </row>
    <row r="51" spans="2:12" ht="16.5" thickTop="1" thickBot="1" x14ac:dyDescent="0.3">
      <c r="B51" s="17" t="s">
        <v>78</v>
      </c>
      <c r="C51" s="14" t="s">
        <v>52</v>
      </c>
      <c r="D51" s="14"/>
      <c r="E51" s="14"/>
      <c r="F51" s="115">
        <f>N13</f>
        <v>1.1516842240993512</v>
      </c>
      <c r="G51" s="115">
        <f>Q13</f>
        <v>1.3168202707540837</v>
      </c>
      <c r="H51" s="115">
        <f>T13</f>
        <v>0</v>
      </c>
      <c r="I51" s="115" t="str">
        <f>U13</f>
        <v>-</v>
      </c>
      <c r="J51" s="117">
        <f>IFERROR(SUM($F51,$G51,$H51,$I51),"-")</f>
        <v>2.4685044948534349</v>
      </c>
      <c r="K51" s="24" t="str">
        <f>IFERROR($I51/SUMIFS($H$69:$H$71,$B$69:$B$71,$C51),"-")</f>
        <v>-</v>
      </c>
      <c r="L51" s="122" t="str">
        <f>IFERROR(K51*SUMIFS($S$69:$S$71,$B$69:$B$71,$C51),"-")</f>
        <v>-</v>
      </c>
    </row>
    <row r="52" spans="2:12" ht="16.5" thickTop="1" thickBot="1" x14ac:dyDescent="0.3">
      <c r="B52" s="17" t="s">
        <v>79</v>
      </c>
      <c r="C52" s="14" t="s">
        <v>52</v>
      </c>
      <c r="D52" s="14"/>
      <c r="E52" s="14"/>
      <c r="F52" s="115">
        <f>N14</f>
        <v>1.8191540689192214</v>
      </c>
      <c r="G52" s="115">
        <f>Q14</f>
        <v>2.0799963249049007</v>
      </c>
      <c r="H52" s="115">
        <f>T14</f>
        <v>0</v>
      </c>
      <c r="I52" s="116" t="str">
        <f>U14</f>
        <v>-</v>
      </c>
      <c r="J52" s="117">
        <f>IFERROR(SUM($F52,$G52,$H52,$I52),"-")</f>
        <v>3.8991503938241223</v>
      </c>
      <c r="K52" s="24" t="str">
        <f>IFERROR($I52/SUMIFS($H$69:$H$71,$B$69:$B$71,$C52),"-")</f>
        <v>-</v>
      </c>
      <c r="L52" s="122" t="str">
        <f>IFERROR(K52*SUMIFS($S$69:$S$71,$B$69:$B$71,$C52),"-")</f>
        <v>-</v>
      </c>
    </row>
    <row r="53" spans="2:12" ht="16.5" thickTop="1" thickBot="1" x14ac:dyDescent="0.3">
      <c r="B53" s="18" t="s">
        <v>80</v>
      </c>
      <c r="C53" s="14" t="s">
        <v>52</v>
      </c>
      <c r="D53" s="14"/>
      <c r="E53" s="14"/>
      <c r="F53" s="115">
        <f>N15</f>
        <v>1.151602712016111</v>
      </c>
      <c r="G53" s="115">
        <f>Q15</f>
        <v>1.3167270709330945</v>
      </c>
      <c r="H53" s="115">
        <f>T15</f>
        <v>0</v>
      </c>
      <c r="I53" s="116" t="str">
        <f>U15</f>
        <v>-</v>
      </c>
      <c r="J53" s="117">
        <f>IFERROR(SUM($F53,$G53,$H53,$I53),"-")</f>
        <v>2.4683297829492057</v>
      </c>
      <c r="K53" s="24" t="str">
        <f>IFERROR($I53/SUMIFS($H$69:$H$71,$B$69:$B$71,$C53),"-")</f>
        <v>-</v>
      </c>
      <c r="L53" s="122" t="str">
        <f>IFERROR(K53*SUMIFS($S$69:$S$71,$B$69:$B$71,$C53),"-")</f>
        <v>-</v>
      </c>
    </row>
    <row r="54" spans="2:12" ht="16.5" thickTop="1" thickBot="1" x14ac:dyDescent="0.3">
      <c r="B54" s="17" t="s">
        <v>19</v>
      </c>
      <c r="C54" s="14" t="s">
        <v>53</v>
      </c>
      <c r="D54" s="14"/>
      <c r="E54" s="14"/>
      <c r="F54" s="115">
        <f>N16</f>
        <v>8.6854472869851183</v>
      </c>
      <c r="G54" s="115">
        <f>Q16</f>
        <v>0</v>
      </c>
      <c r="H54" s="115">
        <f>T16</f>
        <v>2.501726611577217</v>
      </c>
      <c r="I54" s="116" t="str">
        <f>U16</f>
        <v>-</v>
      </c>
      <c r="J54" s="117">
        <f>IFERROR(SUM($F54,$G54,$H54,$I54),"-")</f>
        <v>11.187173898562335</v>
      </c>
      <c r="K54" s="24" t="str">
        <f>IFERROR($I54/SUMIFS($H$69:$H$71,$B$69:$B$71,$C54),"-")</f>
        <v>-</v>
      </c>
      <c r="L54" s="122" t="str">
        <f>IFERROR(K54*SUMIFS($S$69:$S$71,$B$69:$B$71,$C54),"-")</f>
        <v>-</v>
      </c>
    </row>
    <row r="55" spans="2:12" ht="16.5" thickTop="1" thickBot="1" x14ac:dyDescent="0.3">
      <c r="B55" s="17" t="s">
        <v>20</v>
      </c>
      <c r="C55" s="14" t="s">
        <v>53</v>
      </c>
      <c r="D55" s="14"/>
      <c r="E55" s="14"/>
      <c r="F55" s="115">
        <f>N17</f>
        <v>1.7091466881050115</v>
      </c>
      <c r="G55" s="115">
        <f>Q17</f>
        <v>0.68210697082775418</v>
      </c>
      <c r="H55" s="115">
        <f>T17</f>
        <v>0</v>
      </c>
      <c r="I55" s="115">
        <f>U17</f>
        <v>5.726111111111111E-2</v>
      </c>
      <c r="J55" s="117">
        <f>IFERROR(SUM($F55,$G55,$H55,$I55),"-")</f>
        <v>2.4485147700438765</v>
      </c>
      <c r="K55" s="24">
        <f>IFERROR($I55/SUMIFS($H$69:$H$71,$B$69:$B$71,$C55),"-")</f>
        <v>0.55555555555555558</v>
      </c>
      <c r="L55" s="122">
        <f>IFERROR(K55*SUMIFS($S$69:$S$71,$B$69:$B$71,$C55),"-")</f>
        <v>6.1207177462163087E-2</v>
      </c>
    </row>
    <row r="56" spans="2:12" ht="16.5" thickTop="1" thickBot="1" x14ac:dyDescent="0.3">
      <c r="B56" s="17" t="s">
        <v>21</v>
      </c>
      <c r="C56" s="14" t="s">
        <v>53</v>
      </c>
      <c r="D56" s="14"/>
      <c r="E56" s="14"/>
      <c r="F56" s="115">
        <f>N18</f>
        <v>1.159158989277232</v>
      </c>
      <c r="G56" s="115">
        <f>Q18</f>
        <v>0</v>
      </c>
      <c r="H56" s="115">
        <f>T18</f>
        <v>0.33388020152620268</v>
      </c>
      <c r="I56" s="115">
        <f>U18</f>
        <v>4.5808888888888885E-2</v>
      </c>
      <c r="J56" s="117">
        <f>IFERROR(SUM($F56,$G56,$H56,$I56),"-")</f>
        <v>1.5388480796923236</v>
      </c>
      <c r="K56" s="24">
        <f>IFERROR($I56/SUMIFS($H$69:$H$71,$B$69:$B$71,$C56),"-")</f>
        <v>0.44444444444444442</v>
      </c>
      <c r="L56" s="122">
        <f>IFERROR(K56*SUMIFS($S$69:$S$71,$B$69:$B$71,$C56),"-")</f>
        <v>4.896574196973047E-2</v>
      </c>
    </row>
    <row r="57" spans="2:12" ht="16.5" thickTop="1" thickBot="1" x14ac:dyDescent="0.3">
      <c r="B57" s="17" t="s">
        <v>22</v>
      </c>
      <c r="C57" s="14" t="s">
        <v>53</v>
      </c>
      <c r="D57" s="14"/>
      <c r="E57" s="14"/>
      <c r="F57" s="115">
        <f>N19</f>
        <v>1.830960907289515</v>
      </c>
      <c r="G57" s="115">
        <f>Q19</f>
        <v>0</v>
      </c>
      <c r="H57" s="115">
        <f>T19</f>
        <v>0.52738373455879262</v>
      </c>
      <c r="I57" s="116" t="str">
        <f>U19</f>
        <v>-</v>
      </c>
      <c r="J57" s="117">
        <f>IFERROR(SUM($F57,$G57,$H57,$I57),"-")</f>
        <v>2.3583446418483076</v>
      </c>
      <c r="K57" s="24" t="str">
        <f>IFERROR($I57/SUMIFS($H$69:$H$71,$B$69:$B$71,$C57),"-")</f>
        <v>-</v>
      </c>
      <c r="L57" s="122" t="str">
        <f>IFERROR(K57*SUMIFS($S$69:$S$71,$B$69:$B$71,$C57),"-")</f>
        <v>-</v>
      </c>
    </row>
    <row r="58" spans="2:12" ht="16.5" thickTop="1" thickBot="1" x14ac:dyDescent="0.3">
      <c r="B58" s="18" t="s">
        <v>23</v>
      </c>
      <c r="C58" s="14" t="s">
        <v>53</v>
      </c>
      <c r="D58" s="14"/>
      <c r="E58" s="14"/>
      <c r="F58" s="115">
        <f>N20</f>
        <v>1.0819633118949887</v>
      </c>
      <c r="G58" s="115">
        <f>Q20</f>
        <v>0.43180302917224572</v>
      </c>
      <c r="H58" s="115">
        <f>T20</f>
        <v>0</v>
      </c>
      <c r="I58" s="116" t="str">
        <f>U20</f>
        <v>-</v>
      </c>
      <c r="J58" s="117">
        <f>IFERROR(SUM($F58,$G58,$H58,$I58),"-")</f>
        <v>1.5137663410672344</v>
      </c>
      <c r="K58" s="24" t="str">
        <f>IFERROR($I58/SUMIFS($H$69:$H$71,$B$69:$B$71,$C58),"-")</f>
        <v>-</v>
      </c>
      <c r="L58" s="122" t="str">
        <f>IFERROR(K58*SUMIFS($S$69:$S$71,$B$69:$B$71,$C58),"-")</f>
        <v>-</v>
      </c>
    </row>
    <row r="59" spans="2:12" ht="16.5" thickTop="1" thickBot="1" x14ac:dyDescent="0.3">
      <c r="B59" s="17" t="s">
        <v>7</v>
      </c>
      <c r="C59" s="14" t="s">
        <v>54</v>
      </c>
      <c r="D59" s="14"/>
      <c r="E59" s="14"/>
      <c r="F59" s="115">
        <f>N21</f>
        <v>1.2495000000000001</v>
      </c>
      <c r="G59" s="115">
        <f>Q21</f>
        <v>0</v>
      </c>
      <c r="H59" s="115">
        <f>T21</f>
        <v>0</v>
      </c>
      <c r="I59" s="116" t="str">
        <f>U21</f>
        <v>-</v>
      </c>
      <c r="J59" s="117">
        <f>IFERROR(SUM($F59,$G59,$H59,$I59),"-")</f>
        <v>1.2495000000000001</v>
      </c>
      <c r="K59" s="24" t="str">
        <f>IFERROR($I59/SUMIFS($H$69:$H$71,$B$69:$B$71,$C59),"-")</f>
        <v>-</v>
      </c>
      <c r="L59" s="122" t="str">
        <f>IFERROR(K59*SUMIFS($S$69:$S$71,$B$69:$B$71,$C59),"-")</f>
        <v>-</v>
      </c>
    </row>
    <row r="60" spans="2:12" ht="16.5" thickTop="1" thickBot="1" x14ac:dyDescent="0.3">
      <c r="B60" s="17" t="s">
        <v>8</v>
      </c>
      <c r="C60" s="14" t="s">
        <v>54</v>
      </c>
      <c r="D60" s="14"/>
      <c r="E60" s="14"/>
      <c r="F60" s="115">
        <f>N22</f>
        <v>0.6</v>
      </c>
      <c r="G60" s="115">
        <f>Q22</f>
        <v>0</v>
      </c>
      <c r="H60" s="115">
        <f>T22</f>
        <v>0</v>
      </c>
      <c r="I60" s="115">
        <f>U22</f>
        <v>2.8058012500000003E-2</v>
      </c>
      <c r="J60" s="117">
        <f>IFERROR(SUM($F60,$G60,$H60,$I60),"-")</f>
        <v>0.62805801249999993</v>
      </c>
      <c r="K60" s="24">
        <f>IFERROR($I60/SUMIFS($H$69:$H$71,$B$69:$B$71,$C60),"-")</f>
        <v>0.61250000000000004</v>
      </c>
      <c r="L60" s="122">
        <f>IFERROR(K60*SUMIFS($S$69:$S$71,$B$69:$B$71,$C60),"-")</f>
        <v>0.12596491417730274</v>
      </c>
    </row>
    <row r="61" spans="2:12" ht="16.5" thickTop="1" thickBot="1" x14ac:dyDescent="0.3">
      <c r="B61" s="17" t="s">
        <v>9</v>
      </c>
      <c r="C61" s="14" t="s">
        <v>54</v>
      </c>
      <c r="D61" s="14"/>
      <c r="E61" s="14"/>
      <c r="F61" s="115">
        <f>N23</f>
        <v>0.6</v>
      </c>
      <c r="G61" s="115">
        <f>Q23</f>
        <v>0</v>
      </c>
      <c r="H61" s="115">
        <f>T23</f>
        <v>0</v>
      </c>
      <c r="I61" s="115">
        <f>U23</f>
        <v>1.7750987500000003E-2</v>
      </c>
      <c r="J61" s="117">
        <f>IFERROR(SUM($F61,$G61,$H61,$I61),"-")</f>
        <v>0.61775098750000002</v>
      </c>
      <c r="K61" s="24">
        <f>IFERROR($I61/SUMIFS($H$69:$H$71,$B$69:$B$71,$C61),"-")</f>
        <v>0.38750000000000001</v>
      </c>
      <c r="L61" s="122">
        <f>IFERROR(K61*SUMIFS($S$69:$S$71,$B$69:$B$71,$C61),"-")</f>
        <v>7.9692088561150703E-2</v>
      </c>
    </row>
    <row r="62" spans="2:12" ht="16.5" thickTop="1" thickBot="1" x14ac:dyDescent="0.3">
      <c r="B62" s="17" t="s">
        <v>10</v>
      </c>
      <c r="C62" s="14" t="s">
        <v>54</v>
      </c>
      <c r="D62" s="14"/>
      <c r="E62" s="14"/>
      <c r="F62" s="115">
        <f>N24</f>
        <v>0.67349999999999999</v>
      </c>
      <c r="G62" s="115">
        <f>Q24</f>
        <v>0</v>
      </c>
      <c r="H62" s="115">
        <f>T24</f>
        <v>0</v>
      </c>
      <c r="I62" s="116" t="str">
        <f>U24</f>
        <v>-</v>
      </c>
      <c r="J62" s="117">
        <f>IFERROR(SUM($F62,$G62,$H62,$I62),"-")</f>
        <v>0.67349999999999999</v>
      </c>
      <c r="K62" s="24" t="str">
        <f>IFERROR($I62/SUMIFS($H$69:$H$71,$B$69:$B$71,$C62),"-")</f>
        <v>-</v>
      </c>
      <c r="L62" s="122" t="str">
        <f>IFERROR(K62*SUMIFS($S$69:$S$71,$B$69:$B$71,$C62),"-")</f>
        <v>-</v>
      </c>
    </row>
    <row r="63" spans="2:12" ht="15.75" thickTop="1" x14ac:dyDescent="0.25">
      <c r="B63" s="18" t="s">
        <v>11</v>
      </c>
      <c r="C63" s="14" t="s">
        <v>54</v>
      </c>
      <c r="D63" s="14"/>
      <c r="E63" s="14"/>
      <c r="F63" s="115">
        <f>N25</f>
        <v>0.64649999999999996</v>
      </c>
      <c r="G63" s="115">
        <f>Q25</f>
        <v>0</v>
      </c>
      <c r="H63" s="115">
        <f>T25</f>
        <v>0</v>
      </c>
      <c r="I63" s="116" t="str">
        <f>U25</f>
        <v>-</v>
      </c>
      <c r="J63" s="117">
        <f>IFERROR(SUM($F63,$G63,$H63,$I63),"-")</f>
        <v>0.64649999999999996</v>
      </c>
      <c r="K63" s="25" t="str">
        <f>IFERROR($I63/SUMIFS($H$69:$H$71,$B$69:$B$71,$C63),"-")</f>
        <v>-</v>
      </c>
      <c r="L63" s="123" t="str">
        <f>IFERROR(K63*SUMIFS($S$69:$S$71,$B$69:$B$71,$C63),"-")</f>
        <v>-</v>
      </c>
    </row>
    <row r="66" spans="2:19" x14ac:dyDescent="0.25">
      <c r="B66" s="15"/>
      <c r="C66" s="16"/>
      <c r="D66" s="16"/>
      <c r="E66" s="16"/>
      <c r="F66" s="15"/>
      <c r="G66" s="15"/>
      <c r="H66" s="16"/>
      <c r="I66" s="16"/>
      <c r="J66" s="16"/>
      <c r="K66" s="16"/>
      <c r="L66" s="10"/>
      <c r="M66" s="15"/>
      <c r="N66" s="16"/>
      <c r="O66" s="114" t="s">
        <v>151</v>
      </c>
      <c r="P66" s="112"/>
      <c r="Q66" s="112"/>
      <c r="R66" s="112"/>
      <c r="S66" s="113"/>
    </row>
    <row r="67" spans="2:19" ht="30" x14ac:dyDescent="0.25">
      <c r="B67" s="1" t="s">
        <v>2</v>
      </c>
      <c r="C67" s="2"/>
      <c r="D67" s="2"/>
      <c r="E67" s="2"/>
      <c r="F67" s="1" t="s">
        <v>27</v>
      </c>
      <c r="G67" s="43" t="s">
        <v>68</v>
      </c>
      <c r="H67" s="44" t="s">
        <v>64</v>
      </c>
      <c r="I67" s="2" t="s">
        <v>51</v>
      </c>
      <c r="J67" s="2" t="s">
        <v>48</v>
      </c>
      <c r="K67" s="2" t="s">
        <v>49</v>
      </c>
      <c r="L67" s="3" t="s">
        <v>50</v>
      </c>
      <c r="M67" s="43" t="s">
        <v>149</v>
      </c>
      <c r="N67" s="47" t="s">
        <v>150</v>
      </c>
      <c r="O67" s="131" t="s">
        <v>152</v>
      </c>
      <c r="P67" s="132" t="s">
        <v>153</v>
      </c>
      <c r="Q67" s="132" t="s">
        <v>154</v>
      </c>
      <c r="R67" s="132" t="s">
        <v>157</v>
      </c>
      <c r="S67" s="133" t="s">
        <v>155</v>
      </c>
    </row>
    <row r="68" spans="2:19" ht="15.75" thickBot="1" x14ac:dyDescent="0.3">
      <c r="B68" s="11"/>
      <c r="C68" s="12"/>
      <c r="D68" s="12"/>
      <c r="E68" s="12"/>
      <c r="F68" s="11" t="s">
        <v>0</v>
      </c>
      <c r="G68" s="28" t="s">
        <v>40</v>
      </c>
      <c r="H68" s="12" t="s">
        <v>39</v>
      </c>
      <c r="I68" s="12" t="s">
        <v>39</v>
      </c>
      <c r="J68" s="12" t="s">
        <v>39</v>
      </c>
      <c r="K68" s="12" t="s">
        <v>39</v>
      </c>
      <c r="L68" s="13" t="s">
        <v>39</v>
      </c>
      <c r="M68" s="11" t="s">
        <v>134</v>
      </c>
      <c r="N68" s="12" t="s">
        <v>134</v>
      </c>
      <c r="O68" s="134" t="s">
        <v>134</v>
      </c>
      <c r="P68" s="135" t="s">
        <v>134</v>
      </c>
      <c r="Q68" s="135" t="s">
        <v>134</v>
      </c>
      <c r="R68" s="135" t="s">
        <v>134</v>
      </c>
      <c r="S68" s="136" t="s">
        <v>134</v>
      </c>
    </row>
    <row r="69" spans="2:19" ht="16.5" thickTop="1" thickBot="1" x14ac:dyDescent="0.3">
      <c r="B69" s="1" t="s">
        <v>52</v>
      </c>
      <c r="C69" s="2"/>
      <c r="D69" s="2"/>
      <c r="E69" s="2"/>
      <c r="F69" s="32">
        <v>11847.2</v>
      </c>
      <c r="G69" s="118">
        <f>SUMIFS($J$49:$J$63,$C$49:$C$63,$B69)</f>
        <v>31.231360230476618</v>
      </c>
      <c r="H69" s="118">
        <f>SUMIFS($I$49:$I$63,$C$49:$C$63,$B69)</f>
        <v>0</v>
      </c>
      <c r="I69" s="118">
        <f>(SUMIFS($F$49:$F$63,$C$49:$C$63,$B69))/$G69</f>
        <v>0.4665513984278693</v>
      </c>
      <c r="J69" s="118">
        <f>(SUMIFS($G$49:$G$63,$C$49:$C$63,$B69))/$G69</f>
        <v>0.53344860157213081</v>
      </c>
      <c r="K69" s="118">
        <f>(SUMIFS($H$49:$H$63,$C$49:$C$63,$B69))/$G69</f>
        <v>0</v>
      </c>
      <c r="L69" s="118">
        <f>(SUMIFS($I$49:$I$63,$C$49:$C$63,$B69))/$G69</f>
        <v>0</v>
      </c>
      <c r="M69" s="118">
        <f>0.0013*F69</f>
        <v>15.40136</v>
      </c>
      <c r="N69" s="120">
        <f>M69+SUMIFS('Fan Static Pressure Adjustments'!$K$71:$K$73,'Fan Static Pressure Adjustments'!$B$71:$B$73,$B69)</f>
        <v>20.563505067630256</v>
      </c>
      <c r="O69" s="124">
        <f>$N69*I69</f>
        <v>9.5939320458814734</v>
      </c>
      <c r="P69" s="125">
        <f t="shared" ref="P69:Q69" si="43">$N69*J69</f>
        <v>10.969573021748785</v>
      </c>
      <c r="Q69" s="125">
        <f t="shared" si="43"/>
        <v>0</v>
      </c>
      <c r="R69" s="125">
        <f>SUM(P69:Q69)</f>
        <v>10.969573021748785</v>
      </c>
      <c r="S69" s="126">
        <f>$N69*L69</f>
        <v>0</v>
      </c>
    </row>
    <row r="70" spans="2:19" ht="16.5" thickTop="1" thickBot="1" x14ac:dyDescent="0.3">
      <c r="B70" s="1" t="s">
        <v>53</v>
      </c>
      <c r="C70" s="2"/>
      <c r="D70" s="2"/>
      <c r="E70" s="2"/>
      <c r="F70" s="33">
        <v>12656.8</v>
      </c>
      <c r="G70" s="118">
        <f>SUMIFS($J$49:$J$63,$C$49:$C$63,$B70)</f>
        <v>19.04664773121408</v>
      </c>
      <c r="H70" s="118">
        <f>SUMIFS($I$49:$I$63,$C$49:$C$63,$B70)</f>
        <v>0.10306999999999999</v>
      </c>
      <c r="I70" s="118">
        <f>(SUMIFS($F$49:$F$63,$C$49:$C$63,$B70))/$G70</f>
        <v>0.75953928416723671</v>
      </c>
      <c r="J70" s="118">
        <f>(SUMIFS($G$49:$G$63,$C$49:$C$63,$B70))/$G70</f>
        <v>5.8483257301729735E-2</v>
      </c>
      <c r="K70" s="118">
        <f>(SUMIFS($H$49:$H$63,$C$49:$C$63,$B70))/$G70</f>
        <v>0.17656600757890151</v>
      </c>
      <c r="L70" s="118">
        <f>(SUMIFS($I$49:$I$63,$C$49:$C$63,$B70))/$G70</f>
        <v>5.4114509521319349E-3</v>
      </c>
      <c r="M70" s="118">
        <f>0.0013*F70</f>
        <v>16.45384</v>
      </c>
      <c r="N70" s="120">
        <f>M70+SUMIFS('Fan Static Pressure Adjustments'!$K$71:$K$73,'Fan Static Pressure Adjustments'!$B$71:$B$73,$B70)</f>
        <v>20.359219811183731</v>
      </c>
      <c r="O70" s="124">
        <f t="shared" ref="O70:O71" si="44">$N70*I70</f>
        <v>15.463627241589915</v>
      </c>
      <c r="P70" s="125">
        <f t="shared" ref="P70:P71" si="45">$N70*J70</f>
        <v>1.1906734906799317</v>
      </c>
      <c r="Q70" s="125">
        <f t="shared" ref="Q70:Q71" si="46">$N70*K70</f>
        <v>3.5947461594819883</v>
      </c>
      <c r="R70" s="125">
        <f t="shared" ref="R70:R71" si="47">SUM(P70:Q70)</f>
        <v>4.7854196501619199</v>
      </c>
      <c r="S70" s="126">
        <f>$N70*L70</f>
        <v>0.11017291943189356</v>
      </c>
    </row>
    <row r="71" spans="2:19" ht="15.75" thickTop="1" x14ac:dyDescent="0.25">
      <c r="B71" s="4" t="s">
        <v>54</v>
      </c>
      <c r="C71" s="5"/>
      <c r="D71" s="5"/>
      <c r="E71" s="5"/>
      <c r="F71" s="34">
        <v>12945.4</v>
      </c>
      <c r="G71" s="119">
        <f>SUMIFS($J$49:$J$63,$C$49:$C$63,$B71)</f>
        <v>3.8153089999999996</v>
      </c>
      <c r="H71" s="119">
        <f>SUMIFS($I$49:$I$63,$C$49:$C$63,$B71)</f>
        <v>4.5809000000000002E-2</v>
      </c>
      <c r="I71" s="119">
        <f>(SUMIFS($F$49:$F$63,$C$49:$C$63,$B71))/$G71</f>
        <v>0.98799337091700845</v>
      </c>
      <c r="J71" s="119">
        <f>(SUMIFS($G$49:$G$63,$C$49:$C$63,$B71))/$G71</f>
        <v>0</v>
      </c>
      <c r="K71" s="119">
        <f>(SUMIFS($H$49:$H$63,$C$49:$C$63,$B71))/$G71</f>
        <v>0</v>
      </c>
      <c r="L71" s="119">
        <f>(SUMIFS($I$49:$I$63,$C$49:$C$63,$B71))/$G71</f>
        <v>1.2006629082991707E-2</v>
      </c>
      <c r="M71" s="119">
        <f>0.0013*F71</f>
        <v>16.82902</v>
      </c>
      <c r="N71" s="121">
        <f>M71+SUMIFS('Fan Static Pressure Adjustments'!$K$71:$K$73,'Fan Static Pressure Adjustments'!$B$71:$B$73,$B71)</f>
        <v>17.128621307189544</v>
      </c>
      <c r="O71" s="127">
        <f t="shared" si="44"/>
        <v>16.922964304451092</v>
      </c>
      <c r="P71" s="128">
        <f t="shared" si="45"/>
        <v>0</v>
      </c>
      <c r="Q71" s="128">
        <f t="shared" si="46"/>
        <v>0</v>
      </c>
      <c r="R71" s="128">
        <f t="shared" si="47"/>
        <v>0</v>
      </c>
      <c r="S71" s="129">
        <f>$N71*L71</f>
        <v>0.20565700273845341</v>
      </c>
    </row>
    <row r="72" spans="2:19" x14ac:dyDescent="0.25">
      <c r="K72" s="8"/>
    </row>
  </sheetData>
  <mergeCells count="3">
    <mergeCell ref="F8:H8"/>
    <mergeCell ref="I8:K8"/>
    <mergeCell ref="O66:S66"/>
  </mergeCells>
  <conditionalFormatting sqref="A6:BA6">
    <cfRule type="cellIs" dxfId="1" priority="2" operator="equal">
      <formula>0</formula>
    </cfRule>
  </conditionalFormatting>
  <conditionalFormatting sqref="A44:BA44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Fan Static Pressure Adjustments</vt:lpstr>
      <vt:lpstr>Fan Power Ratios - 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Hovee</dc:creator>
  <cp:lastModifiedBy>Lukas Hovee</cp:lastModifiedBy>
  <dcterms:created xsi:type="dcterms:W3CDTF">2015-09-14T23:55:25Z</dcterms:created>
  <dcterms:modified xsi:type="dcterms:W3CDTF">2015-10-14T17:48:17Z</dcterms:modified>
</cp:coreProperties>
</file>