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9F91D9C6-9DCC-4C65-8048-B87A47E4CF61}" xr6:coauthVersionLast="47" xr6:coauthVersionMax="47" xr10:uidLastSave="{00000000-0000-0000-0000-000000000000}"/>
  <bookViews>
    <workbookView xWindow="1110" yWindow="105" windowWidth="28575" windowHeight="19425" tabRatio="837"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N62" i="15" l="1"/>
  <c r="AS57" i="15"/>
  <c r="AR57" i="15"/>
  <c r="AQ57" i="15"/>
  <c r="AP57" i="15"/>
  <c r="AO57" i="15"/>
  <c r="AN57" i="15"/>
  <c r="AS37" i="15"/>
  <c r="AR37" i="15"/>
  <c r="AQ37" i="15"/>
  <c r="AP37" i="15"/>
  <c r="AO37" i="15"/>
  <c r="AN37" i="15"/>
  <c r="AN55" i="15"/>
  <c r="AS43" i="15" l="1"/>
  <c r="AR43" i="15"/>
  <c r="AQ43" i="15"/>
  <c r="AP43" i="15"/>
  <c r="AO43" i="15"/>
  <c r="AN43" i="15"/>
  <c r="AS35" i="15"/>
  <c r="AR35" i="15"/>
  <c r="AQ35" i="15"/>
  <c r="AP35" i="15"/>
  <c r="AO35" i="15"/>
  <c r="AN35" i="15"/>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AR61" i="15" l="1"/>
  <c r="AS61" i="15"/>
  <c r="AO61" i="15"/>
  <c r="AP61" i="15"/>
  <c r="AQ61" i="15"/>
  <c r="AN61" i="15"/>
  <c r="AR60" i="15"/>
  <c r="AS60" i="15"/>
  <c r="AQ60" i="15"/>
  <c r="AO60" i="15"/>
  <c r="AP60" i="15"/>
  <c r="AN60" i="15"/>
  <c r="AR55" i="15"/>
  <c r="AS55" i="15"/>
  <c r="AQ55" i="15"/>
  <c r="AO62" i="15"/>
  <c r="AW25" i="15" s="1"/>
  <c r="AP59" i="15"/>
  <c r="AW20" i="15" s="1"/>
  <c r="AN59" i="15"/>
  <c r="AW18" i="15" s="1"/>
  <c r="AP58" i="15"/>
  <c r="AO58" i="15"/>
  <c r="AN58" i="15"/>
  <c r="AS53" i="15"/>
  <c r="AR53" i="15"/>
  <c r="AP53" i="15"/>
  <c r="AO53" i="15"/>
  <c r="AN53" i="15"/>
  <c r="AN15" i="15"/>
  <c r="AH21" i="15"/>
  <c r="AR67" i="15"/>
  <c r="AS67" i="15" s="1"/>
  <c r="AD52" i="15"/>
  <c r="AD51" i="15"/>
  <c r="AO59" i="15" l="1"/>
  <c r="AW19" i="15" s="1"/>
  <c r="AO55" i="15"/>
  <c r="AO56" i="15" s="1"/>
  <c r="AP55" i="15"/>
  <c r="AP56" i="15" s="1"/>
  <c r="AW15" i="15" s="1"/>
  <c r="AW24" i="15"/>
  <c r="AP62" i="15"/>
  <c r="AW26" i="15"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AN56" i="15" l="1"/>
  <c r="AW14" i="15" s="1"/>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0" i="14"/>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AP45" i="15" l="1"/>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L50" i="15"/>
  <c r="L52" i="15"/>
  <c r="K52" i="15" s="1"/>
  <c r="AE18" i="15" s="1"/>
  <c r="N45" i="15"/>
  <c r="L47" i="15"/>
  <c r="K47" i="15" s="1"/>
  <c r="AH15" i="15" s="1"/>
  <c r="L51" i="15"/>
  <c r="L53" i="15"/>
  <c r="N48" i="15"/>
  <c r="N46" i="15"/>
  <c r="L46" i="15"/>
  <c r="N41" i="15"/>
  <c r="L48" i="15"/>
  <c r="L41" i="15"/>
  <c r="L42" i="15"/>
  <c r="K42" i="15" s="1"/>
  <c r="L43" i="15"/>
  <c r="P46" i="15"/>
  <c r="M41" i="15"/>
  <c r="AP67" i="15"/>
  <c r="C14" i="14"/>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AE52" i="15" l="1"/>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J19" i="14"/>
  <c r="J15" i="14"/>
  <c r="C17" i="14"/>
  <c r="D17" i="14" s="1"/>
  <c r="E17" i="14" s="1"/>
  <c r="F17" i="14" s="1"/>
  <c r="J17" i="14" s="1"/>
  <c r="D14" i="14"/>
  <c r="E14" i="14" s="1"/>
  <c r="F14" i="14" s="1"/>
  <c r="J14" i="14" s="1"/>
  <c r="C20" i="14"/>
  <c r="D20" i="14" s="1"/>
  <c r="E20" i="14" s="1"/>
  <c r="F20" i="14" s="1"/>
  <c r="J20" i="14" s="1"/>
  <c r="AQ261" i="1"/>
  <c r="AQ269" i="1"/>
  <c r="AQ274" i="1"/>
  <c r="AW264" i="1"/>
  <c r="AQ264" i="1" s="1"/>
  <c r="AQ275" i="1"/>
  <c r="AQ265" i="1"/>
  <c r="AQ273" i="1"/>
  <c r="AR261" i="1"/>
  <c r="AQ266" i="1"/>
  <c r="AQ267" i="1"/>
  <c r="AQ268" i="1"/>
  <c r="AQ271" i="1"/>
  <c r="AU256"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AQ33" i="15" l="1"/>
  <c r="AQ34" i="15" s="1"/>
  <c r="AQ53" i="15"/>
  <c r="AP73" i="15"/>
  <c r="AP75" i="15" s="1"/>
  <c r="AP33" i="15"/>
  <c r="AP34" i="15" s="1"/>
  <c r="AH20" i="15"/>
  <c r="AQ270" i="1"/>
  <c r="AQ262" i="1"/>
  <c r="AQ256" i="1"/>
  <c r="AP261" i="1"/>
  <c r="T73" i="15"/>
  <c r="V72" i="15"/>
  <c r="T31" i="15"/>
  <c r="V30" i="15"/>
  <c r="AI22" i="15"/>
  <c r="AI32" i="15" s="1"/>
  <c r="AR58" i="15" s="1"/>
  <c r="AG13" i="15"/>
  <c r="AG29" i="15" s="1"/>
  <c r="AE19" i="15"/>
  <c r="AE31" i="15" s="1"/>
  <c r="AE17" i="15"/>
  <c r="AQ73" i="15"/>
  <c r="AQ75" i="15" s="1"/>
  <c r="AE56" i="15"/>
  <c r="AE55" i="15"/>
  <c r="AG19" i="15"/>
  <c r="AG31" i="15" s="1"/>
  <c r="AI26" i="15"/>
  <c r="AI36" i="15" s="1"/>
  <c r="AJ26" i="15"/>
  <c r="AJ36" i="15" s="1"/>
  <c r="AE25" i="15"/>
  <c r="AF25" i="15"/>
  <c r="AF35" i="15" s="1"/>
  <c r="AF19" i="15"/>
  <c r="AF31"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AR59" i="15" l="1"/>
  <c r="AW22" i="15" s="1"/>
  <c r="AR62" i="15"/>
  <c r="AW28" i="15" s="1"/>
  <c r="AQ62" i="15"/>
  <c r="AW27" i="15" s="1"/>
  <c r="AQ59" i="15"/>
  <c r="AW21" i="15" s="1"/>
  <c r="AQ42" i="15"/>
  <c r="AR56" i="15"/>
  <c r="AW16" i="15" s="1"/>
  <c r="AQ56" i="15"/>
  <c r="AS56" i="15"/>
  <c r="AW17" i="15" s="1"/>
  <c r="AJ32" i="15"/>
  <c r="AP89" i="15"/>
  <c r="AR82" i="15"/>
  <c r="AR39" i="15"/>
  <c r="AO82" i="15"/>
  <c r="AO39" i="15"/>
  <c r="AO73" i="15"/>
  <c r="AO33" i="15"/>
  <c r="AO34" i="15" s="1"/>
  <c r="AS73" i="15"/>
  <c r="AS75" i="15" s="1"/>
  <c r="AS33" i="15"/>
  <c r="AS34" i="15" s="1"/>
  <c r="AR73" i="15"/>
  <c r="AR89" i="15" s="1"/>
  <c r="AR33" i="15"/>
  <c r="AR34" i="15" s="1"/>
  <c r="AN82" i="15"/>
  <c r="AN39" i="15"/>
  <c r="AP82" i="15"/>
  <c r="AP39" i="15"/>
  <c r="AP38" i="15"/>
  <c r="AP36" i="15"/>
  <c r="AP42" i="15"/>
  <c r="AQ82" i="15"/>
  <c r="AQ39" i="15"/>
  <c r="AI30" i="15"/>
  <c r="AE43" i="15" s="1"/>
  <c r="AH30" i="15"/>
  <c r="AE42" i="15" s="1"/>
  <c r="T74" i="15"/>
  <c r="V73" i="15"/>
  <c r="T32" i="15"/>
  <c r="V31" i="15"/>
  <c r="AE35" i="15"/>
  <c r="AQ89" i="15"/>
  <c r="AO75" i="15"/>
  <c r="AO89" i="15"/>
  <c r="AE54" i="15"/>
  <c r="AE58" i="15"/>
  <c r="AE57" i="15"/>
  <c r="AE49"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S82" i="15" l="1"/>
  <c r="AS58" i="15"/>
  <c r="AS39" i="15"/>
  <c r="AE50" i="15"/>
  <c r="AS89" i="15"/>
  <c r="AR38" i="15"/>
  <c r="AR48" i="15" s="1"/>
  <c r="AR36" i="15"/>
  <c r="AR42" i="15"/>
  <c r="AO42" i="15"/>
  <c r="AO38" i="15"/>
  <c r="AO36" i="15"/>
  <c r="AW12" i="15" s="1"/>
  <c r="AR68" i="15"/>
  <c r="AR70" i="15" s="1"/>
  <c r="AR86" i="15" s="1"/>
  <c r="AR87" i="15" s="1"/>
  <c r="AR90" i="15" s="1"/>
  <c r="AR75" i="15"/>
  <c r="AP46" i="15"/>
  <c r="AP44" i="15"/>
  <c r="AN73" i="15"/>
  <c r="AN89" i="15" s="1"/>
  <c r="AN33" i="15"/>
  <c r="AN34" i="15" s="1"/>
  <c r="AS38" i="15"/>
  <c r="AS42" i="15"/>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49" i="1"/>
  <c r="BU249" i="1"/>
  <c r="BJ249" i="1"/>
  <c r="BI249" i="1"/>
  <c r="BH249" i="1"/>
  <c r="BG249" i="1"/>
  <c r="BF249" i="1"/>
  <c r="BE249" i="1"/>
  <c r="BC249" i="1"/>
  <c r="BB249" i="1"/>
  <c r="BA249" i="1"/>
  <c r="AZ249" i="1"/>
  <c r="AY249" i="1"/>
  <c r="AX249" i="1"/>
  <c r="AT249" i="1"/>
  <c r="AU249" i="1" s="1"/>
  <c r="AS249" i="1"/>
  <c r="N249" i="1"/>
  <c r="AV249" i="1" s="1"/>
  <c r="AW249" i="1" s="1"/>
  <c r="AN41" i="15" l="1"/>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<sst xmlns="http://schemas.openxmlformats.org/spreadsheetml/2006/main" count="4390" uniqueCount="1128">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</sst>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42">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5" fillId="0" borderId="25" xfId="48" applyFont="1" applyBorder="1"/>
    <xf numFmtId="0" fontId="44" fillId="0" borderId="26" xfId="48" applyFill="1" applyBorder="1"/>
    <xf numFmtId="172" fontId="44" fillId="0" borderId="26" xfId="48" applyNumberFormat="1" applyFill="1" applyBorder="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applyBorder="1"/>
    <xf numFmtId="172" fontId="44" fillId="0" borderId="0" xfId="48" applyNumberFormat="1" applyBorder="1"/>
    <xf numFmtId="172" fontId="0" fillId="10" borderId="16" xfId="49" applyNumberFormat="1" applyFont="1" applyBorder="1" applyAlignment="1"/>
    <xf numFmtId="2" fontId="0" fillId="10" borderId="16" xfId="49" applyNumberFormat="1" applyFont="1" applyBorder="1" applyAlignment="1"/>
    <xf numFmtId="172" fontId="44" fillId="0" borderId="0" xfId="48" applyNumberFormat="1" applyFill="1" applyBorder="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6" xfId="48" applyFont="1" applyFill="1" applyBorder="1"/>
    <xf numFmtId="172" fontId="48" fillId="0" borderId="26" xfId="48" applyNumberFormat="1" applyFont="1" applyFill="1" applyBorder="1"/>
    <xf numFmtId="172" fontId="48" fillId="0" borderId="0" xfId="48" applyNumberFormat="1" applyFont="1" applyFill="1"/>
    <xf numFmtId="172" fontId="48" fillId="0" borderId="27" xfId="48" applyNumberFormat="1" applyFont="1" applyFill="1" applyBorder="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2" fontId="44" fillId="0" borderId="0" xfId="48" applyNumberFormat="1" applyBorder="1"/>
    <xf numFmtId="1" fontId="44" fillId="0" borderId="0" xfId="48" applyNumberFormat="1" applyFill="1" applyBorder="1"/>
    <xf numFmtId="0" fontId="44" fillId="0" borderId="0" xfId="48" applyFill="1"/>
    <xf numFmtId="1" fontId="44" fillId="0" borderId="27" xfId="48" applyNumberFormat="1" applyFill="1" applyBorder="1"/>
    <xf numFmtId="43" fontId="44" fillId="0" borderId="0" xfId="48" applyNumberFormat="1"/>
    <xf numFmtId="2" fontId="44" fillId="10" borderId="34" xfId="49" applyNumberFormat="1" applyBorder="1"/>
    <xf numFmtId="2" fontId="44" fillId="10" borderId="16" xfId="49" applyNumberFormat="1" applyBorder="1"/>
    <xf numFmtId="2" fontId="44" fillId="10" borderId="36" xfId="49" applyNumberFormat="1" applyBorder="1"/>
    <xf numFmtId="2" fontId="44" fillId="10" borderId="31" xfId="49" applyNumberFormat="1" applyBorder="1"/>
    <xf numFmtId="2" fontId="44" fillId="10" borderId="32" xfId="49" applyNumberFormat="1" applyBorder="1"/>
    <xf numFmtId="0" fontId="44" fillId="0" borderId="0" xfId="48" applyFill="1" applyBorder="1"/>
    <xf numFmtId="0" fontId="44" fillId="0" borderId="27" xfId="48" applyFill="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applyBorder="1"/>
    <xf numFmtId="164" fontId="44" fillId="0" borderId="27" xfId="48" applyNumberFormat="1" applyBorder="1"/>
    <xf numFmtId="164" fontId="49" fillId="0" borderId="26" xfId="48" applyNumberFormat="1" applyFont="1" applyFill="1" applyBorder="1"/>
    <xf numFmtId="171" fontId="44" fillId="0" borderId="26" xfId="48" applyNumberFormat="1" applyBorder="1"/>
    <xf numFmtId="171" fontId="44" fillId="0" borderId="0" xfId="48" applyNumberFormat="1" applyBorder="1"/>
    <xf numFmtId="171" fontId="44" fillId="0" borderId="27" xfId="48" applyNumberFormat="1" applyBorder="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xf numFmtId="0" fontId="0" fillId="35" borderId="0" xfId="0" applyFill="1" applyBorder="1" applyAlignment="1">
      <alignment vertical="top" wrapText="1"/>
    </xf>
    <xf numFmtId="0" fontId="5" fillId="35" borderId="0" xfId="0" applyFont="1" applyFill="1" applyBorder="1" applyAlignment="1">
      <alignment vertical="top"/>
    </xf>
    <xf numFmtId="0" fontId="5" fillId="35" borderId="0" xfId="0" applyFont="1" applyFill="1"/>
    <xf numFmtId="0" fontId="41" fillId="35" borderId="0" xfId="0" applyFont="1" applyFill="1" applyBorder="1" applyAlignment="1">
      <alignment vertical="top"/>
    </xf>
    <xf numFmtId="0" fontId="0" fillId="35" borderId="0" xfId="0" applyNumberFormat="1" applyFill="1" applyBorder="1" applyAlignment="1">
      <alignment vertical="top"/>
    </xf>
    <xf numFmtId="11" fontId="5" fillId="35" borderId="0" xfId="0" applyNumberFormat="1" applyFont="1" applyFill="1" applyBorder="1" applyAlignment="1">
      <alignment vertical="top"/>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tabSelected="1" zoomScale="85" zoomScaleNormal="85" workbookViewId="0">
      <pane xSplit="6" ySplit="15" topLeftCell="T267" activePane="bottomRight" state="frozen"/>
      <selection pane="topRight" activeCell="G1" sqref="G1"/>
      <selection pane="bottomLeft" activeCell="A16" sqref="A16"/>
      <selection pane="bottomRight" activeCell="AH278" sqref="AH278"/>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326" t="s">
        <v>27</v>
      </c>
      <c r="Q13" s="326"/>
      <c r="R13" s="326"/>
      <c r="S13" s="326"/>
      <c r="T13" s="326"/>
      <c r="U13" s="326"/>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327"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327"/>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1: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1: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1: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1: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1: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1: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1: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1: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1: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1: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1: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1: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1:78" s="75" customFormat="1" outlineLevel="1" x14ac:dyDescent="0.25">
      <c r="A269" s="94"/>
      <c r="D269" s="95"/>
      <c r="E269" s="75" t="s">
        <v>923</v>
      </c>
      <c r="F269" s="75" t="s">
        <v>771</v>
      </c>
      <c r="G269" s="336" t="s">
        <v>841</v>
      </c>
      <c r="H269" s="75" t="s">
        <v>806</v>
      </c>
      <c r="I269" s="75" t="s">
        <v>660</v>
      </c>
      <c r="J269" s="75" t="s">
        <v>912</v>
      </c>
      <c r="L269" s="75" t="s">
        <v>777</v>
      </c>
      <c r="M269" s="75" t="s">
        <v>793</v>
      </c>
      <c r="N269" s="75" t="str">
        <f t="shared" si="954"/>
        <v>EPDef-VRFSysHtgEIRRatio_fTwbToadbLowSI</v>
      </c>
      <c r="O269" s="75" t="s">
        <v>165</v>
      </c>
      <c r="P269" s="75" t="s">
        <v>288</v>
      </c>
      <c r="Q269" s="75" t="s">
        <v>116</v>
      </c>
      <c r="R269" s="75" t="s">
        <v>460</v>
      </c>
      <c r="S269" s="75" t="s">
        <v>798</v>
      </c>
      <c r="V269" s="337">
        <f>0.87465501/0.8847564161</f>
        <v>0.988582839393777</v>
      </c>
      <c r="W269" s="337">
        <f>-0.01319754/0.8847564161</f>
        <v>-1.491658015680142E-2</v>
      </c>
      <c r="X269" s="337">
        <f>0.00110307/0.8847564161</f>
        <v>1.2467499301811505E-3</v>
      </c>
      <c r="Y269" s="337">
        <f>-0.0133118/0.8847564161</f>
        <v>-1.5045723046212335E-2</v>
      </c>
      <c r="Z269" s="337">
        <f>0.00089017/0.8847564161</f>
        <v>1.0061187280493123E-3</v>
      </c>
      <c r="AA269" s="337">
        <f>-0.00012766/0.8847564161</f>
        <v>-1.4428830091193278E-4</v>
      </c>
      <c r="AB269" s="337"/>
      <c r="AC269" s="337"/>
      <c r="AD269" s="337"/>
      <c r="AE269" s="337"/>
      <c r="AF269" s="337"/>
      <c r="AG269" s="337"/>
      <c r="AH269" s="337"/>
      <c r="AI269" s="337">
        <v>27</v>
      </c>
      <c r="AJ269" s="337">
        <v>15</v>
      </c>
      <c r="AK269" s="337">
        <v>12</v>
      </c>
      <c r="AL269" s="337">
        <v>-20</v>
      </c>
      <c r="AM269" s="338" t="s">
        <v>925</v>
      </c>
      <c r="AO269" s="75">
        <v>1</v>
      </c>
      <c r="AP269" s="339" t="str">
        <f t="shared" si="955"/>
        <v>CrvDblQuad     "EPDef-VRFSysHtgEIRRatio_fTwbToadbLowSI"                         Coef1 =  0.988583  Coef2 = -0.014917  Coef3 =  0.001247  Coef4 = -0.015046  Coef5 =  0.001006  Coef6 = -0.000144  _x000D_
                                                                                MaxVar1 = 27.000   MinVar1 = 15.000   MaxVar2 = 12.000   MinVar2 = -20.000   _x000D_
..</v>
      </c>
      <c r="AQ269" s="339" t="str">
        <f t="shared" si="956"/>
        <v xml:space="preserve">CrvDblQuad     "EPDef-VRFSysHtgEIRRatio_fTwbToadbLowSI"                         Coef1 =  0.988583  Coef2 = -0.014917  Coef3 =  0.001247  Coef4 = -0.015046  Coef5 =  0.001006  Coef6 = -0.000144  </v>
      </c>
      <c r="AR269" s="339" t="str">
        <f t="shared" si="934"/>
        <v xml:space="preserve">_x000D_
                                                                                MaxVar1 = 27.000   MinVar1 = 15.000   MaxVar2 = 12.000   MinVar2 = -20.000   </v>
      </c>
      <c r="AS269" s="339" t="str">
        <f t="shared" si="957"/>
        <v>_x000D_
..</v>
      </c>
      <c r="AT269" s="75" t="str">
        <f t="shared" si="958"/>
        <v>CrvDblQuad</v>
      </c>
      <c r="AU269" s="75" t="str">
        <f t="shared" si="935"/>
        <v xml:space="preserve">     </v>
      </c>
      <c r="AV269" s="340" t="str">
        <f t="shared" si="936"/>
        <v>"EPDef-VRFSysHtgEIRRatio_fTwbToadbLowSI"</v>
      </c>
      <c r="AW269" s="75" t="str">
        <f t="shared" si="959"/>
        <v xml:space="preserve">                         </v>
      </c>
      <c r="AX269" s="75" t="str">
        <f t="shared" si="949"/>
        <v xml:space="preserve"> 0.988583  </v>
      </c>
      <c r="AY269" s="75" t="str">
        <f t="shared" si="950"/>
        <v xml:space="preserve">-0.014917  </v>
      </c>
      <c r="AZ269" s="75" t="str">
        <f t="shared" si="951"/>
        <v xml:space="preserve"> 0.001247  </v>
      </c>
      <c r="BA269" s="75" t="str">
        <f t="shared" si="952"/>
        <v xml:space="preserve">-0.015046  </v>
      </c>
      <c r="BB269" s="75" t="str">
        <f t="shared" si="960"/>
        <v xml:space="preserve"> 0.001006  </v>
      </c>
      <c r="BC269" s="75" t="str">
        <f t="shared" si="961"/>
        <v xml:space="preserve">-0.000144  </v>
      </c>
      <c r="BD269" s="75" t="str">
        <f t="shared" si="962"/>
        <v xml:space="preserve">_x000D_
                                                                                </v>
      </c>
      <c r="BE269" s="75" t="str">
        <f t="shared" si="937"/>
        <v>-</v>
      </c>
      <c r="BF269" s="75" t="str">
        <f t="shared" si="938"/>
        <v>-</v>
      </c>
      <c r="BG269" s="75" t="str">
        <f t="shared" si="939"/>
        <v xml:space="preserve">27.000   </v>
      </c>
      <c r="BH269" s="75" t="str">
        <f t="shared" si="940"/>
        <v xml:space="preserve">15.000   </v>
      </c>
      <c r="BI269" s="75" t="str">
        <f t="shared" si="941"/>
        <v xml:space="preserve">12.000   </v>
      </c>
      <c r="BJ269" s="75" t="str">
        <f t="shared" si="942"/>
        <v xml:space="preserve">-20.000   </v>
      </c>
      <c r="BM269" s="75" t="str">
        <f t="shared" si="963"/>
        <v>Twb</v>
      </c>
      <c r="BN269" s="75" t="str">
        <f>R269</f>
        <v>Toadb</v>
      </c>
      <c r="BO269" s="75">
        <v>1</v>
      </c>
      <c r="BR269" s="75">
        <v>0</v>
      </c>
      <c r="BU269" s="162">
        <f t="shared" si="943"/>
        <v>0.97491300916715673</v>
      </c>
      <c r="BV269" s="162"/>
      <c r="BW269" s="162">
        <f t="shared" si="944"/>
        <v>0.988582839393777</v>
      </c>
    </row>
    <row r="270" spans="1: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1:78" s="75" customFormat="1" outlineLevel="1" x14ac:dyDescent="0.25">
      <c r="A271" s="94"/>
      <c r="D271" s="95"/>
      <c r="E271" s="75" t="s">
        <v>923</v>
      </c>
      <c r="F271" s="75" t="s">
        <v>773</v>
      </c>
      <c r="G271" s="336" t="s">
        <v>841</v>
      </c>
      <c r="H271" s="75" t="s">
        <v>806</v>
      </c>
      <c r="I271" s="75" t="s">
        <v>660</v>
      </c>
      <c r="J271" s="75" t="s">
        <v>912</v>
      </c>
      <c r="L271" s="75" t="s">
        <v>777</v>
      </c>
      <c r="M271" s="75" t="s">
        <v>795</v>
      </c>
      <c r="N271" s="75" t="str">
        <f t="shared" si="954"/>
        <v>EPDef-VRFSysHtgEIRRatio_fTwbToadbHiSI</v>
      </c>
      <c r="O271" s="75" t="s">
        <v>165</v>
      </c>
      <c r="P271" s="75" t="s">
        <v>288</v>
      </c>
      <c r="Q271" s="75" t="s">
        <v>116</v>
      </c>
      <c r="R271" s="75" t="s">
        <v>460</v>
      </c>
      <c r="S271" s="75" t="s">
        <v>799</v>
      </c>
      <c r="V271" s="337">
        <f>2.504005146/0.8847564161</f>
        <v>2.8301633087190674</v>
      </c>
      <c r="W271" s="337">
        <f>-0.05736767/0.8847564161</f>
        <v>-6.4840072313774547E-2</v>
      </c>
      <c r="X271" s="341">
        <f>0.0000407/0.8847564161</f>
        <v>4.6001361797866706E-5</v>
      </c>
      <c r="Y271" s="337">
        <f>-0.12959669/0.8847564161</f>
        <v>-0.14647725367311976</v>
      </c>
      <c r="Z271" s="337">
        <f>0.00135839/0.8847564161</f>
        <v>1.535326532005016E-3</v>
      </c>
      <c r="AA271" s="341">
        <f>0.00317/0.8847564161</f>
        <v>3.5829070491213135E-3</v>
      </c>
      <c r="AB271" s="337"/>
      <c r="AC271" s="337"/>
      <c r="AD271" s="337"/>
      <c r="AE271" s="337"/>
      <c r="AF271" s="337"/>
      <c r="AG271" s="337"/>
      <c r="AH271" s="337"/>
      <c r="AI271" s="337">
        <v>27</v>
      </c>
      <c r="AJ271" s="337">
        <v>15</v>
      </c>
      <c r="AK271" s="337">
        <v>15</v>
      </c>
      <c r="AL271" s="337">
        <v>-10</v>
      </c>
      <c r="AM271" s="338" t="s">
        <v>925</v>
      </c>
      <c r="AO271" s="75">
        <v>1</v>
      </c>
      <c r="AP271" s="339" t="str">
        <f t="shared" si="955"/>
        <v>CrvDblQuad     "EPDef-VRFSysHtgEIRRatio_fTwbToadbHiSI"                          Coef1 =  2.830163  Coef2 = -0.064840  Coef3 =  0.000046  Coef4 = -0.146477  Coef5 =  0.001535  Coef6 =  0.003583  _x000D_
                                                                                MaxVar1 = 27.000   MinVar1 = 15.000   MaxVar2 = 15.000   MinVar2 = -10.000   _x000D_
..</v>
      </c>
      <c r="AQ271" s="339" t="str">
        <f t="shared" si="956"/>
        <v xml:space="preserve">CrvDblQuad     "EPDef-VRFSysHtgEIRRatio_fTwbToadbHiSI"                          Coef1 =  2.830163  Coef2 = -0.064840  Coef3 =  0.000046  Coef4 = -0.146477  Coef5 =  0.001535  Coef6 =  0.003583  </v>
      </c>
      <c r="AR271" s="339" t="str">
        <f t="shared" si="934"/>
        <v xml:space="preserve">_x000D_
                                                                                MaxVar1 = 27.000   MinVar1 = 15.000   MaxVar2 = 15.000   MinVar2 = -10.000   </v>
      </c>
      <c r="AS271" s="339" t="str">
        <f t="shared" si="957"/>
        <v>_x000D_
..</v>
      </c>
      <c r="AT271" s="75" t="str">
        <f t="shared" si="958"/>
        <v>CrvDblQuad</v>
      </c>
      <c r="AU271" s="75" t="str">
        <f t="shared" si="935"/>
        <v xml:space="preserve">     </v>
      </c>
      <c r="AV271" s="340" t="str">
        <f t="shared" si="936"/>
        <v>"EPDef-VRFSysHtgEIRRatio_fTwbToadbHiSI"</v>
      </c>
      <c r="AW271" s="75" t="str">
        <f t="shared" si="959"/>
        <v xml:space="preserve">                          </v>
      </c>
      <c r="AX271" s="75" t="str">
        <f t="shared" si="949"/>
        <v xml:space="preserve"> 2.830163  </v>
      </c>
      <c r="AY271" s="75" t="str">
        <f t="shared" si="950"/>
        <v xml:space="preserve">-0.064840  </v>
      </c>
      <c r="AZ271" s="75" t="str">
        <f t="shared" si="951"/>
        <v xml:space="preserve"> 0.000046  </v>
      </c>
      <c r="BA271" s="75" t="str">
        <f t="shared" si="952"/>
        <v xml:space="preserve">-0.146477  </v>
      </c>
      <c r="BB271" s="75" t="str">
        <f t="shared" si="960"/>
        <v xml:space="preserve"> 0.001535  </v>
      </c>
      <c r="BC271" s="75" t="str">
        <f t="shared" si="961"/>
        <v xml:space="preserve"> 0.003583  </v>
      </c>
      <c r="BD271" s="75" t="str">
        <f t="shared" si="962"/>
        <v xml:space="preserve">_x000D_
                                                                                </v>
      </c>
      <c r="BE271" s="75" t="str">
        <f t="shared" si="937"/>
        <v>-</v>
      </c>
      <c r="BF271" s="75" t="str">
        <f t="shared" si="938"/>
        <v>-</v>
      </c>
      <c r="BG271" s="75" t="str">
        <f t="shared" si="939"/>
        <v xml:space="preserve">27.000   </v>
      </c>
      <c r="BH271" s="75" t="str">
        <f t="shared" si="940"/>
        <v xml:space="preserve">15.000   </v>
      </c>
      <c r="BI271" s="75" t="str">
        <f t="shared" si="941"/>
        <v xml:space="preserve">15.000   </v>
      </c>
      <c r="BJ271" s="75" t="str">
        <f t="shared" si="942"/>
        <v xml:space="preserve">-10.000   </v>
      </c>
      <c r="BM271" s="75" t="str">
        <f t="shared" si="963"/>
        <v>Twb</v>
      </c>
      <c r="BN271" s="75" t="str">
        <f>R271</f>
        <v>Toadb</v>
      </c>
      <c r="BO271" s="75">
        <v>1</v>
      </c>
      <c r="BR271" s="75">
        <v>0</v>
      </c>
      <c r="BU271" s="162">
        <f t="shared" si="943"/>
        <v>2.7653692377670906</v>
      </c>
      <c r="BV271" s="162"/>
      <c r="BW271" s="162">
        <f t="shared" si="944"/>
        <v>2.8301633087190674</v>
      </c>
    </row>
    <row r="272" spans="1: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85">
        <v>13</v>
      </c>
      <c r="H3" s="141"/>
    </row>
    <row r="4" spans="1:10" x14ac:dyDescent="0.25">
      <c r="A4" t="s">
        <v>689</v>
      </c>
      <c r="B4" s="186">
        <f>E4</f>
        <v>10.8446</v>
      </c>
      <c r="C4" t="s">
        <v>929</v>
      </c>
      <c r="E4" s="187">
        <f>MIN(-0.0194*B3^2+1.0864*B3,13)</f>
        <v>10.8446</v>
      </c>
      <c r="H4" s="141"/>
    </row>
    <row r="5" spans="1:10" x14ac:dyDescent="0.25">
      <c r="H5" s="141"/>
    </row>
    <row r="6" spans="1:10" x14ac:dyDescent="0.25">
      <c r="A6" t="s">
        <v>17</v>
      </c>
      <c r="B6">
        <v>1.0451999999999999</v>
      </c>
      <c r="H6" s="141"/>
    </row>
    <row r="7" spans="1:10" x14ac:dyDescent="0.25">
      <c r="A7" t="s">
        <v>18</v>
      </c>
      <c r="B7">
        <v>1.15E-2</v>
      </c>
      <c r="H7" s="141"/>
    </row>
    <row r="8" spans="1:10" x14ac:dyDescent="0.25">
      <c r="A8" t="s">
        <v>19</v>
      </c>
      <c r="B8">
        <v>2.5099999999999998E-4</v>
      </c>
      <c r="H8" s="141"/>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141" t="s">
        <v>940</v>
      </c>
    </row>
    <row r="12" spans="1:10" x14ac:dyDescent="0.25">
      <c r="A12">
        <v>67</v>
      </c>
      <c r="B12">
        <v>95</v>
      </c>
      <c r="C12" s="141">
        <f>B4</f>
        <v>10.8446</v>
      </c>
      <c r="D12" s="141">
        <f>($B$6*C12)+($B$7*C12^2)+($B$8*C12^3)</f>
        <v>13.007358560684633</v>
      </c>
      <c r="E12" s="141">
        <f>D12/3.413</f>
        <v>3.8111217581847741</v>
      </c>
      <c r="F12" s="141">
        <f>1/E12</f>
        <v>0.26238993751705719</v>
      </c>
      <c r="G12" s="141"/>
      <c r="H12" s="141">
        <f t="shared" ref="H12:I20" si="0">(A12-32)/1.8</f>
        <v>19.444444444444443</v>
      </c>
      <c r="I12" s="141">
        <f t="shared" si="0"/>
        <v>35</v>
      </c>
      <c r="J12" s="155">
        <f>F12/$F$12</f>
        <v>1</v>
      </c>
    </row>
    <row r="13" spans="1:10" x14ac:dyDescent="0.25">
      <c r="A13">
        <v>67</v>
      </c>
      <c r="B13">
        <v>82</v>
      </c>
      <c r="C13" s="141">
        <f>B3</f>
        <v>13</v>
      </c>
      <c r="D13" s="141">
        <f t="shared" ref="D13:D20" si="1">($B$6*C13)+($B$7*C13^2)+($B$8*C13^3)</f>
        <v>16.082546999999998</v>
      </c>
      <c r="E13" s="141">
        <f>D13/3.413</f>
        <v>4.7121438617052442</v>
      </c>
      <c r="F13" s="141">
        <f t="shared" ref="F13:F20" si="2">1/E13</f>
        <v>0.21221762945881645</v>
      </c>
      <c r="G13" s="141"/>
      <c r="H13" s="141">
        <f t="shared" si="0"/>
        <v>19.444444444444443</v>
      </c>
      <c r="I13" s="141">
        <f t="shared" si="0"/>
        <v>27.777777777777779</v>
      </c>
      <c r="J13" s="155">
        <f t="shared" ref="J13:J20" si="3">F13/$F$12</f>
        <v>0.80878722510088941</v>
      </c>
    </row>
    <row r="14" spans="1:10" x14ac:dyDescent="0.25">
      <c r="A14">
        <v>67</v>
      </c>
      <c r="B14">
        <v>110</v>
      </c>
      <c r="C14" s="141">
        <f>C12-1.8</f>
        <v>9.0445999999999991</v>
      </c>
      <c r="D14" s="141">
        <f t="shared" si="1"/>
        <v>10.579883785945169</v>
      </c>
      <c r="E14" s="141">
        <f t="shared" ref="E14:E20" si="4">D14/3.413</f>
        <v>3.0998780503794814</v>
      </c>
      <c r="F14" s="141">
        <f t="shared" si="2"/>
        <v>0.32259333552737079</v>
      </c>
      <c r="G14" s="141"/>
      <c r="H14" s="141">
        <f t="shared" si="0"/>
        <v>19.444444444444443</v>
      </c>
      <c r="I14" s="141">
        <f t="shared" si="0"/>
        <v>43.333333333333336</v>
      </c>
      <c r="J14" s="155">
        <f t="shared" si="3"/>
        <v>1.229442480073764</v>
      </c>
    </row>
    <row r="15" spans="1:10" x14ac:dyDescent="0.25">
      <c r="A15">
        <v>57</v>
      </c>
      <c r="B15">
        <v>95</v>
      </c>
      <c r="C15" s="141">
        <f>C12*0.877</f>
        <v>9.5107142000000007</v>
      </c>
      <c r="D15" s="141">
        <f t="shared" si="1"/>
        <v>11.196745919442264</v>
      </c>
      <c r="E15" s="141">
        <f t="shared" si="4"/>
        <v>3.2806170288433241</v>
      </c>
      <c r="F15" s="141">
        <f t="shared" si="2"/>
        <v>0.30482070635126185</v>
      </c>
      <c r="G15" s="141"/>
      <c r="H15" s="141">
        <f t="shared" si="0"/>
        <v>13.888888888888889</v>
      </c>
      <c r="I15" s="141">
        <f t="shared" si="0"/>
        <v>35</v>
      </c>
      <c r="J15" s="155">
        <f t="shared" si="3"/>
        <v>1.1617088263205457</v>
      </c>
    </row>
    <row r="16" spans="1:10" x14ac:dyDescent="0.25">
      <c r="A16">
        <v>57</v>
      </c>
      <c r="B16">
        <v>82</v>
      </c>
      <c r="C16" s="141">
        <f>C13*0.877</f>
        <v>11.401</v>
      </c>
      <c r="D16" s="141">
        <f t="shared" si="1"/>
        <v>13.78309282396445</v>
      </c>
      <c r="E16" s="141">
        <f t="shared" si="4"/>
        <v>4.0384098517329186</v>
      </c>
      <c r="F16" s="141">
        <f t="shared" si="2"/>
        <v>0.24762221684133692</v>
      </c>
      <c r="G16" s="141"/>
      <c r="H16" s="141">
        <f t="shared" si="0"/>
        <v>13.888888888888889</v>
      </c>
      <c r="I16" s="141">
        <f t="shared" si="0"/>
        <v>27.777777777777779</v>
      </c>
      <c r="J16" s="155">
        <f t="shared" si="3"/>
        <v>0.94371841841396731</v>
      </c>
    </row>
    <row r="17" spans="1:10" x14ac:dyDescent="0.25">
      <c r="A17">
        <v>57</v>
      </c>
      <c r="B17">
        <v>110</v>
      </c>
      <c r="C17" s="141">
        <f>C14*0.877</f>
        <v>7.9321141999999991</v>
      </c>
      <c r="D17" s="141">
        <f t="shared" si="1"/>
        <v>9.1394759026767218</v>
      </c>
      <c r="E17" s="141">
        <f t="shared" si="4"/>
        <v>2.6778423389032295</v>
      </c>
      <c r="F17" s="141">
        <f t="shared" si="2"/>
        <v>0.37343497989861957</v>
      </c>
      <c r="G17" s="141"/>
      <c r="H17" s="141">
        <f t="shared" si="0"/>
        <v>13.888888888888889</v>
      </c>
      <c r="I17" s="141">
        <f t="shared" si="0"/>
        <v>43.333333333333336</v>
      </c>
      <c r="J17" s="155">
        <f t="shared" si="3"/>
        <v>1.4232061771589228</v>
      </c>
    </row>
    <row r="18" spans="1:10" x14ac:dyDescent="0.25">
      <c r="A18">
        <v>77</v>
      </c>
      <c r="B18">
        <v>95</v>
      </c>
      <c r="C18" s="141">
        <f>C12*1.11</f>
        <v>12.037506</v>
      </c>
      <c r="D18" s="141">
        <f t="shared" si="1"/>
        <v>14.685776679026622</v>
      </c>
      <c r="E18" s="141">
        <f t="shared" si="4"/>
        <v>4.3028938409102322</v>
      </c>
      <c r="F18" s="141">
        <f t="shared" si="2"/>
        <v>0.23240173635993316</v>
      </c>
      <c r="G18" s="141"/>
      <c r="H18" s="141">
        <f t="shared" si="0"/>
        <v>25</v>
      </c>
      <c r="I18" s="141">
        <f t="shared" si="0"/>
        <v>35</v>
      </c>
      <c r="J18" s="155">
        <f t="shared" si="3"/>
        <v>0.8857113140812628</v>
      </c>
    </row>
    <row r="19" spans="1:10" x14ac:dyDescent="0.25">
      <c r="A19">
        <v>77</v>
      </c>
      <c r="B19">
        <v>82</v>
      </c>
      <c r="C19" s="141">
        <f>C13*1.11</f>
        <v>14.430000000000001</v>
      </c>
      <c r="D19" s="141">
        <f t="shared" si="1"/>
        <v>18.230998362057001</v>
      </c>
      <c r="E19" s="141">
        <f t="shared" si="4"/>
        <v>5.3416344453726934</v>
      </c>
      <c r="F19" s="141">
        <f t="shared" si="2"/>
        <v>0.18720861755455237</v>
      </c>
      <c r="G19" s="141"/>
      <c r="H19" s="141">
        <f t="shared" si="0"/>
        <v>25</v>
      </c>
      <c r="I19" s="141">
        <f t="shared" si="0"/>
        <v>27.777777777777779</v>
      </c>
      <c r="J19" s="155">
        <f t="shared" si="3"/>
        <v>0.71347483568184655</v>
      </c>
    </row>
    <row r="20" spans="1:10" x14ac:dyDescent="0.25">
      <c r="A20">
        <v>77</v>
      </c>
      <c r="B20">
        <v>110</v>
      </c>
      <c r="C20" s="141">
        <f>C14*1.11</f>
        <v>10.039505999999999</v>
      </c>
      <c r="D20" s="141">
        <f t="shared" si="1"/>
        <v>11.906382569054552</v>
      </c>
      <c r="E20" s="141">
        <f t="shared" si="4"/>
        <v>3.4885386958847211</v>
      </c>
      <c r="F20" s="141">
        <f t="shared" si="2"/>
        <v>0.28665297626758646</v>
      </c>
      <c r="G20" s="141"/>
      <c r="H20" s="141">
        <f t="shared" si="0"/>
        <v>25</v>
      </c>
      <c r="I20" s="141">
        <f t="shared" si="0"/>
        <v>43.333333333333336</v>
      </c>
      <c r="J20" s="155">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88" customWidth="1"/>
    <col min="2" max="2" width="76" style="188" customWidth="1"/>
    <col min="3" max="3" width="45" style="188" customWidth="1"/>
    <col min="4" max="17" width="12" style="188" customWidth="1"/>
    <col min="18" max="18" width="4.140625" style="188" customWidth="1"/>
    <col min="19" max="19" width="24.7109375" style="188" customWidth="1"/>
    <col min="20" max="28" width="12" style="188" customWidth="1"/>
    <col min="29" max="29" width="4.42578125" style="188" customWidth="1"/>
    <col min="30" max="30" width="65" style="188" customWidth="1"/>
    <col min="31" max="37" width="12" style="188" customWidth="1"/>
    <col min="38" max="38" width="3.7109375" style="188" customWidth="1"/>
    <col min="39" max="39" width="52.85546875" style="188" customWidth="1"/>
    <col min="40" max="46" width="12" style="188" customWidth="1"/>
    <col min="47" max="47" width="3.7109375" style="188" customWidth="1"/>
    <col min="48" max="48" width="50.140625" style="188" customWidth="1"/>
    <col min="49" max="49" width="12" style="188" customWidth="1"/>
    <col min="50" max="50" width="14.140625" style="188" bestFit="1" customWidth="1"/>
    <col min="51" max="51" width="14.140625" style="188" customWidth="1"/>
    <col min="52" max="52" width="4" style="188" customWidth="1"/>
    <col min="53" max="53" width="29.85546875" style="188" customWidth="1"/>
    <col min="54" max="72" width="12" style="188" customWidth="1"/>
    <col min="73" max="16384" width="12.7109375" style="188"/>
  </cols>
  <sheetData>
    <row r="1" spans="1:50" ht="15.95" customHeight="1" x14ac:dyDescent="0.25"/>
    <row r="2" spans="1:50" ht="15.95" customHeight="1" x14ac:dyDescent="0.25"/>
    <row r="3" spans="1:50" ht="15.75" customHeight="1" x14ac:dyDescent="0.25"/>
    <row r="4" spans="1:50" ht="15.75" customHeight="1" thickBot="1" x14ac:dyDescent="0.3">
      <c r="A4" s="189" t="s">
        <v>1008</v>
      </c>
      <c r="R4" s="189" t="s">
        <v>1092</v>
      </c>
      <c r="AC4" s="189" t="s">
        <v>1097</v>
      </c>
      <c r="AL4" s="189" t="s">
        <v>1015</v>
      </c>
      <c r="AM4" s="189"/>
      <c r="AU4" s="189" t="s">
        <v>1049</v>
      </c>
    </row>
    <row r="5" spans="1:50" ht="15.75" customHeight="1" x14ac:dyDescent="0.25">
      <c r="A5" s="213"/>
      <c r="B5" s="193" t="str">
        <f>'ACM Performance Curves'!M15</f>
        <v>E+ Field(s)</v>
      </c>
      <c r="C5" s="191" t="str">
        <f>'ACM Performance Curves'!N15</f>
        <v>Curve Name (generated from fields)</v>
      </c>
      <c r="D5" s="191" t="str">
        <f>'ACM Performance Curves'!O15</f>
        <v>Curve Type</v>
      </c>
      <c r="E5" s="191" t="str">
        <f>'ACM Performance Curves'!P15</f>
        <v>Dependent</v>
      </c>
      <c r="F5" s="191" t="str">
        <f>'ACM Performance Curves'!Q15</f>
        <v>Var1</v>
      </c>
      <c r="G5" s="191" t="str">
        <f>'ACM Performance Curves'!R15</f>
        <v>Var2</v>
      </c>
      <c r="H5" s="191" t="str">
        <f>'ACM Performance Curves'!S15</f>
        <v>Var3</v>
      </c>
      <c r="I5" s="191" t="str">
        <f>'ACM Performance Curves'!T15</f>
        <v>Var4</v>
      </c>
      <c r="J5" s="191" t="str">
        <f>'ACM Performance Curves'!U15</f>
        <v>Var5</v>
      </c>
      <c r="K5" s="191" t="str">
        <f>'ACM Performance Curves'!V15</f>
        <v>a</v>
      </c>
      <c r="L5" s="191" t="str">
        <f>'ACM Performance Curves'!W15</f>
        <v>b</v>
      </c>
      <c r="M5" s="191" t="str">
        <f>'ACM Performance Curves'!X15</f>
        <v>c</v>
      </c>
      <c r="N5" s="191" t="str">
        <f>'ACM Performance Curves'!Y15</f>
        <v>d</v>
      </c>
      <c r="O5" s="191" t="str">
        <f>'ACM Performance Curves'!Z15</f>
        <v>e</v>
      </c>
      <c r="P5" s="192" t="str">
        <f>'ACM Performance Curves'!AA15</f>
        <v>f</v>
      </c>
      <c r="S5" s="246" t="s">
        <v>1096</v>
      </c>
      <c r="AD5" s="190" t="s">
        <v>961</v>
      </c>
      <c r="AE5" s="210" t="s">
        <v>946</v>
      </c>
      <c r="AF5" s="210"/>
      <c r="AG5" s="210"/>
      <c r="AH5" s="210" t="s">
        <v>947</v>
      </c>
      <c r="AI5" s="210"/>
      <c r="AJ5" s="211"/>
      <c r="AK5" s="232"/>
      <c r="AM5" s="237" t="s">
        <v>965</v>
      </c>
      <c r="AN5" s="191"/>
      <c r="AO5" s="192"/>
      <c r="AV5" s="193" t="s">
        <v>1050</v>
      </c>
      <c r="AW5" s="192" t="s">
        <v>1051</v>
      </c>
    </row>
    <row r="6" spans="1:50" ht="15.75" customHeight="1" x14ac:dyDescent="0.25">
      <c r="A6" s="332" t="s">
        <v>1011</v>
      </c>
      <c r="B6" s="194" t="str">
        <f>'ACM Performance Curves'!M252</f>
        <v>Cooling Capacity Ratio Modifier Function of Low Temperature Curve Name</v>
      </c>
      <c r="C6" s="212" t="str">
        <f>'ACM Performance Curves'!N252</f>
        <v>EPDef-VRFSysClgQRatio_fTwbToadbLowSI</v>
      </c>
      <c r="D6" s="212" t="str">
        <f>'ACM Performance Curves'!O252</f>
        <v>BiQuadratic</v>
      </c>
      <c r="E6" s="212" t="str">
        <f>'ACM Performance Curves'!P252</f>
        <v>QRatio</v>
      </c>
      <c r="F6" s="212" t="str">
        <f>'ACM Performance Curves'!Q252</f>
        <v>Twb</v>
      </c>
      <c r="G6" s="212" t="str">
        <f>'ACM Performance Curves'!R252</f>
        <v>Toadb</v>
      </c>
      <c r="H6" s="212" t="str">
        <f>'ACM Performance Curves'!S252</f>
        <v>Low</v>
      </c>
      <c r="I6" s="212">
        <f>'ACM Performance Curves'!T252</f>
        <v>0</v>
      </c>
      <c r="J6" s="212">
        <f>'ACM Performance Curves'!U252</f>
        <v>0</v>
      </c>
      <c r="K6" s="212">
        <f>'ACM Performance Curves'!V252</f>
        <v>0.57688300000000003</v>
      </c>
      <c r="L6" s="212">
        <f>'ACM Performance Curves'!W252</f>
        <v>1.7448000000000002E-2</v>
      </c>
      <c r="M6" s="212">
        <f>'ACM Performance Curves'!X252</f>
        <v>5.8299999999999997E-4</v>
      </c>
      <c r="N6" s="212">
        <f>'ACM Performance Curves'!Y252</f>
        <v>-1.9999999999999999E-6</v>
      </c>
      <c r="O6" s="212">
        <f>'ACM Performance Curves'!Z252</f>
        <v>0</v>
      </c>
      <c r="P6" s="195">
        <f>'ACM Performance Curves'!AA252</f>
        <v>0</v>
      </c>
      <c r="S6" s="189" t="s">
        <v>946</v>
      </c>
      <c r="AD6" s="194" t="s">
        <v>1006</v>
      </c>
      <c r="AE6" s="217">
        <v>115</v>
      </c>
      <c r="AF6" s="217">
        <v>95</v>
      </c>
      <c r="AG6" s="217">
        <v>82</v>
      </c>
      <c r="AH6" s="217">
        <v>47</v>
      </c>
      <c r="AI6" s="217">
        <v>17</v>
      </c>
      <c r="AJ6" s="218">
        <v>5</v>
      </c>
      <c r="AK6" s="217"/>
      <c r="AM6" s="194" t="s">
        <v>966</v>
      </c>
      <c r="AN6" s="185">
        <v>0.5</v>
      </c>
      <c r="AO6" s="247"/>
      <c r="AP6" s="240" t="s">
        <v>1103</v>
      </c>
      <c r="AV6" s="194" t="s">
        <v>1052</v>
      </c>
      <c r="AW6" s="195">
        <v>0.96</v>
      </c>
    </row>
    <row r="7" spans="1:50" ht="15.75" customHeight="1" x14ac:dyDescent="0.25">
      <c r="A7" s="332"/>
      <c r="B7" s="194" t="str">
        <f>'ACM Performance Curves'!M253</f>
        <v>Cooling Capacity Ratio Boundary Curve Name</v>
      </c>
      <c r="C7" s="212" t="str">
        <f>'ACM Performance Curves'!N253</f>
        <v>EPDef-VRFSysClgCapBdry_fToadbSI</v>
      </c>
      <c r="D7" s="212" t="str">
        <f>'ACM Performance Curves'!O253</f>
        <v>Cubic</v>
      </c>
      <c r="E7" s="212" t="str">
        <f>'ACM Performance Curves'!P253</f>
        <v>CapBdry</v>
      </c>
      <c r="F7" s="212" t="str">
        <f>'ACM Performance Curves'!Q253</f>
        <v>Toadb</v>
      </c>
      <c r="G7" s="212">
        <f>'ACM Performance Curves'!R253</f>
        <v>0</v>
      </c>
      <c r="H7" s="212">
        <f>'ACM Performance Curves'!S253</f>
        <v>0</v>
      </c>
      <c r="I7" s="212">
        <f>'ACM Performance Curves'!T253</f>
        <v>0</v>
      </c>
      <c r="J7" s="212">
        <f>'ACM Performance Curves'!U253</f>
        <v>0</v>
      </c>
      <c r="K7" s="212">
        <f>'ACM Performance Curves'!V253</f>
        <v>25.73</v>
      </c>
      <c r="L7" s="212">
        <f>'ACM Performance Curves'!W253</f>
        <v>-3.15E-2</v>
      </c>
      <c r="M7" s="212">
        <f>'ACM Performance Curves'!X253</f>
        <v>-1.4166E-2</v>
      </c>
      <c r="N7" s="212">
        <f>'ACM Performance Curves'!Y253</f>
        <v>0</v>
      </c>
      <c r="O7" s="212">
        <f>'ACM Performance Curves'!Z253</f>
        <v>0</v>
      </c>
      <c r="P7" s="195">
        <f>'ACM Performance Curves'!AA253</f>
        <v>0</v>
      </c>
      <c r="S7" s="188" t="s">
        <v>948</v>
      </c>
      <c r="W7" s="188" t="s">
        <v>1095</v>
      </c>
      <c r="AD7" s="194" t="s">
        <v>1007</v>
      </c>
      <c r="AE7" s="305">
        <v>67</v>
      </c>
      <c r="AF7" s="305">
        <v>67</v>
      </c>
      <c r="AG7" s="305">
        <v>67</v>
      </c>
      <c r="AH7" s="306"/>
      <c r="AI7" s="306"/>
      <c r="AJ7" s="307"/>
      <c r="AK7" s="217"/>
      <c r="AM7" s="194" t="s">
        <v>967</v>
      </c>
      <c r="AN7" s="238">
        <v>0.210115</v>
      </c>
      <c r="AO7" s="195"/>
      <c r="AV7" s="194" t="s">
        <v>1053</v>
      </c>
      <c r="AW7" s="195">
        <f>AN23</f>
        <v>350</v>
      </c>
    </row>
    <row r="8" spans="1:50" ht="15.75" customHeight="1" x14ac:dyDescent="0.25">
      <c r="A8" s="332"/>
      <c r="B8" s="194" t="str">
        <f>'ACM Performance Curves'!M254</f>
        <v>Cooling Capacity Ratio Modifier Function of High Temperature Curve Name</v>
      </c>
      <c r="C8" s="212" t="str">
        <f>'ACM Performance Curves'!N254</f>
        <v>EPDef-VRFSysClgQRatio_fTdbToadbHiSI</v>
      </c>
      <c r="D8" s="212" t="str">
        <f>'ACM Performance Curves'!O254</f>
        <v>BiQuadratic</v>
      </c>
      <c r="E8" s="212" t="str">
        <f>'ACM Performance Curves'!P254</f>
        <v>QRatio</v>
      </c>
      <c r="F8" s="212" t="str">
        <f>'ACM Performance Curves'!Q254</f>
        <v>Tdb</v>
      </c>
      <c r="G8" s="212" t="str">
        <f>'ACM Performance Curves'!R254</f>
        <v>Toadb</v>
      </c>
      <c r="H8" s="212" t="str">
        <f>'ACM Performance Curves'!S254</f>
        <v>Hi</v>
      </c>
      <c r="I8" s="212">
        <f>'ACM Performance Curves'!T254</f>
        <v>0</v>
      </c>
      <c r="J8" s="212">
        <f>'ACM Performance Curves'!U254</f>
        <v>0</v>
      </c>
      <c r="K8" s="212">
        <f>'ACM Performance Curves'!V254</f>
        <v>0.68673600000000001</v>
      </c>
      <c r="L8" s="212">
        <f>'ACM Performance Curves'!W254</f>
        <v>2.0763E-2</v>
      </c>
      <c r="M8" s="212">
        <f>'ACM Performance Curves'!X254</f>
        <v>5.4500000000000002E-4</v>
      </c>
      <c r="N8" s="212">
        <f>'ACM Performance Curves'!Y254</f>
        <v>-1.622E-3</v>
      </c>
      <c r="O8" s="212">
        <f>'ACM Performance Curves'!Z254</f>
        <v>0</v>
      </c>
      <c r="P8" s="195">
        <f>'ACM Performance Curves'!AA254</f>
        <v>-3.39E-4</v>
      </c>
      <c r="S8" s="188" t="s">
        <v>1093</v>
      </c>
      <c r="T8" s="188">
        <v>0.25</v>
      </c>
      <c r="W8" s="188" t="s">
        <v>1083</v>
      </c>
      <c r="X8" s="185">
        <v>0.55000000000000004</v>
      </c>
      <c r="AD8" s="194" t="s">
        <v>1100</v>
      </c>
      <c r="AE8" s="306"/>
      <c r="AF8" s="306"/>
      <c r="AG8" s="306"/>
      <c r="AH8" s="305">
        <v>70</v>
      </c>
      <c r="AI8" s="305">
        <v>70</v>
      </c>
      <c r="AJ8" s="307">
        <v>70</v>
      </c>
      <c r="AK8" s="212"/>
      <c r="AM8" s="194" t="s">
        <v>968</v>
      </c>
      <c r="AN8" s="238">
        <v>0.25337799999999999</v>
      </c>
      <c r="AO8" s="195"/>
      <c r="AV8" s="194" t="s">
        <v>1054</v>
      </c>
      <c r="AW8" s="195">
        <f>AN17</f>
        <v>0.25</v>
      </c>
    </row>
    <row r="9" spans="1:50" ht="15.75" customHeight="1" thickBot="1" x14ac:dyDescent="0.3">
      <c r="A9" s="332"/>
      <c r="B9" s="194" t="str">
        <f>'ACM Performance Curves'!M255</f>
        <v>Cooling Combination Ratio Correction Factor Curve Name</v>
      </c>
      <c r="C9" s="212" t="str">
        <f>'ACM Performance Curves'!N255</f>
        <v>EPDef-VRFSysClgQRatio_fCombRat</v>
      </c>
      <c r="D9" s="212" t="str">
        <f>'ACM Performance Curves'!O255</f>
        <v>Linear</v>
      </c>
      <c r="E9" s="212" t="str">
        <f>'ACM Performance Curves'!P255</f>
        <v>QRatio</v>
      </c>
      <c r="F9" s="212" t="str">
        <f>'ACM Performance Curves'!Q255</f>
        <v>CombRat</v>
      </c>
      <c r="G9" s="212">
        <f>'ACM Performance Curves'!R255</f>
        <v>0</v>
      </c>
      <c r="H9" s="212">
        <f>'ACM Performance Curves'!S255</f>
        <v>0</v>
      </c>
      <c r="I9" s="212">
        <f>'ACM Performance Curves'!T255</f>
        <v>0</v>
      </c>
      <c r="J9" s="212">
        <f>'ACM Performance Curves'!U255</f>
        <v>0</v>
      </c>
      <c r="K9" s="212">
        <f>'ACM Performance Curves'!V255</f>
        <v>0.61805500000000002</v>
      </c>
      <c r="L9" s="212">
        <f>'ACM Performance Curves'!W255</f>
        <v>0.38194499999999998</v>
      </c>
      <c r="M9" s="212">
        <f>'ACM Performance Curves'!X255</f>
        <v>0</v>
      </c>
      <c r="N9" s="212">
        <f>'ACM Performance Curves'!Y255</f>
        <v>0</v>
      </c>
      <c r="O9" s="212">
        <f>'ACM Performance Curves'!Z255</f>
        <v>0</v>
      </c>
      <c r="P9" s="195">
        <f>'ACM Performance Curves'!AA255</f>
        <v>0</v>
      </c>
      <c r="S9" s="188" t="s">
        <v>1094</v>
      </c>
      <c r="T9" s="188">
        <v>0.15</v>
      </c>
      <c r="W9" s="241" t="s">
        <v>1086</v>
      </c>
      <c r="X9" s="185">
        <v>0.55000000000000004</v>
      </c>
      <c r="AD9" s="196" t="s">
        <v>1010</v>
      </c>
      <c r="AE9" s="197">
        <v>0.25</v>
      </c>
      <c r="AF9" s="197">
        <f>AE9</f>
        <v>0.25</v>
      </c>
      <c r="AG9" s="197">
        <f>AF9</f>
        <v>0.25</v>
      </c>
      <c r="AH9" s="197">
        <f t="shared" ref="AH9:AJ9" si="0">AG9</f>
        <v>0.25</v>
      </c>
      <c r="AI9" s="197">
        <f t="shared" si="0"/>
        <v>0.25</v>
      </c>
      <c r="AJ9" s="208">
        <f t="shared" si="0"/>
        <v>0.25</v>
      </c>
      <c r="AK9" s="212"/>
      <c r="AM9" s="194" t="s">
        <v>969</v>
      </c>
      <c r="AN9" s="185">
        <f>AN15/1.33</f>
        <v>39284.135338345863</v>
      </c>
      <c r="AO9" s="195" t="s">
        <v>941</v>
      </c>
      <c r="AP9" s="240" t="s">
        <v>1104</v>
      </c>
      <c r="AV9" s="194" t="s">
        <v>1055</v>
      </c>
      <c r="AW9" s="195">
        <f>AN17</f>
        <v>0.25</v>
      </c>
    </row>
    <row r="10" spans="1:50" ht="15.75" customHeight="1" x14ac:dyDescent="0.25">
      <c r="A10" s="332"/>
      <c r="B10" s="194" t="str">
        <f>'ACM Performance Curves'!M256</f>
        <v>Heat Recovery Cooling Capacity Modifier Curve Name</v>
      </c>
      <c r="C10" s="212" t="str">
        <f>'ACM Performance Curves'!N256</f>
        <v>EPDef-VRFSysHtRcvryClgQRatio_fTwbToadbSI</v>
      </c>
      <c r="D10" s="212" t="str">
        <f>'ACM Performance Curves'!O256</f>
        <v>BiQuadratic</v>
      </c>
      <c r="E10" s="212" t="str">
        <f>'ACM Performance Curves'!P256</f>
        <v>QRatio</v>
      </c>
      <c r="F10" s="212" t="str">
        <f>'ACM Performance Curves'!Q256</f>
        <v>Twb</v>
      </c>
      <c r="G10" s="212" t="str">
        <f>'ACM Performance Curves'!R256</f>
        <v>Toadb</v>
      </c>
      <c r="H10" s="212">
        <f>'ACM Performance Curves'!S256</f>
        <v>0</v>
      </c>
      <c r="I10" s="212">
        <f>'ACM Performance Curves'!T256</f>
        <v>0</v>
      </c>
      <c r="J10" s="212">
        <f>'ACM Performance Curves'!U256</f>
        <v>0</v>
      </c>
      <c r="K10" s="212">
        <f>'ACM Performance Curves'!V256</f>
        <v>0.9</v>
      </c>
      <c r="L10" s="212">
        <f>'ACM Performance Curves'!W256</f>
        <v>0</v>
      </c>
      <c r="M10" s="212">
        <f>'ACM Performance Curves'!X256</f>
        <v>0</v>
      </c>
      <c r="N10" s="212">
        <f>'ACM Performance Curves'!Y256</f>
        <v>0</v>
      </c>
      <c r="O10" s="212">
        <f>'ACM Performance Curves'!Z256</f>
        <v>0</v>
      </c>
      <c r="P10" s="195">
        <f>'ACM Performance Curves'!AA256</f>
        <v>0</v>
      </c>
      <c r="W10" s="188" t="s">
        <v>1091</v>
      </c>
      <c r="X10" s="185">
        <v>-0.6</v>
      </c>
      <c r="AC10" s="335" t="s">
        <v>1011</v>
      </c>
      <c r="AD10" s="216" t="s">
        <v>960</v>
      </c>
      <c r="AE10" s="193"/>
      <c r="AF10" s="191"/>
      <c r="AG10" s="192"/>
      <c r="AH10" s="193"/>
      <c r="AI10" s="191"/>
      <c r="AJ10" s="192"/>
      <c r="AK10" s="212"/>
      <c r="AM10" s="194" t="s">
        <v>970</v>
      </c>
      <c r="AN10" s="185">
        <f>AN16/1.33</f>
        <v>32758.045112781951</v>
      </c>
      <c r="AO10" s="195" t="s">
        <v>941</v>
      </c>
      <c r="AP10" s="240" t="s">
        <v>1105</v>
      </c>
      <c r="AV10" s="194" t="s">
        <v>1056</v>
      </c>
      <c r="AW10" s="195" t="s">
        <v>1108</v>
      </c>
    </row>
    <row r="11" spans="1:50" ht="15.75" customHeight="1" x14ac:dyDescent="0.25">
      <c r="A11" s="332"/>
      <c r="B11" s="194" t="str">
        <f>'ACM Performance Curves'!M257</f>
        <v>Heating Capacity Ratio Modifier Function of Low Temperature Curve Name</v>
      </c>
      <c r="C11" s="212" t="str">
        <f>'ACM Performance Curves'!N257</f>
        <v>EPDef-VRFSysHtgQRatio_fTwbToadbLowSI</v>
      </c>
      <c r="D11" s="212" t="str">
        <f>'ACM Performance Curves'!O257</f>
        <v>BiQuadratic</v>
      </c>
      <c r="E11" s="212" t="str">
        <f>'ACM Performance Curves'!P257</f>
        <v>QRatio</v>
      </c>
      <c r="F11" s="212" t="str">
        <f>'ACM Performance Curves'!Q257</f>
        <v>Twb</v>
      </c>
      <c r="G11" s="212" t="str">
        <f>'ACM Performance Curves'!R257</f>
        <v>Toadb</v>
      </c>
      <c r="H11" s="212" t="str">
        <f>'ACM Performance Curves'!S257</f>
        <v>Low</v>
      </c>
      <c r="I11" s="212">
        <f>'ACM Performance Curves'!T257</f>
        <v>0</v>
      </c>
      <c r="J11" s="212">
        <f>'ACM Performance Curves'!U257</f>
        <v>0</v>
      </c>
      <c r="K11" s="212">
        <f>'ACM Performance Curves'!V257</f>
        <v>1.0145999999999999</v>
      </c>
      <c r="L11" s="212">
        <f>'ACM Performance Curves'!W257</f>
        <v>-2.5070000000000001E-3</v>
      </c>
      <c r="M11" s="212">
        <f>'ACM Performance Curves'!X257</f>
        <v>-1.4200000000000001E-4</v>
      </c>
      <c r="N11" s="212">
        <f>'ACM Performance Curves'!Y257</f>
        <v>2.6931594999999999E-2</v>
      </c>
      <c r="O11" s="212">
        <f>'ACM Performance Curves'!Z257</f>
        <v>1.84E-6</v>
      </c>
      <c r="P11" s="195">
        <f>'ACM Performance Curves'!AA257</f>
        <v>-3.5814700000000001E-4</v>
      </c>
      <c r="W11" s="188" t="s">
        <v>1090</v>
      </c>
      <c r="X11" s="248">
        <v>0</v>
      </c>
      <c r="Y11" s="248">
        <f>1/(1-$X$10)</f>
        <v>0.625</v>
      </c>
      <c r="Z11" s="248">
        <f>-$X$10/(1-$X$10)^2</f>
        <v>0.23437499999999994</v>
      </c>
      <c r="AC11" s="332"/>
      <c r="AD11" s="214" t="s">
        <v>951</v>
      </c>
      <c r="AE11" s="194">
        <f>$K41+$L41*AE$7+$M41*AE$7^2+$N41*AE$6+$O41*AE$6^2+$P41*AE$7*AE$6</f>
        <v>1.1364818271604942</v>
      </c>
      <c r="AF11" s="212">
        <f>$K41+$L41*AF$7+$M41*AF$7^2+$N41*AF$6+$O41*AF$6^2+$P41*AF$7*AF$6</f>
        <v>1.1365040493827163</v>
      </c>
      <c r="AG11" s="195">
        <f>$K41+$L41*AG$7+$M41*AG$7^2+$N41*AG$6+$O41*AG$6^2+$P41*AG$7*AG$6</f>
        <v>1.1365184938271609</v>
      </c>
      <c r="AH11" s="194"/>
      <c r="AI11" s="212"/>
      <c r="AJ11" s="195"/>
      <c r="AK11" s="212"/>
      <c r="AM11" s="194" t="s">
        <v>971</v>
      </c>
      <c r="AN11" s="212">
        <f>AN15/AN9</f>
        <v>1.33</v>
      </c>
      <c r="AO11" s="195"/>
      <c r="AP11" s="240" t="s">
        <v>1105</v>
      </c>
      <c r="AV11" s="194" t="s">
        <v>1057</v>
      </c>
      <c r="AW11" s="195" t="s">
        <v>1058</v>
      </c>
    </row>
    <row r="12" spans="1:50" ht="15.75" customHeight="1" x14ac:dyDescent="0.25">
      <c r="A12" s="332"/>
      <c r="B12" s="194" t="str">
        <f>'ACM Performance Curves'!M258</f>
        <v>Heating Capacity Ratio Boundary Curve Name</v>
      </c>
      <c r="C12" s="212" t="str">
        <f>'ACM Performance Curves'!N258</f>
        <v>EPDef-VRFSysHtgCapBdry_fToadbSI</v>
      </c>
      <c r="D12" s="212" t="str">
        <f>'ACM Performance Curves'!O258</f>
        <v>Cubic</v>
      </c>
      <c r="E12" s="212" t="str">
        <f>'ACM Performance Curves'!P258</f>
        <v>CapBdry</v>
      </c>
      <c r="F12" s="212" t="str">
        <f>'ACM Performance Curves'!Q258</f>
        <v>Toadb</v>
      </c>
      <c r="G12" s="212">
        <f>'ACM Performance Curves'!R258</f>
        <v>0</v>
      </c>
      <c r="H12" s="212">
        <f>'ACM Performance Curves'!S258</f>
        <v>0</v>
      </c>
      <c r="I12" s="212">
        <f>'ACM Performance Curves'!T258</f>
        <v>0</v>
      </c>
      <c r="J12" s="212">
        <f>'ACM Performance Curves'!U258</f>
        <v>0</v>
      </c>
      <c r="K12" s="212">
        <f>'ACM Performance Curves'!V258</f>
        <v>-7.6000880000000004</v>
      </c>
      <c r="L12" s="212">
        <f>'ACM Performance Curves'!W258</f>
        <v>3.0508999999999999</v>
      </c>
      <c r="M12" s="212">
        <f>'ACM Performance Curves'!X258</f>
        <v>-0.116284</v>
      </c>
      <c r="N12" s="212">
        <f>'ACM Performance Curves'!Y258</f>
        <v>0</v>
      </c>
      <c r="O12" s="212">
        <f>'ACM Performance Curves'!Z258</f>
        <v>0</v>
      </c>
      <c r="P12" s="195">
        <f>'ACM Performance Curves'!AA258</f>
        <v>0</v>
      </c>
      <c r="X12" s="248">
        <f>$X$10^2/(1-$X$10)^3</f>
        <v>8.7890624999999972E-2</v>
      </c>
      <c r="Y12" s="248">
        <f>-$X$10^3/(1-$X$10)^4</f>
        <v>3.2958984374999986E-2</v>
      </c>
      <c r="Z12" s="219">
        <f>$X$10^4/(1-$X$10)^5</f>
        <v>1.2359619140624991E-2</v>
      </c>
      <c r="AC12" s="332"/>
      <c r="AD12" s="214" t="s">
        <v>949</v>
      </c>
      <c r="AE12" s="256">
        <f>$K42+$L42*AE$7+$M42*AE$7^2</f>
        <v>67.570749999999975</v>
      </c>
      <c r="AF12" s="304">
        <f>$K42+$L42*AF$7+$M42*AF$7^2</f>
        <v>67.570749999999975</v>
      </c>
      <c r="AG12" s="258">
        <f>$K42+$L42*AG$7+$M42*AG$7^2</f>
        <v>67.570749999999975</v>
      </c>
      <c r="AH12" s="194"/>
      <c r="AI12" s="212"/>
      <c r="AJ12" s="195"/>
      <c r="AK12" s="212"/>
      <c r="AM12" s="194" t="s">
        <v>972</v>
      </c>
      <c r="AN12" s="212">
        <f>AN16/AN10</f>
        <v>1.33</v>
      </c>
      <c r="AO12" s="195"/>
      <c r="AP12" s="240" t="s">
        <v>1105</v>
      </c>
      <c r="AV12" s="194" t="s">
        <v>1067</v>
      </c>
      <c r="AW12" s="242">
        <f>AO36</f>
        <v>50891.759212723999</v>
      </c>
      <c r="AX12" s="240" t="s">
        <v>1119</v>
      </c>
    </row>
    <row r="13" spans="1:50" ht="15.75" customHeight="1" x14ac:dyDescent="0.25">
      <c r="A13" s="332"/>
      <c r="B13" s="194" t="str">
        <f>'ACM Performance Curves'!M259</f>
        <v>Heating Capacity Ratio Modifier Function of High Temperature Curve Name</v>
      </c>
      <c r="C13" s="212" t="str">
        <f>'ACM Performance Curves'!N259</f>
        <v>EPDef-VRFSysHtgQRatio_fTwbToadbHiSI</v>
      </c>
      <c r="D13" s="212" t="str">
        <f>'ACM Performance Curves'!O259</f>
        <v>BiQuadratic</v>
      </c>
      <c r="E13" s="212" t="str">
        <f>'ACM Performance Curves'!P259</f>
        <v>QRatio</v>
      </c>
      <c r="F13" s="212" t="str">
        <f>'ACM Performance Curves'!Q259</f>
        <v>Twb</v>
      </c>
      <c r="G13" s="212" t="str">
        <f>'ACM Performance Curves'!R259</f>
        <v>Toadb</v>
      </c>
      <c r="H13" s="212" t="str">
        <f>'ACM Performance Curves'!S259</f>
        <v>Hi</v>
      </c>
      <c r="I13" s="212">
        <f>'ACM Performance Curves'!T259</f>
        <v>0</v>
      </c>
      <c r="J13" s="212">
        <f>'ACM Performance Curves'!U259</f>
        <v>0</v>
      </c>
      <c r="K13" s="212">
        <f>'ACM Performance Curves'!V259</f>
        <v>1.161135</v>
      </c>
      <c r="L13" s="212">
        <f>'ACM Performance Curves'!W259</f>
        <v>2.7479E-2</v>
      </c>
      <c r="M13" s="212">
        <f>'ACM Performance Curves'!X259</f>
        <v>-1.688E-3</v>
      </c>
      <c r="N13" s="212">
        <f>'ACM Performance Curves'!Y259</f>
        <v>1.7830000000000001E-3</v>
      </c>
      <c r="O13" s="212">
        <f>'ACM Performance Curves'!Z259</f>
        <v>1.9999999999999999E-6</v>
      </c>
      <c r="P13" s="195">
        <f>'ACM Performance Curves'!AA259</f>
        <v>-6.8999999999999997E-5</v>
      </c>
      <c r="S13" s="188" t="s">
        <v>28</v>
      </c>
      <c r="T13" s="188" t="s">
        <v>1087</v>
      </c>
      <c r="U13" t="s">
        <v>1084</v>
      </c>
      <c r="V13" s="188" t="s">
        <v>1085</v>
      </c>
      <c r="X13" s="188" t="s">
        <v>1087</v>
      </c>
      <c r="Y13" t="s">
        <v>1084</v>
      </c>
      <c r="Z13" s="188" t="s">
        <v>1085</v>
      </c>
      <c r="AC13" s="332"/>
      <c r="AD13" s="214" t="s">
        <v>950</v>
      </c>
      <c r="AE13" s="194">
        <f>$K43+$L43*AE$7+$M43*AE$7^2+$N43*AE$6+$O43*AE$6^2+$P43*AE$7*AE$6</f>
        <v>0.91777680246913573</v>
      </c>
      <c r="AF13" s="212">
        <f>$K43+$L43*AF$7+$M43*AF$7^2+$N43*AF$6+$O43*AF$6^2+$P43*AF$7*AF$6</f>
        <v>1.0090397654320986</v>
      </c>
      <c r="AG13" s="195">
        <f>$K43+$L43*AG$7+$M43*AG$7^2+$N43*AG$6+$O43*AG$6^2+$P43*AG$7*AG$6</f>
        <v>1.0683606913580248</v>
      </c>
      <c r="AH13" s="194"/>
      <c r="AI13" s="212"/>
      <c r="AJ13" s="195"/>
      <c r="AK13" s="212"/>
      <c r="AM13" s="194" t="s">
        <v>1082</v>
      </c>
      <c r="AN13" s="185">
        <v>48</v>
      </c>
      <c r="AO13" s="195" t="s">
        <v>944</v>
      </c>
      <c r="AP13" s="240"/>
      <c r="AV13" s="194" t="s">
        <v>1059</v>
      </c>
      <c r="AW13" s="242">
        <f>AQ36</f>
        <v>44639.869707554564</v>
      </c>
      <c r="AX13" s="240" t="s">
        <v>1118</v>
      </c>
    </row>
    <row r="14" spans="1:50" ht="15.75" customHeight="1" x14ac:dyDescent="0.25">
      <c r="A14" s="332"/>
      <c r="B14" s="194" t="str">
        <f>'ACM Performance Curves'!M260</f>
        <v>Heating Combination Ratio Correction Factor Curve Name</v>
      </c>
      <c r="C14" s="212" t="str">
        <f>'ACM Performance Curves'!N260</f>
        <v>EPDef-VRFSysHtgQRatio_fCombRat</v>
      </c>
      <c r="D14" s="212" t="str">
        <f>'ACM Performance Curves'!O260</f>
        <v>Linear</v>
      </c>
      <c r="E14" s="212" t="str">
        <f>'ACM Performance Curves'!P260</f>
        <v>QRatio</v>
      </c>
      <c r="F14" s="212" t="str">
        <f>'ACM Performance Curves'!Q260</f>
        <v>CombRat</v>
      </c>
      <c r="G14" s="212">
        <f>'ACM Performance Curves'!R260</f>
        <v>0</v>
      </c>
      <c r="H14" s="212">
        <f>'ACM Performance Curves'!S260</f>
        <v>0</v>
      </c>
      <c r="I14" s="212">
        <f>'ACM Performance Curves'!T260</f>
        <v>0</v>
      </c>
      <c r="J14" s="212">
        <f>'ACM Performance Curves'!U260</f>
        <v>0</v>
      </c>
      <c r="K14" s="212">
        <f>'ACM Performance Curves'!V260</f>
        <v>0.96033999999999997</v>
      </c>
      <c r="L14" s="212">
        <f>'ACM Performance Curves'!W260</f>
        <v>3.9660000000000001E-2</v>
      </c>
      <c r="M14" s="212">
        <f>'ACM Performance Curves'!X260</f>
        <v>0</v>
      </c>
      <c r="N14" s="212">
        <f>'ACM Performance Curves'!Y260</f>
        <v>0</v>
      </c>
      <c r="O14" s="212">
        <f>'ACM Performance Curves'!Z260</f>
        <v>0</v>
      </c>
      <c r="P14" s="195">
        <f>'ACM Performance Curves'!AA260</f>
        <v>0</v>
      </c>
      <c r="S14" s="188">
        <v>1</v>
      </c>
      <c r="T14" s="244">
        <f>$K$54+$L$54*S14+$M$54*S14^2+$N$54*S14^3</f>
        <v>1.0002405699999999</v>
      </c>
      <c r="U14">
        <f t="shared" ref="U14:U33" si="1">IF(S14&gt;$T$8-0.01,1,S14/$T$8/(1-$T$9+$T$9*S14/$T$8))</f>
        <v>1</v>
      </c>
      <c r="V14" s="188">
        <f>S14/T14/U14</f>
        <v>0.99975948786000568</v>
      </c>
      <c r="X14" s="245">
        <f>$X$11+$Y$11*S14+$Z$11*S14^2+$X$12*S14^3+$Y$12*S14^4+$Z$12*S14^5</f>
        <v>0.992584228515625</v>
      </c>
      <c r="Y14">
        <f t="shared" ref="Y14:Y33" si="2">IF(S14&gt;$X$8-0.01,1,S14/$X$8/(1-$X$9+$X$9*S14/$X$8))</f>
        <v>1</v>
      </c>
      <c r="Z14" s="188">
        <f>S14/X14/Y14</f>
        <v>1.0074711760184474</v>
      </c>
      <c r="AC14" s="332"/>
      <c r="AD14" s="214" t="s">
        <v>952</v>
      </c>
      <c r="AE14" s="194"/>
      <c r="AF14" s="212"/>
      <c r="AG14" s="195"/>
      <c r="AH14" s="194">
        <f>$K46+$L46*AH$8+$M46*AH$8^2+$N46*AH$6+$O46*AH$6^2+$P46*AH$8*AH$6</f>
        <v>1.0599384182098763</v>
      </c>
      <c r="AI14" s="212">
        <f>$K46+$L46*AI$8+$M46*AI$8^2+$N46*AI$6+$O46*AI$6^2+$P46*AI$8*AI$6</f>
        <v>0.73709318672839497</v>
      </c>
      <c r="AJ14" s="195">
        <f>$K46+$L46*AJ$8+$M46*AJ$8^2+$N46*AJ$6+$O46*AJ$6^2+$P46*AJ$8*AJ$6</f>
        <v>0.6082413163580247</v>
      </c>
      <c r="AK14" s="212"/>
      <c r="AM14" s="194" t="s">
        <v>973</v>
      </c>
      <c r="AN14" s="185">
        <v>11</v>
      </c>
      <c r="AO14" s="195" t="s">
        <v>944</v>
      </c>
      <c r="AP14" s="240"/>
      <c r="AV14" s="194" t="s">
        <v>1111</v>
      </c>
      <c r="AW14" s="316">
        <f>AN56</f>
        <v>0.898013873657735</v>
      </c>
    </row>
    <row r="15" spans="1:50" ht="15.75" customHeight="1" x14ac:dyDescent="0.25">
      <c r="A15" s="332"/>
      <c r="B15" s="194" t="str">
        <f>'ACM Performance Curves'!M261</f>
        <v>Heat Recovery Heating Capacity Modifier Curve Name</v>
      </c>
      <c r="C15" s="212" t="str">
        <f>'ACM Performance Curves'!N261</f>
        <v>EPDef-VRFSysHtRcvryHtgQRatio_fTwbToadbSI</v>
      </c>
      <c r="D15" s="212" t="str">
        <f>'ACM Performance Curves'!O261</f>
        <v>BiQuadratic</v>
      </c>
      <c r="E15" s="212" t="str">
        <f>'ACM Performance Curves'!P261</f>
        <v>QRatio</v>
      </c>
      <c r="F15" s="212" t="str">
        <f>'ACM Performance Curves'!Q261</f>
        <v>Twb</v>
      </c>
      <c r="G15" s="212" t="str">
        <f>'ACM Performance Curves'!R261</f>
        <v>Toadb</v>
      </c>
      <c r="H15" s="212">
        <f>'ACM Performance Curves'!S261</f>
        <v>0</v>
      </c>
      <c r="I15" s="212">
        <f>'ACM Performance Curves'!T261</f>
        <v>0</v>
      </c>
      <c r="J15" s="212">
        <f>'ACM Performance Curves'!U261</f>
        <v>0</v>
      </c>
      <c r="K15" s="212">
        <f>'ACM Performance Curves'!V261</f>
        <v>0.9</v>
      </c>
      <c r="L15" s="212">
        <f>'ACM Performance Curves'!W261</f>
        <v>0</v>
      </c>
      <c r="M15" s="212">
        <f>'ACM Performance Curves'!X261</f>
        <v>0</v>
      </c>
      <c r="N15" s="212">
        <f>'ACM Performance Curves'!Y261</f>
        <v>0</v>
      </c>
      <c r="O15" s="212">
        <f>'ACM Performance Curves'!Z261</f>
        <v>0</v>
      </c>
      <c r="P15" s="195">
        <f>'ACM Performance Curves'!AA261</f>
        <v>0</v>
      </c>
      <c r="S15" s="188">
        <f t="shared" ref="S15:S32" si="3">S14-0.05</f>
        <v>0.95</v>
      </c>
      <c r="T15" s="244">
        <f t="shared" ref="T15:T33" si="4">IF(S15&lt;$T$8-0.001,T14,$K$54+$L$54*S15+$M$54*S15^2+$N$54*S15^3)</f>
        <v>0.92540267538749987</v>
      </c>
      <c r="U15">
        <f t="shared" si="1"/>
        <v>1</v>
      </c>
      <c r="V15" s="188">
        <f t="shared" ref="V15:V33" si="5">S15/T15/U15</f>
        <v>1.0265801312949525</v>
      </c>
      <c r="X15" s="245">
        <f t="shared" ref="X15:X33" si="6">IF(S15&lt;$X$8-0.001,X14,$X$11+$Y$11*S15+$Z$11*S15^2+$X$12*S15^3+$Y$12*S15^4+$Z$12*S15^5)</f>
        <v>0.91703759856224043</v>
      </c>
      <c r="Y15">
        <f t="shared" si="2"/>
        <v>1</v>
      </c>
      <c r="Z15" s="188">
        <f t="shared" ref="Z15:Z33" si="7">S15/X15/Y15</f>
        <v>1.035944438362657</v>
      </c>
      <c r="AC15" s="332"/>
      <c r="AD15" s="214" t="s">
        <v>953</v>
      </c>
      <c r="AE15" s="194"/>
      <c r="AF15" s="212"/>
      <c r="AG15" s="195"/>
      <c r="AH15" s="194">
        <f>$K47+$L47*AH$8+$M47*AH$8^2</f>
        <v>40.96843271111112</v>
      </c>
      <c r="AI15" s="212">
        <f>$K47+$L47*AI$8+$M47*AI$8^2</f>
        <v>40.96843271111112</v>
      </c>
      <c r="AJ15" s="195">
        <f>$K47+$L47*AJ$8+$M47*AJ$8^2</f>
        <v>40.96843271111112</v>
      </c>
      <c r="AK15" s="212"/>
      <c r="AM15" s="194" t="s">
        <v>975</v>
      </c>
      <c r="AN15" s="185">
        <f>52247.9</f>
        <v>52247.9</v>
      </c>
      <c r="AO15" s="195" t="s">
        <v>941</v>
      </c>
      <c r="AV15" s="194" t="s">
        <v>1112</v>
      </c>
      <c r="AW15" s="316">
        <f>AP56</f>
        <v>1.0501041884391709</v>
      </c>
    </row>
    <row r="16" spans="1:50" ht="15.75" customHeight="1" x14ac:dyDescent="0.25">
      <c r="A16" s="332"/>
      <c r="B16" s="194" t="str">
        <f>'ACM Performance Curves'!M262</f>
        <v>Cooling Energy Input Ratio Modifier Function of Low Temperature Curve Name</v>
      </c>
      <c r="C16" s="212" t="str">
        <f>'ACM Performance Curves'!N262</f>
        <v>EPDef-VRFSysClgEIRRatio_fTwbToadbLowSI</v>
      </c>
      <c r="D16" s="212" t="str">
        <f>'ACM Performance Curves'!O262</f>
        <v>BiQuadratic</v>
      </c>
      <c r="E16" s="212" t="str">
        <f>'ACM Performance Curves'!P262</f>
        <v>EIRRatio</v>
      </c>
      <c r="F16" s="212" t="str">
        <f>'ACM Performance Curves'!Q262</f>
        <v>Twb</v>
      </c>
      <c r="G16" s="212" t="str">
        <f>'ACM Performance Curves'!R262</f>
        <v>Toadb</v>
      </c>
      <c r="H16" s="212" t="str">
        <f>'ACM Performance Curves'!S262</f>
        <v>Low</v>
      </c>
      <c r="I16" s="212">
        <f>'ACM Performance Curves'!T262</f>
        <v>0</v>
      </c>
      <c r="J16" s="212">
        <f>'ACM Performance Curves'!U262</f>
        <v>0</v>
      </c>
      <c r="K16" s="212">
        <f>'ACM Performance Curves'!V262</f>
        <v>0.98901054099999997</v>
      </c>
      <c r="L16" s="212">
        <f>'ACM Performance Curves'!W262</f>
        <v>-2.3479670000000001E-2</v>
      </c>
      <c r="M16" s="212">
        <f>'ACM Performance Curves'!X262</f>
        <v>1.9971100000000001E-4</v>
      </c>
      <c r="N16" s="212">
        <f>'ACM Performance Curves'!Y262</f>
        <v>5.9683360000000003E-3</v>
      </c>
      <c r="O16" s="212">
        <f>'ACM Performance Curves'!Z262</f>
        <v>-1.03E-7</v>
      </c>
      <c r="P16" s="195">
        <f>'ACM Performance Curves'!AA262</f>
        <v>-1.5686000000000001E-4</v>
      </c>
      <c r="S16" s="188">
        <f t="shared" si="3"/>
        <v>0.89999999999999991</v>
      </c>
      <c r="T16" s="244">
        <f t="shared" si="4"/>
        <v>0.85292521639999963</v>
      </c>
      <c r="U16">
        <f t="shared" si="1"/>
        <v>1</v>
      </c>
      <c r="V16" s="188">
        <f t="shared" si="5"/>
        <v>1.0551921583450095</v>
      </c>
      <c r="X16" s="245">
        <f t="shared" si="6"/>
        <v>0.84533863677978494</v>
      </c>
      <c r="Y16">
        <f t="shared" si="2"/>
        <v>1</v>
      </c>
      <c r="Z16" s="188">
        <f t="shared" si="7"/>
        <v>1.0646620902463904</v>
      </c>
      <c r="AC16" s="332"/>
      <c r="AD16" s="214" t="s">
        <v>954</v>
      </c>
      <c r="AE16" s="194"/>
      <c r="AF16" s="212"/>
      <c r="AG16" s="195"/>
      <c r="AH16" s="194">
        <f>$K48+$L48*AH$8+$M48*AH$8^2+$N48*AH$6+$O48*AH$6^2+$P48*AH$8*AH$6</f>
        <v>0.99179938271604939</v>
      </c>
      <c r="AI16" s="212">
        <f>$K48+$L48*AI$8+$M48*AI$8^2+$N48*AI$6+$O48*AI$6^2+$P48*AI$8*AI$6</f>
        <v>0.98636049382716051</v>
      </c>
      <c r="AJ16" s="195">
        <f>$K48+$L48*AJ$8+$M48*AJ$8^2+$N48*AJ$6+$O48*AJ$6^2+$P48*AJ$8*AJ$6</f>
        <v>0.98449604938271607</v>
      </c>
      <c r="AK16" s="212"/>
      <c r="AM16" s="194" t="s">
        <v>976</v>
      </c>
      <c r="AN16" s="185">
        <v>43568.2</v>
      </c>
      <c r="AO16" s="195" t="s">
        <v>941</v>
      </c>
      <c r="AV16" s="194" t="s">
        <v>1113</v>
      </c>
      <c r="AW16" s="316">
        <f>AR56</f>
        <v>0.78395069011508478</v>
      </c>
    </row>
    <row r="17" spans="1:50" ht="15.75" customHeight="1" x14ac:dyDescent="0.25">
      <c r="A17" s="332"/>
      <c r="B17" s="194" t="str">
        <f>'ACM Performance Curves'!M263</f>
        <v>Cooling Energy Input Ratio Boundary Name</v>
      </c>
      <c r="C17" s="212" t="str">
        <f>'ACM Performance Curves'!N263</f>
        <v>EPDef-VRFSysClgEIRBdry_fToadbSI</v>
      </c>
      <c r="D17" s="212" t="str">
        <f>'ACM Performance Curves'!O263</f>
        <v>Cubic</v>
      </c>
      <c r="E17" s="212" t="str">
        <f>'ACM Performance Curves'!P263</f>
        <v>EIRBdry</v>
      </c>
      <c r="F17" s="212" t="str">
        <f>'ACM Performance Curves'!Q263</f>
        <v>Toadb</v>
      </c>
      <c r="G17" s="212">
        <f>'ACM Performance Curves'!R263</f>
        <v>0</v>
      </c>
      <c r="H17" s="212">
        <f>'ACM Performance Curves'!S263</f>
        <v>0</v>
      </c>
      <c r="I17" s="212">
        <f>'ACM Performance Curves'!T263</f>
        <v>0</v>
      </c>
      <c r="J17" s="212">
        <f>'ACM Performance Curves'!U263</f>
        <v>0</v>
      </c>
      <c r="K17" s="212">
        <f>'ACM Performance Curves'!V263</f>
        <v>25.734737750000001</v>
      </c>
      <c r="L17" s="212">
        <f>'ACM Performance Curves'!W263</f>
        <v>-3.1500430000000003E-2</v>
      </c>
      <c r="M17" s="212">
        <f>'ACM Performance Curves'!X263</f>
        <v>-1.416595E-2</v>
      </c>
      <c r="N17" s="212">
        <f>'ACM Performance Curves'!Y263</f>
        <v>0</v>
      </c>
      <c r="O17" s="212">
        <f>'ACM Performance Curves'!Z263</f>
        <v>0</v>
      </c>
      <c r="P17" s="195">
        <f>'ACM Performance Curves'!AA263</f>
        <v>0</v>
      </c>
      <c r="S17" s="188">
        <f t="shared" si="3"/>
        <v>0.84999999999999987</v>
      </c>
      <c r="T17" s="244">
        <f t="shared" si="4"/>
        <v>0.78325630431249982</v>
      </c>
      <c r="U17">
        <f t="shared" si="1"/>
        <v>1</v>
      </c>
      <c r="V17" s="188">
        <f t="shared" si="5"/>
        <v>1.0852130973220624</v>
      </c>
      <c r="X17" s="245">
        <f t="shared" si="6"/>
        <v>0.77725059208869918</v>
      </c>
      <c r="Y17">
        <f t="shared" si="2"/>
        <v>1</v>
      </c>
      <c r="Z17" s="188">
        <f t="shared" si="7"/>
        <v>1.0935983949729802</v>
      </c>
      <c r="AC17" s="332"/>
      <c r="AD17" s="214" t="s">
        <v>956</v>
      </c>
      <c r="AE17" s="194">
        <f>$K51+$L51*AE$7+$M51*AE$7^2+$N51*AE$6+$O51*AE$6^2+$P51*AE$7*AE$6</f>
        <v>0.74231557075308685</v>
      </c>
      <c r="AF17" s="212">
        <f>$K51+$L51*AF$7+$M51*AF$7^2+$N51*AF$6+$O51*AF$6^2+$P51*AF$7*AF$6</f>
        <v>0.70998305964197561</v>
      </c>
      <c r="AG17" s="195">
        <f>$K51+$L51*AG$7+$M51*AG$7^2+$N51*AG$6+$O51*AG$6^2+$P51*AG$7*AG$6</f>
        <v>0.68895328945679024</v>
      </c>
      <c r="AH17" s="194"/>
      <c r="AI17" s="212"/>
      <c r="AJ17" s="195"/>
      <c r="AK17" s="212"/>
      <c r="AM17" s="194" t="s">
        <v>977</v>
      </c>
      <c r="AN17" s="185">
        <v>0.25</v>
      </c>
      <c r="AO17" s="195" t="s">
        <v>943</v>
      </c>
      <c r="AV17" s="194" t="s">
        <v>1114</v>
      </c>
      <c r="AW17" s="316">
        <f>AS56</f>
        <v>0.63522049607026643</v>
      </c>
    </row>
    <row r="18" spans="1:50" ht="15.75" customHeight="1" x14ac:dyDescent="0.25">
      <c r="A18" s="332"/>
      <c r="B18" s="194" t="str">
        <f>'ACM Performance Curves'!M264</f>
        <v>Cooling Energy Input Ratio Modifier Function of High Temperature Curve Name</v>
      </c>
      <c r="C18" s="212" t="str">
        <f>'ACM Performance Curves'!N264</f>
        <v>EPDef-VRFSysClgEIRRatio_fTwbToadbHiSI</v>
      </c>
      <c r="D18" s="212" t="str">
        <f>'ACM Performance Curves'!O264</f>
        <v>BiQuadratic</v>
      </c>
      <c r="E18" s="212" t="str">
        <f>'ACM Performance Curves'!P264</f>
        <v>EIRRatio</v>
      </c>
      <c r="F18" s="212" t="str">
        <f>'ACM Performance Curves'!Q264</f>
        <v>Twb</v>
      </c>
      <c r="G18" s="212" t="str">
        <f>'ACM Performance Curves'!R264</f>
        <v>Toadb</v>
      </c>
      <c r="H18" s="212" t="str">
        <f>'ACM Performance Curves'!S264</f>
        <v>Hi</v>
      </c>
      <c r="I18" s="212">
        <f>'ACM Performance Curves'!T264</f>
        <v>0</v>
      </c>
      <c r="J18" s="212">
        <f>'ACM Performance Curves'!U264</f>
        <v>0</v>
      </c>
      <c r="K18" s="212">
        <f>'ACM Performance Curves'!V264</f>
        <v>0.1435147</v>
      </c>
      <c r="L18" s="212">
        <f>'ACM Performance Curves'!W264</f>
        <v>1.8600350000000002E-2</v>
      </c>
      <c r="M18" s="212">
        <f>'ACM Performance Curves'!X264</f>
        <v>-3.9500000000000001E-4</v>
      </c>
      <c r="N18" s="212">
        <f>'ACM Performance Curves'!Y264</f>
        <v>2.485219E-2</v>
      </c>
      <c r="O18" s="212">
        <f>'ACM Performance Curves'!Z264</f>
        <v>1.6328999999999999E-4</v>
      </c>
      <c r="P18" s="195">
        <f>'ACM Performance Curves'!AA264</f>
        <v>-6.244E-4</v>
      </c>
      <c r="S18" s="188">
        <f t="shared" si="3"/>
        <v>0.79999999999999982</v>
      </c>
      <c r="T18" s="244">
        <f t="shared" si="4"/>
        <v>0.71684405039999954</v>
      </c>
      <c r="U18">
        <f t="shared" si="1"/>
        <v>1</v>
      </c>
      <c r="V18" s="188">
        <f t="shared" si="5"/>
        <v>1.1160028454635276</v>
      </c>
      <c r="X18" s="245">
        <f t="shared" si="6"/>
        <v>0.71254999999999968</v>
      </c>
      <c r="Y18">
        <f t="shared" si="2"/>
        <v>1</v>
      </c>
      <c r="Z18" s="188">
        <f t="shared" si="7"/>
        <v>1.1227282295979233</v>
      </c>
      <c r="AC18" s="332"/>
      <c r="AD18" s="214" t="s">
        <v>789</v>
      </c>
      <c r="AE18" s="256">
        <f>$K52+$L52*AE$7+$M52*AE$7^2</f>
        <v>67.579296927777762</v>
      </c>
      <c r="AF18" s="304">
        <f>$K52+$L52*AF$7+$M52*AF$7^2</f>
        <v>67.579296927777762</v>
      </c>
      <c r="AG18" s="258">
        <f>$K52+$L52*AG$7+$M52*AG$7^2</f>
        <v>67.579296927777762</v>
      </c>
      <c r="AH18" s="194"/>
      <c r="AI18" s="212"/>
      <c r="AJ18" s="195"/>
      <c r="AK18" s="212"/>
      <c r="AM18" s="198" t="s">
        <v>974</v>
      </c>
      <c r="AN18" s="212"/>
      <c r="AO18" s="195"/>
      <c r="AV18" s="194" t="s">
        <v>1060</v>
      </c>
      <c r="AW18" s="243">
        <f>AN59</f>
        <v>3.2413509479403353</v>
      </c>
      <c r="AX18" s="257"/>
    </row>
    <row r="19" spans="1:50" ht="15.75" customHeight="1" x14ac:dyDescent="0.25">
      <c r="A19" s="332"/>
      <c r="B19" s="194" t="str">
        <f>'ACM Performance Curves'!M265</f>
        <v>Cooling Energy Input Ratio Modifier Function of Low Part-Load Ratio Curve Name</v>
      </c>
      <c r="C19" s="212" t="str">
        <f>'ACM Performance Curves'!N265</f>
        <v>EPDef-VRFSysClgEIRRatio_fPLRLowSI</v>
      </c>
      <c r="D19" s="212" t="str">
        <f>'ACM Performance Curves'!O265</f>
        <v>Cubic</v>
      </c>
      <c r="E19" s="212" t="str">
        <f>'ACM Performance Curves'!P265</f>
        <v>EIRRatio</v>
      </c>
      <c r="F19" s="212" t="str">
        <f>'ACM Performance Curves'!Q265</f>
        <v>PLR</v>
      </c>
      <c r="G19" s="212" t="str">
        <f>'ACM Performance Curves'!R265</f>
        <v>Low</v>
      </c>
      <c r="H19" s="212">
        <f>'ACM Performance Curves'!S265</f>
        <v>0</v>
      </c>
      <c r="I19" s="212">
        <f>'ACM Performance Curves'!T265</f>
        <v>0</v>
      </c>
      <c r="J19" s="212">
        <f>'ACM Performance Curves'!U265</f>
        <v>0</v>
      </c>
      <c r="K19" s="212">
        <f>'ACM Performance Curves'!V265</f>
        <v>0.46281230000000001</v>
      </c>
      <c r="L19" s="212">
        <f>'ACM Performance Curves'!W265</f>
        <v>-1.04</v>
      </c>
      <c r="M19" s="212">
        <f>'ACM Performance Curves'!X265</f>
        <v>2.1749099699999999</v>
      </c>
      <c r="N19" s="212">
        <f>'ACM Performance Curves'!Y265</f>
        <v>-0.5974817</v>
      </c>
      <c r="O19" s="212">
        <f>'ACM Performance Curves'!Z265</f>
        <v>0</v>
      </c>
      <c r="P19" s="195">
        <f>'ACM Performance Curves'!AA265</f>
        <v>0</v>
      </c>
      <c r="S19" s="188">
        <f t="shared" si="3"/>
        <v>0.74999999999999978</v>
      </c>
      <c r="T19" s="244">
        <f t="shared" si="4"/>
        <v>0.65413656593749958</v>
      </c>
      <c r="U19">
        <f t="shared" si="1"/>
        <v>1</v>
      </c>
      <c r="V19" s="188">
        <f t="shared" si="5"/>
        <v>1.1465495724506856</v>
      </c>
      <c r="X19" s="245">
        <f t="shared" si="6"/>
        <v>0.65102621912956216</v>
      </c>
      <c r="Y19">
        <f t="shared" si="2"/>
        <v>1</v>
      </c>
      <c r="Z19" s="188">
        <f t="shared" si="7"/>
        <v>1.1520273346329553</v>
      </c>
      <c r="AC19" s="332"/>
      <c r="AD19" s="214" t="s">
        <v>957</v>
      </c>
      <c r="AE19" s="194">
        <f>$K53+$L53*AE$7+$M53*AE$7^2+$N53*AE$6+$O53*AE$6^2+$P53*AE$7*AE$6</f>
        <v>1.2891588500000002</v>
      </c>
      <c r="AF19" s="212">
        <f>$K53+$L53*AF$7+$M53*AF$7^2+$N53*AF$6+$O53*AF$6^2+$P53*AF$7*AF$6</f>
        <v>1.0007620475308643</v>
      </c>
      <c r="AG19" s="195">
        <f>$K53+$L53*AG$7+$M53*AG$7^2+$N53*AG$6+$O53*AG$6^2+$P53*AG$7*AG$6</f>
        <v>0.83492493148148172</v>
      </c>
      <c r="AH19" s="194"/>
      <c r="AI19" s="212"/>
      <c r="AJ19" s="195"/>
      <c r="AK19" s="212"/>
      <c r="AM19" s="239" t="s">
        <v>1098</v>
      </c>
      <c r="AN19" s="212">
        <f>X8</f>
        <v>0.55000000000000004</v>
      </c>
      <c r="AO19" s="195"/>
      <c r="AV19" s="194" t="s">
        <v>1068</v>
      </c>
      <c r="AW19" s="243">
        <f>AO59</f>
        <v>4.0832474579746414</v>
      </c>
      <c r="AX19" s="257"/>
    </row>
    <row r="20" spans="1:50" ht="15.75" customHeight="1" x14ac:dyDescent="0.25">
      <c r="A20" s="332"/>
      <c r="B20" s="194" t="str">
        <f>'ACM Performance Curves'!M266</f>
        <v>Cooling Energy Input Ratio Modifier Function of HIgh Part-Load Ratio Curve Name</v>
      </c>
      <c r="C20" s="212" t="str">
        <f>'ACM Performance Curves'!N266</f>
        <v>EPDef-VRFSysClgEIRRatio_fPLRHiSI</v>
      </c>
      <c r="D20" s="212" t="str">
        <f>'ACM Performance Curves'!O266</f>
        <v>Quadratic</v>
      </c>
      <c r="E20" s="212" t="str">
        <f>'ACM Performance Curves'!P266</f>
        <v>EIRRatio</v>
      </c>
      <c r="F20" s="212" t="str">
        <f>'ACM Performance Curves'!Q266</f>
        <v>PLR</v>
      </c>
      <c r="G20" s="212" t="str">
        <f>'ACM Performance Curves'!R266</f>
        <v>Hi</v>
      </c>
      <c r="H20" s="212">
        <f>'ACM Performance Curves'!S266</f>
        <v>0</v>
      </c>
      <c r="I20" s="212">
        <f>'ACM Performance Curves'!T266</f>
        <v>0</v>
      </c>
      <c r="J20" s="212">
        <f>'ACM Performance Curves'!U266</f>
        <v>0</v>
      </c>
      <c r="K20" s="212">
        <f>'ACM Performance Curves'!V266</f>
        <v>1</v>
      </c>
      <c r="L20" s="212">
        <f>'ACM Performance Curves'!W266</f>
        <v>0</v>
      </c>
      <c r="M20" s="212">
        <f>'ACM Performance Curves'!X266</f>
        <v>0</v>
      </c>
      <c r="N20" s="212">
        <f>'ACM Performance Curves'!Y266</f>
        <v>0</v>
      </c>
      <c r="O20" s="212">
        <f>'ACM Performance Curves'!Z266</f>
        <v>0</v>
      </c>
      <c r="P20" s="195">
        <f>'ACM Performance Curves'!AA266</f>
        <v>0</v>
      </c>
      <c r="S20" s="188">
        <f t="shared" si="3"/>
        <v>0.69999999999999973</v>
      </c>
      <c r="T20" s="244">
        <f t="shared" si="4"/>
        <v>0.59558196219999937</v>
      </c>
      <c r="U20">
        <f t="shared" si="1"/>
        <v>1</v>
      </c>
      <c r="V20" s="188">
        <f t="shared" si="5"/>
        <v>1.175321021164399</v>
      </c>
      <c r="X20" s="245">
        <f t="shared" si="6"/>
        <v>0.59248096771240211</v>
      </c>
      <c r="Y20">
        <f t="shared" si="2"/>
        <v>1</v>
      </c>
      <c r="Z20" s="188">
        <f t="shared" si="7"/>
        <v>1.1814725504225627</v>
      </c>
      <c r="AC20" s="332"/>
      <c r="AD20" s="214" t="s">
        <v>958</v>
      </c>
      <c r="AE20" s="194"/>
      <c r="AF20" s="212"/>
      <c r="AG20" s="195"/>
      <c r="AH20" s="319">
        <f>$K58+$L58*AH$8+$M58*AH$8^2+$N58*AH$6+$O58*AH$6^2+$P58*AH$8*AH$6</f>
        <v>1.1484318136221483</v>
      </c>
      <c r="AI20" s="320">
        <f>$K58+$L58*AI$8+$M58*AI$8^2+$N58*AI$6+$O58*AI$6^2+$P58*AI$8*AI$6</f>
        <v>1.4499619702687747</v>
      </c>
      <c r="AJ20" s="321">
        <f>$K58+$L58*AJ$8+$M58*AJ$8^2+$N58*AJ$6+$O58*AJ$6^2+$P58*AJ$8*AJ$6</f>
        <v>1.7270813906239848</v>
      </c>
      <c r="AK20" s="212"/>
      <c r="AM20" s="239" t="s">
        <v>1099</v>
      </c>
      <c r="AN20" s="212">
        <f>X9</f>
        <v>0.55000000000000004</v>
      </c>
      <c r="AO20" s="195"/>
      <c r="AV20" s="194" t="s">
        <v>1061</v>
      </c>
      <c r="AW20" s="243">
        <f>AP59</f>
        <v>4.8001861688500833</v>
      </c>
      <c r="AX20" s="257"/>
    </row>
    <row r="21" spans="1:50" ht="15.75" customHeight="1" x14ac:dyDescent="0.25">
      <c r="A21" s="332"/>
      <c r="B21" s="194" t="str">
        <f>'ACM Performance Curves'!M267</f>
        <v>Cooling Part-Load Fraction Correlation Curve Name</v>
      </c>
      <c r="C21" s="212" t="str">
        <f>'ACM Performance Curves'!N267</f>
        <v>EPDef-VRFSysClgEIRRatio_fCycRatSI</v>
      </c>
      <c r="D21" s="212" t="str">
        <f>'ACM Performance Curves'!O267</f>
        <v>Quadratic</v>
      </c>
      <c r="E21" s="212" t="str">
        <f>'ACM Performance Curves'!P267</f>
        <v>EIRRatio</v>
      </c>
      <c r="F21" s="212" t="str">
        <f>'ACM Performance Curves'!Q267</f>
        <v>CycRat</v>
      </c>
      <c r="G21" s="212">
        <f>'ACM Performance Curves'!R267</f>
        <v>0</v>
      </c>
      <c r="H21" s="212">
        <f>'ACM Performance Curves'!S267</f>
        <v>0</v>
      </c>
      <c r="I21" s="212">
        <f>'ACM Performance Curves'!T267</f>
        <v>0</v>
      </c>
      <c r="J21" s="212">
        <f>'ACM Performance Curves'!U267</f>
        <v>0</v>
      </c>
      <c r="K21" s="212">
        <f>'ACM Performance Curves'!V267</f>
        <v>0.85</v>
      </c>
      <c r="L21" s="212">
        <f>'ACM Performance Curves'!W267</f>
        <v>0.15</v>
      </c>
      <c r="M21" s="212">
        <f>'ACM Performance Curves'!X267</f>
        <v>0</v>
      </c>
      <c r="N21" s="212">
        <f>'ACM Performance Curves'!Y267</f>
        <v>0</v>
      </c>
      <c r="O21" s="212">
        <f>'ACM Performance Curves'!Z267</f>
        <v>0</v>
      </c>
      <c r="P21" s="195">
        <f>'ACM Performance Curves'!AA267</f>
        <v>0</v>
      </c>
      <c r="S21" s="188">
        <f t="shared" si="3"/>
        <v>0.64999999999999969</v>
      </c>
      <c r="T21" s="244">
        <f t="shared" si="4"/>
        <v>0.54162835046249957</v>
      </c>
      <c r="U21">
        <f t="shared" si="1"/>
        <v>1</v>
      </c>
      <c r="V21" s="188">
        <f t="shared" si="5"/>
        <v>1.2000848911342268</v>
      </c>
      <c r="X21" s="245">
        <f t="shared" si="6"/>
        <v>0.53672786011695817</v>
      </c>
      <c r="Y21">
        <f t="shared" si="2"/>
        <v>1</v>
      </c>
      <c r="Z21" s="188">
        <f t="shared" si="7"/>
        <v>1.2110420350796742</v>
      </c>
      <c r="AC21" s="332"/>
      <c r="AD21" s="214" t="s">
        <v>955</v>
      </c>
      <c r="AE21" s="194"/>
      <c r="AF21" s="212"/>
      <c r="AG21" s="195"/>
      <c r="AH21" s="319">
        <f>$K59+$L59*AH$8+$M59*AH$8^2</f>
        <v>40.968117542222217</v>
      </c>
      <c r="AI21" s="320">
        <f>$K59+$L59*AI$8+$M59*AI$8^2</f>
        <v>40.968117542222217</v>
      </c>
      <c r="AJ21" s="321">
        <f>$K59+$L59*AJ$8+$M59*AJ$8^2</f>
        <v>40.968117542222217</v>
      </c>
      <c r="AK21" s="212"/>
      <c r="AM21" s="239" t="s">
        <v>1016</v>
      </c>
      <c r="AN21" s="212">
        <f>-0.000630938320209974/3.28084</f>
        <v>-1.9230999384608029E-4</v>
      </c>
      <c r="AO21" s="195" t="s">
        <v>945</v>
      </c>
      <c r="AV21" s="194" t="s">
        <v>1062</v>
      </c>
      <c r="AW21" s="243">
        <f>AQ59</f>
        <v>3.6193334563582811</v>
      </c>
      <c r="AX21" s="257"/>
    </row>
    <row r="22" spans="1:50" ht="15.75" customHeight="1" x14ac:dyDescent="0.25">
      <c r="A22" s="332"/>
      <c r="B22" s="194" t="str">
        <f>'ACM Performance Curves'!M268</f>
        <v>Heat Recovery Cooling Energy Modifier Function of Temperature Curve Name</v>
      </c>
      <c r="C22" s="212" t="str">
        <f>'ACM Performance Curves'!N268</f>
        <v>EPDef-VRFSysHtRcvryClgEIRRatio_fTwbToadbSI</v>
      </c>
      <c r="D22" s="212" t="str">
        <f>'ACM Performance Curves'!O268</f>
        <v>BiQuadratic</v>
      </c>
      <c r="E22" s="212" t="str">
        <f>'ACM Performance Curves'!P268</f>
        <v>EIRRatio</v>
      </c>
      <c r="F22" s="212" t="str">
        <f>'ACM Performance Curves'!Q268</f>
        <v>Twb</v>
      </c>
      <c r="G22" s="212" t="str">
        <f>'ACM Performance Curves'!R268</f>
        <v>Toadb</v>
      </c>
      <c r="H22" s="212">
        <f>'ACM Performance Curves'!S268</f>
        <v>0</v>
      </c>
      <c r="I22" s="212">
        <f>'ACM Performance Curves'!T268</f>
        <v>0</v>
      </c>
      <c r="J22" s="212">
        <f>'ACM Performance Curves'!U268</f>
        <v>0</v>
      </c>
      <c r="K22" s="314">
        <f>'ACM Performance Curves'!V268</f>
        <v>1.1000000000000001</v>
      </c>
      <c r="L22" s="314">
        <f>'ACM Performance Curves'!W268</f>
        <v>0</v>
      </c>
      <c r="M22" s="314">
        <f>'ACM Performance Curves'!X268</f>
        <v>0</v>
      </c>
      <c r="N22" s="314">
        <f>'ACM Performance Curves'!Y268</f>
        <v>0</v>
      </c>
      <c r="O22" s="314">
        <f>'ACM Performance Curves'!Z268</f>
        <v>0</v>
      </c>
      <c r="P22" s="315">
        <f>'ACM Performance Curves'!AA268</f>
        <v>0</v>
      </c>
      <c r="S22" s="188">
        <f t="shared" si="3"/>
        <v>0.59999999999999964</v>
      </c>
      <c r="T22" s="244">
        <f t="shared" si="4"/>
        <v>0.49272384199999975</v>
      </c>
      <c r="U22">
        <f t="shared" si="1"/>
        <v>1</v>
      </c>
      <c r="V22" s="188">
        <f t="shared" si="5"/>
        <v>1.2177206557826767</v>
      </c>
      <c r="X22" s="245">
        <f t="shared" si="6"/>
        <v>0.48359194335937455</v>
      </c>
      <c r="Y22">
        <f t="shared" si="2"/>
        <v>1</v>
      </c>
      <c r="Z22" s="188">
        <f t="shared" si="7"/>
        <v>1.2407154590541185</v>
      </c>
      <c r="AC22" s="332"/>
      <c r="AD22" s="214" t="s">
        <v>959</v>
      </c>
      <c r="AE22" s="194"/>
      <c r="AF22" s="212"/>
      <c r="AG22" s="195"/>
      <c r="AH22" s="322">
        <f>$K60+$L60*AH$8+$M60*AH$8^2+$N60*AH$6+$O60*AH$6^2+$P60*AH$8*AH$6</f>
        <v>0.99812153671288995</v>
      </c>
      <c r="AI22" s="320">
        <f>$K60+$L60*AI$8+$M60*AI$8^2+$N60*AI$6+$O60*AI$6^2+$P60*AI$8*AI$6</f>
        <v>2.1787566176851647</v>
      </c>
      <c r="AJ22" s="321">
        <f>$K60+$L60*AJ$8+$M60*AJ$8^2+$N60*AJ$6+$O60*AJ$6^2+$P60*AJ$8*AJ$6</f>
        <v>2.8898392217192992</v>
      </c>
      <c r="AK22" s="212"/>
      <c r="AM22" s="239" t="s">
        <v>1017</v>
      </c>
      <c r="AN22" s="212">
        <f>AN21</f>
        <v>-1.9230999384608029E-4</v>
      </c>
      <c r="AO22" s="195" t="s">
        <v>945</v>
      </c>
      <c r="AV22" s="194" t="s">
        <v>1063</v>
      </c>
      <c r="AW22" s="243">
        <f>AR59</f>
        <v>2.5579852905915588</v>
      </c>
      <c r="AX22" s="257"/>
    </row>
    <row r="23" spans="1:50" ht="15.75" customHeight="1" x14ac:dyDescent="0.25">
      <c r="A23" s="332"/>
      <c r="B23" s="194" t="str">
        <f>'ACM Performance Curves'!M269</f>
        <v>Heating Energy Input Ratio Modifier Function of Low Temperature Curve Name</v>
      </c>
      <c r="C23" s="212" t="str">
        <f>'ACM Performance Curves'!N269</f>
        <v>EPDef-VRFSysHtgEIRRatio_fTwbToadbLowSI</v>
      </c>
      <c r="D23" s="212" t="str">
        <f>'ACM Performance Curves'!O269</f>
        <v>BiQuadratic</v>
      </c>
      <c r="E23" s="212" t="str">
        <f>'ACM Performance Curves'!P269</f>
        <v>EIRRatio</v>
      </c>
      <c r="F23" s="212" t="str">
        <f>'ACM Performance Curves'!Q269</f>
        <v>Twb</v>
      </c>
      <c r="G23" s="212" t="str">
        <f>'ACM Performance Curves'!R269</f>
        <v>Toadb</v>
      </c>
      <c r="H23" s="212" t="str">
        <f>'ACM Performance Curves'!S269</f>
        <v>Low</v>
      </c>
      <c r="I23" s="212">
        <f>'ACM Performance Curves'!T269</f>
        <v>0</v>
      </c>
      <c r="J23" s="212">
        <f>'ACM Performance Curves'!U269</f>
        <v>0</v>
      </c>
      <c r="K23" s="314">
        <f>'ACM Performance Curves'!V269</f>
        <v>0.988582839393777</v>
      </c>
      <c r="L23" s="314">
        <f>'ACM Performance Curves'!W269</f>
        <v>-1.491658015680142E-2</v>
      </c>
      <c r="M23" s="314">
        <f>'ACM Performance Curves'!X269</f>
        <v>1.2467499301811505E-3</v>
      </c>
      <c r="N23" s="314">
        <f>'ACM Performance Curves'!Y269</f>
        <v>-1.5045723046212335E-2</v>
      </c>
      <c r="O23" s="314">
        <f>'ACM Performance Curves'!Z269</f>
        <v>1.0061187280493123E-3</v>
      </c>
      <c r="P23" s="315">
        <f>'ACM Performance Curves'!AA269</f>
        <v>-1.4428830091193278E-4</v>
      </c>
      <c r="S23" s="188">
        <f t="shared" si="3"/>
        <v>0.5499999999999996</v>
      </c>
      <c r="T23" s="244">
        <f t="shared" si="4"/>
        <v>0.44931654808749966</v>
      </c>
      <c r="U23">
        <f t="shared" si="1"/>
        <v>1</v>
      </c>
      <c r="V23" s="188">
        <f t="shared" si="5"/>
        <v>1.2240813349542892</v>
      </c>
      <c r="X23" s="245">
        <f t="shared" si="6"/>
        <v>0.43290923361778222</v>
      </c>
      <c r="Y23">
        <f t="shared" si="2"/>
        <v>1</v>
      </c>
      <c r="Z23" s="188">
        <f t="shared" si="7"/>
        <v>1.2704741716957635</v>
      </c>
      <c r="AC23" s="332"/>
      <c r="AD23" s="214" t="s">
        <v>1101</v>
      </c>
      <c r="AE23" s="194">
        <f>$X$11+$Y$11*$X$8+$Z$11*$X$8^2+$X$12*$X$8^3+$Y$12*$X$8^4+$Z$12*$X$8^5</f>
        <v>0.43290923361778261</v>
      </c>
      <c r="AF23" s="212">
        <f>AE23</f>
        <v>0.43290923361778261</v>
      </c>
      <c r="AG23" s="195">
        <f>AF23</f>
        <v>0.43290923361778261</v>
      </c>
      <c r="AH23" s="194"/>
      <c r="AI23" s="212"/>
      <c r="AJ23" s="195"/>
      <c r="AK23" s="212"/>
      <c r="AM23" s="194" t="s">
        <v>1122</v>
      </c>
      <c r="AN23" s="212">
        <v>350</v>
      </c>
      <c r="AO23" s="195" t="s">
        <v>942</v>
      </c>
      <c r="AV23" s="194" t="s">
        <v>1064</v>
      </c>
      <c r="AW23" s="243">
        <f>AS59</f>
        <v>2.1680592093887223</v>
      </c>
      <c r="AX23" s="257"/>
    </row>
    <row r="24" spans="1:50" ht="15.75" customHeight="1" x14ac:dyDescent="0.25">
      <c r="A24" s="332"/>
      <c r="B24" s="194" t="str">
        <f>'ACM Performance Curves'!M270</f>
        <v>Heating Energy Input Ratio Boundary Curve Name</v>
      </c>
      <c r="C24" s="212" t="str">
        <f>'ACM Performance Curves'!N270</f>
        <v>EPDef-VRFSysHtgEIRBdry_fToadbSI</v>
      </c>
      <c r="D24" s="212" t="str">
        <f>'ACM Performance Curves'!O270</f>
        <v>Cubic</v>
      </c>
      <c r="E24" s="212" t="str">
        <f>'ACM Performance Curves'!P270</f>
        <v>EIRBdry</v>
      </c>
      <c r="F24" s="212" t="str">
        <f>'ACM Performance Curves'!Q270</f>
        <v>Toadb</v>
      </c>
      <c r="G24" s="212">
        <f>'ACM Performance Curves'!R270</f>
        <v>0</v>
      </c>
      <c r="H24" s="212">
        <f>'ACM Performance Curves'!S270</f>
        <v>0</v>
      </c>
      <c r="I24" s="212">
        <f>'ACM Performance Curves'!T270</f>
        <v>0</v>
      </c>
      <c r="J24" s="212">
        <f>'ACM Performance Curves'!U270</f>
        <v>0</v>
      </c>
      <c r="K24" s="314">
        <f>'ACM Performance Curves'!V270</f>
        <v>-7.6000882000000001</v>
      </c>
      <c r="L24" s="314">
        <f>'ACM Performance Curves'!W270</f>
        <v>3.0509001599999999</v>
      </c>
      <c r="M24" s="314">
        <f>'ACM Performance Curves'!X270</f>
        <v>-0.1162844</v>
      </c>
      <c r="N24" s="314">
        <f>'ACM Performance Curves'!Y270</f>
        <v>0</v>
      </c>
      <c r="O24" s="314">
        <f>'ACM Performance Curves'!Z270</f>
        <v>0</v>
      </c>
      <c r="P24" s="315">
        <f>'ACM Performance Curves'!AA270</f>
        <v>0</v>
      </c>
      <c r="S24" s="188">
        <f t="shared" si="3"/>
        <v>0.49999999999999961</v>
      </c>
      <c r="T24" s="244">
        <f t="shared" si="4"/>
        <v>0.41185457999999969</v>
      </c>
      <c r="U24">
        <f t="shared" si="1"/>
        <v>1</v>
      </c>
      <c r="V24" s="188">
        <f t="shared" si="5"/>
        <v>1.2140207351827919</v>
      </c>
      <c r="X24" s="245">
        <f t="shared" si="6"/>
        <v>0.43290923361778222</v>
      </c>
      <c r="Y24">
        <f t="shared" si="2"/>
        <v>0.95693779904306187</v>
      </c>
      <c r="Z24" s="188">
        <f t="shared" si="7"/>
        <v>1.2069504631109755</v>
      </c>
      <c r="AC24" s="334"/>
      <c r="AD24" s="236" t="s">
        <v>1102</v>
      </c>
      <c r="AE24" s="233"/>
      <c r="AF24" s="234"/>
      <c r="AG24" s="235"/>
      <c r="AH24" s="253">
        <f>$X$53+$Y$53*$X$50+$Z$53*$X$50^2+$X$54*$X$50^3+$Y$54*$X$50^4+$Z$54*$X$50^5</f>
        <v>0.52631562499999995</v>
      </c>
      <c r="AI24" s="254">
        <f>AH24</f>
        <v>0.52631562499999995</v>
      </c>
      <c r="AJ24" s="255">
        <f>AI24</f>
        <v>0.52631562499999995</v>
      </c>
      <c r="AK24" s="212"/>
      <c r="AM24" s="194" t="s">
        <v>1120</v>
      </c>
      <c r="AN24" s="212">
        <v>400</v>
      </c>
      <c r="AO24" s="195" t="s">
        <v>942</v>
      </c>
      <c r="AV24" s="194" t="s">
        <v>1065</v>
      </c>
      <c r="AW24" s="243">
        <f>AN62</f>
        <v>4.0326020499575392</v>
      </c>
      <c r="AX24" s="257"/>
    </row>
    <row r="25" spans="1:50" ht="15.75" customHeight="1" x14ac:dyDescent="0.25">
      <c r="A25" s="332"/>
      <c r="B25" s="194" t="str">
        <f>'ACM Performance Curves'!M271</f>
        <v>Heating Energy Input Ratio Modifier Function of High Temperature Curve Name</v>
      </c>
      <c r="C25" s="212" t="str">
        <f>'ACM Performance Curves'!N271</f>
        <v>EPDef-VRFSysHtgEIRRatio_fTwbToadbHiSI</v>
      </c>
      <c r="D25" s="212" t="str">
        <f>'ACM Performance Curves'!O271</f>
        <v>BiQuadratic</v>
      </c>
      <c r="E25" s="212" t="str">
        <f>'ACM Performance Curves'!P271</f>
        <v>EIRRatio</v>
      </c>
      <c r="F25" s="212" t="str">
        <f>'ACM Performance Curves'!Q271</f>
        <v>Twb</v>
      </c>
      <c r="G25" s="212" t="str">
        <f>'ACM Performance Curves'!R271</f>
        <v>Toadb</v>
      </c>
      <c r="H25" s="212" t="str">
        <f>'ACM Performance Curves'!S271</f>
        <v>Hi</v>
      </c>
      <c r="I25" s="212">
        <f>'ACM Performance Curves'!T271</f>
        <v>0</v>
      </c>
      <c r="J25" s="212">
        <f>'ACM Performance Curves'!U271</f>
        <v>0</v>
      </c>
      <c r="K25" s="314">
        <f>'ACM Performance Curves'!V271</f>
        <v>2.8301633087190674</v>
      </c>
      <c r="L25" s="314">
        <f>'ACM Performance Curves'!W271</f>
        <v>-6.4840072313774547E-2</v>
      </c>
      <c r="M25" s="314">
        <f>'ACM Performance Curves'!X271</f>
        <v>4.6001361797866706E-5</v>
      </c>
      <c r="N25" s="314">
        <f>'ACM Performance Curves'!Y271</f>
        <v>-0.14647725367311976</v>
      </c>
      <c r="O25" s="314">
        <f>'ACM Performance Curves'!Z271</f>
        <v>1.535326532005016E-3</v>
      </c>
      <c r="P25" s="315">
        <f>'ACM Performance Curves'!AA271</f>
        <v>3.5829070491213135E-3</v>
      </c>
      <c r="S25" s="188">
        <f t="shared" si="3"/>
        <v>0.44999999999999962</v>
      </c>
      <c r="T25" s="244">
        <f t="shared" si="4"/>
        <v>0.38078604901249974</v>
      </c>
      <c r="U25">
        <f t="shared" si="1"/>
        <v>1</v>
      </c>
      <c r="V25" s="188">
        <f t="shared" si="5"/>
        <v>1.1817659842501946</v>
      </c>
      <c r="X25" s="245">
        <f t="shared" si="6"/>
        <v>0.43290923361778222</v>
      </c>
      <c r="Y25">
        <f t="shared" si="2"/>
        <v>0.90909090909090873</v>
      </c>
      <c r="Z25" s="188">
        <f t="shared" si="7"/>
        <v>1.1434267545261876</v>
      </c>
      <c r="AC25" s="332" t="s">
        <v>1013</v>
      </c>
      <c r="AD25" s="214" t="s">
        <v>980</v>
      </c>
      <c r="AE25" s="194">
        <f>$K67+$L67*AE$7+$M67*AE$7^2+$N67*AE$6+$O67*AE$6^2+$P67*AE$7*AE$6</f>
        <v>0.89584680970363362</v>
      </c>
      <c r="AF25" s="212">
        <f>$K67+$L67*AF$7+$M67*AF$7^2+$N67*AF$6+$O67*AF$6^2+$P67*AF$7*AF$6</f>
        <v>0.99758682575217406</v>
      </c>
      <c r="AG25" s="195">
        <f>$K67+$L67*AG$7+$M67*AG$7^2+$N67*AG$6+$O67*AG$6^2+$P67*AG$7*AG$6</f>
        <v>1.0475701040540952</v>
      </c>
      <c r="AH25" s="194"/>
      <c r="AI25" s="212"/>
      <c r="AJ25" s="195"/>
      <c r="AK25" s="212"/>
      <c r="AM25" s="194" t="s">
        <v>1121</v>
      </c>
      <c r="AN25" s="212">
        <v>0.20749999999999999</v>
      </c>
      <c r="AO25" s="195" t="s">
        <v>943</v>
      </c>
      <c r="AV25" s="194" t="s">
        <v>1066</v>
      </c>
      <c r="AW25" s="243">
        <f>AO62</f>
        <v>5.0527827555221663</v>
      </c>
      <c r="AX25" s="257"/>
    </row>
    <row r="26" spans="1:50" ht="15.75" customHeight="1" thickBot="1" x14ac:dyDescent="0.3">
      <c r="A26" s="332"/>
      <c r="B26" s="194" t="str">
        <f>'ACM Performance Curves'!M272</f>
        <v>Heating Energy Input Ratio Modifier Function of Low Part-Load Ratio Curve Name</v>
      </c>
      <c r="C26" s="212" t="str">
        <f>'ACM Performance Curves'!N272</f>
        <v>EPDef-VRFSysHtgEIRRatio_fPLRLowSI</v>
      </c>
      <c r="D26" s="212" t="str">
        <f>'ACM Performance Curves'!O272</f>
        <v>Cubic</v>
      </c>
      <c r="E26" s="212" t="str">
        <f>'ACM Performance Curves'!P272</f>
        <v>EIRRatio</v>
      </c>
      <c r="F26" s="212" t="str">
        <f>'ACM Performance Curves'!Q272</f>
        <v>PLR</v>
      </c>
      <c r="G26" s="212" t="str">
        <f>'ACM Performance Curves'!R272</f>
        <v>Low</v>
      </c>
      <c r="H26" s="212">
        <f>'ACM Performance Curves'!S272</f>
        <v>0</v>
      </c>
      <c r="I26" s="212">
        <f>'ACM Performance Curves'!T272</f>
        <v>0</v>
      </c>
      <c r="J26" s="212">
        <f>'ACM Performance Curves'!U272</f>
        <v>0</v>
      </c>
      <c r="K26" s="314">
        <f>'ACM Performance Curves'!V272</f>
        <v>0.1400093</v>
      </c>
      <c r="L26" s="314">
        <f>'ACM Performance Curves'!W272</f>
        <v>0.64150019999999996</v>
      </c>
      <c r="M26" s="314">
        <f>'ACM Performance Curves'!X272</f>
        <v>0.13390469999999999</v>
      </c>
      <c r="N26" s="314">
        <f>'ACM Performance Curves'!Y272</f>
        <v>8.4585900000000006E-2</v>
      </c>
      <c r="O26" s="314">
        <f>'ACM Performance Curves'!Z272</f>
        <v>0</v>
      </c>
      <c r="P26" s="315">
        <f>'ACM Performance Curves'!AA272</f>
        <v>0</v>
      </c>
      <c r="S26" s="188">
        <f t="shared" si="3"/>
        <v>0.39999999999999963</v>
      </c>
      <c r="T26" s="244">
        <f t="shared" si="4"/>
        <v>0.35655906639999979</v>
      </c>
      <c r="U26">
        <f t="shared" si="1"/>
        <v>1</v>
      </c>
      <c r="V26" s="188">
        <f t="shared" si="5"/>
        <v>1.1218337652681263</v>
      </c>
      <c r="X26" s="245">
        <f t="shared" si="6"/>
        <v>0.43290923361778222</v>
      </c>
      <c r="Y26">
        <f t="shared" si="2"/>
        <v>0.85561497326203151</v>
      </c>
      <c r="Z26" s="188">
        <f t="shared" si="7"/>
        <v>1.0799030459413994</v>
      </c>
      <c r="AC26" s="333"/>
      <c r="AD26" s="215" t="s">
        <v>981</v>
      </c>
      <c r="AE26" s="196"/>
      <c r="AF26" s="197"/>
      <c r="AG26" s="208"/>
      <c r="AH26" s="196">
        <f>$K69+$L69*AH$8+$M69*AH$8^2+$N69*AH$6+$O69*AH$6^2+$P69*AH$8*AH$6</f>
        <v>1.0009748480856033</v>
      </c>
      <c r="AI26" s="197">
        <f>$K69+$L69*AI$8+$M69*AI$8^2+$N69*AI$6+$O69*AI$6^2+$P69*AI$8*AI$6</f>
        <v>0.78471492294455092</v>
      </c>
      <c r="AJ26" s="208">
        <f>$K69+$L69*AJ$8+$M69*AJ$8^2+$N69*AJ$6+$O69*AJ$6^2+$P69*AJ$8*AJ$6</f>
        <v>0.63583973955479656</v>
      </c>
      <c r="AK26" s="212"/>
      <c r="AM26" s="194" t="s">
        <v>978</v>
      </c>
      <c r="AN26" s="212">
        <v>1</v>
      </c>
      <c r="AO26" s="195"/>
      <c r="AP26" s="240"/>
      <c r="AV26" s="194" t="s">
        <v>1069</v>
      </c>
      <c r="AW26" s="243">
        <f>AP62</f>
        <v>5.9129600613661566</v>
      </c>
      <c r="AX26" s="257"/>
    </row>
    <row r="27" spans="1:50" ht="15.75" customHeight="1" thickBot="1" x14ac:dyDescent="0.3">
      <c r="A27" s="332"/>
      <c r="B27" s="194" t="str">
        <f>'ACM Performance Curves'!M273</f>
        <v>Heating Energy Input Ratio Modifier Function of High Part-Load Ratio Curve Name</v>
      </c>
      <c r="C27" s="212" t="str">
        <f>'ACM Performance Curves'!N273</f>
        <v>EPDef-VRFSysHtgEIRRatio_fPLRHiSI</v>
      </c>
      <c r="D27" s="212" t="str">
        <f>'ACM Performance Curves'!O273</f>
        <v>Quadratic</v>
      </c>
      <c r="E27" s="212" t="str">
        <f>'ACM Performance Curves'!P273</f>
        <v>EIRRatio</v>
      </c>
      <c r="F27" s="212" t="str">
        <f>'ACM Performance Curves'!Q273</f>
        <v>PLR</v>
      </c>
      <c r="G27" s="212" t="str">
        <f>'ACM Performance Curves'!R273</f>
        <v>Hi</v>
      </c>
      <c r="H27" s="212">
        <f>'ACM Performance Curves'!S273</f>
        <v>0</v>
      </c>
      <c r="I27" s="212">
        <f>'ACM Performance Curves'!T273</f>
        <v>0</v>
      </c>
      <c r="J27" s="212">
        <f>'ACM Performance Curves'!U273</f>
        <v>0</v>
      </c>
      <c r="K27" s="314">
        <f>'ACM Performance Curves'!V273</f>
        <v>2.4294359999999999</v>
      </c>
      <c r="L27" s="314">
        <f>'ACM Performance Curves'!W273</f>
        <v>-2.235887</v>
      </c>
      <c r="M27" s="314">
        <f>'ACM Performance Curves'!X273</f>
        <v>0.80645199999999995</v>
      </c>
      <c r="N27" s="314">
        <f>'ACM Performance Curves'!Y273</f>
        <v>0</v>
      </c>
      <c r="O27" s="314">
        <f>'ACM Performance Curves'!Z273</f>
        <v>0</v>
      </c>
      <c r="P27" s="315">
        <f>'ACM Performance Curves'!AA273</f>
        <v>0</v>
      </c>
      <c r="S27" s="188">
        <f t="shared" si="3"/>
        <v>0.34999999999999964</v>
      </c>
      <c r="T27" s="244">
        <f t="shared" si="4"/>
        <v>0.33962174343749985</v>
      </c>
      <c r="U27">
        <f t="shared" si="1"/>
        <v>1</v>
      </c>
      <c r="V27" s="188">
        <f t="shared" si="5"/>
        <v>1.0305582806844336</v>
      </c>
      <c r="X27" s="245">
        <f t="shared" si="6"/>
        <v>0.43290923361778222</v>
      </c>
      <c r="Y27">
        <f t="shared" si="2"/>
        <v>0.79545454545454497</v>
      </c>
      <c r="Z27" s="188">
        <f t="shared" si="7"/>
        <v>1.016379337356611</v>
      </c>
      <c r="AK27" s="212"/>
      <c r="AM27" s="196" t="s">
        <v>979</v>
      </c>
      <c r="AN27" s="197">
        <v>0.55000000000000004</v>
      </c>
      <c r="AO27" s="208"/>
      <c r="AV27" s="194" t="s">
        <v>1070</v>
      </c>
      <c r="AW27" s="243">
        <f>AQ62</f>
        <v>3.7680552687269144</v>
      </c>
      <c r="AX27" s="257"/>
    </row>
    <row r="28" spans="1:50" ht="15.75" customHeight="1" thickBot="1" x14ac:dyDescent="0.3">
      <c r="A28" s="332"/>
      <c r="B28" s="194" t="str">
        <f>'ACM Performance Curves'!M274</f>
        <v>Heating Part-Load Fraction Correlation Curve Name</v>
      </c>
      <c r="C28" s="212" t="str">
        <f>'ACM Performance Curves'!N274</f>
        <v>EPDef-VRFSysHtgEIRRatio_fCycRatSI</v>
      </c>
      <c r="D28" s="212" t="str">
        <f>'ACM Performance Curves'!O274</f>
        <v>Cubic</v>
      </c>
      <c r="E28" s="212" t="str">
        <f>'ACM Performance Curves'!P274</f>
        <v>EIRRatio</v>
      </c>
      <c r="F28" s="212" t="str">
        <f>'ACM Performance Curves'!Q274</f>
        <v>CycRat</v>
      </c>
      <c r="G28" s="212">
        <f>'ACM Performance Curves'!R274</f>
        <v>0</v>
      </c>
      <c r="H28" s="212">
        <f>'ACM Performance Curves'!S274</f>
        <v>0</v>
      </c>
      <c r="I28" s="212">
        <f>'ACM Performance Curves'!T274</f>
        <v>0</v>
      </c>
      <c r="J28" s="212">
        <f>'ACM Performance Curves'!U274</f>
        <v>0</v>
      </c>
      <c r="K28" s="212">
        <f>'ACM Performance Curves'!V274</f>
        <v>0.85</v>
      </c>
      <c r="L28" s="212">
        <f>'ACM Performance Curves'!W274</f>
        <v>0.15</v>
      </c>
      <c r="M28" s="212">
        <f>'ACM Performance Curves'!X274</f>
        <v>0</v>
      </c>
      <c r="N28" s="212">
        <f>'ACM Performance Curves'!Y274</f>
        <v>0</v>
      </c>
      <c r="O28" s="212">
        <f>'ACM Performance Curves'!Z274</f>
        <v>0</v>
      </c>
      <c r="P28" s="195">
        <f>'ACM Performance Curves'!AA274</f>
        <v>0</v>
      </c>
      <c r="S28" s="188">
        <f t="shared" si="3"/>
        <v>0.29999999999999966</v>
      </c>
      <c r="T28" s="244">
        <f t="shared" si="4"/>
        <v>0.3304221913999999</v>
      </c>
      <c r="U28">
        <f t="shared" si="1"/>
        <v>1</v>
      </c>
      <c r="V28" s="188">
        <f t="shared" si="5"/>
        <v>0.90792933346546334</v>
      </c>
      <c r="X28" s="245">
        <f t="shared" si="6"/>
        <v>0.43290923361778222</v>
      </c>
      <c r="Y28">
        <f t="shared" si="2"/>
        <v>0.72727272727272674</v>
      </c>
      <c r="Z28" s="188">
        <f t="shared" si="7"/>
        <v>0.95285562877182284</v>
      </c>
      <c r="AD28" s="213" t="s">
        <v>962</v>
      </c>
      <c r="AK28" s="212"/>
      <c r="AV28" s="194" t="s">
        <v>1071</v>
      </c>
      <c r="AW28" s="243">
        <f>AR62</f>
        <v>2.6660200338286644</v>
      </c>
      <c r="AX28" s="257"/>
    </row>
    <row r="29" spans="1:50" ht="15.75" customHeight="1" x14ac:dyDescent="0.25">
      <c r="A29" s="332"/>
      <c r="B29" s="194" t="str">
        <f>'ACM Performance Curves'!M275</f>
        <v>Heat Recovery Heating Energy Modifier Function of Temperature Curve Name</v>
      </c>
      <c r="C29" s="212" t="str">
        <f>'ACM Performance Curves'!N275</f>
        <v>EPDef-VRFSysHtRcvryHtgEIRRatio_fTwbToadbSI</v>
      </c>
      <c r="D29" s="212" t="str">
        <f>'ACM Performance Curves'!O275</f>
        <v>BiQuadratic</v>
      </c>
      <c r="E29" s="212" t="str">
        <f>'ACM Performance Curves'!P275</f>
        <v>EIRRatio</v>
      </c>
      <c r="F29" s="212" t="str">
        <f>'ACM Performance Curves'!Q275</f>
        <v>Twb</v>
      </c>
      <c r="G29" s="212" t="str">
        <f>'ACM Performance Curves'!R275</f>
        <v>Toadb</v>
      </c>
      <c r="H29" s="212">
        <f>'ACM Performance Curves'!S275</f>
        <v>0</v>
      </c>
      <c r="I29" s="212">
        <f>'ACM Performance Curves'!T275</f>
        <v>0</v>
      </c>
      <c r="J29" s="212">
        <f>'ACM Performance Curves'!U275</f>
        <v>0</v>
      </c>
      <c r="K29" s="212">
        <f>'ACM Performance Curves'!V275</f>
        <v>1.1000000000000001</v>
      </c>
      <c r="L29" s="212">
        <f>'ACM Performance Curves'!W275</f>
        <v>0</v>
      </c>
      <c r="M29" s="212">
        <f>'ACM Performance Curves'!X275</f>
        <v>0</v>
      </c>
      <c r="N29" s="212">
        <f>'ACM Performance Curves'!Y275</f>
        <v>0</v>
      </c>
      <c r="O29" s="212">
        <f>'ACM Performance Curves'!Z275</f>
        <v>0</v>
      </c>
      <c r="P29" s="195">
        <f>'ACM Performance Curves'!AA275</f>
        <v>0</v>
      </c>
      <c r="S29" s="188">
        <f t="shared" si="3"/>
        <v>0.24999999999999967</v>
      </c>
      <c r="T29" s="244">
        <f t="shared" si="4"/>
        <v>0.3294085215625</v>
      </c>
      <c r="U29">
        <f t="shared" si="1"/>
        <v>1</v>
      </c>
      <c r="V29" s="188">
        <f t="shared" si="5"/>
        <v>0.75893604334873332</v>
      </c>
      <c r="X29" s="245">
        <f t="shared" si="6"/>
        <v>0.43290923361778222</v>
      </c>
      <c r="Y29">
        <f t="shared" si="2"/>
        <v>0.64935064935064879</v>
      </c>
      <c r="Z29" s="188">
        <f t="shared" si="7"/>
        <v>0.88933192018703455</v>
      </c>
      <c r="AC29" s="335" t="s">
        <v>1014</v>
      </c>
      <c r="AD29" s="213" t="s">
        <v>982</v>
      </c>
      <c r="AE29" s="229">
        <f>IF(AE$6&gt;AE$12,AE13,AE11)</f>
        <v>0.91777680246913573</v>
      </c>
      <c r="AF29" s="318">
        <f>IF(AF$6&gt;AF$12,AF13,AF11)</f>
        <v>1.0090397654320986</v>
      </c>
      <c r="AG29" s="230">
        <f>IF(AG$6&gt;AG$12,AG13,AG11)</f>
        <v>1.0683606913580248</v>
      </c>
      <c r="AH29" s="193"/>
      <c r="AI29" s="191"/>
      <c r="AJ29" s="224"/>
      <c r="AK29" s="212"/>
      <c r="AM29" s="189" t="s">
        <v>1115</v>
      </c>
      <c r="AV29" s="194" t="s">
        <v>1072</v>
      </c>
      <c r="AW29" s="243">
        <f>AS62</f>
        <v>2.2605377767769812</v>
      </c>
      <c r="AX29" s="257"/>
    </row>
    <row r="30" spans="1:50" ht="15.75" customHeight="1" thickBot="1" x14ac:dyDescent="0.3">
      <c r="A30" s="332"/>
      <c r="B30" s="194" t="str">
        <f>'ACM Performance Curves'!M276</f>
        <v xml:space="preserve">Piping Correction Factor for Length in Cooling Mode Curve Name </v>
      </c>
      <c r="C30" s="212" t="str">
        <f>'ACM Performance Curves'!N276</f>
        <v>EPDef-VRFSysClgPipeLoss_fLenCombRatSI</v>
      </c>
      <c r="D30" s="212" t="str">
        <f>'ACM Performance Curves'!O276</f>
        <v>BiQuadratic</v>
      </c>
      <c r="E30" s="212" t="str">
        <f>'ACM Performance Curves'!P276</f>
        <v>PipeLoss</v>
      </c>
      <c r="F30" s="212" t="str">
        <f>'ACM Performance Curves'!Q276</f>
        <v>Len</v>
      </c>
      <c r="G30" s="212" t="str">
        <f>'ACM Performance Curves'!R276</f>
        <v>CombRat</v>
      </c>
      <c r="H30" s="212">
        <f>'ACM Performance Curves'!S276</f>
        <v>0</v>
      </c>
      <c r="I30" s="212">
        <f>'ACM Performance Curves'!T276</f>
        <v>0</v>
      </c>
      <c r="J30" s="212">
        <f>'ACM Performance Curves'!U276</f>
        <v>0</v>
      </c>
      <c r="K30" s="212">
        <f>'ACM Performance Curves'!V276</f>
        <v>1.0693790000000001</v>
      </c>
      <c r="L30" s="212">
        <f>'ACM Performance Curves'!W276</f>
        <v>-1.495E-3</v>
      </c>
      <c r="M30" s="212">
        <f>'ACM Performance Curves'!X276</f>
        <v>3.0000000000000001E-6</v>
      </c>
      <c r="N30" s="212">
        <f>'ACM Performance Curves'!Y276</f>
        <v>-0.11511</v>
      </c>
      <c r="O30" s="212">
        <f>'ACM Performance Curves'!Z276</f>
        <v>5.1117000000000003E-2</v>
      </c>
      <c r="P30" s="195">
        <f>'ACM Performance Curves'!AA276</f>
        <v>-4.37E-4</v>
      </c>
      <c r="S30" s="188">
        <f t="shared" si="3"/>
        <v>0.19999999999999968</v>
      </c>
      <c r="T30" s="244">
        <f t="shared" si="4"/>
        <v>0.3294085215625</v>
      </c>
      <c r="U30">
        <f t="shared" si="1"/>
        <v>0.82474226804123596</v>
      </c>
      <c r="V30" s="188">
        <f t="shared" si="5"/>
        <v>0.73616796204827217</v>
      </c>
      <c r="X30" s="245">
        <f t="shared" si="6"/>
        <v>0.43290923361778222</v>
      </c>
      <c r="Y30">
        <f t="shared" si="2"/>
        <v>0.55944055944055882</v>
      </c>
      <c r="Z30" s="188">
        <f t="shared" si="7"/>
        <v>0.82580821160224649</v>
      </c>
      <c r="AC30" s="332"/>
      <c r="AD30" s="214" t="s">
        <v>983</v>
      </c>
      <c r="AE30" s="194"/>
      <c r="AF30" s="212"/>
      <c r="AG30" s="195"/>
      <c r="AH30" s="317">
        <f>IF(AH6&gt;AH15,AH16,AH14)</f>
        <v>0.99179938271604939</v>
      </c>
      <c r="AI30" s="220">
        <f>IF(AI6&gt;AI15,AI16,AI14)</f>
        <v>0.73709318672839497</v>
      </c>
      <c r="AJ30" s="221">
        <f>IF(AJ6&gt;AJ15,AJ16,AJ14)</f>
        <v>0.6082413163580247</v>
      </c>
      <c r="AK30" s="212"/>
      <c r="AM30" s="189" t="s">
        <v>1116</v>
      </c>
      <c r="AV30" s="194" t="s">
        <v>1073</v>
      </c>
      <c r="AW30" s="243">
        <f>AN60</f>
        <v>0.55000000000000004</v>
      </c>
    </row>
    <row r="31" spans="1:50" ht="15.75" customHeight="1" x14ac:dyDescent="0.25">
      <c r="A31" s="334"/>
      <c r="B31" s="233" t="str">
        <f>'ACM Performance Curves'!M277</f>
        <v xml:space="preserve">Piping Correction Factor for Length in Heating Mode Curve Name </v>
      </c>
      <c r="C31" s="234" t="str">
        <f>'ACM Performance Curves'!N277</f>
        <v>EPDef-VRFSysHtgPipeLoss_fLenCombRatSI</v>
      </c>
      <c r="D31" s="234" t="str">
        <f>'ACM Performance Curves'!O277</f>
        <v>BiQuadratic</v>
      </c>
      <c r="E31" s="234" t="str">
        <f>'ACM Performance Curves'!P277</f>
        <v>PipeLoss</v>
      </c>
      <c r="F31" s="234" t="str">
        <f>'ACM Performance Curves'!Q277</f>
        <v>Len</v>
      </c>
      <c r="G31" s="234" t="str">
        <f>'ACM Performance Curves'!R277</f>
        <v>CombRat</v>
      </c>
      <c r="H31" s="234">
        <f>'ACM Performance Curves'!S277</f>
        <v>0</v>
      </c>
      <c r="I31" s="234">
        <f>'ACM Performance Curves'!T277</f>
        <v>0</v>
      </c>
      <c r="J31" s="234">
        <f>'ACM Performance Curves'!U277</f>
        <v>0</v>
      </c>
      <c r="K31" s="234">
        <f>'ACM Performance Curves'!V277</f>
        <v>1.0693790000000001</v>
      </c>
      <c r="L31" s="234">
        <f>'ACM Performance Curves'!W277</f>
        <v>-1.495E-3</v>
      </c>
      <c r="M31" s="234">
        <f>'ACM Performance Curves'!X277</f>
        <v>3.0000000000000001E-6</v>
      </c>
      <c r="N31" s="234">
        <f>'ACM Performance Curves'!Y277</f>
        <v>-0.11511</v>
      </c>
      <c r="O31" s="234">
        <f>'ACM Performance Curves'!Z277</f>
        <v>5.1117000000000003E-2</v>
      </c>
      <c r="P31" s="235">
        <f>'ACM Performance Curves'!AA277</f>
        <v>-4.37E-4</v>
      </c>
      <c r="S31" s="188">
        <f t="shared" si="3"/>
        <v>0.14999999999999969</v>
      </c>
      <c r="T31" s="244">
        <f t="shared" si="4"/>
        <v>0.3294085215625</v>
      </c>
      <c r="U31">
        <f t="shared" si="1"/>
        <v>0.63829787234042434</v>
      </c>
      <c r="V31" s="188">
        <f t="shared" si="5"/>
        <v>0.71339988074781013</v>
      </c>
      <c r="X31" s="245">
        <f t="shared" si="6"/>
        <v>0.43290923361778222</v>
      </c>
      <c r="Y31">
        <f t="shared" si="2"/>
        <v>0.45454545454545386</v>
      </c>
      <c r="Z31" s="188">
        <f t="shared" si="7"/>
        <v>0.76228450301745809</v>
      </c>
      <c r="AC31" s="332"/>
      <c r="AD31" s="214" t="s">
        <v>984</v>
      </c>
      <c r="AE31" s="231">
        <f>IF(AE6&gt;AE18,AE19,AE17)</f>
        <v>1.2891588500000002</v>
      </c>
      <c r="AF31" s="220">
        <f>IF(AF6&gt;AF18,AF19,AF17)</f>
        <v>1.0007620475308643</v>
      </c>
      <c r="AG31" s="221">
        <f>IF(AG6&gt;AG18,AG19,AG17)</f>
        <v>0.83492493148148172</v>
      </c>
      <c r="AH31" s="194"/>
      <c r="AI31" s="212"/>
      <c r="AJ31" s="195"/>
      <c r="AK31" s="212"/>
      <c r="AM31" s="193"/>
      <c r="AN31" s="209" t="s">
        <v>946</v>
      </c>
      <c r="AO31" s="210"/>
      <c r="AP31" s="211"/>
      <c r="AQ31" s="209" t="s">
        <v>947</v>
      </c>
      <c r="AR31" s="210"/>
      <c r="AS31" s="211"/>
      <c r="AV31" s="194" t="s">
        <v>1075</v>
      </c>
      <c r="AW31" s="243">
        <f>AO60</f>
        <v>0.55000000000000004</v>
      </c>
    </row>
    <row r="32" spans="1:50" ht="15.75" customHeight="1" x14ac:dyDescent="0.25">
      <c r="A32" s="332" t="s">
        <v>1012</v>
      </c>
      <c r="B32" s="194" t="str">
        <f>'ACM Performance Curves'!M41</f>
        <v>Cooling Capacity Ratio Modifier Function of Temperature Curve Name</v>
      </c>
      <c r="C32" s="212" t="str">
        <f>'ACM Performance Curves'!N41</f>
        <v>CoilClgVRFClgQratio_fTwbTdbSI</v>
      </c>
      <c r="D32" s="212" t="str">
        <f>'ACM Performance Curves'!O41</f>
        <v>BiQuadratic</v>
      </c>
      <c r="E32" s="212" t="str">
        <f>'ACM Performance Curves'!P41</f>
        <v>Qratio</v>
      </c>
      <c r="F32" s="212" t="str">
        <f>'ACM Performance Curves'!Q41</f>
        <v>Twb</v>
      </c>
      <c r="G32" s="212" t="str">
        <f>'ACM Performance Curves'!R41</f>
        <v>Tdb</v>
      </c>
      <c r="H32" s="212">
        <f>'ACM Performance Curves'!S41</f>
        <v>0</v>
      </c>
      <c r="I32" s="212">
        <f>'ACM Performance Curves'!T41</f>
        <v>0</v>
      </c>
      <c r="J32" s="212">
        <f>'ACM Performance Curves'!U41</f>
        <v>0</v>
      </c>
      <c r="K32" s="212">
        <f>'ACM Performance Curves'!V41</f>
        <v>5.8588407780325903E-2</v>
      </c>
      <c r="L32" s="212">
        <f>'ACM Performance Curves'!W41</f>
        <v>5.8739653271838402E-2</v>
      </c>
      <c r="M32" s="212">
        <f>'ACM Performance Curves'!X41</f>
        <v>-2.10274979759697E-4</v>
      </c>
      <c r="N32" s="212">
        <f>'ACM Performance Curves'!Y41</f>
        <v>1.0937047388964701E-2</v>
      </c>
      <c r="O32" s="212">
        <f>'ACM Performance Curves'!Z41</f>
        <v>-1.219549E-4</v>
      </c>
      <c r="P32" s="195">
        <f>'ACM Performance Curves'!AA41</f>
        <v>-5.246615E-4</v>
      </c>
      <c r="S32" s="188">
        <f t="shared" si="3"/>
        <v>9.9999999999999686E-2</v>
      </c>
      <c r="T32" s="244">
        <f t="shared" si="4"/>
        <v>0.3294085215625</v>
      </c>
      <c r="U32">
        <f t="shared" si="1"/>
        <v>0.43956043956043828</v>
      </c>
      <c r="V32" s="188">
        <f t="shared" si="5"/>
        <v>0.6906317994473482</v>
      </c>
      <c r="X32" s="245">
        <f t="shared" si="6"/>
        <v>0.43290923361778222</v>
      </c>
      <c r="Y32">
        <f t="shared" si="2"/>
        <v>0.33057851239669339</v>
      </c>
      <c r="Z32" s="188">
        <f t="shared" si="7"/>
        <v>0.69876079443266992</v>
      </c>
      <c r="AC32" s="332"/>
      <c r="AD32" s="214" t="s">
        <v>985</v>
      </c>
      <c r="AE32" s="194"/>
      <c r="AF32" s="212"/>
      <c r="AG32" s="195"/>
      <c r="AH32" s="317">
        <f>IF(AH6&gt;AH21,AH22,AH20)</f>
        <v>0.99812153671288995</v>
      </c>
      <c r="AI32" s="220">
        <f>IF(AI6&gt;AI21,AI22,AI20)</f>
        <v>1.4499619702687747</v>
      </c>
      <c r="AJ32" s="221">
        <f>IF(AJ6&gt;AJ21,AJ22,AJ20)</f>
        <v>1.7270813906239848</v>
      </c>
      <c r="AK32" s="212"/>
      <c r="AM32" s="194" t="s">
        <v>1006</v>
      </c>
      <c r="AN32" s="194">
        <v>115</v>
      </c>
      <c r="AO32" s="212">
        <v>95</v>
      </c>
      <c r="AP32" s="195">
        <v>82</v>
      </c>
      <c r="AQ32" s="194">
        <v>47</v>
      </c>
      <c r="AR32" s="212">
        <v>17</v>
      </c>
      <c r="AS32" s="195">
        <v>5</v>
      </c>
      <c r="AV32" s="194" t="s">
        <v>1074</v>
      </c>
      <c r="AW32" s="243">
        <f>AP60</f>
        <v>0.55000000000000004</v>
      </c>
    </row>
    <row r="33" spans="1:49" ht="15.75" customHeight="1" x14ac:dyDescent="0.25">
      <c r="A33" s="332"/>
      <c r="B33" s="194" t="str">
        <f>'ACM Performance Curves'!M42</f>
        <v xml:space="preserve">Cooling Capacity Modifier Curve Function of Flow Fraction Name </v>
      </c>
      <c r="C33" s="212" t="str">
        <f>'ACM Performance Curves'!N42</f>
        <v>CoilClgVRFClgQratio_fCFMRatioSI</v>
      </c>
      <c r="D33" s="212" t="str">
        <f>'ACM Performance Curves'!O42</f>
        <v>Cubic</v>
      </c>
      <c r="E33" s="212" t="str">
        <f>'ACM Performance Curves'!P42</f>
        <v>Qratio</v>
      </c>
      <c r="F33" s="212" t="str">
        <f>'ACM Performance Curves'!Q42</f>
        <v>CFMRatio</v>
      </c>
      <c r="G33" s="212">
        <f>'ACM Performance Curves'!R42</f>
        <v>0</v>
      </c>
      <c r="H33" s="212">
        <f>'ACM Performance Curves'!S42</f>
        <v>0</v>
      </c>
      <c r="I33" s="212">
        <f>'ACM Performance Curves'!T42</f>
        <v>0</v>
      </c>
      <c r="J33" s="212">
        <f>'ACM Performance Curves'!U42</f>
        <v>0</v>
      </c>
      <c r="K33" s="212">
        <f>'ACM Performance Curves'!V42</f>
        <v>0.8</v>
      </c>
      <c r="L33" s="212">
        <f>'ACM Performance Curves'!W42</f>
        <v>0.2</v>
      </c>
      <c r="M33" s="212">
        <f>'ACM Performance Curves'!X42</f>
        <v>0</v>
      </c>
      <c r="N33" s="212">
        <f>'ACM Performance Curves'!Y42</f>
        <v>0</v>
      </c>
      <c r="O33" s="212">
        <f>'ACM Performance Curves'!Z42</f>
        <v>0</v>
      </c>
      <c r="P33" s="195">
        <f>'ACM Performance Curves'!AA42</f>
        <v>0</v>
      </c>
      <c r="S33" s="188">
        <f t="shared" ref="S33" si="8">S32-0.05</f>
        <v>4.9999999999999684E-2</v>
      </c>
      <c r="T33" s="244">
        <f t="shared" si="4"/>
        <v>0.3294085215625</v>
      </c>
      <c r="U33">
        <f t="shared" si="1"/>
        <v>0.22727272727272588</v>
      </c>
      <c r="V33" s="188">
        <f t="shared" si="5"/>
        <v>0.66786371814688605</v>
      </c>
      <c r="X33" s="245">
        <f t="shared" si="6"/>
        <v>0.43290923361778222</v>
      </c>
      <c r="Y33">
        <f t="shared" si="2"/>
        <v>0.18181818181818077</v>
      </c>
      <c r="Z33" s="188">
        <f t="shared" si="7"/>
        <v>0.63523708584788174</v>
      </c>
      <c r="AC33" s="332"/>
      <c r="AD33" s="214" t="s">
        <v>1101</v>
      </c>
      <c r="AE33" s="231">
        <f>AE23</f>
        <v>0.43290923361778261</v>
      </c>
      <c r="AF33" s="220">
        <f>AF23</f>
        <v>0.43290923361778261</v>
      </c>
      <c r="AG33" s="221">
        <f>AG23</f>
        <v>0.43290923361778261</v>
      </c>
      <c r="AH33" s="194"/>
      <c r="AI33" s="212"/>
      <c r="AJ33" s="195"/>
      <c r="AM33" s="194" t="s">
        <v>1021</v>
      </c>
      <c r="AN33" s="199">
        <f>AE35</f>
        <v>0.89584680970363362</v>
      </c>
      <c r="AO33" s="259">
        <f>AF35</f>
        <v>0.99758682575217406</v>
      </c>
      <c r="AP33" s="200">
        <f>AG35</f>
        <v>1.0475701040540952</v>
      </c>
      <c r="AQ33" s="199">
        <f>AH36</f>
        <v>1.0009748480856033</v>
      </c>
      <c r="AR33" s="259">
        <f>AI36</f>
        <v>0.78471492294455092</v>
      </c>
      <c r="AS33" s="200">
        <f>AJ36</f>
        <v>0.63583973955479656</v>
      </c>
      <c r="AV33" s="194" t="s">
        <v>1076</v>
      </c>
      <c r="AW33" s="243">
        <f>AQ60</f>
        <v>0.55000000000000004</v>
      </c>
    </row>
    <row r="34" spans="1:49" ht="15.75" customHeight="1" x14ac:dyDescent="0.25">
      <c r="A34" s="332"/>
      <c r="B34" s="194" t="str">
        <f>'ACM Performance Curves'!M83</f>
        <v>Heating Capacity Ratio Modifier Function of Temperature Curve Name</v>
      </c>
      <c r="C34" s="212" t="str">
        <f>'ACM Performance Curves'!N83</f>
        <v>CoilHtgVRFHtgQratio_fTwbTdbSI</v>
      </c>
      <c r="D34" s="212" t="str">
        <f>'ACM Performance Curves'!O83</f>
        <v>BiQuadratic</v>
      </c>
      <c r="E34" s="212" t="str">
        <f>'ACM Performance Curves'!P83</f>
        <v>Qratio</v>
      </c>
      <c r="F34" s="212" t="str">
        <f>'ACM Performance Curves'!Q83</f>
        <v>Twb</v>
      </c>
      <c r="G34" s="212" t="str">
        <f>'ACM Performance Curves'!R83</f>
        <v>Tdb</v>
      </c>
      <c r="H34" s="212">
        <f>'ACM Performance Curves'!S83</f>
        <v>0</v>
      </c>
      <c r="I34" s="212">
        <f>'ACM Performance Curves'!T83</f>
        <v>0</v>
      </c>
      <c r="J34" s="212">
        <f>'ACM Performance Curves'!U83</f>
        <v>0</v>
      </c>
      <c r="K34" s="212">
        <f>'ACM Performance Curves'!V83</f>
        <v>0.37544399495612701</v>
      </c>
      <c r="L34" s="212">
        <f>'ACM Performance Curves'!W83</f>
        <v>6.6819064514782103E-2</v>
      </c>
      <c r="M34" s="212">
        <f>'ACM Performance Curves'!X83</f>
        <v>-1.94171026482001E-3</v>
      </c>
      <c r="N34" s="212">
        <f>'ACM Performance Curves'!Y83</f>
        <v>4.4261842064018703E-2</v>
      </c>
      <c r="O34" s="212">
        <f>'ACM Performance Curves'!Z83</f>
        <v>-4.0095780000000002E-4</v>
      </c>
      <c r="P34" s="195">
        <f>'ACM Performance Curves'!AA83</f>
        <v>-1.4819801E-3</v>
      </c>
      <c r="T34"/>
      <c r="U34"/>
      <c r="AC34" s="332"/>
      <c r="AD34" s="236" t="s">
        <v>1102</v>
      </c>
      <c r="AE34" s="194"/>
      <c r="AF34" s="212"/>
      <c r="AG34" s="195"/>
      <c r="AH34" s="231">
        <f>AH24</f>
        <v>0.52631562499999995</v>
      </c>
      <c r="AI34" s="220">
        <f>AI24</f>
        <v>0.52631562499999995</v>
      </c>
      <c r="AJ34" s="221">
        <f>AJ24</f>
        <v>0.52631562499999995</v>
      </c>
      <c r="AM34" s="194" t="s">
        <v>1023</v>
      </c>
      <c r="AN34" s="301">
        <f>$AN$15*AN33</f>
        <v>46806.114528714483</v>
      </c>
      <c r="AO34" s="302">
        <f t="shared" ref="AO34:AP34" si="9">$AN$15*AO33</f>
        <v>52121.816713217013</v>
      </c>
      <c r="AP34" s="303">
        <f t="shared" si="9"/>
        <v>54733.338039607966</v>
      </c>
      <c r="AQ34" s="301">
        <f>$AN$16*AQ33</f>
        <v>43610.672376363182</v>
      </c>
      <c r="AR34" s="302">
        <f t="shared" ref="AR34:AS34" si="10">$AN$16*AR33</f>
        <v>34188.616705832785</v>
      </c>
      <c r="AS34" s="303">
        <f t="shared" si="10"/>
        <v>27702.392940871287</v>
      </c>
      <c r="AV34" s="194" t="s">
        <v>1077</v>
      </c>
      <c r="AW34" s="243">
        <f>AR60</f>
        <v>0.55000000000000004</v>
      </c>
    </row>
    <row r="35" spans="1:49" ht="15.75" customHeight="1" thickBot="1" x14ac:dyDescent="0.3">
      <c r="A35" s="333"/>
      <c r="B35" s="196" t="str">
        <f>'ACM Performance Curves'!M84</f>
        <v xml:space="preserve">Heating Capacity Modifier Curve Function of Flow Fraction Name </v>
      </c>
      <c r="C35" s="197" t="str">
        <f>'ACM Performance Curves'!N84</f>
        <v>CoilHtgVRFHtgQratio_fCFMRatioSI</v>
      </c>
      <c r="D35" s="197" t="str">
        <f>'ACM Performance Curves'!O84</f>
        <v>Cubic</v>
      </c>
      <c r="E35" s="197" t="str">
        <f>'ACM Performance Curves'!P84</f>
        <v>Qratio</v>
      </c>
      <c r="F35" s="197" t="str">
        <f>'ACM Performance Curves'!Q84</f>
        <v>CFMRatio</v>
      </c>
      <c r="G35" s="197">
        <f>'ACM Performance Curves'!R84</f>
        <v>0</v>
      </c>
      <c r="H35" s="197">
        <f>'ACM Performance Curves'!S84</f>
        <v>0</v>
      </c>
      <c r="I35" s="197">
        <f>'ACM Performance Curves'!T84</f>
        <v>0</v>
      </c>
      <c r="J35" s="197">
        <f>'ACM Performance Curves'!U84</f>
        <v>0</v>
      </c>
      <c r="K35" s="197">
        <f>'ACM Performance Curves'!V84</f>
        <v>0.8</v>
      </c>
      <c r="L35" s="197">
        <f>'ACM Performance Curves'!W84</f>
        <v>0.2</v>
      </c>
      <c r="M35" s="197">
        <f>'ACM Performance Curves'!X84</f>
        <v>0</v>
      </c>
      <c r="N35" s="197">
        <f>'ACM Performance Curves'!Y84</f>
        <v>0</v>
      </c>
      <c r="O35" s="197">
        <f>'ACM Performance Curves'!Z84</f>
        <v>0</v>
      </c>
      <c r="P35" s="208">
        <f>'ACM Performance Curves'!AA84</f>
        <v>0</v>
      </c>
      <c r="AC35" s="250" t="s">
        <v>1013</v>
      </c>
      <c r="AD35" s="214" t="s">
        <v>986</v>
      </c>
      <c r="AE35" s="231">
        <f>AE25</f>
        <v>0.89584680970363362</v>
      </c>
      <c r="AF35" s="220">
        <f>AF25</f>
        <v>0.99758682575217406</v>
      </c>
      <c r="AG35" s="221">
        <f>AG25</f>
        <v>1.0475701040540952</v>
      </c>
      <c r="AH35" s="194"/>
      <c r="AI35" s="212"/>
      <c r="AJ35" s="195"/>
      <c r="AM35" s="194" t="s">
        <v>1041</v>
      </c>
      <c r="AN35" s="201">
        <f>AN34/12000*$AN$24*$AN$25</f>
        <v>323.74229215694186</v>
      </c>
      <c r="AO35" s="260">
        <f t="shared" ref="AO35:AS35" si="11">AO34/12000*$AN$24*$AN$25</f>
        <v>360.50923226641765</v>
      </c>
      <c r="AP35" s="202">
        <f t="shared" si="11"/>
        <v>378.57225477395508</v>
      </c>
      <c r="AQ35" s="201">
        <f t="shared" si="11"/>
        <v>301.640483936512</v>
      </c>
      <c r="AR35" s="260">
        <f t="shared" si="11"/>
        <v>236.47126554867674</v>
      </c>
      <c r="AS35" s="202">
        <f t="shared" si="11"/>
        <v>191.6082178410264</v>
      </c>
      <c r="AT35" s="240"/>
      <c r="AV35" s="194" t="s">
        <v>1078</v>
      </c>
      <c r="AW35" s="243">
        <f>AS60</f>
        <v>0.55000000000000004</v>
      </c>
    </row>
    <row r="36" spans="1:49" ht="15.75" customHeight="1" thickBot="1" x14ac:dyDescent="0.3">
      <c r="AC36" s="251"/>
      <c r="AD36" s="215" t="s">
        <v>987</v>
      </c>
      <c r="AE36" s="196"/>
      <c r="AF36" s="197"/>
      <c r="AG36" s="208"/>
      <c r="AH36" s="252">
        <f>AH26</f>
        <v>1.0009748480856033</v>
      </c>
      <c r="AI36" s="222">
        <f>AI26</f>
        <v>0.78471492294455092</v>
      </c>
      <c r="AJ36" s="223">
        <f>AJ26</f>
        <v>0.63583973955479656</v>
      </c>
      <c r="AM36" s="194" t="s">
        <v>1125</v>
      </c>
      <c r="AN36" s="301">
        <f>AN34-AN35*3.412</f>
        <v>45701.505827875</v>
      </c>
      <c r="AO36" s="261">
        <f t="shared" ref="AO36:AP36" si="12">AO34-AO35*3.412</f>
        <v>50891.759212723999</v>
      </c>
      <c r="AP36" s="303">
        <f t="shared" si="12"/>
        <v>53441.649506319234</v>
      </c>
      <c r="AQ36" s="301">
        <f>AQ34+AQ35*3.412</f>
        <v>44639.869707554564</v>
      </c>
      <c r="AR36" s="261">
        <f t="shared" ref="AR36:AS36" si="13">AR34+AR35*3.412</f>
        <v>34995.45666388487</v>
      </c>
      <c r="AS36" s="303">
        <f t="shared" si="13"/>
        <v>28356.160180144867</v>
      </c>
      <c r="AV36" s="194" t="s">
        <v>1079</v>
      </c>
      <c r="AW36" s="195">
        <v>1.2</v>
      </c>
    </row>
    <row r="37" spans="1:49" ht="15.75" customHeight="1" thickBot="1" x14ac:dyDescent="0.3">
      <c r="AM37" s="194" t="s">
        <v>1020</v>
      </c>
      <c r="AN37" s="199">
        <f>$K$65+$L$65*$AN$13+$M$65*$AN$13^2+$N$65*1+$O$65*1^2+$P$65*$AN$13*1+$AN$21*$AN$14</f>
        <v>0.97564680394358572</v>
      </c>
      <c r="AO37" s="259">
        <f t="shared" ref="AO37:AP37" si="14">$K$65+$L$65*$AN$13+$M$65*$AN$13^2+$N$65*1+$O$65*1^2+$P$65*$AN$13*1+$AN$21*$AN$14</f>
        <v>0.97564680394358572</v>
      </c>
      <c r="AP37" s="200">
        <f t="shared" si="14"/>
        <v>0.97564680394358572</v>
      </c>
      <c r="AQ37" s="199">
        <f>$K$66+$L$66*$AN$13+$M$66*$AN$13^2+$N$66*1+$O$66*1^2+$P$66*$AN$13*1+$AN$22*$AN$14</f>
        <v>0.97564680394358572</v>
      </c>
      <c r="AR37" s="259">
        <f t="shared" ref="AR37:AS37" si="15">$K$66+$L$66*$AN$13+$M$66*$AN$13^2+$N$66*1+$O$66*1^2+$P$66*$AN$13*1+$AN$22*$AN$14</f>
        <v>0.97564680394358572</v>
      </c>
      <c r="AS37" s="200">
        <f t="shared" si="15"/>
        <v>0.97564680394358572</v>
      </c>
      <c r="AV37" s="194" t="s">
        <v>1088</v>
      </c>
      <c r="AW37" s="243">
        <f>X51</f>
        <v>0.35</v>
      </c>
    </row>
    <row r="38" spans="1:49" ht="15.75" customHeight="1" x14ac:dyDescent="0.25">
      <c r="AD38" s="193" t="s">
        <v>963</v>
      </c>
      <c r="AE38" s="192" t="s">
        <v>964</v>
      </c>
      <c r="AG38" s="189"/>
      <c r="AJ38" s="189"/>
      <c r="AM38" s="194" t="s">
        <v>1026</v>
      </c>
      <c r="AN38" s="201">
        <f>AN34/AN37</f>
        <v>47974.445608311478</v>
      </c>
      <c r="AO38" s="260">
        <f t="shared" ref="AO38:AS38" si="16">AO34/AO37</f>
        <v>53422.833450116879</v>
      </c>
      <c r="AP38" s="202">
        <f t="shared" si="16"/>
        <v>56099.541164255977</v>
      </c>
      <c r="AQ38" s="201">
        <f t="shared" si="16"/>
        <v>44699.241774879898</v>
      </c>
      <c r="AR38" s="260">
        <f t="shared" si="16"/>
        <v>35042.001437038125</v>
      </c>
      <c r="AS38" s="202">
        <f t="shared" si="16"/>
        <v>28393.874534203984</v>
      </c>
      <c r="AV38" s="194" t="s">
        <v>1089</v>
      </c>
      <c r="AW38" s="243">
        <f>X9</f>
        <v>0.55000000000000004</v>
      </c>
    </row>
    <row r="39" spans="1:49" ht="15.75" customHeight="1" thickBot="1" x14ac:dyDescent="0.3">
      <c r="A39" s="189" t="s">
        <v>1009</v>
      </c>
      <c r="AD39" s="194" t="s">
        <v>988</v>
      </c>
      <c r="AE39" s="221">
        <f>AE29</f>
        <v>0.91777680246913573</v>
      </c>
      <c r="AG39" s="189"/>
      <c r="AJ39" s="189"/>
      <c r="AM39" s="194" t="s">
        <v>1030</v>
      </c>
      <c r="AN39" s="199">
        <f>AE31</f>
        <v>1.2891588500000002</v>
      </c>
      <c r="AO39" s="259">
        <f>AF31</f>
        <v>1.0007620475308643</v>
      </c>
      <c r="AP39" s="200">
        <f>AG31</f>
        <v>0.83492493148148172</v>
      </c>
      <c r="AQ39" s="199">
        <f>AH32</f>
        <v>0.99812153671288995</v>
      </c>
      <c r="AR39" s="259">
        <f>AI32</f>
        <v>1.4499619702687747</v>
      </c>
      <c r="AS39" s="200">
        <f>AJ32</f>
        <v>1.7270813906239848</v>
      </c>
      <c r="AV39" s="196" t="s">
        <v>1080</v>
      </c>
      <c r="AW39" s="208" t="s">
        <v>1081</v>
      </c>
    </row>
    <row r="40" spans="1:49" ht="15.75" customHeight="1" x14ac:dyDescent="0.25">
      <c r="A40" s="213"/>
      <c r="B40" s="190" t="str">
        <f t="shared" ref="B40:B65" si="17">B5</f>
        <v>E+ Field(s)</v>
      </c>
      <c r="C40" s="228" t="str">
        <f t="shared" ref="C40:P40" si="18">C5</f>
        <v>Curve Name (generated from fields)</v>
      </c>
      <c r="D40" s="228" t="str">
        <f t="shared" si="18"/>
        <v>Curve Type</v>
      </c>
      <c r="E40" s="228" t="str">
        <f t="shared" si="18"/>
        <v>Dependent</v>
      </c>
      <c r="F40" s="228" t="str">
        <f t="shared" si="18"/>
        <v>Var1</v>
      </c>
      <c r="G40" s="228" t="str">
        <f t="shared" si="18"/>
        <v>Var2</v>
      </c>
      <c r="H40" s="228" t="str">
        <f t="shared" si="18"/>
        <v>Var3</v>
      </c>
      <c r="I40" s="228" t="str">
        <f t="shared" si="18"/>
        <v>Var4</v>
      </c>
      <c r="J40" s="228" t="str">
        <f t="shared" si="18"/>
        <v>Var5</v>
      </c>
      <c r="K40" s="228" t="str">
        <f t="shared" si="18"/>
        <v>a</v>
      </c>
      <c r="L40" s="228" t="str">
        <f t="shared" si="18"/>
        <v>b</v>
      </c>
      <c r="M40" s="228" t="str">
        <f t="shared" si="18"/>
        <v>c</v>
      </c>
      <c r="N40" s="228" t="str">
        <f t="shared" si="18"/>
        <v>d</v>
      </c>
      <c r="O40" s="228" t="str">
        <f t="shared" si="18"/>
        <v>e</v>
      </c>
      <c r="P40" s="224" t="str">
        <f t="shared" si="18"/>
        <v>f</v>
      </c>
      <c r="AD40" s="194" t="s">
        <v>989</v>
      </c>
      <c r="AE40" s="221">
        <f>AF29</f>
        <v>1.0090397654320986</v>
      </c>
      <c r="AG40" s="189"/>
      <c r="AJ40" s="189"/>
      <c r="AM40" s="194" t="s">
        <v>1027</v>
      </c>
      <c r="AN40" s="201">
        <f>AN38*$AN$7*AN39</f>
        <v>12994.915405587588</v>
      </c>
      <c r="AO40" s="260">
        <f>AO38*$AN$7*AO39</f>
        <v>11233.492587153927</v>
      </c>
      <c r="AP40" s="202">
        <f>AP38*$AN$7*AP39</f>
        <v>9841.5566423085984</v>
      </c>
      <c r="AQ40" s="201">
        <f>AQ38*$AN$8*AQ39</f>
        <v>11304.529374518277</v>
      </c>
      <c r="AR40" s="260">
        <f>AR38*$AN$8*AR39</f>
        <v>12874.027087040202</v>
      </c>
      <c r="AS40" s="202">
        <f>AS38*$AN$8*AS39</f>
        <v>12425.285241096548</v>
      </c>
    </row>
    <row r="41" spans="1:49" ht="15.75" customHeight="1" x14ac:dyDescent="0.25">
      <c r="A41" s="332" t="s">
        <v>1011</v>
      </c>
      <c r="B41" s="194" t="str">
        <f t="shared" si="17"/>
        <v>Cooling Capacity Ratio Modifier Function of Low Temperature Curve Name</v>
      </c>
      <c r="C41" s="212" t="str">
        <f t="shared" ref="C41:J50" si="19">C6</f>
        <v>EPDef-VRFSysClgQRatio_fTwbToadbLowSI</v>
      </c>
      <c r="D41" s="212" t="str">
        <f t="shared" si="19"/>
        <v>BiQuadratic</v>
      </c>
      <c r="E41" s="212" t="str">
        <f t="shared" si="19"/>
        <v>QRatio</v>
      </c>
      <c r="F41" s="212" t="str">
        <f t="shared" si="19"/>
        <v>Twb</v>
      </c>
      <c r="G41" s="212" t="str">
        <f t="shared" si="19"/>
        <v>Toadb</v>
      </c>
      <c r="H41" s="212" t="str">
        <f t="shared" si="19"/>
        <v>Low</v>
      </c>
      <c r="I41" s="212">
        <f t="shared" si="19"/>
        <v>0</v>
      </c>
      <c r="J41" s="212">
        <f t="shared" si="19"/>
        <v>0</v>
      </c>
      <c r="K41" s="212">
        <f>K6-32*L41-1024*M41-32*N41-1024*O41-1024*P41</f>
        <v>0.45098867901234574</v>
      </c>
      <c r="L41" s="212">
        <f>5/9*L6-64*25/81*M6-32*25/81*P6</f>
        <v>-1.8227160493827135E-3</v>
      </c>
      <c r="M41" s="212">
        <f>M6*25/81</f>
        <v>1.7993827160493826E-4</v>
      </c>
      <c r="N41" s="212">
        <f>5/9*N6-64*25/81*O6-32*25/81*P6</f>
        <v>-1.111111111111111E-6</v>
      </c>
      <c r="O41" s="212">
        <f>O6*25/81</f>
        <v>0</v>
      </c>
      <c r="P41" s="195">
        <f>P6*25/81</f>
        <v>0</v>
      </c>
      <c r="AD41" s="194" t="s">
        <v>990</v>
      </c>
      <c r="AE41" s="221">
        <f>AG29</f>
        <v>1.0683606913580248</v>
      </c>
      <c r="AG41" s="189"/>
      <c r="AJ41" s="189"/>
      <c r="AM41" s="194" t="s">
        <v>1127</v>
      </c>
      <c r="AN41" s="203">
        <f>AN36/(AN40+AN35*3.412)</f>
        <v>3.2413509479403348</v>
      </c>
      <c r="AO41" s="262">
        <f t="shared" ref="AO41:AS41" si="20">AO36/(AO40+AO35*3.412)</f>
        <v>4.0832474579746405</v>
      </c>
      <c r="AP41" s="204">
        <f t="shared" si="20"/>
        <v>4.8001861688500833</v>
      </c>
      <c r="AQ41" s="203">
        <f t="shared" si="20"/>
        <v>3.6193334563582811</v>
      </c>
      <c r="AR41" s="262">
        <f t="shared" si="20"/>
        <v>2.5579852905915583</v>
      </c>
      <c r="AS41" s="204">
        <f t="shared" si="20"/>
        <v>2.1680592093887219</v>
      </c>
    </row>
    <row r="42" spans="1:49" ht="15.75" customHeight="1" x14ac:dyDescent="0.25">
      <c r="A42" s="332"/>
      <c r="B42" s="194" t="str">
        <f t="shared" si="17"/>
        <v>Cooling Capacity Ratio Boundary Curve Name</v>
      </c>
      <c r="C42" s="212" t="str">
        <f t="shared" si="19"/>
        <v>EPDef-VRFSysClgCapBdry_fToadbSI</v>
      </c>
      <c r="D42" s="212" t="str">
        <f t="shared" si="19"/>
        <v>Cubic</v>
      </c>
      <c r="E42" s="212" t="str">
        <f t="shared" si="19"/>
        <v>CapBdry</v>
      </c>
      <c r="F42" s="212" t="str">
        <f t="shared" si="19"/>
        <v>Toadb</v>
      </c>
      <c r="G42" s="212">
        <f t="shared" si="19"/>
        <v>0</v>
      </c>
      <c r="H42" s="212">
        <f t="shared" si="19"/>
        <v>0</v>
      </c>
      <c r="I42" s="212">
        <f t="shared" si="19"/>
        <v>0</v>
      </c>
      <c r="J42" s="212">
        <f t="shared" si="19"/>
        <v>0</v>
      </c>
      <c r="K42" s="212">
        <f>32+9/5*K7-32*L42-1024*M42</f>
        <v>71.263119999999986</v>
      </c>
      <c r="L42" s="212">
        <f>L7-64*M42</f>
        <v>0.47218000000000004</v>
      </c>
      <c r="M42" s="212">
        <f>5/9*M7</f>
        <v>-7.8700000000000003E-3</v>
      </c>
      <c r="N42" s="212"/>
      <c r="O42" s="212"/>
      <c r="P42" s="195"/>
      <c r="AD42" s="194" t="s">
        <v>991</v>
      </c>
      <c r="AE42" s="221">
        <f>AH30</f>
        <v>0.99179938271604939</v>
      </c>
      <c r="AG42" s="189"/>
      <c r="AJ42" s="189"/>
      <c r="AM42" s="225" t="s">
        <v>1038</v>
      </c>
      <c r="AN42" s="226">
        <f>AN34*$AN$19</f>
        <v>25743.362990792968</v>
      </c>
      <c r="AO42" s="263">
        <f>AO34*$AN$19</f>
        <v>28666.999192269359</v>
      </c>
      <c r="AP42" s="227">
        <f>AP34*$AN$19</f>
        <v>30103.335921784383</v>
      </c>
      <c r="AQ42" s="226">
        <f>AQ34*$AN$20</f>
        <v>23985.869806999752</v>
      </c>
      <c r="AR42" s="263">
        <f>AR34*$AN$20</f>
        <v>18803.739188208034</v>
      </c>
      <c r="AS42" s="227">
        <f>AS34*$AN$20</f>
        <v>15236.316117479209</v>
      </c>
    </row>
    <row r="43" spans="1:49" ht="15.75" customHeight="1" x14ac:dyDescent="0.25">
      <c r="A43" s="332"/>
      <c r="B43" s="194" t="str">
        <f t="shared" si="17"/>
        <v>Cooling Capacity Ratio Modifier Function of High Temperature Curve Name</v>
      </c>
      <c r="C43" s="212" t="str">
        <f t="shared" si="19"/>
        <v>EPDef-VRFSysClgQRatio_fTdbToadbHiSI</v>
      </c>
      <c r="D43" s="212" t="str">
        <f t="shared" si="19"/>
        <v>BiQuadratic</v>
      </c>
      <c r="E43" s="212" t="str">
        <f t="shared" si="19"/>
        <v>QRatio</v>
      </c>
      <c r="F43" s="212" t="str">
        <f t="shared" si="19"/>
        <v>Tdb</v>
      </c>
      <c r="G43" s="212" t="str">
        <f t="shared" si="19"/>
        <v>Toadb</v>
      </c>
      <c r="H43" s="212" t="str">
        <f t="shared" si="19"/>
        <v>Hi</v>
      </c>
      <c r="I43" s="212">
        <f t="shared" si="19"/>
        <v>0</v>
      </c>
      <c r="J43" s="212">
        <f t="shared" si="19"/>
        <v>0</v>
      </c>
      <c r="K43" s="212">
        <f>K8-32*L43-1024*M43-32*N43-1024*O43-1024*P43</f>
        <v>0.41155772839506177</v>
      </c>
      <c r="L43" s="212">
        <f>5/9*L8-64*25/81*M8-32*25/81*P8</f>
        <v>4.1177160493827162E-3</v>
      </c>
      <c r="M43" s="212">
        <f>M8*25/81</f>
        <v>1.6820987654320987E-4</v>
      </c>
      <c r="N43" s="212">
        <f>5/9*N8-64*25/81*O8-32*25/81*P8</f>
        <v>2.4470370370370366E-3</v>
      </c>
      <c r="O43" s="212">
        <f>O8*25/81</f>
        <v>0</v>
      </c>
      <c r="P43" s="195">
        <f>P8*25/81</f>
        <v>-1.0462962962962963E-4</v>
      </c>
      <c r="AD43" s="194" t="s">
        <v>992</v>
      </c>
      <c r="AE43" s="221">
        <f>AI30</f>
        <v>0.73709318672839497</v>
      </c>
      <c r="AG43" s="189"/>
      <c r="AJ43" s="189"/>
      <c r="AM43" s="194" t="s">
        <v>1040</v>
      </c>
      <c r="AN43" s="201">
        <f>AN42/12000*$AN$24*$AN$25</f>
        <v>178.05826068631802</v>
      </c>
      <c r="AO43" s="260">
        <f t="shared" ref="AO43:AS43" si="21">AO42/12000*$AN$24*$AN$25</f>
        <v>198.28007774652971</v>
      </c>
      <c r="AP43" s="202">
        <f t="shared" si="21"/>
        <v>208.21474012567529</v>
      </c>
      <c r="AQ43" s="201">
        <f t="shared" si="21"/>
        <v>165.90226616508161</v>
      </c>
      <c r="AR43" s="260">
        <f t="shared" si="21"/>
        <v>130.05919605177223</v>
      </c>
      <c r="AS43" s="202">
        <f t="shared" si="21"/>
        <v>105.38451981256453</v>
      </c>
    </row>
    <row r="44" spans="1:49" ht="15.75" customHeight="1" x14ac:dyDescent="0.25">
      <c r="A44" s="332"/>
      <c r="B44" s="194" t="str">
        <f t="shared" si="17"/>
        <v>Cooling Combination Ratio Correction Factor Curve Name</v>
      </c>
      <c r="C44" s="212" t="str">
        <f t="shared" si="19"/>
        <v>EPDef-VRFSysClgQRatio_fCombRat</v>
      </c>
      <c r="D44" s="212" t="str">
        <f t="shared" si="19"/>
        <v>Linear</v>
      </c>
      <c r="E44" s="212" t="str">
        <f t="shared" si="19"/>
        <v>QRatio</v>
      </c>
      <c r="F44" s="212" t="str">
        <f t="shared" si="19"/>
        <v>CombRat</v>
      </c>
      <c r="G44" s="212">
        <f t="shared" si="19"/>
        <v>0</v>
      </c>
      <c r="H44" s="212">
        <f t="shared" si="19"/>
        <v>0</v>
      </c>
      <c r="I44" s="212">
        <f t="shared" si="19"/>
        <v>0</v>
      </c>
      <c r="J44" s="212">
        <f t="shared" si="19"/>
        <v>0</v>
      </c>
      <c r="K44" s="220">
        <f>K9</f>
        <v>0.61805500000000002</v>
      </c>
      <c r="L44" s="220">
        <f>L9</f>
        <v>0.38194499999999998</v>
      </c>
      <c r="M44" s="220">
        <f>M9</f>
        <v>0</v>
      </c>
      <c r="N44" s="212"/>
      <c r="O44" s="212"/>
      <c r="P44" s="195"/>
      <c r="AD44" s="194" t="s">
        <v>993</v>
      </c>
      <c r="AE44" s="221">
        <f>AJ30</f>
        <v>0.6082413163580247</v>
      </c>
      <c r="AG44" s="189"/>
      <c r="AJ44" s="189"/>
      <c r="AM44" s="194" t="s">
        <v>1042</v>
      </c>
      <c r="AN44" s="301">
        <f>AN42-AN43*3.412</f>
        <v>25135.828205331251</v>
      </c>
      <c r="AO44" s="302">
        <f t="shared" ref="AO44:AP44" si="22">AO42-AO43*3.412</f>
        <v>27990.467566998199</v>
      </c>
      <c r="AP44" s="303">
        <f t="shared" si="22"/>
        <v>29392.907228475578</v>
      </c>
      <c r="AQ44" s="301">
        <f>AQ42+AQ43*3.412</f>
        <v>24551.928339155009</v>
      </c>
      <c r="AR44" s="302">
        <f t="shared" ref="AR44:AS44" si="23">AR42+AR43*3.412</f>
        <v>19247.50116513668</v>
      </c>
      <c r="AS44" s="303">
        <f t="shared" si="23"/>
        <v>15595.888099079679</v>
      </c>
    </row>
    <row r="45" spans="1:49" ht="15.75" customHeight="1" x14ac:dyDescent="0.25">
      <c r="A45" s="332"/>
      <c r="B45" s="194" t="str">
        <f t="shared" si="17"/>
        <v>Heat Recovery Cooling Capacity Modifier Curve Name</v>
      </c>
      <c r="C45" s="212" t="str">
        <f t="shared" si="19"/>
        <v>EPDef-VRFSysHtRcvryClgQRatio_fTwbToadbSI</v>
      </c>
      <c r="D45" s="212" t="str">
        <f t="shared" si="19"/>
        <v>BiQuadratic</v>
      </c>
      <c r="E45" s="212" t="str">
        <f t="shared" si="19"/>
        <v>QRatio</v>
      </c>
      <c r="F45" s="212" t="str">
        <f t="shared" si="19"/>
        <v>Twb</v>
      </c>
      <c r="G45" s="212" t="str">
        <f t="shared" si="19"/>
        <v>Toadb</v>
      </c>
      <c r="H45" s="212">
        <f t="shared" si="19"/>
        <v>0</v>
      </c>
      <c r="I45" s="212">
        <f t="shared" si="19"/>
        <v>0</v>
      </c>
      <c r="J45" s="212">
        <f t="shared" si="19"/>
        <v>0</v>
      </c>
      <c r="K45" s="212">
        <f>K10-32*L45-1024*M45-32*N45-1024*O45-1024*P45</f>
        <v>0.9</v>
      </c>
      <c r="L45" s="212">
        <f>5/9*L10-64*25/81*M10-32*25/81*P10</f>
        <v>0</v>
      </c>
      <c r="M45" s="212">
        <f>M10*25/81</f>
        <v>0</v>
      </c>
      <c r="N45" s="212">
        <f>5/9*N10-64*25/81*O10-32*25/81*P10</f>
        <v>0</v>
      </c>
      <c r="O45" s="212">
        <f>O10*25/81</f>
        <v>0</v>
      </c>
      <c r="P45" s="195">
        <f>P10*25/81</f>
        <v>0</v>
      </c>
      <c r="AD45" s="194" t="s">
        <v>994</v>
      </c>
      <c r="AE45" s="221">
        <f>AE31</f>
        <v>1.2891588500000002</v>
      </c>
      <c r="AG45" s="189"/>
      <c r="AJ45" s="189"/>
      <c r="AM45" s="194" t="s">
        <v>1020</v>
      </c>
      <c r="AN45" s="199">
        <f>$K$65+$L$65*$AN$13+$M$65*$AN$13^2+$N$65*$AN$11+$O$65*$AN$11^2+$P$65*$AN$13*$AN$11+$AN$21*$AN$14</f>
        <v>0.97485451532710088</v>
      </c>
      <c r="AO45" s="259">
        <f>$K$65+$L$65*$AN$13+$M$65*$AN$13^2+$N$65*$AN$11+$O$65*$AN$11^2+$P$65*$AN$13*$AN$11+$AN$21*$AN$14</f>
        <v>0.97485451532710088</v>
      </c>
      <c r="AP45" s="200">
        <f>$K$65+$L$65*$AN$13+$M$65*$AN$13^2+$N$65*$AN$11+$O$65*$AN$11^2+$P$65*$AN$13*$AN$11+$AN$21*$AN$14</f>
        <v>0.97485451532710088</v>
      </c>
      <c r="AQ45" s="199">
        <f>$K$66+$L$66*$AN$13+$M$66*$AN$13^2+$N$66*$AN$12+$O$66*$AN$12^2+$P$66*$AN$13*$AN$12+$AN$22*$AN$14</f>
        <v>0.97485451532710088</v>
      </c>
      <c r="AR45" s="259">
        <f>$K$66+$L$66*$AN$13+$M$66*$AN$13^2+$N$66*$AN$12+$O$66*$AN$12^2+$P$66*$AN$13*$AN$12+$AN$22*$AN$14</f>
        <v>0.97485451532710088</v>
      </c>
      <c r="AS45" s="200">
        <f>$K$66+$L$66*$AN$13+$M$66*$AN$13^2+$N$66*$AN$12+$O$66*$AN$12^2+$P$66*$AN$13*$AN$12+$AN$22*$AN$14</f>
        <v>0.97485451532710088</v>
      </c>
      <c r="AT45" s="308"/>
    </row>
    <row r="46" spans="1:49" ht="15.75" customHeight="1" x14ac:dyDescent="0.25">
      <c r="A46" s="332"/>
      <c r="B46" s="194" t="str">
        <f t="shared" si="17"/>
        <v>Heating Capacity Ratio Modifier Function of Low Temperature Curve Name</v>
      </c>
      <c r="C46" s="212" t="str">
        <f t="shared" si="19"/>
        <v>EPDef-VRFSysHtgQRatio_fTwbToadbLowSI</v>
      </c>
      <c r="D46" s="212" t="str">
        <f t="shared" si="19"/>
        <v>BiQuadratic</v>
      </c>
      <c r="E46" s="212" t="str">
        <f t="shared" si="19"/>
        <v>QRatio</v>
      </c>
      <c r="F46" s="212" t="str">
        <f t="shared" si="19"/>
        <v>Twb</v>
      </c>
      <c r="G46" s="212" t="str">
        <f t="shared" si="19"/>
        <v>Toadb</v>
      </c>
      <c r="H46" s="212" t="str">
        <f t="shared" si="19"/>
        <v>Low</v>
      </c>
      <c r="I46" s="212">
        <f t="shared" si="19"/>
        <v>0</v>
      </c>
      <c r="J46" s="212">
        <f t="shared" si="19"/>
        <v>0</v>
      </c>
      <c r="K46" s="212">
        <f>K11-32*L46-1024*M46-32*N46-1024*O46-1024*P46</f>
        <v>0.42289535802469125</v>
      </c>
      <c r="L46" s="212">
        <f>5/9*L11-64*25/81*M11-32*25/81*P11</f>
        <v>4.9494148148148146E-3</v>
      </c>
      <c r="M46" s="212">
        <f>M11*25/81</f>
        <v>-4.3827160493827164E-5</v>
      </c>
      <c r="N46" s="212">
        <f>5/9*N11-64*25/81*O11-32*25/81*P11</f>
        <v>1.8462905864197531E-2</v>
      </c>
      <c r="O46" s="212">
        <f>O11*25/81</f>
        <v>5.6790123456790121E-7</v>
      </c>
      <c r="P46" s="195">
        <f>P11*25/81</f>
        <v>-1.1053919753086419E-4</v>
      </c>
      <c r="AD46" s="194" t="s">
        <v>995</v>
      </c>
      <c r="AE46" s="221">
        <f>AF31</f>
        <v>1.0007620475308643</v>
      </c>
      <c r="AG46" s="189"/>
      <c r="AJ46" s="189"/>
      <c r="AM46" s="194" t="s">
        <v>1043</v>
      </c>
      <c r="AN46" s="201">
        <f>AN42/AN45</f>
        <v>26407.389601262796</v>
      </c>
      <c r="AO46" s="260">
        <f t="shared" ref="AO46" si="24">AO42/AO45</f>
        <v>29406.438336750674</v>
      </c>
      <c r="AP46" s="202">
        <f t="shared" ref="AP46" si="25">AP42/AP45</f>
        <v>30879.824064500091</v>
      </c>
      <c r="AQ46" s="201">
        <f t="shared" ref="AQ46" si="26">AQ42/AQ45</f>
        <v>24604.563480891891</v>
      </c>
      <c r="AR46" s="260">
        <f t="shared" ref="AR46" si="27">AR42/AR45</f>
        <v>19288.764520825614</v>
      </c>
      <c r="AS46" s="202">
        <f t="shared" ref="AS46" si="28">AS42/AS45</f>
        <v>15629.32301992451</v>
      </c>
    </row>
    <row r="47" spans="1:49" ht="15.75" customHeight="1" x14ac:dyDescent="0.25">
      <c r="A47" s="332"/>
      <c r="B47" s="194" t="str">
        <f t="shared" si="17"/>
        <v>Heating Capacity Ratio Boundary Curve Name</v>
      </c>
      <c r="C47" s="212" t="str">
        <f t="shared" si="19"/>
        <v>EPDef-VRFSysHtgCapBdry_fToadbSI</v>
      </c>
      <c r="D47" s="212" t="str">
        <f t="shared" si="19"/>
        <v>Cubic</v>
      </c>
      <c r="E47" s="212" t="str">
        <f t="shared" si="19"/>
        <v>CapBdry</v>
      </c>
      <c r="F47" s="212" t="str">
        <f t="shared" si="19"/>
        <v>Toadb</v>
      </c>
      <c r="G47" s="212">
        <f t="shared" si="19"/>
        <v>0</v>
      </c>
      <c r="H47" s="212">
        <f t="shared" si="19"/>
        <v>0</v>
      </c>
      <c r="I47" s="212">
        <f t="shared" si="19"/>
        <v>0</v>
      </c>
      <c r="J47" s="212">
        <f t="shared" si="19"/>
        <v>0</v>
      </c>
      <c r="K47" s="212">
        <f>32+9/5*K12-32*L47-1024*M47</f>
        <v>-145.46163395555558</v>
      </c>
      <c r="L47" s="212">
        <f>L12-64*M47</f>
        <v>7.185442222222223</v>
      </c>
      <c r="M47" s="212">
        <f>5/9*M12</f>
        <v>-6.4602222222222228E-2</v>
      </c>
      <c r="N47" s="212"/>
      <c r="O47" s="212"/>
      <c r="P47" s="195"/>
      <c r="AD47" s="194" t="s">
        <v>996</v>
      </c>
      <c r="AE47" s="221">
        <f>AG31</f>
        <v>0.83492493148148172</v>
      </c>
      <c r="AG47" s="189"/>
      <c r="AJ47" s="189"/>
      <c r="AM47" s="194" t="s">
        <v>1037</v>
      </c>
      <c r="AN47" s="199">
        <f>AE33</f>
        <v>0.43290923361778261</v>
      </c>
      <c r="AO47" s="259">
        <f>AN47</f>
        <v>0.43290923361778261</v>
      </c>
      <c r="AP47" s="200">
        <f>AO47</f>
        <v>0.43290923361778261</v>
      </c>
      <c r="AQ47" s="199">
        <f>AH34</f>
        <v>0.52631562499999995</v>
      </c>
      <c r="AR47" s="259">
        <f>AQ47</f>
        <v>0.52631562499999995</v>
      </c>
      <c r="AS47" s="200">
        <f>AR47</f>
        <v>0.52631562499999995</v>
      </c>
    </row>
    <row r="48" spans="1:49" ht="15.75" customHeight="1" x14ac:dyDescent="0.25">
      <c r="A48" s="332"/>
      <c r="B48" s="194" t="str">
        <f t="shared" si="17"/>
        <v>Heating Capacity Ratio Modifier Function of High Temperature Curve Name</v>
      </c>
      <c r="C48" s="212" t="str">
        <f t="shared" si="19"/>
        <v>EPDef-VRFSysHtgQRatio_fTwbToadbHiSI</v>
      </c>
      <c r="D48" s="212" t="str">
        <f t="shared" si="19"/>
        <v>BiQuadratic</v>
      </c>
      <c r="E48" s="212" t="str">
        <f t="shared" si="19"/>
        <v>QRatio</v>
      </c>
      <c r="F48" s="212" t="str">
        <f t="shared" si="19"/>
        <v>Twb</v>
      </c>
      <c r="G48" s="212" t="str">
        <f t="shared" si="19"/>
        <v>Toadb</v>
      </c>
      <c r="H48" s="212" t="str">
        <f t="shared" si="19"/>
        <v>Hi</v>
      </c>
      <c r="I48" s="212">
        <f t="shared" si="19"/>
        <v>0</v>
      </c>
      <c r="J48" s="212">
        <f t="shared" si="19"/>
        <v>0</v>
      </c>
      <c r="K48" s="212">
        <f>K13-32*L48-1024*M48-32*N48-1024*O48-1024*P48</f>
        <v>8.625499999999986E-2</v>
      </c>
      <c r="L48" s="212">
        <f>5/9*L13-64*25/81*M13-32*25/81*P13</f>
        <v>4.9290802469135808E-2</v>
      </c>
      <c r="M48" s="212">
        <f>M13*25/81</f>
        <v>-5.2098765432098768E-4</v>
      </c>
      <c r="N48" s="212">
        <f>5/9*N13-64*25/81*O13-32*25/81*P13</f>
        <v>1.6325308641975309E-3</v>
      </c>
      <c r="O48" s="212">
        <f>O13*25/81</f>
        <v>6.1728395061728385E-7</v>
      </c>
      <c r="P48" s="195">
        <f>P13*25/81</f>
        <v>-2.1296296296296296E-5</v>
      </c>
      <c r="S48" s="189" t="s">
        <v>947</v>
      </c>
      <c r="AD48" s="194" t="s">
        <v>997</v>
      </c>
      <c r="AE48" s="221">
        <f>AH32</f>
        <v>0.99812153671288995</v>
      </c>
      <c r="AG48" s="189"/>
      <c r="AJ48" s="189"/>
      <c r="AM48" s="194" t="s">
        <v>1047</v>
      </c>
      <c r="AN48" s="201">
        <f t="shared" ref="AN48:AP48" si="29">AN38*$AN$7*AN39*AN47</f>
        <v>5625.6188691608395</v>
      </c>
      <c r="AO48" s="260">
        <f t="shared" si="29"/>
        <v>4863.0826667558485</v>
      </c>
      <c r="AP48" s="202">
        <f t="shared" si="29"/>
        <v>4260.5007436278129</v>
      </c>
      <c r="AQ48" s="201">
        <f>AQ38*$AN$8*AQ39*AQ47</f>
        <v>5949.7504430804456</v>
      </c>
      <c r="AR48" s="260">
        <f t="shared" ref="AR48:AS48" si="30">AR38*$AN$8*AR39*AR47</f>
        <v>6775.8016125824925</v>
      </c>
      <c r="AS48" s="202">
        <f t="shared" si="30"/>
        <v>6539.6217674710051</v>
      </c>
    </row>
    <row r="49" spans="1:45" ht="15.75" customHeight="1" thickBot="1" x14ac:dyDescent="0.3">
      <c r="A49" s="332"/>
      <c r="B49" s="194" t="str">
        <f t="shared" si="17"/>
        <v>Heating Combination Ratio Correction Factor Curve Name</v>
      </c>
      <c r="C49" s="212" t="str">
        <f t="shared" si="19"/>
        <v>EPDef-VRFSysHtgQRatio_fCombRat</v>
      </c>
      <c r="D49" s="212" t="str">
        <f t="shared" si="19"/>
        <v>Linear</v>
      </c>
      <c r="E49" s="212" t="str">
        <f t="shared" si="19"/>
        <v>QRatio</v>
      </c>
      <c r="F49" s="212" t="str">
        <f t="shared" si="19"/>
        <v>CombRat</v>
      </c>
      <c r="G49" s="212">
        <f t="shared" si="19"/>
        <v>0</v>
      </c>
      <c r="H49" s="212">
        <f t="shared" si="19"/>
        <v>0</v>
      </c>
      <c r="I49" s="212">
        <f t="shared" si="19"/>
        <v>0</v>
      </c>
      <c r="J49" s="212">
        <f t="shared" si="19"/>
        <v>0</v>
      </c>
      <c r="K49" s="220">
        <f>K14</f>
        <v>0.96033999999999997</v>
      </c>
      <c r="L49" s="220">
        <f>L14</f>
        <v>3.9660000000000001E-2</v>
      </c>
      <c r="M49" s="220">
        <f>M14</f>
        <v>0</v>
      </c>
      <c r="N49" s="212"/>
      <c r="O49" s="212"/>
      <c r="P49" s="195"/>
      <c r="S49" s="188" t="s">
        <v>948</v>
      </c>
      <c r="W49" s="188" t="s">
        <v>1095</v>
      </c>
      <c r="AD49" s="194" t="s">
        <v>998</v>
      </c>
      <c r="AE49" s="221">
        <f>AI32</f>
        <v>1.4499619702687747</v>
      </c>
      <c r="AG49" s="189"/>
      <c r="AJ49" s="189"/>
      <c r="AM49" s="196" t="s">
        <v>1126</v>
      </c>
      <c r="AN49" s="205">
        <f>AN44/(AN48+AN43*3.412)</f>
        <v>4.0326020499575401</v>
      </c>
      <c r="AO49" s="206">
        <f t="shared" ref="AO49:AS49" si="31">AO44/(AO48+AO43*3.412)</f>
        <v>5.0527827555221663</v>
      </c>
      <c r="AP49" s="207">
        <f t="shared" si="31"/>
        <v>5.9129600613661575</v>
      </c>
      <c r="AQ49" s="205">
        <f t="shared" si="31"/>
        <v>3.7680552687269135</v>
      </c>
      <c r="AR49" s="206">
        <f t="shared" si="31"/>
        <v>2.6660200338286644</v>
      </c>
      <c r="AS49" s="207">
        <f t="shared" si="31"/>
        <v>2.2605377767769812</v>
      </c>
    </row>
    <row r="50" spans="1:45" ht="15.75" customHeight="1" thickBot="1" x14ac:dyDescent="0.3">
      <c r="A50" s="332"/>
      <c r="B50" s="194" t="str">
        <f t="shared" si="17"/>
        <v>Heat Recovery Heating Capacity Modifier Curve Name</v>
      </c>
      <c r="C50" s="212" t="str">
        <f t="shared" si="19"/>
        <v>EPDef-VRFSysHtRcvryHtgQRatio_fTwbToadbSI</v>
      </c>
      <c r="D50" s="212" t="str">
        <f t="shared" si="19"/>
        <v>BiQuadratic</v>
      </c>
      <c r="E50" s="212" t="str">
        <f t="shared" si="19"/>
        <v>QRatio</v>
      </c>
      <c r="F50" s="212" t="str">
        <f t="shared" si="19"/>
        <v>Twb</v>
      </c>
      <c r="G50" s="212" t="str">
        <f t="shared" si="19"/>
        <v>Toadb</v>
      </c>
      <c r="H50" s="212">
        <f t="shared" si="19"/>
        <v>0</v>
      </c>
      <c r="I50" s="212">
        <f t="shared" si="19"/>
        <v>0</v>
      </c>
      <c r="J50" s="212">
        <f t="shared" si="19"/>
        <v>0</v>
      </c>
      <c r="K50" s="212">
        <f>K15-32*L50-1024*M50-32*N50-1024*O50-1024*P50</f>
        <v>0.9</v>
      </c>
      <c r="L50" s="212">
        <f>5/9*L15-64*25/81*M15-32*25/81*P15</f>
        <v>0</v>
      </c>
      <c r="M50" s="212">
        <f>M15*25/81</f>
        <v>0</v>
      </c>
      <c r="N50" s="212">
        <f>5/9*N15-64*25/81*O15-32*25/81*P15</f>
        <v>0</v>
      </c>
      <c r="O50" s="212">
        <f>O15*25/81</f>
        <v>0</v>
      </c>
      <c r="P50" s="195">
        <f>P15*25/81</f>
        <v>0</v>
      </c>
      <c r="S50" s="188" t="s">
        <v>1093</v>
      </c>
      <c r="T50" s="188">
        <v>0.25</v>
      </c>
      <c r="W50" s="188" t="s">
        <v>1083</v>
      </c>
      <c r="X50" s="185">
        <v>0.55000000000000004</v>
      </c>
      <c r="AD50" s="194" t="s">
        <v>999</v>
      </c>
      <c r="AE50" s="221">
        <f>AJ32</f>
        <v>1.7270813906239848</v>
      </c>
      <c r="AG50" s="189"/>
      <c r="AJ50" s="189"/>
      <c r="AM50" s="189" t="s">
        <v>1117</v>
      </c>
    </row>
    <row r="51" spans="1:45" ht="15.75" customHeight="1" x14ac:dyDescent="0.25">
      <c r="A51" s="332"/>
      <c r="B51" s="194" t="str">
        <f t="shared" si="17"/>
        <v>Cooling Energy Input Ratio Modifier Function of Low Temperature Curve Name</v>
      </c>
      <c r="C51" s="212" t="str">
        <f t="shared" ref="C51:J60" si="32">C16</f>
        <v>EPDef-VRFSysClgEIRRatio_fTwbToadbLowSI</v>
      </c>
      <c r="D51" s="212" t="str">
        <f t="shared" si="32"/>
        <v>BiQuadratic</v>
      </c>
      <c r="E51" s="212" t="str">
        <f t="shared" si="32"/>
        <v>EIRRatio</v>
      </c>
      <c r="F51" s="212" t="str">
        <f t="shared" si="32"/>
        <v>Twb</v>
      </c>
      <c r="G51" s="212" t="str">
        <f t="shared" si="32"/>
        <v>Toadb</v>
      </c>
      <c r="H51" s="212" t="str">
        <f t="shared" si="32"/>
        <v>Low</v>
      </c>
      <c r="I51" s="212">
        <f t="shared" si="32"/>
        <v>0</v>
      </c>
      <c r="J51" s="212">
        <f t="shared" si="32"/>
        <v>0</v>
      </c>
      <c r="K51" s="212">
        <f>K16-32*L51-1024*M51-32*N51-1024*O51-1024*P51</f>
        <v>1.3138336244567903</v>
      </c>
      <c r="L51" s="212">
        <f>5/9*L16-64*25/81*M16-32*25/81*P16</f>
        <v>-1.5439935185185187E-2</v>
      </c>
      <c r="M51" s="212">
        <f>M16*25/81</f>
        <v>6.1639197530864208E-5</v>
      </c>
      <c r="N51" s="212">
        <f>5/9*N16-64*25/81*O16-32*25/81*P16</f>
        <v>4.8670113580246916E-3</v>
      </c>
      <c r="O51" s="212">
        <f>O16*25/81</f>
        <v>-3.1790123456790123E-8</v>
      </c>
      <c r="P51" s="195">
        <f>P16*25/81</f>
        <v>-4.8413580246913586E-5</v>
      </c>
      <c r="S51" s="188" t="s">
        <v>1094</v>
      </c>
      <c r="T51" s="188">
        <v>0.15</v>
      </c>
      <c r="W51" s="241" t="s">
        <v>1086</v>
      </c>
      <c r="X51" s="185">
        <v>0.35</v>
      </c>
      <c r="AD51" s="194" t="str">
        <f>"VRFOutdoorClgEIR_fPLR"&amp;X8*100</f>
        <v>VRFOutdoorClgEIR_fPLR55</v>
      </c>
      <c r="AE51" s="221">
        <f>AE33</f>
        <v>0.43290923361778261</v>
      </c>
      <c r="AG51" s="189"/>
      <c r="AJ51" s="189"/>
      <c r="AM51" s="213"/>
      <c r="AN51" s="209" t="s">
        <v>946</v>
      </c>
      <c r="AO51" s="210"/>
      <c r="AP51" s="211"/>
      <c r="AQ51" s="209" t="s">
        <v>947</v>
      </c>
      <c r="AR51" s="210"/>
      <c r="AS51" s="211"/>
    </row>
    <row r="52" spans="1:45" ht="15.75" customHeight="1" x14ac:dyDescent="0.25">
      <c r="A52" s="332"/>
      <c r="B52" s="194" t="str">
        <f t="shared" si="17"/>
        <v>Cooling Energy Input Ratio Boundary Name</v>
      </c>
      <c r="C52" s="212" t="str">
        <f t="shared" si="32"/>
        <v>EPDef-VRFSysClgEIRBdry_fToadbSI</v>
      </c>
      <c r="D52" s="212" t="str">
        <f t="shared" si="32"/>
        <v>Cubic</v>
      </c>
      <c r="E52" s="212" t="str">
        <f t="shared" si="32"/>
        <v>EIRBdry</v>
      </c>
      <c r="F52" s="212" t="str">
        <f t="shared" si="32"/>
        <v>Toadb</v>
      </c>
      <c r="G52" s="212">
        <f t="shared" si="32"/>
        <v>0</v>
      </c>
      <c r="H52" s="212">
        <f t="shared" si="32"/>
        <v>0</v>
      </c>
      <c r="I52" s="212">
        <f t="shared" si="32"/>
        <v>0</v>
      </c>
      <c r="J52" s="212">
        <f t="shared" si="32"/>
        <v>0</v>
      </c>
      <c r="K52" s="212">
        <f>32+9/5*K17-32*L52-1024*M52</f>
        <v>71.271690154444428</v>
      </c>
      <c r="L52" s="212">
        <f>L17-64*M52</f>
        <v>0.47217779222222223</v>
      </c>
      <c r="M52" s="212">
        <f>5/9*M17</f>
        <v>-7.8699722222222226E-3</v>
      </c>
      <c r="N52" s="212"/>
      <c r="O52" s="212"/>
      <c r="P52" s="195"/>
      <c r="W52" s="188" t="s">
        <v>1091</v>
      </c>
      <c r="X52" s="185">
        <v>-0.1</v>
      </c>
      <c r="AD52" s="194" t="str">
        <f>"VRFOutdoorHtgEIR_fPLR"&amp;X50*100</f>
        <v>VRFOutdoorHtgEIR_fPLR55</v>
      </c>
      <c r="AE52" s="221">
        <f>AH34</f>
        <v>0.52631562499999995</v>
      </c>
      <c r="AG52" s="189"/>
      <c r="AJ52" s="189"/>
      <c r="AM52" s="214" t="s">
        <v>1006</v>
      </c>
      <c r="AN52" s="194">
        <v>115</v>
      </c>
      <c r="AO52" s="212">
        <v>95</v>
      </c>
      <c r="AP52" s="195">
        <v>82</v>
      </c>
      <c r="AQ52" s="194">
        <v>47</v>
      </c>
      <c r="AR52" s="212">
        <v>17</v>
      </c>
      <c r="AS52" s="195">
        <v>5</v>
      </c>
    </row>
    <row r="53" spans="1:45" ht="15.75" customHeight="1" x14ac:dyDescent="0.25">
      <c r="A53" s="332"/>
      <c r="B53" s="194" t="str">
        <f t="shared" si="17"/>
        <v>Cooling Energy Input Ratio Modifier Function of High Temperature Curve Name</v>
      </c>
      <c r="C53" s="212" t="str">
        <f t="shared" si="32"/>
        <v>EPDef-VRFSysClgEIRRatio_fTwbToadbHiSI</v>
      </c>
      <c r="D53" s="212" t="str">
        <f t="shared" si="32"/>
        <v>BiQuadratic</v>
      </c>
      <c r="E53" s="212" t="str">
        <f t="shared" si="32"/>
        <v>EIRRatio</v>
      </c>
      <c r="F53" s="212" t="str">
        <f t="shared" si="32"/>
        <v>Twb</v>
      </c>
      <c r="G53" s="212" t="str">
        <f t="shared" si="32"/>
        <v>Toadb</v>
      </c>
      <c r="H53" s="212" t="str">
        <f t="shared" si="32"/>
        <v>Hi</v>
      </c>
      <c r="I53" s="212">
        <f t="shared" si="32"/>
        <v>0</v>
      </c>
      <c r="J53" s="212">
        <f t="shared" si="32"/>
        <v>0</v>
      </c>
      <c r="K53" s="212">
        <f>K18-32*L53-1024*M53-32*N53-1024*O53-1024*P53</f>
        <v>-0.89954793703703706</v>
      </c>
      <c r="L53" s="212">
        <f>5/9*L18-64*25/81*M18-32*25/81*P18</f>
        <v>2.430291049382716E-2</v>
      </c>
      <c r="M53" s="212">
        <f>M18*25/81</f>
        <v>-1.2191358024691358E-4</v>
      </c>
      <c r="N53" s="212">
        <f>5/9*N18-64*25/81*O18-32*25/81*P18</f>
        <v>1.6748204320987656E-2</v>
      </c>
      <c r="O53" s="212">
        <f>O18*25/81</f>
        <v>5.0398148148148149E-5</v>
      </c>
      <c r="P53" s="195">
        <f>P18*25/81</f>
        <v>-1.9271604938271605E-4</v>
      </c>
      <c r="W53" s="188" t="s">
        <v>1090</v>
      </c>
      <c r="X53" s="248">
        <v>0</v>
      </c>
      <c r="Y53" s="248">
        <f>1/(1-$X$52)</f>
        <v>0.90909090909090906</v>
      </c>
      <c r="Z53" s="248">
        <f>-$X$52/(1-$X$52)^2</f>
        <v>8.2644628099173542E-2</v>
      </c>
      <c r="AD53" s="194" t="s">
        <v>1000</v>
      </c>
      <c r="AE53" s="221">
        <f>AE35</f>
        <v>0.89584680970363362</v>
      </c>
      <c r="AG53" s="189"/>
      <c r="AJ53" s="189"/>
      <c r="AM53" s="214" t="s">
        <v>1021</v>
      </c>
      <c r="AN53" s="323">
        <f>AE35</f>
        <v>0.89584680970363362</v>
      </c>
      <c r="AO53" s="324">
        <f>AF35</f>
        <v>0.99758682575217406</v>
      </c>
      <c r="AP53" s="325">
        <f>AG35</f>
        <v>1.0475701040540952</v>
      </c>
      <c r="AQ53" s="323">
        <f>AH36</f>
        <v>1.0009748480856033</v>
      </c>
      <c r="AR53" s="324">
        <f>AI36</f>
        <v>0.78471492294455092</v>
      </c>
      <c r="AS53" s="325">
        <f>AJ36</f>
        <v>0.63583973955479656</v>
      </c>
    </row>
    <row r="54" spans="1:45" ht="15.75" customHeight="1" x14ac:dyDescent="0.25">
      <c r="A54" s="332"/>
      <c r="B54" s="194" t="str">
        <f t="shared" si="17"/>
        <v>Cooling Energy Input Ratio Modifier Function of Low Part-Load Ratio Curve Name</v>
      </c>
      <c r="C54" s="212" t="str">
        <f t="shared" si="32"/>
        <v>EPDef-VRFSysClgEIRRatio_fPLRLowSI</v>
      </c>
      <c r="D54" s="212" t="str">
        <f t="shared" si="32"/>
        <v>Cubic</v>
      </c>
      <c r="E54" s="212" t="str">
        <f t="shared" si="32"/>
        <v>EIRRatio</v>
      </c>
      <c r="F54" s="212" t="str">
        <f t="shared" si="32"/>
        <v>PLR</v>
      </c>
      <c r="G54" s="212" t="str">
        <f t="shared" si="32"/>
        <v>Low</v>
      </c>
      <c r="H54" s="212">
        <f t="shared" si="32"/>
        <v>0</v>
      </c>
      <c r="I54" s="212">
        <f t="shared" si="32"/>
        <v>0</v>
      </c>
      <c r="J54" s="212">
        <f t="shared" si="32"/>
        <v>0</v>
      </c>
      <c r="K54" s="212">
        <f t="shared" ref="K54:P56" si="33">K19</f>
        <v>0.46281230000000001</v>
      </c>
      <c r="L54" s="212">
        <f t="shared" si="33"/>
        <v>-1.04</v>
      </c>
      <c r="M54" s="212">
        <f t="shared" si="33"/>
        <v>2.1749099699999999</v>
      </c>
      <c r="N54" s="212">
        <f t="shared" si="33"/>
        <v>-0.5974817</v>
      </c>
      <c r="O54" s="212">
        <f t="shared" si="33"/>
        <v>0</v>
      </c>
      <c r="P54" s="195">
        <f t="shared" si="33"/>
        <v>0</v>
      </c>
      <c r="X54" s="248">
        <f>$X$52^2/(1-$X$52)^3</f>
        <v>7.5131480090157767E-3</v>
      </c>
      <c r="Y54" s="248">
        <f>-$X$52^3/(1-$X$52)^4</f>
        <v>6.8301345536507063E-4</v>
      </c>
      <c r="Z54" s="249">
        <f>$X$52^4/(1-$X$52)^5</f>
        <v>6.2092132305915519E-5</v>
      </c>
      <c r="AD54" s="194" t="s">
        <v>1001</v>
      </c>
      <c r="AE54" s="221">
        <f>AF35</f>
        <v>0.99758682575217406</v>
      </c>
      <c r="AG54" s="189"/>
      <c r="AJ54" s="189"/>
      <c r="AM54" s="214" t="s">
        <v>1109</v>
      </c>
      <c r="AN54" s="194">
        <f>3.412/12000*$AN$24*$AN$25</f>
        <v>2.3599666666666665E-2</v>
      </c>
      <c r="AO54" s="212">
        <f t="shared" ref="AO54:AS54" si="34">3.412/12000*$AN$24*$AN$25</f>
        <v>2.3599666666666665E-2</v>
      </c>
      <c r="AP54" s="195">
        <f t="shared" si="34"/>
        <v>2.3599666666666665E-2</v>
      </c>
      <c r="AQ54" s="194">
        <f t="shared" si="34"/>
        <v>2.3599666666666665E-2</v>
      </c>
      <c r="AR54" s="212">
        <f t="shared" si="34"/>
        <v>2.3599666666666665E-2</v>
      </c>
      <c r="AS54" s="195">
        <f t="shared" si="34"/>
        <v>2.3599666666666665E-2</v>
      </c>
    </row>
    <row r="55" spans="1:45" ht="15.75" customHeight="1" x14ac:dyDescent="0.25">
      <c r="A55" s="332"/>
      <c r="B55" s="194" t="str">
        <f t="shared" si="17"/>
        <v>Cooling Energy Input Ratio Modifier Function of HIgh Part-Load Ratio Curve Name</v>
      </c>
      <c r="C55" s="212" t="str">
        <f t="shared" si="32"/>
        <v>EPDef-VRFSysClgEIRRatio_fPLRHiSI</v>
      </c>
      <c r="D55" s="212" t="str">
        <f t="shared" si="32"/>
        <v>Quadratic</v>
      </c>
      <c r="E55" s="212" t="str">
        <f t="shared" si="32"/>
        <v>EIRRatio</v>
      </c>
      <c r="F55" s="212" t="str">
        <f t="shared" si="32"/>
        <v>PLR</v>
      </c>
      <c r="G55" s="212" t="str">
        <f t="shared" si="32"/>
        <v>Hi</v>
      </c>
      <c r="H55" s="212">
        <f t="shared" si="32"/>
        <v>0</v>
      </c>
      <c r="I55" s="212">
        <f t="shared" si="32"/>
        <v>0</v>
      </c>
      <c r="J55" s="212">
        <f t="shared" si="32"/>
        <v>0</v>
      </c>
      <c r="K55" s="212">
        <f t="shared" si="33"/>
        <v>1</v>
      </c>
      <c r="L55" s="212">
        <f t="shared" si="33"/>
        <v>0</v>
      </c>
      <c r="M55" s="212">
        <f t="shared" si="33"/>
        <v>0</v>
      </c>
      <c r="N55" s="212">
        <f t="shared" si="33"/>
        <v>0</v>
      </c>
      <c r="O55" s="212">
        <f t="shared" si="33"/>
        <v>0</v>
      </c>
      <c r="P55" s="195">
        <f t="shared" si="33"/>
        <v>0</v>
      </c>
      <c r="S55" s="188" t="s">
        <v>28</v>
      </c>
      <c r="T55" s="188" t="s">
        <v>1087</v>
      </c>
      <c r="U55" t="s">
        <v>1084</v>
      </c>
      <c r="V55" s="188" t="s">
        <v>1085</v>
      </c>
      <c r="X55" s="188" t="s">
        <v>1087</v>
      </c>
      <c r="Y55" t="s">
        <v>1084</v>
      </c>
      <c r="Z55" s="188" t="s">
        <v>1085</v>
      </c>
      <c r="AD55" s="194" t="s">
        <v>1002</v>
      </c>
      <c r="AE55" s="221">
        <f>AG35</f>
        <v>1.0475701040540952</v>
      </c>
      <c r="AG55" s="189"/>
      <c r="AJ55" s="189"/>
      <c r="AM55" s="214" t="s">
        <v>1123</v>
      </c>
      <c r="AN55" s="194">
        <f>(1-AN54)*AN53</f>
        <v>0.87470512361023112</v>
      </c>
      <c r="AO55" s="212">
        <f t="shared" ref="AO55:AP55" si="35">(1-AO54)*AO53</f>
        <v>0.97404410919336459</v>
      </c>
      <c r="AP55" s="195">
        <f t="shared" si="35"/>
        <v>1.0228477987884532</v>
      </c>
      <c r="AQ55" s="194">
        <f>(1+AQ54)*AQ53</f>
        <v>1.024597520842141</v>
      </c>
      <c r="AR55" s="212">
        <f t="shared" ref="AR55:AS55" si="36">(1+AR54)*AR53</f>
        <v>0.80323393355440131</v>
      </c>
      <c r="AS55" s="195">
        <f t="shared" si="36"/>
        <v>0.65084534546170991</v>
      </c>
    </row>
    <row r="56" spans="1:45" ht="15.75" customHeight="1" x14ac:dyDescent="0.25">
      <c r="A56" s="332"/>
      <c r="B56" s="194" t="str">
        <f t="shared" si="17"/>
        <v>Cooling Part-Load Fraction Correlation Curve Name</v>
      </c>
      <c r="C56" s="212" t="str">
        <f t="shared" si="32"/>
        <v>EPDef-VRFSysClgEIRRatio_fCycRatSI</v>
      </c>
      <c r="D56" s="212" t="str">
        <f t="shared" si="32"/>
        <v>Quadratic</v>
      </c>
      <c r="E56" s="212" t="str">
        <f t="shared" si="32"/>
        <v>EIRRatio</v>
      </c>
      <c r="F56" s="212" t="str">
        <f t="shared" si="32"/>
        <v>CycRat</v>
      </c>
      <c r="G56" s="212">
        <f t="shared" si="32"/>
        <v>0</v>
      </c>
      <c r="H56" s="212">
        <f t="shared" si="32"/>
        <v>0</v>
      </c>
      <c r="I56" s="212">
        <f t="shared" si="32"/>
        <v>0</v>
      </c>
      <c r="J56" s="212">
        <f t="shared" si="32"/>
        <v>0</v>
      </c>
      <c r="K56" s="212">
        <f t="shared" si="33"/>
        <v>0.85</v>
      </c>
      <c r="L56" s="212">
        <f t="shared" si="33"/>
        <v>0.15</v>
      </c>
      <c r="M56" s="212">
        <f t="shared" si="33"/>
        <v>0</v>
      </c>
      <c r="N56" s="212">
        <f t="shared" si="33"/>
        <v>0</v>
      </c>
      <c r="O56" s="212">
        <f t="shared" si="33"/>
        <v>0</v>
      </c>
      <c r="P56" s="195">
        <f t="shared" si="33"/>
        <v>0</v>
      </c>
      <c r="S56" s="188">
        <v>1</v>
      </c>
      <c r="T56">
        <f>$K$61+$L$61*S56+$M$61*S56^2+$N$61*S56^3</f>
        <v>1.0000001000000001</v>
      </c>
      <c r="U56">
        <f>IF(S56&gt;$T$8-0.01,1,S56/$T$8/(1-$T$9+$T$9*S56/$T$8))</f>
        <v>1</v>
      </c>
      <c r="V56" s="188">
        <f>S56/T56/U56</f>
        <v>0.99999990000000993</v>
      </c>
      <c r="X56">
        <f>$X$53+$Y$53*S56+$Z$53*S56^2+$X$54*S56^3+$Y$54*S56^4+$Z$54*S56^5</f>
        <v>0.99999379078676931</v>
      </c>
      <c r="Y56">
        <f t="shared" ref="Y56:Y75" si="37">IF(S56&gt;$X$50-0.01,1,S56/$X$50/(1-$X$51+$X$51*S56/$X$50))</f>
        <v>1</v>
      </c>
      <c r="Z56" s="188">
        <f>S56/X56/Y56</f>
        <v>1.0000062092517852</v>
      </c>
      <c r="AD56" s="194" t="s">
        <v>1003</v>
      </c>
      <c r="AE56" s="221">
        <f>AH36</f>
        <v>1.0009748480856033</v>
      </c>
      <c r="AG56" s="189"/>
      <c r="AJ56" s="189"/>
      <c r="AM56" s="214" t="s">
        <v>1124</v>
      </c>
      <c r="AN56" s="231">
        <f>AN55/$AO$55</f>
        <v>0.898013873657735</v>
      </c>
      <c r="AO56" s="220">
        <f>AO55/$AO$55</f>
        <v>1</v>
      </c>
      <c r="AP56" s="221">
        <f>AP55/$AO$55</f>
        <v>1.0501041884391709</v>
      </c>
      <c r="AQ56" s="231">
        <f>AQ55/$AQ$55</f>
        <v>1</v>
      </c>
      <c r="AR56" s="220">
        <f>AR55/$AQ$55</f>
        <v>0.78395069011508478</v>
      </c>
      <c r="AS56" s="221">
        <f>AS55/$AQ$55</f>
        <v>0.63522049607026643</v>
      </c>
    </row>
    <row r="57" spans="1:45" ht="15.75" customHeight="1" x14ac:dyDescent="0.25">
      <c r="A57" s="332"/>
      <c r="B57" s="194" t="str">
        <f t="shared" si="17"/>
        <v>Heat Recovery Cooling Energy Modifier Function of Temperature Curve Name</v>
      </c>
      <c r="C57" s="212" t="str">
        <f t="shared" si="32"/>
        <v>EPDef-VRFSysHtRcvryClgEIRRatio_fTwbToadbSI</v>
      </c>
      <c r="D57" s="212" t="str">
        <f t="shared" si="32"/>
        <v>BiQuadratic</v>
      </c>
      <c r="E57" s="212" t="str">
        <f t="shared" si="32"/>
        <v>EIRRatio</v>
      </c>
      <c r="F57" s="212" t="str">
        <f t="shared" si="32"/>
        <v>Twb</v>
      </c>
      <c r="G57" s="212" t="str">
        <f t="shared" si="32"/>
        <v>Toadb</v>
      </c>
      <c r="H57" s="212">
        <f t="shared" si="32"/>
        <v>0</v>
      </c>
      <c r="I57" s="212">
        <f t="shared" si="32"/>
        <v>0</v>
      </c>
      <c r="J57" s="212">
        <f t="shared" si="32"/>
        <v>0</v>
      </c>
      <c r="K57" s="212">
        <f>K22-32*L57-1024*M57-32*N57-1024*O57-1024*P57</f>
        <v>1.1000000000000001</v>
      </c>
      <c r="L57" s="212">
        <f>5/9*L22-64*25/81*M22-32*25/81*P22</f>
        <v>0</v>
      </c>
      <c r="M57" s="212">
        <f>M22*25/81</f>
        <v>0</v>
      </c>
      <c r="N57" s="212">
        <f>5/9*N22-64*25/81*O22-32*25/81*P22</f>
        <v>0</v>
      </c>
      <c r="O57" s="212">
        <f>O22*25/81</f>
        <v>0</v>
      </c>
      <c r="P57" s="195">
        <f>P22*25/81</f>
        <v>0</v>
      </c>
      <c r="S57" s="188">
        <f t="shared" ref="S57:S74" si="38">S56-0.05</f>
        <v>0.95</v>
      </c>
      <c r="T57">
        <f t="shared" ref="T57:T75" si="39">IF(S57&lt;$T$8-0.001,T56,$K$61+$L$61*S57+$M$61*S57^2+$N$61*S57^3)</f>
        <v>0.94280531776249987</v>
      </c>
      <c r="U57">
        <f t="shared" ref="U57:U75" si="40">IF(S57&gt;$T$50-0.01,1,S57/$T$50/(1-$T$51+$T$51*S57/$T$50))</f>
        <v>1</v>
      </c>
      <c r="V57" s="188">
        <f t="shared" ref="V57:V75" si="41">S57/T57/U57</f>
        <v>1.0076311430387079</v>
      </c>
      <c r="X57">
        <f t="shared" ref="X57:X75" si="42">IF(S57&lt;$X$50-0.001,X56,$X$53+$Y$53*S57+$Z$53*S57^2+$X$54*S57^3+$Y$54*S57^4+$Z$54*S57^5)</f>
        <v>0.94526909020667349</v>
      </c>
      <c r="Y57">
        <f t="shared" si="37"/>
        <v>1</v>
      </c>
      <c r="Z57" s="188">
        <f t="shared" ref="Z57:Z75" si="43">S57/X57/Y57</f>
        <v>1.0050048286168884</v>
      </c>
      <c r="AD57" s="194" t="s">
        <v>1004</v>
      </c>
      <c r="AE57" s="221">
        <f>AI36</f>
        <v>0.78471492294455092</v>
      </c>
      <c r="AG57" s="189"/>
      <c r="AJ57" s="189"/>
      <c r="AM57" s="214" t="s">
        <v>1020</v>
      </c>
      <c r="AN57" s="199">
        <f>$K$65+$L$65*$AN$13+$M$65*$AN$13^2+$N$65*1+$O$65*1^2+$P$65*$AN$13*1+$AN$21*$AN$14</f>
        <v>0.97564680394358572</v>
      </c>
      <c r="AO57" s="259">
        <f t="shared" ref="AO57:AP57" si="44">$K$65+$L$65*$AN$13+$M$65*$AN$13^2+$N$65*1+$O$65*1^2+$P$65*$AN$13*1+$AN$21*$AN$14</f>
        <v>0.97564680394358572</v>
      </c>
      <c r="AP57" s="200">
        <f t="shared" si="44"/>
        <v>0.97564680394358572</v>
      </c>
      <c r="AQ57" s="199">
        <f>$K$66+$L$66*$AN$13+$M$66*$AN$13^2+$N$66*1+$O$66*1^2+$P$66*$AN$13*1+$AN$22*$AN$14</f>
        <v>0.97564680394358572</v>
      </c>
      <c r="AR57" s="259">
        <f t="shared" ref="AR57:AS57" si="45">$K$66+$L$66*$AN$13+$M$66*$AN$13^2+$N$66*1+$O$66*1^2+$P$66*$AN$13*1+$AN$22*$AN$14</f>
        <v>0.97564680394358572</v>
      </c>
      <c r="AS57" s="200">
        <f t="shared" si="45"/>
        <v>0.97564680394358572</v>
      </c>
    </row>
    <row r="58" spans="1:45" ht="15.75" customHeight="1" thickBot="1" x14ac:dyDescent="0.3">
      <c r="A58" s="332"/>
      <c r="B58" s="194" t="str">
        <f t="shared" si="17"/>
        <v>Heating Energy Input Ratio Modifier Function of Low Temperature Curve Name</v>
      </c>
      <c r="C58" s="212" t="str">
        <f>C23</f>
        <v>EPDef-VRFSysHtgEIRRatio_fTwbToadbLowSI</v>
      </c>
      <c r="D58" s="212" t="str">
        <f t="shared" si="32"/>
        <v>BiQuadratic</v>
      </c>
      <c r="E58" s="212" t="str">
        <f t="shared" si="32"/>
        <v>EIRRatio</v>
      </c>
      <c r="F58" s="212" t="str">
        <f t="shared" si="32"/>
        <v>Twb</v>
      </c>
      <c r="G58" s="212" t="str">
        <f t="shared" si="32"/>
        <v>Toadb</v>
      </c>
      <c r="H58" s="212" t="str">
        <f t="shared" si="32"/>
        <v>Low</v>
      </c>
      <c r="I58" s="212">
        <f t="shared" si="32"/>
        <v>0</v>
      </c>
      <c r="J58" s="212">
        <f t="shared" si="32"/>
        <v>0</v>
      </c>
      <c r="K58" s="212">
        <f>K23-32*L58-1024*M58-32*N58-1024*O58-1024*P58</f>
        <v>2.1876615277850626</v>
      </c>
      <c r="L58" s="212">
        <f>5/9*L23-64*25/81*M23-32*25/81*P23</f>
        <v>-3.1489078452053808E-2</v>
      </c>
      <c r="M58" s="212">
        <f>M23*25/81</f>
        <v>3.8479936116702176E-4</v>
      </c>
      <c r="N58" s="212">
        <f>5/9*N23-64*25/81*O23-32*25/81*P23</f>
        <v>-2.6807615570727264E-2</v>
      </c>
      <c r="O58" s="212">
        <f>O23*25/81</f>
        <v>3.1053047162015813E-4</v>
      </c>
      <c r="P58" s="195">
        <f>P23*25/81</f>
        <v>-4.453342620738666E-5</v>
      </c>
      <c r="S58" s="188">
        <f t="shared" si="38"/>
        <v>0.89999999999999991</v>
      </c>
      <c r="T58">
        <f t="shared" si="39"/>
        <v>0.88748540809999987</v>
      </c>
      <c r="U58">
        <f t="shared" si="40"/>
        <v>1</v>
      </c>
      <c r="V58" s="188">
        <f t="shared" si="41"/>
        <v>1.0141011804653692</v>
      </c>
      <c r="X58">
        <f t="shared" si="42"/>
        <v>0.89108584175199146</v>
      </c>
      <c r="Y58">
        <f t="shared" si="37"/>
        <v>1</v>
      </c>
      <c r="Z58" s="188">
        <f t="shared" si="43"/>
        <v>1.0100037031566813</v>
      </c>
      <c r="AD58" s="196" t="s">
        <v>1005</v>
      </c>
      <c r="AE58" s="223">
        <f>AJ36</f>
        <v>0.63583973955479656</v>
      </c>
      <c r="AG58" s="189"/>
      <c r="AJ58" s="189"/>
      <c r="AM58" s="214" t="s">
        <v>1030</v>
      </c>
      <c r="AN58" s="199">
        <f>AE31</f>
        <v>1.2891588500000002</v>
      </c>
      <c r="AO58" s="259">
        <f>AF31</f>
        <v>1.0007620475308643</v>
      </c>
      <c r="AP58" s="200">
        <f>AG31</f>
        <v>0.83492493148148172</v>
      </c>
      <c r="AQ58" s="199">
        <f>AH32</f>
        <v>0.99812153671288995</v>
      </c>
      <c r="AR58" s="259">
        <f>AI32</f>
        <v>1.4499619702687747</v>
      </c>
      <c r="AS58" s="200">
        <f>AJ32</f>
        <v>1.7270813906239848</v>
      </c>
    </row>
    <row r="59" spans="1:45" ht="15.75" customHeight="1" x14ac:dyDescent="0.25">
      <c r="A59" s="332"/>
      <c r="B59" s="194" t="str">
        <f t="shared" si="17"/>
        <v>Heating Energy Input Ratio Boundary Curve Name</v>
      </c>
      <c r="C59" s="212" t="str">
        <f t="shared" si="32"/>
        <v>EPDef-VRFSysHtgEIRBdry_fToadbSI</v>
      </c>
      <c r="D59" s="212" t="str">
        <f t="shared" si="32"/>
        <v>Cubic</v>
      </c>
      <c r="E59" s="212" t="str">
        <f t="shared" si="32"/>
        <v>EIRBdry</v>
      </c>
      <c r="F59" s="212" t="str">
        <f t="shared" si="32"/>
        <v>Toadb</v>
      </c>
      <c r="G59" s="212">
        <f t="shared" si="32"/>
        <v>0</v>
      </c>
      <c r="H59" s="212">
        <f t="shared" si="32"/>
        <v>0</v>
      </c>
      <c r="I59" s="212">
        <f t="shared" si="32"/>
        <v>0</v>
      </c>
      <c r="J59" s="212">
        <f t="shared" si="32"/>
        <v>0</v>
      </c>
      <c r="K59" s="212">
        <f>32+9/5*K24-32*L59-1024*M59</f>
        <v>-145.46186699111115</v>
      </c>
      <c r="L59" s="212">
        <f>L24-64*M59</f>
        <v>7.185456604444445</v>
      </c>
      <c r="M59" s="212">
        <f>5/9*M24</f>
        <v>-6.4602444444444448E-2</v>
      </c>
      <c r="N59" s="212"/>
      <c r="O59" s="212"/>
      <c r="P59" s="195"/>
      <c r="S59" s="188">
        <f t="shared" si="38"/>
        <v>0.84999999999999987</v>
      </c>
      <c r="T59">
        <f t="shared" si="39"/>
        <v>0.83397693158749986</v>
      </c>
      <c r="U59">
        <f t="shared" si="40"/>
        <v>1</v>
      </c>
      <c r="V59" s="188">
        <f t="shared" si="41"/>
        <v>1.0192128436718262</v>
      </c>
      <c r="X59">
        <f t="shared" si="42"/>
        <v>0.83743611645146565</v>
      </c>
      <c r="Y59">
        <f t="shared" si="37"/>
        <v>1</v>
      </c>
      <c r="Z59" s="188">
        <f t="shared" si="43"/>
        <v>1.0150027963945145</v>
      </c>
      <c r="AE59" s="212"/>
      <c r="AF59" s="212"/>
      <c r="AG59" s="189"/>
      <c r="AJ59" s="189"/>
      <c r="AM59" s="214" t="s">
        <v>1127</v>
      </c>
      <c r="AN59" s="309">
        <f>(1-AN54)/(1/AN57*$AN$7*AN58+AN54)</f>
        <v>3.2413509479403353</v>
      </c>
      <c r="AO59" s="310">
        <f t="shared" ref="AO59:AP59" si="46">(1-AO54)/(1/AO57*$AN$7*AO58+AO54)</f>
        <v>4.0832474579746414</v>
      </c>
      <c r="AP59" s="243">
        <f t="shared" si="46"/>
        <v>4.8001861688500833</v>
      </c>
      <c r="AQ59" s="309">
        <f>(1+AQ54)/(1/AQ57*$AN$8*AQ58+AQ54)</f>
        <v>3.6193334563582811</v>
      </c>
      <c r="AR59" s="310">
        <f t="shared" ref="AR59:AS59" si="47">(1+AR54)/(1/AR57*$AN$8*AR58+AR54)</f>
        <v>2.5579852905915588</v>
      </c>
      <c r="AS59" s="243">
        <f t="shared" si="47"/>
        <v>2.1680592093887223</v>
      </c>
    </row>
    <row r="60" spans="1:45" ht="15.75" customHeight="1" x14ac:dyDescent="0.25">
      <c r="A60" s="332"/>
      <c r="B60" s="194" t="str">
        <f t="shared" si="17"/>
        <v>Heating Energy Input Ratio Modifier Function of High Temperature Curve Name</v>
      </c>
      <c r="C60" s="212" t="str">
        <f t="shared" si="32"/>
        <v>EPDef-VRFSysHtgEIRRatio_fTwbToadbHiSI</v>
      </c>
      <c r="D60" s="212" t="str">
        <f t="shared" si="32"/>
        <v>BiQuadratic</v>
      </c>
      <c r="E60" s="212" t="str">
        <f t="shared" si="32"/>
        <v>EIRRatio</v>
      </c>
      <c r="F60" s="212" t="str">
        <f t="shared" si="32"/>
        <v>Twb</v>
      </c>
      <c r="G60" s="212" t="str">
        <f t="shared" si="32"/>
        <v>Toadb</v>
      </c>
      <c r="H60" s="212" t="str">
        <f t="shared" si="32"/>
        <v>Hi</v>
      </c>
      <c r="I60" s="212">
        <f t="shared" si="32"/>
        <v>0</v>
      </c>
      <c r="J60" s="212">
        <f t="shared" si="32"/>
        <v>0</v>
      </c>
      <c r="K60" s="212">
        <f>K25-32*L60-1024*M60-32*N60-1024*O60-1024*P60</f>
        <v>8.2190690366201444</v>
      </c>
      <c r="L60" s="212">
        <f>5/9*L25-64*25/81*M25-32*25/81*P25</f>
        <v>-7.2317667559178914E-2</v>
      </c>
      <c r="M60" s="212">
        <f>M25*25/81</f>
        <v>1.4197951172181081E-5</v>
      </c>
      <c r="N60" s="212">
        <f>5/9*N25-64*25/81*O25-32*25/81*P25</f>
        <v>-0.14709042599747488</v>
      </c>
      <c r="O60" s="212">
        <f>O25*25/81</f>
        <v>4.7386621358179508E-4</v>
      </c>
      <c r="P60" s="195">
        <f>P25*25/81</f>
        <v>1.1058355089880597E-3</v>
      </c>
      <c r="S60" s="188">
        <f t="shared" si="38"/>
        <v>0.79999999999999982</v>
      </c>
      <c r="T60">
        <f t="shared" si="39"/>
        <v>0.78221644879999985</v>
      </c>
      <c r="U60">
        <f t="shared" si="40"/>
        <v>1</v>
      </c>
      <c r="V60" s="188">
        <f t="shared" si="41"/>
        <v>1.0227348213237932</v>
      </c>
      <c r="X60">
        <f t="shared" si="42"/>
        <v>0.78431212969804576</v>
      </c>
      <c r="Y60">
        <f t="shared" si="37"/>
        <v>1</v>
      </c>
      <c r="Z60" s="188">
        <f t="shared" si="43"/>
        <v>1.0200020753319139</v>
      </c>
      <c r="AG60" s="189"/>
      <c r="AJ60" s="189"/>
      <c r="AM60" s="214" t="s">
        <v>1110</v>
      </c>
      <c r="AN60" s="231">
        <f>$AN$19</f>
        <v>0.55000000000000004</v>
      </c>
      <c r="AO60" s="220">
        <f t="shared" ref="AO60:AP60" si="48">$AN$19</f>
        <v>0.55000000000000004</v>
      </c>
      <c r="AP60" s="221">
        <f t="shared" si="48"/>
        <v>0.55000000000000004</v>
      </c>
      <c r="AQ60" s="231">
        <f>$AN$20</f>
        <v>0.55000000000000004</v>
      </c>
      <c r="AR60" s="220">
        <f t="shared" ref="AR60:AS60" si="49">$AN$20</f>
        <v>0.55000000000000004</v>
      </c>
      <c r="AS60" s="221">
        <f t="shared" si="49"/>
        <v>0.55000000000000004</v>
      </c>
    </row>
    <row r="61" spans="1:45" ht="15.75" customHeight="1" x14ac:dyDescent="0.25">
      <c r="A61" s="332"/>
      <c r="B61" s="194" t="str">
        <f t="shared" si="17"/>
        <v>Heating Energy Input Ratio Modifier Function of Low Part-Load Ratio Curve Name</v>
      </c>
      <c r="C61" s="212" t="str">
        <f t="shared" ref="C61:J65" si="50">C26</f>
        <v>EPDef-VRFSysHtgEIRRatio_fPLRLowSI</v>
      </c>
      <c r="D61" s="212" t="str">
        <f t="shared" si="50"/>
        <v>Cubic</v>
      </c>
      <c r="E61" s="212" t="str">
        <f t="shared" si="50"/>
        <v>EIRRatio</v>
      </c>
      <c r="F61" s="212" t="str">
        <f t="shared" si="50"/>
        <v>PLR</v>
      </c>
      <c r="G61" s="212" t="str">
        <f t="shared" si="50"/>
        <v>Low</v>
      </c>
      <c r="H61" s="212">
        <f t="shared" si="50"/>
        <v>0</v>
      </c>
      <c r="I61" s="212">
        <f t="shared" si="50"/>
        <v>0</v>
      </c>
      <c r="J61" s="212">
        <f t="shared" si="50"/>
        <v>0</v>
      </c>
      <c r="K61" s="212">
        <f t="shared" ref="K61:P63" si="51">K26</f>
        <v>0.1400093</v>
      </c>
      <c r="L61" s="212">
        <f t="shared" si="51"/>
        <v>0.64150019999999996</v>
      </c>
      <c r="M61" s="212">
        <f t="shared" si="51"/>
        <v>0.13390469999999999</v>
      </c>
      <c r="N61" s="212">
        <f t="shared" si="51"/>
        <v>8.4585900000000006E-2</v>
      </c>
      <c r="O61" s="212">
        <f t="shared" si="51"/>
        <v>0</v>
      </c>
      <c r="P61" s="195">
        <f t="shared" si="51"/>
        <v>0</v>
      </c>
      <c r="S61" s="188">
        <f t="shared" si="38"/>
        <v>0.74999999999999978</v>
      </c>
      <c r="T61">
        <f t="shared" si="39"/>
        <v>0.73214052031249965</v>
      </c>
      <c r="U61">
        <f t="shared" si="40"/>
        <v>1</v>
      </c>
      <c r="V61" s="188">
        <f t="shared" si="41"/>
        <v>1.0243935135291748</v>
      </c>
      <c r="X61">
        <f t="shared" si="42"/>
        <v>0.73170623892043485</v>
      </c>
      <c r="Y61">
        <f t="shared" si="37"/>
        <v>1</v>
      </c>
      <c r="Z61" s="188">
        <f t="shared" si="43"/>
        <v>1.025001510314516</v>
      </c>
      <c r="AG61" s="189"/>
      <c r="AJ61" s="189"/>
      <c r="AM61" s="214" t="s">
        <v>1037</v>
      </c>
      <c r="AN61" s="194">
        <f>AE33</f>
        <v>0.43290923361778261</v>
      </c>
      <c r="AO61" s="212">
        <f>AF33</f>
        <v>0.43290923361778261</v>
      </c>
      <c r="AP61" s="195">
        <f>AG33</f>
        <v>0.43290923361778261</v>
      </c>
      <c r="AQ61" s="194">
        <f>AH34</f>
        <v>0.52631562499999995</v>
      </c>
      <c r="AR61" s="212">
        <f>AI34</f>
        <v>0.52631562499999995</v>
      </c>
      <c r="AS61" s="195">
        <f>AJ34</f>
        <v>0.52631562499999995</v>
      </c>
    </row>
    <row r="62" spans="1:45" ht="15.75" customHeight="1" thickBot="1" x14ac:dyDescent="0.3">
      <c r="A62" s="332"/>
      <c r="B62" s="194" t="str">
        <f t="shared" si="17"/>
        <v>Heating Energy Input Ratio Modifier Function of High Part-Load Ratio Curve Name</v>
      </c>
      <c r="C62" s="212" t="str">
        <f t="shared" si="50"/>
        <v>EPDef-VRFSysHtgEIRRatio_fPLRHiSI</v>
      </c>
      <c r="D62" s="212" t="str">
        <f t="shared" si="50"/>
        <v>Quadratic</v>
      </c>
      <c r="E62" s="212" t="str">
        <f t="shared" si="50"/>
        <v>EIRRatio</v>
      </c>
      <c r="F62" s="212" t="str">
        <f t="shared" si="50"/>
        <v>PLR</v>
      </c>
      <c r="G62" s="212" t="str">
        <f t="shared" si="50"/>
        <v>Hi</v>
      </c>
      <c r="H62" s="212">
        <f t="shared" si="50"/>
        <v>0</v>
      </c>
      <c r="I62" s="212">
        <f t="shared" si="50"/>
        <v>0</v>
      </c>
      <c r="J62" s="212">
        <f t="shared" si="50"/>
        <v>0</v>
      </c>
      <c r="K62" s="212">
        <f t="shared" si="51"/>
        <v>2.4294359999999999</v>
      </c>
      <c r="L62" s="212">
        <f t="shared" si="51"/>
        <v>-2.235887</v>
      </c>
      <c r="M62" s="212">
        <f t="shared" si="51"/>
        <v>0.80645199999999995</v>
      </c>
      <c r="N62" s="212">
        <f t="shared" si="51"/>
        <v>0</v>
      </c>
      <c r="O62" s="212">
        <f t="shared" si="51"/>
        <v>0</v>
      </c>
      <c r="P62" s="195">
        <f t="shared" si="51"/>
        <v>0</v>
      </c>
      <c r="S62" s="188">
        <f t="shared" si="38"/>
        <v>0.69999999999999973</v>
      </c>
      <c r="T62">
        <f t="shared" si="39"/>
        <v>0.68368570669999962</v>
      </c>
      <c r="U62">
        <f t="shared" si="40"/>
        <v>1</v>
      </c>
      <c r="V62" s="188">
        <f t="shared" si="41"/>
        <v>1.023862270543501</v>
      </c>
      <c r="X62">
        <f t="shared" si="42"/>
        <v>0.67961094125463339</v>
      </c>
      <c r="Y62">
        <f t="shared" si="37"/>
        <v>1</v>
      </c>
      <c r="Z62" s="188">
        <f t="shared" si="43"/>
        <v>1.0300010748910633</v>
      </c>
      <c r="AG62" s="189"/>
      <c r="AJ62" s="189"/>
      <c r="AM62" s="215" t="s">
        <v>1126</v>
      </c>
      <c r="AN62" s="311">
        <f>(1-AN54)*$AN$19/(AN58/AN57*$AN$7*AN61+AN54*$AN$19)</f>
        <v>4.0326020499575392</v>
      </c>
      <c r="AO62" s="312">
        <f t="shared" ref="AO62:AP62" si="52">(1-AO54)*$AN$19/(AO58/AO57*$AN$7*AO61+AO54*$AN$19)</f>
        <v>5.0527827555221663</v>
      </c>
      <c r="AP62" s="313">
        <f t="shared" si="52"/>
        <v>5.9129600613661566</v>
      </c>
      <c r="AQ62" s="311">
        <f>(1+AQ54)*$AN$20/(AQ58/AQ57*$AN$8*AQ61+AQ54*$AN$20)</f>
        <v>3.7680552687269144</v>
      </c>
      <c r="AR62" s="312">
        <f t="shared" ref="AR62:AS62" si="53">(1+AR54)*$AN$20/(AR58/AR57*$AN$8*AR61+AR54*$AN$20)</f>
        <v>2.6660200338286644</v>
      </c>
      <c r="AS62" s="313">
        <f t="shared" si="53"/>
        <v>2.2605377767769812</v>
      </c>
    </row>
    <row r="63" spans="1:45" ht="15.75" customHeight="1" x14ac:dyDescent="0.25">
      <c r="A63" s="332"/>
      <c r="B63" s="194" t="str">
        <f t="shared" si="17"/>
        <v>Heating Part-Load Fraction Correlation Curve Name</v>
      </c>
      <c r="C63" s="212" t="str">
        <f t="shared" si="50"/>
        <v>EPDef-VRFSysHtgEIRRatio_fCycRatSI</v>
      </c>
      <c r="D63" s="212" t="str">
        <f t="shared" si="50"/>
        <v>Cubic</v>
      </c>
      <c r="E63" s="212" t="str">
        <f t="shared" si="50"/>
        <v>EIRRatio</v>
      </c>
      <c r="F63" s="212" t="str">
        <f t="shared" si="50"/>
        <v>CycRat</v>
      </c>
      <c r="G63" s="212">
        <f t="shared" si="50"/>
        <v>0</v>
      </c>
      <c r="H63" s="212">
        <f t="shared" si="50"/>
        <v>0</v>
      </c>
      <c r="I63" s="212">
        <f t="shared" si="50"/>
        <v>0</v>
      </c>
      <c r="J63" s="212">
        <f t="shared" si="50"/>
        <v>0</v>
      </c>
      <c r="K63" s="212">
        <f t="shared" si="51"/>
        <v>0.85</v>
      </c>
      <c r="L63" s="212">
        <f t="shared" si="51"/>
        <v>0.15</v>
      </c>
      <c r="M63" s="212">
        <f t="shared" si="51"/>
        <v>0</v>
      </c>
      <c r="N63" s="212">
        <f t="shared" si="51"/>
        <v>0</v>
      </c>
      <c r="O63" s="212">
        <f t="shared" si="51"/>
        <v>0</v>
      </c>
      <c r="P63" s="195">
        <f t="shared" si="51"/>
        <v>0</v>
      </c>
      <c r="S63" s="188">
        <f t="shared" si="38"/>
        <v>0.64999999999999969</v>
      </c>
      <c r="T63">
        <f t="shared" si="39"/>
        <v>0.63678856853749966</v>
      </c>
      <c r="U63">
        <f t="shared" si="40"/>
        <v>1</v>
      </c>
      <c r="V63" s="188">
        <f t="shared" si="41"/>
        <v>1.0207469670707854</v>
      </c>
      <c r="X63">
        <f t="shared" si="42"/>
        <v>0.62801887121548416</v>
      </c>
      <c r="Y63">
        <f t="shared" si="37"/>
        <v>1</v>
      </c>
      <c r="Z63" s="188">
        <f t="shared" si="43"/>
        <v>1.0350007456654491</v>
      </c>
      <c r="AG63" s="189"/>
      <c r="AJ63" s="189"/>
    </row>
    <row r="64" spans="1:45" ht="15.75" customHeight="1" thickBot="1" x14ac:dyDescent="0.3">
      <c r="A64" s="332"/>
      <c r="B64" s="194" t="str">
        <f t="shared" si="17"/>
        <v>Heat Recovery Heating Energy Modifier Function of Temperature Curve Name</v>
      </c>
      <c r="C64" s="212" t="str">
        <f t="shared" si="50"/>
        <v>EPDef-VRFSysHtRcvryHtgEIRRatio_fTwbToadbSI</v>
      </c>
      <c r="D64" s="212" t="str">
        <f t="shared" si="50"/>
        <v>BiQuadratic</v>
      </c>
      <c r="E64" s="212" t="str">
        <f t="shared" si="50"/>
        <v>EIRRatio</v>
      </c>
      <c r="F64" s="212" t="str">
        <f t="shared" si="50"/>
        <v>Twb</v>
      </c>
      <c r="G64" s="212" t="str">
        <f t="shared" si="50"/>
        <v>Toadb</v>
      </c>
      <c r="H64" s="212">
        <f t="shared" si="50"/>
        <v>0</v>
      </c>
      <c r="I64" s="212">
        <f t="shared" si="50"/>
        <v>0</v>
      </c>
      <c r="J64" s="212">
        <f t="shared" si="50"/>
        <v>0</v>
      </c>
      <c r="K64" s="212">
        <f>K29-32*L64-1024*M64-32*N64-1024*O64-1024*P64</f>
        <v>1.1000000000000001</v>
      </c>
      <c r="L64" s="212">
        <f>5/9*L29-64*25/81*M29-32*25/81*P29</f>
        <v>0</v>
      </c>
      <c r="M64" s="212">
        <f>M29*25/81</f>
        <v>0</v>
      </c>
      <c r="N64" s="212">
        <f>5/9*N29-64*25/81*O29-32*25/81*P29</f>
        <v>0</v>
      </c>
      <c r="O64" s="212">
        <f>O29*25/81</f>
        <v>0</v>
      </c>
      <c r="P64" s="195">
        <f>P29*25/81</f>
        <v>0</v>
      </c>
      <c r="S64" s="188">
        <f t="shared" si="38"/>
        <v>0.59999999999999964</v>
      </c>
      <c r="T64">
        <f t="shared" si="39"/>
        <v>0.59138566639999968</v>
      </c>
      <c r="U64">
        <f t="shared" si="40"/>
        <v>1</v>
      </c>
      <c r="V64" s="188">
        <f t="shared" si="41"/>
        <v>1.014566355069846</v>
      </c>
      <c r="X64">
        <f t="shared" si="42"/>
        <v>0.57692279836821836</v>
      </c>
      <c r="Y64">
        <f t="shared" si="37"/>
        <v>1</v>
      </c>
      <c r="Z64" s="188">
        <f t="shared" si="43"/>
        <v>1.0400005021418002</v>
      </c>
      <c r="AG64" s="189"/>
      <c r="AJ64" s="189"/>
      <c r="AM64" s="264" t="s">
        <v>1106</v>
      </c>
      <c r="AN64" s="265"/>
      <c r="AO64" s="265"/>
      <c r="AP64" s="265"/>
      <c r="AQ64" s="265"/>
      <c r="AR64" s="265"/>
      <c r="AS64" s="265"/>
    </row>
    <row r="65" spans="1:45" ht="15.75" customHeight="1" x14ac:dyDescent="0.25">
      <c r="A65" s="332"/>
      <c r="B65" s="194" t="str">
        <f t="shared" si="17"/>
        <v xml:space="preserve">Piping Correction Factor for Length in Cooling Mode Curve Name </v>
      </c>
      <c r="C65" s="212" t="str">
        <f t="shared" si="50"/>
        <v>EPDef-VRFSysClgPipeLoss_fLenCombRatSI</v>
      </c>
      <c r="D65" s="212" t="str">
        <f t="shared" si="50"/>
        <v>BiQuadratic</v>
      </c>
      <c r="E65" s="212" t="str">
        <f t="shared" si="50"/>
        <v>PipeLoss</v>
      </c>
      <c r="F65" s="212" t="str">
        <f t="shared" si="50"/>
        <v>Len</v>
      </c>
      <c r="G65" s="212" t="str">
        <f t="shared" si="50"/>
        <v>CombRat</v>
      </c>
      <c r="H65" s="212">
        <f t="shared" si="50"/>
        <v>0</v>
      </c>
      <c r="I65" s="212">
        <f t="shared" si="50"/>
        <v>0</v>
      </c>
      <c r="J65" s="212">
        <f t="shared" si="50"/>
        <v>0</v>
      </c>
      <c r="K65" s="220">
        <f>K30</f>
        <v>1.0693790000000001</v>
      </c>
      <c r="L65" s="220">
        <f>L30/3.28084</f>
        <v>-4.5567598541836849E-4</v>
      </c>
      <c r="M65" s="220">
        <f>M30/3.28084^2</f>
        <v>2.7870910216261721E-7</v>
      </c>
      <c r="N65" s="220">
        <f>N30</f>
        <v>-0.11511</v>
      </c>
      <c r="O65" s="220">
        <f>O30</f>
        <v>5.1117000000000003E-2</v>
      </c>
      <c r="P65" s="221">
        <f>P30/3.28084</f>
        <v>-1.3319759573767693E-4</v>
      </c>
      <c r="S65" s="188">
        <f t="shared" si="38"/>
        <v>0.5499999999999996</v>
      </c>
      <c r="T65">
        <f t="shared" si="39"/>
        <v>0.54741356086249959</v>
      </c>
      <c r="U65">
        <f t="shared" si="40"/>
        <v>1</v>
      </c>
      <c r="V65" s="188">
        <f t="shared" si="41"/>
        <v>1.0047248357045171</v>
      </c>
      <c r="X65">
        <f t="shared" si="42"/>
        <v>0.52631562499999951</v>
      </c>
      <c r="Y65">
        <f t="shared" si="37"/>
        <v>1</v>
      </c>
      <c r="Z65" s="188">
        <f t="shared" si="43"/>
        <v>1.0450003265626022</v>
      </c>
      <c r="AG65" s="189"/>
      <c r="AJ65" s="189"/>
      <c r="AM65" s="266"/>
      <c r="AN65" s="267" t="s">
        <v>946</v>
      </c>
      <c r="AO65" s="268"/>
      <c r="AP65" s="269"/>
      <c r="AQ65" s="268" t="s">
        <v>947</v>
      </c>
      <c r="AR65" s="268"/>
      <c r="AS65" s="269"/>
    </row>
    <row r="66" spans="1:45" ht="15.75" customHeight="1" x14ac:dyDescent="0.25">
      <c r="A66" s="334"/>
      <c r="B66" s="233" t="str">
        <f t="shared" ref="B66:J66" si="54">B31</f>
        <v xml:space="preserve">Piping Correction Factor for Length in Heating Mode Curve Name </v>
      </c>
      <c r="C66" s="234" t="str">
        <f t="shared" si="54"/>
        <v>EPDef-VRFSysHtgPipeLoss_fLenCombRatSI</v>
      </c>
      <c r="D66" s="234" t="str">
        <f t="shared" si="54"/>
        <v>BiQuadratic</v>
      </c>
      <c r="E66" s="234" t="str">
        <f t="shared" si="54"/>
        <v>PipeLoss</v>
      </c>
      <c r="F66" s="234" t="str">
        <f t="shared" si="54"/>
        <v>Len</v>
      </c>
      <c r="G66" s="234" t="str">
        <f t="shared" si="54"/>
        <v>CombRat</v>
      </c>
      <c r="H66" s="234">
        <f t="shared" si="54"/>
        <v>0</v>
      </c>
      <c r="I66" s="234">
        <f t="shared" si="54"/>
        <v>0</v>
      </c>
      <c r="J66" s="234">
        <f t="shared" si="54"/>
        <v>0</v>
      </c>
      <c r="K66" s="220">
        <f>K31</f>
        <v>1.0693790000000001</v>
      </c>
      <c r="L66" s="220">
        <f>L31/3.28084</f>
        <v>-4.5567598541836849E-4</v>
      </c>
      <c r="M66" s="220">
        <f>M31/3.28084^2</f>
        <v>2.7870910216261721E-7</v>
      </c>
      <c r="N66" s="220">
        <f>N31</f>
        <v>-0.11511</v>
      </c>
      <c r="O66" s="220">
        <f>O31</f>
        <v>5.1117000000000003E-2</v>
      </c>
      <c r="P66" s="221">
        <f>P31/3.28084</f>
        <v>-1.3319759573767693E-4</v>
      </c>
      <c r="S66" s="188">
        <f t="shared" si="38"/>
        <v>0.49999999999999961</v>
      </c>
      <c r="T66">
        <f t="shared" si="39"/>
        <v>0.50480881249999965</v>
      </c>
      <c r="U66">
        <f t="shared" si="40"/>
        <v>1</v>
      </c>
      <c r="V66" s="188">
        <f t="shared" si="41"/>
        <v>0.99047399256723545</v>
      </c>
      <c r="X66">
        <f t="shared" si="42"/>
        <v>0.52631562499999951</v>
      </c>
      <c r="Y66">
        <f t="shared" si="37"/>
        <v>0.93896713615023419</v>
      </c>
      <c r="Z66" s="188">
        <f t="shared" si="43"/>
        <v>1.0117503161719745</v>
      </c>
      <c r="AG66" s="189"/>
      <c r="AJ66" s="189"/>
      <c r="AM66" s="270" t="s">
        <v>1006</v>
      </c>
      <c r="AN66" s="270">
        <v>115</v>
      </c>
      <c r="AO66" s="265">
        <v>95</v>
      </c>
      <c r="AP66" s="271">
        <v>82</v>
      </c>
      <c r="AQ66" s="265">
        <v>47</v>
      </c>
      <c r="AR66" s="265">
        <v>17</v>
      </c>
      <c r="AS66" s="271">
        <v>5</v>
      </c>
    </row>
    <row r="67" spans="1:45" ht="15.75" customHeight="1" x14ac:dyDescent="0.25">
      <c r="A67" s="332" t="s">
        <v>1012</v>
      </c>
      <c r="B67" s="194" t="str">
        <f t="shared" ref="B67:J67" si="55">B32</f>
        <v>Cooling Capacity Ratio Modifier Function of Temperature Curve Name</v>
      </c>
      <c r="C67" s="212" t="str">
        <f t="shared" si="55"/>
        <v>CoilClgVRFClgQratio_fTwbTdbSI</v>
      </c>
      <c r="D67" s="212" t="str">
        <f t="shared" si="55"/>
        <v>BiQuadratic</v>
      </c>
      <c r="E67" s="212" t="str">
        <f t="shared" si="55"/>
        <v>Qratio</v>
      </c>
      <c r="F67" s="212" t="str">
        <f t="shared" si="55"/>
        <v>Twb</v>
      </c>
      <c r="G67" s="212" t="str">
        <f t="shared" si="55"/>
        <v>Tdb</v>
      </c>
      <c r="H67" s="212">
        <f t="shared" si="55"/>
        <v>0</v>
      </c>
      <c r="I67" s="212">
        <f t="shared" si="55"/>
        <v>0</v>
      </c>
      <c r="J67" s="212">
        <f t="shared" si="55"/>
        <v>0</v>
      </c>
      <c r="K67" s="212">
        <f>K32-32*L67-1024*M67-32*N67-1024*O67-1024*P67</f>
        <v>-1.4509284844839296</v>
      </c>
      <c r="L67" s="212">
        <f>5/9*L32-64*25/81*M32-32*25/81*P32</f>
        <v>4.1968562528990658E-2</v>
      </c>
      <c r="M67" s="212">
        <f>M32*25/81</f>
        <v>-6.489968511101759E-5</v>
      </c>
      <c r="N67" s="212">
        <f>5/9*N32-64*25/81*O32-32*25/81*P32</f>
        <v>1.3666965092634709E-2</v>
      </c>
      <c r="O67" s="212">
        <f>O32*25/81</f>
        <v>-3.7640401234567901E-5</v>
      </c>
      <c r="P67" s="195">
        <f>P32*25/81</f>
        <v>-1.6193256172839508E-4</v>
      </c>
      <c r="S67" s="188">
        <f t="shared" si="38"/>
        <v>0.44999999999999962</v>
      </c>
      <c r="T67">
        <f t="shared" si="39"/>
        <v>0.4635079818874997</v>
      </c>
      <c r="U67">
        <f t="shared" si="40"/>
        <v>1</v>
      </c>
      <c r="V67" s="188">
        <f t="shared" si="41"/>
        <v>0.97085706737456212</v>
      </c>
      <c r="X67">
        <f t="shared" si="42"/>
        <v>0.52631562499999951</v>
      </c>
      <c r="Y67">
        <f t="shared" si="37"/>
        <v>0.87378640776698979</v>
      </c>
      <c r="Z67" s="188">
        <f t="shared" si="43"/>
        <v>0.97850030578134628</v>
      </c>
      <c r="AG67" s="189"/>
      <c r="AJ67" s="189"/>
      <c r="AM67" s="270" t="s">
        <v>1107</v>
      </c>
      <c r="AN67" s="270">
        <v>67</v>
      </c>
      <c r="AO67" s="265">
        <f>AN67</f>
        <v>67</v>
      </c>
      <c r="AP67" s="271">
        <f>AO67</f>
        <v>67</v>
      </c>
      <c r="AQ67" s="265">
        <v>70</v>
      </c>
      <c r="AR67" s="265">
        <f>AQ67</f>
        <v>70</v>
      </c>
      <c r="AS67" s="271">
        <f>AR67</f>
        <v>70</v>
      </c>
    </row>
    <row r="68" spans="1:45" ht="15.75" customHeight="1" x14ac:dyDescent="0.25">
      <c r="A68" s="332"/>
      <c r="B68" s="194" t="str">
        <f t="shared" ref="B68:J68" si="56">B33</f>
        <v xml:space="preserve">Cooling Capacity Modifier Curve Function of Flow Fraction Name </v>
      </c>
      <c r="C68" s="212" t="str">
        <f t="shared" si="56"/>
        <v>CoilClgVRFClgQratio_fCFMRatioSI</v>
      </c>
      <c r="D68" s="212" t="str">
        <f t="shared" si="56"/>
        <v>Cubic</v>
      </c>
      <c r="E68" s="212" t="str">
        <f t="shared" si="56"/>
        <v>Qratio</v>
      </c>
      <c r="F68" s="212" t="str">
        <f t="shared" si="56"/>
        <v>CFMRatio</v>
      </c>
      <c r="G68" s="212">
        <f t="shared" si="56"/>
        <v>0</v>
      </c>
      <c r="H68" s="212">
        <f t="shared" si="56"/>
        <v>0</v>
      </c>
      <c r="I68" s="212">
        <f t="shared" si="56"/>
        <v>0</v>
      </c>
      <c r="J68" s="212">
        <f t="shared" si="56"/>
        <v>0</v>
      </c>
      <c r="K68" s="212">
        <f>K33</f>
        <v>0.8</v>
      </c>
      <c r="L68" s="212">
        <f t="shared" ref="L68:P70" si="57">L33</f>
        <v>0.2</v>
      </c>
      <c r="M68" s="212">
        <f t="shared" si="57"/>
        <v>0</v>
      </c>
      <c r="N68" s="212">
        <f t="shared" si="57"/>
        <v>0</v>
      </c>
      <c r="O68" s="212">
        <f t="shared" si="57"/>
        <v>0</v>
      </c>
      <c r="P68" s="195">
        <f t="shared" si="57"/>
        <v>0</v>
      </c>
      <c r="S68" s="188">
        <f t="shared" si="38"/>
        <v>0.39999999999999963</v>
      </c>
      <c r="T68">
        <f t="shared" si="39"/>
        <v>0.42344762959999965</v>
      </c>
      <c r="U68">
        <f t="shared" si="40"/>
        <v>1</v>
      </c>
      <c r="V68" s="188">
        <f t="shared" si="41"/>
        <v>0.94462684884515868</v>
      </c>
      <c r="X68">
        <f t="shared" si="42"/>
        <v>0.52631562499999951</v>
      </c>
      <c r="Y68">
        <f t="shared" si="37"/>
        <v>0.80402010050251194</v>
      </c>
      <c r="Z68" s="188">
        <f t="shared" si="43"/>
        <v>0.94525029539071814</v>
      </c>
      <c r="AG68" s="189"/>
      <c r="AJ68" s="189"/>
      <c r="AM68" s="270" t="s">
        <v>1018</v>
      </c>
      <c r="AN68" s="272">
        <f>AE29</f>
        <v>0.91777680246913573</v>
      </c>
      <c r="AO68" s="273">
        <f>AF29</f>
        <v>1.0090397654320986</v>
      </c>
      <c r="AP68" s="274">
        <f>AG29</f>
        <v>1.0683606913580248</v>
      </c>
      <c r="AQ68" s="273">
        <f>AH30</f>
        <v>0.99179938271604939</v>
      </c>
      <c r="AR68" s="273">
        <f>AI30</f>
        <v>0.73709318672839497</v>
      </c>
      <c r="AS68" s="274">
        <f>AJ30</f>
        <v>0.6082413163580247</v>
      </c>
    </row>
    <row r="69" spans="1:45" ht="15.75" customHeight="1" x14ac:dyDescent="0.25">
      <c r="A69" s="332"/>
      <c r="B69" s="194" t="str">
        <f t="shared" ref="B69:J69" si="58">B34</f>
        <v>Heating Capacity Ratio Modifier Function of Temperature Curve Name</v>
      </c>
      <c r="C69" s="212" t="str">
        <f t="shared" si="58"/>
        <v>CoilHtgVRFHtgQratio_fTwbTdbSI</v>
      </c>
      <c r="D69" s="212" t="str">
        <f t="shared" si="58"/>
        <v>BiQuadratic</v>
      </c>
      <c r="E69" s="212" t="str">
        <f t="shared" si="58"/>
        <v>Qratio</v>
      </c>
      <c r="F69" s="212" t="str">
        <f t="shared" si="58"/>
        <v>Twb</v>
      </c>
      <c r="G69" s="212" t="str">
        <f t="shared" si="58"/>
        <v>Tdb</v>
      </c>
      <c r="H69" s="212">
        <f t="shared" si="58"/>
        <v>0</v>
      </c>
      <c r="I69" s="212">
        <f t="shared" si="58"/>
        <v>0</v>
      </c>
      <c r="J69" s="212">
        <f t="shared" si="58"/>
        <v>0</v>
      </c>
      <c r="K69" s="212">
        <f>K34-32*L69-1024*M69-32*N69-1024*O69-1024*P69</f>
        <v>-2.8081053691533229</v>
      </c>
      <c r="L69" s="212">
        <f>5/9*L34-64*25/81*M34-32*25/81*P34</f>
        <v>9.011331366515074E-2</v>
      </c>
      <c r="M69" s="212">
        <f>M34*25/81</f>
        <v>-5.9929329161111415E-4</v>
      </c>
      <c r="N69" s="212">
        <f>5/9*N34-64*25/81*O34-32*25/81*P34</f>
        <v>4.7146906825689401E-2</v>
      </c>
      <c r="O69" s="212">
        <f>O34*25/81</f>
        <v>-1.2375240740740743E-4</v>
      </c>
      <c r="P69" s="195">
        <f>P34*25/81</f>
        <v>-4.5740126543209874E-4</v>
      </c>
      <c r="S69" s="188">
        <f t="shared" si="38"/>
        <v>0.34999999999999964</v>
      </c>
      <c r="T69">
        <f t="shared" si="39"/>
        <v>0.38456431621249976</v>
      </c>
      <c r="U69">
        <f t="shared" si="40"/>
        <v>1</v>
      </c>
      <c r="V69" s="188">
        <f t="shared" si="41"/>
        <v>0.91012084388661585</v>
      </c>
      <c r="X69">
        <f t="shared" si="42"/>
        <v>0.52631562499999951</v>
      </c>
      <c r="Y69">
        <f t="shared" si="37"/>
        <v>0.72916666666666607</v>
      </c>
      <c r="Z69" s="188">
        <f t="shared" si="43"/>
        <v>0.91200028500008967</v>
      </c>
      <c r="AG69" s="189"/>
      <c r="AJ69" s="189"/>
      <c r="AM69" s="270" t="s">
        <v>1019</v>
      </c>
      <c r="AN69" s="270">
        <f>MAX(1,$K$44+$L$44*$AN$11+$M$44*$AN$11^2)</f>
        <v>1.12604185</v>
      </c>
      <c r="AO69" s="265">
        <f>MAX(1,$K$44+$L$44*$AN$11+$M$44*$AN$11^2)</f>
        <v>1.12604185</v>
      </c>
      <c r="AP69" s="271">
        <f>MAX(1,$K$44+$L$44*$AN$11+$M$44*$AN$11^2)</f>
        <v>1.12604185</v>
      </c>
      <c r="AQ69" s="265">
        <f>MAX(1,$K$49+$L$49*$AN$12+$M$49*$AN$12^2)</f>
        <v>1.0130877999999999</v>
      </c>
      <c r="AR69" s="265">
        <f>MAX(1,$K$49+$L$49*$AN$12+$M$49*$AN$12^2)</f>
        <v>1.0130877999999999</v>
      </c>
      <c r="AS69" s="271">
        <f>MAX(1,$K$49+$L$49*$AN$12+$M$49*$AN$12^2)</f>
        <v>1.0130877999999999</v>
      </c>
    </row>
    <row r="70" spans="1:45" ht="15.75" customHeight="1" thickBot="1" x14ac:dyDescent="0.3">
      <c r="A70" s="333"/>
      <c r="B70" s="196" t="str">
        <f t="shared" ref="B70:J70" si="59">B35</f>
        <v xml:space="preserve">Heating Capacity Modifier Curve Function of Flow Fraction Name </v>
      </c>
      <c r="C70" s="197" t="str">
        <f t="shared" si="59"/>
        <v>CoilHtgVRFHtgQratio_fCFMRatioSI</v>
      </c>
      <c r="D70" s="197" t="str">
        <f t="shared" si="59"/>
        <v>Cubic</v>
      </c>
      <c r="E70" s="197" t="str">
        <f t="shared" si="59"/>
        <v>Qratio</v>
      </c>
      <c r="F70" s="197" t="str">
        <f t="shared" si="59"/>
        <v>CFMRatio</v>
      </c>
      <c r="G70" s="197">
        <f t="shared" si="59"/>
        <v>0</v>
      </c>
      <c r="H70" s="197">
        <f t="shared" si="59"/>
        <v>0</v>
      </c>
      <c r="I70" s="197">
        <f t="shared" si="59"/>
        <v>0</v>
      </c>
      <c r="J70" s="197">
        <f t="shared" si="59"/>
        <v>0</v>
      </c>
      <c r="K70" s="197">
        <f>K35</f>
        <v>0.8</v>
      </c>
      <c r="L70" s="197">
        <f t="shared" si="57"/>
        <v>0.2</v>
      </c>
      <c r="M70" s="197">
        <f t="shared" si="57"/>
        <v>0</v>
      </c>
      <c r="N70" s="197">
        <f t="shared" si="57"/>
        <v>0</v>
      </c>
      <c r="O70" s="197">
        <f t="shared" si="57"/>
        <v>0</v>
      </c>
      <c r="P70" s="208">
        <f t="shared" si="57"/>
        <v>0</v>
      </c>
      <c r="S70" s="188">
        <f t="shared" si="38"/>
        <v>0.29999999999999966</v>
      </c>
      <c r="T70">
        <f t="shared" si="39"/>
        <v>0.3467946022999997</v>
      </c>
      <c r="U70">
        <f t="shared" si="40"/>
        <v>1</v>
      </c>
      <c r="V70" s="188">
        <f t="shared" si="41"/>
        <v>0.86506536725297789</v>
      </c>
      <c r="X70">
        <f t="shared" si="42"/>
        <v>0.52631562499999951</v>
      </c>
      <c r="Y70">
        <f t="shared" si="37"/>
        <v>0.64864864864864791</v>
      </c>
      <c r="Z70" s="188">
        <f t="shared" si="43"/>
        <v>0.87875027460946165</v>
      </c>
      <c r="AG70" s="189"/>
      <c r="AM70" s="270" t="s">
        <v>1033</v>
      </c>
      <c r="AN70" s="275">
        <f>$AN$9*AN68*AN69</f>
        <v>40598.389564285178</v>
      </c>
      <c r="AO70" s="276">
        <f>$AN$9*AO68*AO69</f>
        <v>44635.459702899738</v>
      </c>
      <c r="AP70" s="277">
        <f>$AN$9*AP68*AP69</f>
        <v>47259.555292999212</v>
      </c>
      <c r="AQ70" s="276">
        <f>$AN$10*AQ68*AQ69</f>
        <v>32914.623807928911</v>
      </c>
      <c r="AR70" s="276">
        <f>$AN$10*AR68*AR69</f>
        <v>24461.746372651804</v>
      </c>
      <c r="AS70" s="277">
        <f>$AN$10*AS68*AS69</f>
        <v>20185.568232094338</v>
      </c>
    </row>
    <row r="71" spans="1:45" ht="15.75" customHeight="1" x14ac:dyDescent="0.25">
      <c r="B71" s="212"/>
      <c r="C71" s="212"/>
      <c r="D71" s="212"/>
      <c r="E71" s="212"/>
      <c r="F71" s="212"/>
      <c r="G71" s="212"/>
      <c r="H71" s="212"/>
      <c r="I71" s="212"/>
      <c r="J71" s="212"/>
      <c r="K71" s="212"/>
      <c r="L71" s="212"/>
      <c r="M71" s="212"/>
      <c r="N71" s="212"/>
      <c r="O71" s="212"/>
      <c r="P71" s="212"/>
      <c r="S71" s="188">
        <f t="shared" si="38"/>
        <v>0.24999999999999967</v>
      </c>
      <c r="T71">
        <f t="shared" si="39"/>
        <v>0.31007504843749972</v>
      </c>
      <c r="U71">
        <f t="shared" si="40"/>
        <v>1</v>
      </c>
      <c r="V71" s="188">
        <f t="shared" si="41"/>
        <v>0.80625642488737981</v>
      </c>
      <c r="X71">
        <f t="shared" si="42"/>
        <v>0.52631562499999951</v>
      </c>
      <c r="Y71">
        <f t="shared" si="37"/>
        <v>0.56179775280898814</v>
      </c>
      <c r="Z71" s="188">
        <f t="shared" si="43"/>
        <v>0.84550026421883318</v>
      </c>
      <c r="AG71" s="189"/>
      <c r="AM71" s="270" t="s">
        <v>1020</v>
      </c>
      <c r="AN71" s="278">
        <f>$K$65+$L$65*$AN$13+$M$65*$AN$13^2+$N$65*$AN$11+$O$65*$AN$11^2+$P$65*$AN$13*$AN$11+$AN$21*$AN$14</f>
        <v>0.97485451532710088</v>
      </c>
      <c r="AO71" s="279">
        <f>$K$65+$L$65*$AN$13+$M$65*$AN$13^2+$N$65*$AN$11+$O$65*$AN$11^2+$P$65*$AN$13*$AN$11+$AN$21*$AN$14</f>
        <v>0.97485451532710088</v>
      </c>
      <c r="AP71" s="280">
        <f>$K$65+$L$65*$AN$13+$M$65*$AN$13^2+$N$65*$AN$11+$O$65*$AN$11^2+$P$65*$AN$13*$AN$11+$AN$21*$AN$14</f>
        <v>0.97485451532710088</v>
      </c>
      <c r="AQ71" s="279">
        <f>$K$66+$L$66*$AN$13+$M$66*$AN$13^2+$N$66*$AN$12+$O$66*$AN$12^2+$P$66*$AN$13*$AN$12+$AN$22*$AN$14</f>
        <v>0.97485451532710088</v>
      </c>
      <c r="AR71" s="279">
        <f>$K$66+$L$66*$AN$13+$M$66*$AN$13^2+$N$66*$AN$12+$O$66*$AN$12^2+$P$66*$AN$13*$AN$12+$AN$22*$AN$14</f>
        <v>0.97485451532710088</v>
      </c>
      <c r="AS71" s="280">
        <f>$K$66+$L$66*$AN$13+$M$66*$AN$13^2+$N$66*$AN$12+$O$66*$AN$12^2+$P$66*$AN$13*$AN$12+$AN$22*$AN$14</f>
        <v>0.97485451532710088</v>
      </c>
    </row>
    <row r="72" spans="1:45" ht="15.75" customHeight="1" x14ac:dyDescent="0.25">
      <c r="S72" s="188">
        <f t="shared" si="38"/>
        <v>0.19999999999999968</v>
      </c>
      <c r="T72">
        <f t="shared" si="39"/>
        <v>0.31007504843749972</v>
      </c>
      <c r="U72">
        <f t="shared" si="40"/>
        <v>0.82474226804123596</v>
      </c>
      <c r="V72" s="188">
        <f t="shared" si="41"/>
        <v>0.78206873214075934</v>
      </c>
      <c r="X72">
        <f t="shared" si="42"/>
        <v>0.52631562499999951</v>
      </c>
      <c r="Y72">
        <f t="shared" si="37"/>
        <v>0.46783625730994083</v>
      </c>
      <c r="Z72" s="188">
        <f t="shared" si="43"/>
        <v>0.81225025382820504</v>
      </c>
      <c r="AG72" s="189"/>
      <c r="AM72" s="270" t="s">
        <v>1034</v>
      </c>
      <c r="AN72" s="281">
        <f>AN70*AN71</f>
        <v>39577.523381752057</v>
      </c>
      <c r="AO72" s="282">
        <f t="shared" ref="AO72:AP72" si="60">AO70*AO71</f>
        <v>43513.079435072665</v>
      </c>
      <c r="AP72" s="283">
        <f t="shared" si="60"/>
        <v>46071.190869731072</v>
      </c>
      <c r="AQ72" s="282">
        <f>AQ70*AQ71</f>
        <v>32086.969639452393</v>
      </c>
      <c r="AR72" s="282">
        <f t="shared" ref="AR72:AS72" si="61">AR70*AR71</f>
        <v>23846.643904165943</v>
      </c>
      <c r="AS72" s="283">
        <f t="shared" si="61"/>
        <v>19677.99233550045</v>
      </c>
    </row>
    <row r="73" spans="1:45" ht="15.75" customHeight="1" x14ac:dyDescent="0.25">
      <c r="N73" s="189"/>
      <c r="S73" s="188">
        <f t="shared" si="38"/>
        <v>0.14999999999999969</v>
      </c>
      <c r="T73">
        <f t="shared" si="39"/>
        <v>0.31007504843749972</v>
      </c>
      <c r="U73">
        <f t="shared" si="40"/>
        <v>0.63829787234042434</v>
      </c>
      <c r="V73" s="188">
        <f t="shared" si="41"/>
        <v>0.75788103939413798</v>
      </c>
      <c r="X73">
        <f t="shared" si="42"/>
        <v>0.52631562499999951</v>
      </c>
      <c r="Y73">
        <f t="shared" si="37"/>
        <v>0.36585365853658469</v>
      </c>
      <c r="Z73" s="188">
        <f t="shared" si="43"/>
        <v>0.77900024343757657</v>
      </c>
      <c r="AG73" s="189"/>
      <c r="AJ73" s="189"/>
      <c r="AM73" s="270" t="s">
        <v>1021</v>
      </c>
      <c r="AN73" s="278">
        <f>AE35</f>
        <v>0.89584680970363362</v>
      </c>
      <c r="AO73" s="279">
        <f>AF35</f>
        <v>0.99758682575217406</v>
      </c>
      <c r="AP73" s="280">
        <f>AG35</f>
        <v>1.0475701040540952</v>
      </c>
      <c r="AQ73" s="279">
        <f>AH36</f>
        <v>1.0009748480856033</v>
      </c>
      <c r="AR73" s="279">
        <f>AI36</f>
        <v>0.78471492294455092</v>
      </c>
      <c r="AS73" s="280">
        <f>AJ36</f>
        <v>0.63583973955479656</v>
      </c>
    </row>
    <row r="74" spans="1:45" ht="15.75" customHeight="1" x14ac:dyDescent="0.25">
      <c r="S74" s="188">
        <f t="shared" si="38"/>
        <v>9.9999999999999686E-2</v>
      </c>
      <c r="T74">
        <f t="shared" si="39"/>
        <v>0.31007504843749972</v>
      </c>
      <c r="U74">
        <f t="shared" si="40"/>
        <v>0.43956043956043828</v>
      </c>
      <c r="V74" s="188">
        <f t="shared" si="41"/>
        <v>0.73369334664751651</v>
      </c>
      <c r="X74">
        <f t="shared" si="42"/>
        <v>0.52631562499999951</v>
      </c>
      <c r="Y74">
        <f t="shared" si="37"/>
        <v>0.25477707006369354</v>
      </c>
      <c r="Z74" s="188">
        <f t="shared" si="43"/>
        <v>0.74575023304694821</v>
      </c>
      <c r="AG74" s="189"/>
      <c r="AJ74" s="189"/>
      <c r="AM74" s="270" t="s">
        <v>1022</v>
      </c>
      <c r="AN74" s="278">
        <f>$K$68+$L$68*$AN$26+$M$68*$AN$26^2</f>
        <v>1</v>
      </c>
      <c r="AO74" s="279">
        <f>$K$68+$L$68*$AN$26+$M$68*$AN$26^2</f>
        <v>1</v>
      </c>
      <c r="AP74" s="280">
        <f>$K$68+$L$68*$AN$26+$M$68*$AN$26^2</f>
        <v>1</v>
      </c>
      <c r="AQ74" s="279">
        <f>$K$70+$L$70*$AN$26+$M$70*$AN$26^2</f>
        <v>1</v>
      </c>
      <c r="AR74" s="279">
        <f>$K$70+$L$70*$AN$26+$M$70*$AN$26^2</f>
        <v>1</v>
      </c>
      <c r="AS74" s="280">
        <f>$K$70+$L$70*$AN$26+$M$70*$AN$26^2</f>
        <v>1</v>
      </c>
    </row>
    <row r="75" spans="1:45" ht="15.75" customHeight="1" x14ac:dyDescent="0.25">
      <c r="S75" s="188">
        <f t="shared" ref="S75" si="62">S74-0.05</f>
        <v>4.9999999999999684E-2</v>
      </c>
      <c r="T75">
        <f t="shared" si="39"/>
        <v>0.31007504843749972</v>
      </c>
      <c r="U75">
        <f t="shared" si="40"/>
        <v>0.22727272727272588</v>
      </c>
      <c r="V75" s="188">
        <f t="shared" si="41"/>
        <v>0.70950565390089515</v>
      </c>
      <c r="X75">
        <f t="shared" si="42"/>
        <v>0.52631562499999951</v>
      </c>
      <c r="Y75">
        <f t="shared" si="37"/>
        <v>0.13333333333333253</v>
      </c>
      <c r="Z75" s="188">
        <f t="shared" si="43"/>
        <v>0.71250022265631996</v>
      </c>
      <c r="AG75" s="189"/>
      <c r="AJ75" s="189"/>
      <c r="AM75" s="270" t="s">
        <v>1023</v>
      </c>
      <c r="AN75" s="275">
        <f>$AN$15*AN73*AN74</f>
        <v>46806.114528714483</v>
      </c>
      <c r="AO75" s="276">
        <f>$AN$15*AO73*AO74</f>
        <v>52121.816713217013</v>
      </c>
      <c r="AP75" s="277">
        <f>$AN$15*AP73*AP74</f>
        <v>54733.338039607966</v>
      </c>
      <c r="AQ75" s="276">
        <f>$AN$16*AQ73*AQ74</f>
        <v>43610.672376363182</v>
      </c>
      <c r="AR75" s="276">
        <f>$AN$16*AR73*AR74</f>
        <v>34188.616705832785</v>
      </c>
      <c r="AS75" s="277">
        <f>$AN$16*AS73*AS74</f>
        <v>27702.392940871287</v>
      </c>
    </row>
    <row r="76" spans="1:45" ht="15.75" customHeight="1" x14ac:dyDescent="0.25">
      <c r="AG76" s="189"/>
      <c r="AJ76" s="189"/>
      <c r="AM76" s="270" t="s">
        <v>1024</v>
      </c>
      <c r="AN76" s="281">
        <f>MIN(AN72,AN75)</f>
        <v>39577.523381752057</v>
      </c>
      <c r="AO76" s="282">
        <f t="shared" ref="AO76:AP76" si="63">MIN(AO72,AO75)</f>
        <v>43513.079435072665</v>
      </c>
      <c r="AP76" s="283">
        <f t="shared" si="63"/>
        <v>46071.190869731072</v>
      </c>
      <c r="AQ76" s="282">
        <f>MIN(AQ72,AQ75)</f>
        <v>32086.969639452393</v>
      </c>
      <c r="AR76" s="282">
        <f t="shared" ref="AR76:AS76" si="64">MIN(AR72,AR75)</f>
        <v>23846.643904165943</v>
      </c>
      <c r="AS76" s="283">
        <f t="shared" si="64"/>
        <v>19677.99233550045</v>
      </c>
    </row>
    <row r="77" spans="1:45" ht="15.75" customHeight="1" x14ac:dyDescent="0.25">
      <c r="AG77" s="189"/>
      <c r="AJ77" s="189"/>
      <c r="AM77" s="270" t="s">
        <v>1041</v>
      </c>
      <c r="AN77" s="281">
        <f>AN76/12000*$AN$24*$AN$17</f>
        <v>329.81269484793381</v>
      </c>
      <c r="AO77" s="282">
        <f>AO76/12000*$AN$24*$AN$17</f>
        <v>362.6089952922722</v>
      </c>
      <c r="AP77" s="283">
        <f>AP76/12000*$AN$24*$AN$17</f>
        <v>383.92659058109228</v>
      </c>
      <c r="AQ77" s="282">
        <f>AQ76/12000*$AN$25*$AN$17</f>
        <v>0.13870929583721606</v>
      </c>
      <c r="AR77" s="282">
        <f>AR76/12000*$AN$25*$AN$17</f>
        <v>0.10308705437738401</v>
      </c>
      <c r="AS77" s="283">
        <f>AS76/12000*$AN$25*$AN$17</f>
        <v>8.5066321033673814E-2</v>
      </c>
    </row>
    <row r="78" spans="1:45" ht="15.75" customHeight="1" x14ac:dyDescent="0.25">
      <c r="AG78" s="189"/>
      <c r="AJ78" s="189"/>
      <c r="AM78" s="270" t="s">
        <v>1025</v>
      </c>
      <c r="AN78" s="284">
        <f>AN76-AN77*3.412</f>
        <v>38452.202466930903</v>
      </c>
      <c r="AO78" s="285">
        <f t="shared" ref="AO78:AP78" si="65">AO76-AO77*3.412</f>
        <v>42275.857543135433</v>
      </c>
      <c r="AP78" s="286">
        <f t="shared" si="65"/>
        <v>44761.233342668384</v>
      </c>
      <c r="AQ78" s="287">
        <f>AQ76+AQ77*3.412</f>
        <v>32087.442915569791</v>
      </c>
      <c r="AR78" s="285">
        <f t="shared" ref="AR78:AS78" si="66">AR76+AR77*3.412</f>
        <v>23846.99563719548</v>
      </c>
      <c r="AS78" s="286">
        <f t="shared" si="66"/>
        <v>19678.282581787818</v>
      </c>
    </row>
    <row r="79" spans="1:45" ht="15.75" customHeight="1" x14ac:dyDescent="0.25">
      <c r="AG79" s="189"/>
      <c r="AJ79" s="189"/>
      <c r="AM79" s="270" t="s">
        <v>1026</v>
      </c>
      <c r="AN79" s="281">
        <f>AN76/AN71</f>
        <v>40598.389564285178</v>
      </c>
      <c r="AO79" s="282">
        <f t="shared" ref="AO79:AP79" si="67">AO76/AO71</f>
        <v>44635.459702899738</v>
      </c>
      <c r="AP79" s="283">
        <f t="shared" si="67"/>
        <v>47259.555292999212</v>
      </c>
      <c r="AQ79" s="282">
        <f>AQ76/AQ71</f>
        <v>32914.623807928911</v>
      </c>
      <c r="AR79" s="282">
        <f t="shared" ref="AR79:AS79" si="68">AR76/AR71</f>
        <v>24461.746372651804</v>
      </c>
      <c r="AS79" s="283">
        <f t="shared" si="68"/>
        <v>20185.568232094338</v>
      </c>
    </row>
    <row r="80" spans="1:45" ht="15.75" customHeight="1" x14ac:dyDescent="0.25">
      <c r="AG80" s="189"/>
      <c r="AJ80" s="189"/>
      <c r="AM80" s="270" t="s">
        <v>1028</v>
      </c>
      <c r="AN80" s="281">
        <f>MIN(AN70,AN79)</f>
        <v>40598.389564285178</v>
      </c>
      <c r="AO80" s="282">
        <f t="shared" ref="AO80:AP80" si="69">MIN(AO70,AO79)</f>
        <v>44635.459702899738</v>
      </c>
      <c r="AP80" s="283">
        <f t="shared" si="69"/>
        <v>47259.555292999212</v>
      </c>
      <c r="AQ80" s="282">
        <f>MIN(AQ70,AQ79)</f>
        <v>32914.623807928911</v>
      </c>
      <c r="AR80" s="282">
        <f t="shared" ref="AR80:AS80" si="70">MIN(AR70,AR79)</f>
        <v>24461.746372651804</v>
      </c>
      <c r="AS80" s="283">
        <f t="shared" si="70"/>
        <v>20185.568232094338</v>
      </c>
    </row>
    <row r="81" spans="33:45" ht="15.75" customHeight="1" x14ac:dyDescent="0.25">
      <c r="AG81" s="189"/>
      <c r="AJ81" s="189"/>
      <c r="AM81" s="270" t="s">
        <v>1029</v>
      </c>
      <c r="AN81" s="270">
        <f>AN80/AN70</f>
        <v>1</v>
      </c>
      <c r="AO81" s="265">
        <f t="shared" ref="AO81:AP81" si="71">AO80/AO70</f>
        <v>1</v>
      </c>
      <c r="AP81" s="271">
        <f t="shared" si="71"/>
        <v>1</v>
      </c>
      <c r="AQ81" s="265">
        <f>AQ80/AQ70</f>
        <v>1</v>
      </c>
      <c r="AR81" s="265">
        <f t="shared" ref="AR81:AS81" si="72">AR80/AR70</f>
        <v>1</v>
      </c>
      <c r="AS81" s="271">
        <f t="shared" si="72"/>
        <v>1</v>
      </c>
    </row>
    <row r="82" spans="33:45" ht="15.75" customHeight="1" x14ac:dyDescent="0.25">
      <c r="AG82" s="189"/>
      <c r="AJ82" s="189"/>
      <c r="AM82" s="270" t="s">
        <v>1030</v>
      </c>
      <c r="AN82" s="278">
        <f>AE31</f>
        <v>1.2891588500000002</v>
      </c>
      <c r="AO82" s="279">
        <f>AF31</f>
        <v>1.0007620475308643</v>
      </c>
      <c r="AP82" s="280">
        <f>AG31</f>
        <v>0.83492493148148172</v>
      </c>
      <c r="AQ82" s="279">
        <f>AH32</f>
        <v>0.99812153671288995</v>
      </c>
      <c r="AR82" s="279">
        <f>AI32</f>
        <v>1.4499619702687747</v>
      </c>
      <c r="AS82" s="280">
        <f>AJ32</f>
        <v>1.7270813906239848</v>
      </c>
    </row>
    <row r="83" spans="33:45" ht="15.75" customHeight="1" x14ac:dyDescent="0.25">
      <c r="AG83" s="189"/>
      <c r="AJ83" s="189"/>
      <c r="AM83" s="270" t="s">
        <v>1037</v>
      </c>
      <c r="AN83" s="278">
        <f>$X$11+$Y$11*AN81+$Z$11*AN81^2+$X$12*AN81^3+$Y$12*AN81^4+$Z$12*AN81^5</f>
        <v>0.992584228515625</v>
      </c>
      <c r="AO83" s="279">
        <f>$X$11+$Y$11*AO81+$Z$11*AO81^2+$X$12*AO81^3+$Y$12*AO81^4+$Z$12*AO81^5</f>
        <v>0.992584228515625</v>
      </c>
      <c r="AP83" s="280">
        <f>$X$11+$Y$11*AP81+$Z$11*AP81^2+$X$12*AP81^3+$Y$12*AP81^4+$Z$12*AP81^5</f>
        <v>0.992584228515625</v>
      </c>
      <c r="AQ83" s="279">
        <f>$X$53+$Y$53*AQ81+$Z$53*AQ81^2+$X$54*AQ81^3+$Y$54*AQ81^4+$Z$54*AQ81^5</f>
        <v>0.99999379078676931</v>
      </c>
      <c r="AR83" s="279">
        <f>$X$53+$Y$53*AR81+$Z$53*AR81^2+$X$54*AR81^3+$Y$54*AR81^4+$Z$54*AR81^5</f>
        <v>0.99999379078676931</v>
      </c>
      <c r="AS83" s="280">
        <f>$X$53+$Y$53*AS81+$Z$53*AS81^2+$X$54*AS81^3+$Y$54*AS81^4+$Z$54*AS81^5</f>
        <v>0.99999379078676931</v>
      </c>
    </row>
    <row r="84" spans="33:45" ht="15.75" customHeight="1" x14ac:dyDescent="0.25">
      <c r="AG84" s="189"/>
      <c r="AM84" s="270" t="s">
        <v>1027</v>
      </c>
      <c r="AN84" s="281">
        <f>AN70*$AN$7*AN82*AN83</f>
        <v>10915.400339206895</v>
      </c>
      <c r="AO84" s="282">
        <f>AO70*$AN$7*AO82*AO83</f>
        <v>9316.1241356863466</v>
      </c>
      <c r="AP84" s="283">
        <f>AP70*$AN$7*AP82*AP83</f>
        <v>8229.2733437747593</v>
      </c>
      <c r="AQ84" s="282">
        <f>AQ70*$AN$8*AQ82*AQ83</f>
        <v>8324.123778450723</v>
      </c>
      <c r="AR84" s="282">
        <f>AR70*$AN$8*AR82*AR83</f>
        <v>8986.9076271476169</v>
      </c>
      <c r="AS84" s="283">
        <f>AS70*$AN$8*AS82*AS83</f>
        <v>8833.2392042349347</v>
      </c>
    </row>
    <row r="85" spans="33:45" ht="15.75" customHeight="1" x14ac:dyDescent="0.25">
      <c r="AG85" s="189"/>
      <c r="AJ85" s="189"/>
      <c r="AM85" s="270" t="s">
        <v>1031</v>
      </c>
      <c r="AN85" s="288">
        <f>AN78/(AN84+AN77*3.412)</f>
        <v>3.1935132169982996</v>
      </c>
      <c r="AO85" s="289">
        <f t="shared" ref="AO85:AP85" si="73">AO78/(AO84+AO77*3.412)</f>
        <v>4.0059197748730684</v>
      </c>
      <c r="AP85" s="290">
        <f t="shared" si="73"/>
        <v>4.6923314834017438</v>
      </c>
      <c r="AQ85" s="291">
        <f>AQ78/(AQ84+AQ77*3.412)</f>
        <v>3.8545340639595067</v>
      </c>
      <c r="AR85" s="289">
        <f t="shared" ref="AR85:AS85" si="74">AR78/(AR84+AR77*3.412)</f>
        <v>2.6534224374187212</v>
      </c>
      <c r="AS85" s="290">
        <f t="shared" si="74"/>
        <v>2.2276806447534172</v>
      </c>
    </row>
    <row r="86" spans="33:45" ht="15.75" customHeight="1" x14ac:dyDescent="0.25">
      <c r="AG86" s="189"/>
      <c r="AJ86" s="189"/>
      <c r="AM86" s="270" t="s">
        <v>1032</v>
      </c>
      <c r="AN86" s="281">
        <f>AN70*$AN$19</f>
        <v>22329.114260356851</v>
      </c>
      <c r="AO86" s="282">
        <f>AO70*$AN$19</f>
        <v>24549.502836594856</v>
      </c>
      <c r="AP86" s="283">
        <f>AP70*$AN$19</f>
        <v>25992.75541114957</v>
      </c>
      <c r="AQ86" s="282">
        <f>AQ70*$AN$20</f>
        <v>18103.043094360903</v>
      </c>
      <c r="AR86" s="282">
        <f>AR70*$AN$20</f>
        <v>13453.960504958493</v>
      </c>
      <c r="AS86" s="283">
        <f>AS70*$AN$20</f>
        <v>11102.062527651886</v>
      </c>
    </row>
    <row r="87" spans="33:45" ht="15.75" customHeight="1" x14ac:dyDescent="0.25">
      <c r="AG87" s="189"/>
      <c r="AJ87" s="189"/>
      <c r="AM87" s="270" t="s">
        <v>1035</v>
      </c>
      <c r="AN87" s="281">
        <f>AN86*AN71</f>
        <v>21767.637859963634</v>
      </c>
      <c r="AO87" s="282">
        <f t="shared" ref="AO87:AP87" si="75">AO86*AO71</f>
        <v>23932.193689289968</v>
      </c>
      <c r="AP87" s="283">
        <f t="shared" si="75"/>
        <v>25339.154978352093</v>
      </c>
      <c r="AQ87" s="282">
        <f>AQ86*AQ71</f>
        <v>17647.833301698818</v>
      </c>
      <c r="AR87" s="282">
        <f t="shared" ref="AR87:AS87" si="76">AR86*AR71</f>
        <v>13115.654147291269</v>
      </c>
      <c r="AS87" s="283">
        <f t="shared" si="76"/>
        <v>10822.895784525248</v>
      </c>
    </row>
    <row r="88" spans="33:45" ht="15.75" customHeight="1" x14ac:dyDescent="0.25">
      <c r="AG88" s="189"/>
      <c r="AJ88" s="189"/>
      <c r="AM88" s="270" t="s">
        <v>1036</v>
      </c>
      <c r="AN88" s="270">
        <f>$K$68+$L$68*$AN$27+$M$68*$AN$27^2</f>
        <v>0.91</v>
      </c>
      <c r="AO88" s="265">
        <f>$K$68+$L$68*$AN$27+$M$68*$AN$27^2</f>
        <v>0.91</v>
      </c>
      <c r="AP88" s="271">
        <f>$K$68+$L$68*$AN$27+$M$68*$AN$27^2</f>
        <v>0.91</v>
      </c>
      <c r="AQ88" s="265">
        <f>$K$70+$L$70*$AN$27+$M$70*$AN$27^2</f>
        <v>0.91</v>
      </c>
      <c r="AR88" s="265">
        <f>$K$70+$L$70*$AN$27+$M$70*$AN$27^2</f>
        <v>0.91</v>
      </c>
      <c r="AS88" s="271">
        <f>$K$70+$L$70*$AN$27+$M$70*$AN$27^2</f>
        <v>0.91</v>
      </c>
    </row>
    <row r="89" spans="33:45" ht="15.75" customHeight="1" x14ac:dyDescent="0.25">
      <c r="AG89" s="189"/>
      <c r="AJ89" s="189"/>
      <c r="AM89" s="270" t="s">
        <v>1038</v>
      </c>
      <c r="AN89" s="275">
        <f>$AN$15*AN73*AN88</f>
        <v>42593.564221130182</v>
      </c>
      <c r="AO89" s="276">
        <f>$AN$15*AO73*AO88</f>
        <v>47430.853209027482</v>
      </c>
      <c r="AP89" s="277">
        <f>$AN$15*AP73*AP88</f>
        <v>49807.337616043253</v>
      </c>
      <c r="AQ89" s="276">
        <f>$AN$16*AQ73*AQ88</f>
        <v>39685.711862490498</v>
      </c>
      <c r="AR89" s="276">
        <f>$AN$16*AR73*AR88</f>
        <v>31111.641202307834</v>
      </c>
      <c r="AS89" s="277">
        <f>$AN$16*AS73*AS88</f>
        <v>25209.177576192873</v>
      </c>
    </row>
    <row r="90" spans="33:45" ht="15.75" customHeight="1" x14ac:dyDescent="0.25">
      <c r="AG90" s="189"/>
      <c r="AJ90" s="189"/>
      <c r="AM90" s="292" t="s">
        <v>1039</v>
      </c>
      <c r="AN90" s="293">
        <f>MIN(AN87,AN89)</f>
        <v>21767.637859963634</v>
      </c>
      <c r="AO90" s="294">
        <f t="shared" ref="AO90:AP90" si="77">MIN(AO87,AO89)</f>
        <v>23932.193689289968</v>
      </c>
      <c r="AP90" s="295">
        <f t="shared" si="77"/>
        <v>25339.154978352093</v>
      </c>
      <c r="AQ90" s="294">
        <f>MIN(AQ87,AQ89)</f>
        <v>17647.833301698818</v>
      </c>
      <c r="AR90" s="294">
        <f t="shared" ref="AR90:AS90" si="78">MIN(AR87,AR89)</f>
        <v>13115.654147291269</v>
      </c>
      <c r="AS90" s="295">
        <f t="shared" si="78"/>
        <v>10822.895784525248</v>
      </c>
    </row>
    <row r="91" spans="33:45" ht="15.75" customHeight="1" x14ac:dyDescent="0.25">
      <c r="AG91" s="189"/>
      <c r="AJ91" s="189"/>
      <c r="AM91" s="270" t="s">
        <v>1040</v>
      </c>
      <c r="AN91" s="281">
        <f>MAX($AN$15*$AN$27,AN90)/12000*$AN$24*$AN$17</f>
        <v>239.46954166666669</v>
      </c>
      <c r="AO91" s="282">
        <f>MAX($AN$15*$AN$27,AO90)/12000*$AN$24*$AN$17</f>
        <v>239.46954166666669</v>
      </c>
      <c r="AP91" s="283">
        <f>MAX($AN$15*$AN$27,AP90)/12000*$AN$24*$AN$17</f>
        <v>239.46954166666669</v>
      </c>
      <c r="AQ91" s="282">
        <f>MAX($AN$16*$AN$27,AQ90)/12000*$AN$25*$AN$17</f>
        <v>0.10358793385416666</v>
      </c>
      <c r="AR91" s="282">
        <f>MAX($AN$16*$AN$27,AR90)/12000*$AN$25*$AN$17</f>
        <v>0.10358793385416666</v>
      </c>
      <c r="AS91" s="283">
        <f>MAX($AN$16*$AN$27,AS90)/12000*$AN$25*$AN$17</f>
        <v>0.10358793385416666</v>
      </c>
    </row>
    <row r="92" spans="33:45" ht="15.75" customHeight="1" x14ac:dyDescent="0.25">
      <c r="AG92" s="189"/>
      <c r="AJ92" s="189"/>
      <c r="AM92" s="270" t="s">
        <v>1042</v>
      </c>
      <c r="AN92" s="284">
        <f>AN90-AN91*3.412</f>
        <v>20950.567783796967</v>
      </c>
      <c r="AO92" s="285">
        <f t="shared" ref="AO92:AP92" si="79">AO90-AO91*3.412</f>
        <v>23115.123613123302</v>
      </c>
      <c r="AP92" s="286">
        <f t="shared" si="79"/>
        <v>24522.084902185426</v>
      </c>
      <c r="AQ92" s="287">
        <f>AQ90+AQ91*3.412</f>
        <v>17648.186743729129</v>
      </c>
      <c r="AR92" s="285">
        <f t="shared" ref="AR92:AS92" si="80">AR90+AR91*3.412</f>
        <v>13116.00758932158</v>
      </c>
      <c r="AS92" s="286">
        <f t="shared" si="80"/>
        <v>10823.249226555559</v>
      </c>
    </row>
    <row r="93" spans="33:45" ht="15.75" customHeight="1" x14ac:dyDescent="0.25">
      <c r="AG93" s="189"/>
      <c r="AJ93" s="189"/>
      <c r="AM93" s="270" t="s">
        <v>1043</v>
      </c>
      <c r="AN93" s="281">
        <f>AN90/AN71</f>
        <v>22329.114260356851</v>
      </c>
      <c r="AO93" s="282">
        <f t="shared" ref="AO93:AP93" si="81">AO90/AO71</f>
        <v>24549.502836594856</v>
      </c>
      <c r="AP93" s="283">
        <f t="shared" si="81"/>
        <v>25992.75541114957</v>
      </c>
      <c r="AQ93" s="282">
        <f>AQ90/AQ71</f>
        <v>18103.043094360903</v>
      </c>
      <c r="AR93" s="282">
        <f t="shared" ref="AR93:AS93" si="82">AR90/AR71</f>
        <v>13453.960504958492</v>
      </c>
      <c r="AS93" s="283">
        <f t="shared" si="82"/>
        <v>11102.062527651886</v>
      </c>
    </row>
    <row r="94" spans="33:45" ht="15.75" customHeight="1" x14ac:dyDescent="0.25">
      <c r="AG94" s="189"/>
      <c r="AJ94" s="189"/>
      <c r="AM94" s="270" t="s">
        <v>1044</v>
      </c>
      <c r="AN94" s="281">
        <f>MAX(AN86,AN93)</f>
        <v>22329.114260356851</v>
      </c>
      <c r="AO94" s="282">
        <f t="shared" ref="AO94:AP94" si="83">MAX(AO86,AO93)</f>
        <v>24549.502836594856</v>
      </c>
      <c r="AP94" s="283">
        <f t="shared" si="83"/>
        <v>25992.75541114957</v>
      </c>
      <c r="AQ94" s="282">
        <f>MAX(AQ86,AQ93)</f>
        <v>18103.043094360903</v>
      </c>
      <c r="AR94" s="282">
        <f t="shared" ref="AR94:AS94" si="84">MAX(AR86,AR93)</f>
        <v>13453.960504958493</v>
      </c>
      <c r="AS94" s="283">
        <f t="shared" si="84"/>
        <v>11102.062527651886</v>
      </c>
    </row>
    <row r="95" spans="33:45" ht="15.75" customHeight="1" x14ac:dyDescent="0.25">
      <c r="AG95" s="189"/>
      <c r="AJ95" s="189"/>
      <c r="AM95" s="270" t="s">
        <v>1045</v>
      </c>
      <c r="AN95" s="270">
        <f>AN94/AN70</f>
        <v>0.55000000000000004</v>
      </c>
      <c r="AO95" s="265">
        <f t="shared" ref="AO95:AP95" si="85">AO94/AO70</f>
        <v>0.55000000000000004</v>
      </c>
      <c r="AP95" s="271">
        <f t="shared" si="85"/>
        <v>0.55000000000000004</v>
      </c>
      <c r="AQ95" s="265">
        <f>AQ94/AQ70</f>
        <v>0.55000000000000004</v>
      </c>
      <c r="AR95" s="265">
        <f t="shared" ref="AR95:AS95" si="86">AR94/AR70</f>
        <v>0.55000000000000004</v>
      </c>
      <c r="AS95" s="271">
        <f t="shared" si="86"/>
        <v>0.55000000000000004</v>
      </c>
    </row>
    <row r="96" spans="33:45" ht="15.75" customHeight="1" x14ac:dyDescent="0.25">
      <c r="AG96" s="189"/>
      <c r="AJ96" s="189"/>
      <c r="AM96" s="270" t="s">
        <v>1046</v>
      </c>
      <c r="AN96" s="278">
        <f>$X$11+$Y$11*AN95+$Z$11*AN95^2+$X$12*AN95^3+$Y$12*AN95^4+$Z$12*AN95^5</f>
        <v>0.43290923361778261</v>
      </c>
      <c r="AO96" s="279">
        <f>$X$11+$Y$11*AO95+$Z$11*AO95^2+$X$12*AO95^3+$Y$12*AO95^4+$Z$12*AO95^5</f>
        <v>0.43290923361778261</v>
      </c>
      <c r="AP96" s="280">
        <f>$X$11+$Y$11*AP95+$Z$11*AP95^2+$X$12*AP95^3+$Y$12*AP95^4+$Z$12*AP95^5</f>
        <v>0.43290923361778261</v>
      </c>
      <c r="AQ96" s="279">
        <f>$X$53+$Y$53*AQ95+$Z$53*AQ95^2+$X$54*AQ95^3+$Y$54*AQ95^4+$Z$54*AQ95^5</f>
        <v>0.52631562499999995</v>
      </c>
      <c r="AR96" s="279">
        <f>$X$53+$Y$53*AR95+$Z$53*AR95^2+$X$54*AR95^3+$Y$54*AR95^4+$Z$54*AR95^5</f>
        <v>0.52631562499999995</v>
      </c>
      <c r="AS96" s="280">
        <f>$X$53+$Y$53*AS95+$Z$53*AS95^2+$X$54*AS95^3+$Y$54*AS95^4+$Z$54*AS95^5</f>
        <v>0.52631562499999995</v>
      </c>
    </row>
    <row r="97" spans="33:45" ht="15.75" customHeight="1" x14ac:dyDescent="0.25">
      <c r="AG97" s="189"/>
      <c r="AJ97" s="189"/>
      <c r="AM97" s="270" t="s">
        <v>1047</v>
      </c>
      <c r="AN97" s="275">
        <f>AN70*$AN$7*AN82*AN96</f>
        <v>4760.6817232467802</v>
      </c>
      <c r="AO97" s="276">
        <f t="shared" ref="AO97:AP97" si="87">AO70*$AN$7*AO82*AO96</f>
        <v>4063.1676829072412</v>
      </c>
      <c r="AP97" s="277">
        <f t="shared" si="87"/>
        <v>3589.1446933550565</v>
      </c>
      <c r="AQ97" s="276">
        <f>AQ70*$AN$8*AQ82*AQ96</f>
        <v>4381.1436124875381</v>
      </c>
      <c r="AR97" s="276">
        <f t="shared" ref="AR97:AS97" si="88">AR70*$AN$8*AR82*AR96</f>
        <v>4729.979274049354</v>
      </c>
      <c r="AS97" s="277">
        <f t="shared" si="88"/>
        <v>4649.1006798088638</v>
      </c>
    </row>
    <row r="98" spans="33:45" ht="15.75" customHeight="1" thickBot="1" x14ac:dyDescent="0.3">
      <c r="AG98" s="189"/>
      <c r="AJ98" s="189"/>
      <c r="AM98" s="296" t="s">
        <v>1048</v>
      </c>
      <c r="AN98" s="297">
        <f>AN92/(AN97+AN91*3.412)</f>
        <v>3.7560953834482409</v>
      </c>
      <c r="AO98" s="298">
        <f t="shared" ref="AO98:AS98" si="89">AO92/(AO97+AO91*3.412)</f>
        <v>4.7364748920572497</v>
      </c>
      <c r="AP98" s="299">
        <f t="shared" si="89"/>
        <v>5.5653403623916411</v>
      </c>
      <c r="AQ98" s="300">
        <f t="shared" si="89"/>
        <v>4.0278896742682351</v>
      </c>
      <c r="AR98" s="298">
        <f t="shared" si="89"/>
        <v>2.7727452542052204</v>
      </c>
      <c r="AS98" s="299">
        <f t="shared" si="89"/>
        <v>2.3278537529206185</v>
      </c>
    </row>
    <row r="99" spans="33:45" ht="15.75" customHeight="1" x14ac:dyDescent="0.25">
      <c r="AG99" s="189"/>
      <c r="AJ99" s="189"/>
    </row>
    <row r="100" spans="33:45" ht="15.75" customHeight="1" x14ac:dyDescent="0.25">
      <c r="AG100" s="189"/>
      <c r="AJ100" s="189"/>
    </row>
    <row r="101" spans="33:45" ht="15.75" customHeight="1" x14ac:dyDescent="0.25">
      <c r="AG101" s="189"/>
      <c r="AJ101" s="189"/>
    </row>
    <row r="102" spans="33:45" ht="15.75" customHeight="1" x14ac:dyDescent="0.25">
      <c r="AG102" s="189"/>
      <c r="AJ102" s="189"/>
    </row>
    <row r="103" spans="33:45" ht="15.75" customHeight="1" x14ac:dyDescent="0.25">
      <c r="AG103" s="189"/>
      <c r="AJ103" s="189"/>
    </row>
    <row r="104" spans="33:45" ht="15.75" customHeight="1" x14ac:dyDescent="0.25">
      <c r="AG104" s="189"/>
      <c r="AJ104" s="189"/>
    </row>
    <row r="105" spans="33:45" ht="15.75" customHeight="1" x14ac:dyDescent="0.25">
      <c r="AG105" s="189"/>
      <c r="AJ105" s="189"/>
    </row>
    <row r="106" spans="33:45" ht="15.75" customHeight="1" x14ac:dyDescent="0.25">
      <c r="AG106" s="189"/>
      <c r="AJ106" s="189"/>
    </row>
    <row r="107" spans="33:45" ht="15.75" customHeight="1" x14ac:dyDescent="0.25">
      <c r="AG107" s="189"/>
      <c r="AJ107" s="189"/>
    </row>
    <row r="108" spans="33:45" ht="15.75" customHeight="1" x14ac:dyDescent="0.25">
      <c r="AG108" s="189"/>
      <c r="AJ108" s="189"/>
    </row>
    <row r="109" spans="33:45" ht="15.75" customHeight="1" x14ac:dyDescent="0.25">
      <c r="AG109" s="189"/>
      <c r="AJ109" s="189"/>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328" t="s">
        <v>583</v>
      </c>
      <c r="C4" s="329"/>
      <c r="D4" s="330"/>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328" t="s">
        <v>587</v>
      </c>
      <c r="C13" s="329"/>
      <c r="D13" s="330"/>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328" t="s">
        <v>588</v>
      </c>
      <c r="C22" s="329"/>
      <c r="D22" s="330"/>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328" t="s">
        <v>589</v>
      </c>
      <c r="C31" s="329"/>
      <c r="D31" s="330"/>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328" t="s">
        <v>590</v>
      </c>
      <c r="C40" s="329"/>
      <c r="D40" s="330"/>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328" t="s">
        <v>591</v>
      </c>
      <c r="C49" s="329"/>
      <c r="D49" s="330"/>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328" t="s">
        <v>592</v>
      </c>
      <c r="C58" s="329"/>
      <c r="D58" s="330"/>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328" t="s">
        <v>593</v>
      </c>
      <c r="C67" s="329"/>
      <c r="D67" s="330"/>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331" t="s">
        <v>27</v>
      </c>
      <c r="H11" s="331"/>
      <c r="I11" s="331"/>
    </row>
    <row r="12" spans="1:10" x14ac:dyDescent="0.25">
      <c r="G12" s="21" t="s">
        <v>264</v>
      </c>
      <c r="H12" s="331" t="s">
        <v>265</v>
      </c>
      <c r="I12" s="331"/>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2022-08-05T20:35:32Z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