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CBECC-Com\CBECC-Com13\CBECC-Com_trunk\CBECC-Com13\Projects\Other901Tests\"/>
    </mc:Choice>
  </mc:AlternateContent>
  <bookViews>
    <workbookView xWindow="0" yWindow="0" windowWidth="28560" windowHeight="12375"/>
  </bookViews>
  <sheets>
    <sheet name="Examples" sheetId="1" r:id="rId1"/>
    <sheet name="Property Outline" sheetId="3" r:id="rId2"/>
    <sheet name="Sheet1" sheetId="2" r:id="rId3"/>
  </sheets>
  <definedNames>
    <definedName name="SpecMthd">Examples!$A$4:$A$5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22" i="1" l="1"/>
  <c r="M321" i="1"/>
  <c r="M279" i="1"/>
  <c r="M278" i="1"/>
  <c r="M236" i="1"/>
  <c r="M235" i="1"/>
  <c r="M168" i="1"/>
  <c r="M167" i="1"/>
  <c r="M125" i="1"/>
  <c r="M124" i="1"/>
  <c r="M82" i="1"/>
  <c r="M81" i="1"/>
  <c r="M39" i="1"/>
  <c r="M38" i="1"/>
  <c r="D70" i="1" l="1"/>
  <c r="D27" i="1"/>
  <c r="H47" i="1"/>
  <c r="G47" i="1"/>
  <c r="F47" i="1"/>
  <c r="E47" i="1"/>
  <c r="D47" i="1"/>
  <c r="I44" i="1"/>
  <c r="H44" i="1"/>
  <c r="G44" i="1"/>
  <c r="F44" i="1"/>
  <c r="E44" i="1"/>
  <c r="D44" i="1"/>
  <c r="L44" i="1" s="1"/>
  <c r="H90" i="1"/>
  <c r="G90" i="1"/>
  <c r="F90" i="1"/>
  <c r="E90" i="1"/>
  <c r="D90" i="1"/>
  <c r="I87" i="1"/>
  <c r="H87" i="1"/>
  <c r="J87" i="1" s="1"/>
  <c r="G87" i="1"/>
  <c r="F87" i="1"/>
  <c r="E87" i="1"/>
  <c r="D87" i="1"/>
  <c r="H133" i="1"/>
  <c r="G133" i="1"/>
  <c r="F133" i="1"/>
  <c r="E133" i="1"/>
  <c r="D133" i="1"/>
  <c r="I130" i="1"/>
  <c r="H130" i="1"/>
  <c r="G130" i="1"/>
  <c r="F130" i="1"/>
  <c r="E130" i="1"/>
  <c r="D130" i="1"/>
  <c r="L130" i="1" s="1"/>
  <c r="H176" i="1"/>
  <c r="G176" i="1"/>
  <c r="F176" i="1"/>
  <c r="E176" i="1"/>
  <c r="D176" i="1"/>
  <c r="L173" i="1"/>
  <c r="I173" i="1"/>
  <c r="H173" i="1"/>
  <c r="G173" i="1"/>
  <c r="F173" i="1"/>
  <c r="E173" i="1"/>
  <c r="D173" i="1"/>
  <c r="J173" i="1" s="1"/>
  <c r="H373" i="1"/>
  <c r="G373" i="1"/>
  <c r="F373" i="1"/>
  <c r="E373" i="1"/>
  <c r="D373" i="1"/>
  <c r="I370" i="1"/>
  <c r="H370" i="1"/>
  <c r="G370" i="1"/>
  <c r="F370" i="1"/>
  <c r="E370" i="1"/>
  <c r="D370" i="1"/>
  <c r="D368" i="1"/>
  <c r="D369" i="1" s="1"/>
  <c r="H330" i="1"/>
  <c r="G330" i="1"/>
  <c r="F330" i="1"/>
  <c r="D330" i="1"/>
  <c r="I327" i="1"/>
  <c r="H327" i="1"/>
  <c r="G327" i="1"/>
  <c r="F327" i="1"/>
  <c r="D327" i="1"/>
  <c r="H287" i="1"/>
  <c r="G287" i="1"/>
  <c r="F287" i="1"/>
  <c r="E287" i="1"/>
  <c r="I284" i="1"/>
  <c r="H284" i="1"/>
  <c r="J284" i="1" s="1"/>
  <c r="G284" i="1"/>
  <c r="F284" i="1"/>
  <c r="E284" i="1"/>
  <c r="D284" i="1"/>
  <c r="H244" i="1"/>
  <c r="G244" i="1"/>
  <c r="F244" i="1"/>
  <c r="E244" i="1"/>
  <c r="E241" i="1"/>
  <c r="F241" i="1"/>
  <c r="G241" i="1"/>
  <c r="I241" i="1"/>
  <c r="D241" i="1"/>
  <c r="L284" i="1" l="1"/>
  <c r="J130" i="1"/>
  <c r="L87" i="1"/>
  <c r="L370" i="1"/>
  <c r="J44" i="1"/>
  <c r="J373" i="1"/>
  <c r="J370" i="1"/>
  <c r="D113" i="1"/>
  <c r="L133" i="1"/>
  <c r="J133" i="1"/>
  <c r="D128" i="1"/>
  <c r="D129" i="1" s="1"/>
  <c r="L47" i="1"/>
  <c r="D42" i="1"/>
  <c r="J90" i="1"/>
  <c r="D85" i="1"/>
  <c r="D86" i="1" s="1"/>
  <c r="E156" i="1"/>
  <c r="J47" i="1"/>
  <c r="L176" i="1"/>
  <c r="J176" i="1"/>
  <c r="L373" i="1"/>
  <c r="L90" i="1"/>
  <c r="H343" i="1"/>
  <c r="G343" i="1"/>
  <c r="F343" i="1"/>
  <c r="E343" i="1"/>
  <c r="D343" i="1"/>
  <c r="H218" i="1"/>
  <c r="H225" i="1" s="1"/>
  <c r="K370" i="1" l="1"/>
  <c r="K373" i="1"/>
  <c r="D43" i="1"/>
  <c r="H300" i="1"/>
  <c r="G300" i="1"/>
  <c r="F300" i="1"/>
  <c r="E300" i="1"/>
  <c r="D300" i="1"/>
  <c r="H257" i="1"/>
  <c r="G257" i="1"/>
  <c r="F257" i="1"/>
  <c r="E257" i="1"/>
  <c r="D257" i="1"/>
  <c r="H17" i="1"/>
  <c r="G17" i="1"/>
  <c r="F17" i="1"/>
  <c r="E17" i="1"/>
  <c r="D17" i="1"/>
  <c r="H60" i="1"/>
  <c r="G60" i="1"/>
  <c r="F60" i="1"/>
  <c r="E60" i="1"/>
  <c r="D60" i="1"/>
  <c r="H103" i="1"/>
  <c r="G103" i="1"/>
  <c r="F103" i="1"/>
  <c r="E103" i="1"/>
  <c r="D103" i="1"/>
  <c r="H146" i="1"/>
  <c r="G146" i="1"/>
  <c r="F146" i="1"/>
  <c r="E146" i="1"/>
  <c r="D146" i="1"/>
  <c r="L36" i="1"/>
  <c r="J36" i="1"/>
  <c r="L79" i="1"/>
  <c r="J79" i="1"/>
  <c r="L122" i="1"/>
  <c r="J122" i="1"/>
  <c r="L165" i="1"/>
  <c r="J165" i="1"/>
  <c r="L362" i="1"/>
  <c r="J362" i="1"/>
  <c r="L319" i="1"/>
  <c r="J319" i="1"/>
  <c r="L276" i="1"/>
  <c r="J276" i="1"/>
  <c r="L233" i="1"/>
  <c r="J233" i="1"/>
  <c r="K173" i="1" l="1"/>
  <c r="K176" i="1"/>
  <c r="K87" i="1"/>
  <c r="K90" i="1"/>
  <c r="K284" i="1"/>
  <c r="K44" i="1"/>
  <c r="K47" i="1"/>
  <c r="K130" i="1"/>
  <c r="K133" i="1"/>
  <c r="K36" i="1"/>
  <c r="K319" i="1"/>
  <c r="K79" i="1"/>
  <c r="K165" i="1"/>
  <c r="K122" i="1"/>
  <c r="K276" i="1"/>
  <c r="H367" i="1" l="1"/>
  <c r="G367" i="1"/>
  <c r="F367" i="1"/>
  <c r="E367" i="1"/>
  <c r="D363" i="1"/>
  <c r="D356" i="1"/>
  <c r="D353" i="1"/>
  <c r="E349" i="1"/>
  <c r="F349" i="1" s="1"/>
  <c r="H348" i="1"/>
  <c r="G348" i="1"/>
  <c r="F348" i="1"/>
  <c r="E348" i="1"/>
  <c r="D348" i="1"/>
  <c r="H347" i="1"/>
  <c r="G347" i="1"/>
  <c r="F347" i="1"/>
  <c r="E347" i="1"/>
  <c r="D347" i="1"/>
  <c r="D350" i="1" s="1"/>
  <c r="H346" i="1"/>
  <c r="G346" i="1"/>
  <c r="F346" i="1"/>
  <c r="E346" i="1"/>
  <c r="D346" i="1"/>
  <c r="D358" i="1" l="1"/>
  <c r="D351" i="1"/>
  <c r="K362" i="1"/>
  <c r="E350" i="1"/>
  <c r="G349" i="1"/>
  <c r="F356" i="1"/>
  <c r="F357" i="1" s="1"/>
  <c r="F350" i="1"/>
  <c r="E351" i="1"/>
  <c r="D357" i="1"/>
  <c r="D359" i="1" s="1"/>
  <c r="F351" i="1"/>
  <c r="E356" i="1"/>
  <c r="E357" i="1" s="1"/>
  <c r="H41" i="1"/>
  <c r="G41" i="1"/>
  <c r="F41" i="1"/>
  <c r="E41" i="1"/>
  <c r="D37" i="1"/>
  <c r="D30" i="1"/>
  <c r="D31" i="1" s="1"/>
  <c r="E23" i="1"/>
  <c r="E30" i="1" s="1"/>
  <c r="H22" i="1"/>
  <c r="G22" i="1"/>
  <c r="F22" i="1"/>
  <c r="E22" i="1"/>
  <c r="D22" i="1"/>
  <c r="H21" i="1"/>
  <c r="G21" i="1"/>
  <c r="F21" i="1"/>
  <c r="E21" i="1"/>
  <c r="D21" i="1"/>
  <c r="D24" i="1" s="1"/>
  <c r="H20" i="1"/>
  <c r="G20" i="1"/>
  <c r="F20" i="1"/>
  <c r="E20" i="1"/>
  <c r="D20" i="1"/>
  <c r="H84" i="1"/>
  <c r="G84" i="1"/>
  <c r="F84" i="1"/>
  <c r="E84" i="1"/>
  <c r="D80" i="1"/>
  <c r="D73" i="1"/>
  <c r="D74" i="1" s="1"/>
  <c r="E66" i="1"/>
  <c r="F66" i="1" s="1"/>
  <c r="H65" i="1"/>
  <c r="G65" i="1"/>
  <c r="F65" i="1"/>
  <c r="E65" i="1"/>
  <c r="D65" i="1"/>
  <c r="H64" i="1"/>
  <c r="G64" i="1"/>
  <c r="F64" i="1"/>
  <c r="E64" i="1"/>
  <c r="D64" i="1"/>
  <c r="D67" i="1" s="1"/>
  <c r="H63" i="1"/>
  <c r="G63" i="1"/>
  <c r="F63" i="1"/>
  <c r="E63" i="1"/>
  <c r="D63" i="1"/>
  <c r="D107" i="1"/>
  <c r="D110" i="1" s="1"/>
  <c r="E107" i="1"/>
  <c r="D108" i="1"/>
  <c r="E108" i="1"/>
  <c r="H127" i="1"/>
  <c r="G127" i="1"/>
  <c r="F127" i="1"/>
  <c r="E127" i="1"/>
  <c r="D116" i="1"/>
  <c r="D117" i="1" s="1"/>
  <c r="E109" i="1"/>
  <c r="E116" i="1" s="1"/>
  <c r="E117" i="1" s="1"/>
  <c r="H108" i="1"/>
  <c r="G108" i="1"/>
  <c r="F108" i="1"/>
  <c r="H107" i="1"/>
  <c r="G107" i="1"/>
  <c r="F107" i="1"/>
  <c r="H106" i="1"/>
  <c r="G106" i="1"/>
  <c r="F106" i="1"/>
  <c r="E106" i="1"/>
  <c r="D106" i="1"/>
  <c r="H170" i="1"/>
  <c r="G170" i="1"/>
  <c r="F170" i="1"/>
  <c r="E170" i="1"/>
  <c r="E171" i="1" s="1"/>
  <c r="E172" i="1" s="1"/>
  <c r="D159" i="1"/>
  <c r="E152" i="1"/>
  <c r="F152" i="1" s="1"/>
  <c r="H151" i="1"/>
  <c r="G151" i="1"/>
  <c r="F151" i="1"/>
  <c r="E151" i="1"/>
  <c r="D151" i="1"/>
  <c r="H150" i="1"/>
  <c r="G150" i="1"/>
  <c r="F150" i="1"/>
  <c r="E150" i="1"/>
  <c r="D150" i="1"/>
  <c r="D153" i="1" s="1"/>
  <c r="H149" i="1"/>
  <c r="G149" i="1"/>
  <c r="F149" i="1"/>
  <c r="E149" i="1"/>
  <c r="D149" i="1"/>
  <c r="H217" i="1"/>
  <c r="G217" i="1"/>
  <c r="F217" i="1"/>
  <c r="E217" i="1"/>
  <c r="D217" i="1"/>
  <c r="D261" i="1"/>
  <c r="E218" i="1"/>
  <c r="F218" i="1"/>
  <c r="G218" i="1"/>
  <c r="E219" i="1"/>
  <c r="F219" i="1"/>
  <c r="G219" i="1"/>
  <c r="D221" i="1"/>
  <c r="G238" i="1"/>
  <c r="F238" i="1"/>
  <c r="E238" i="1"/>
  <c r="D227" i="1"/>
  <c r="E220" i="1"/>
  <c r="F220" i="1" s="1"/>
  <c r="H214" i="1"/>
  <c r="G214" i="1"/>
  <c r="F214" i="1"/>
  <c r="E214" i="1"/>
  <c r="D214" i="1"/>
  <c r="D223" i="1" l="1"/>
  <c r="D224" i="1"/>
  <c r="D155" i="1"/>
  <c r="E67" i="1"/>
  <c r="D360" i="1"/>
  <c r="D228" i="1"/>
  <c r="D243" i="1"/>
  <c r="F358" i="1"/>
  <c r="F359" i="1" s="1"/>
  <c r="E24" i="1"/>
  <c r="D118" i="1"/>
  <c r="D119" i="1" s="1"/>
  <c r="D32" i="1"/>
  <c r="F23" i="1"/>
  <c r="G23" i="1" s="1"/>
  <c r="G25" i="1" s="1"/>
  <c r="K233" i="1"/>
  <c r="E358" i="1"/>
  <c r="E359" i="1" s="1"/>
  <c r="E360" i="1" s="1"/>
  <c r="G356" i="1"/>
  <c r="G350" i="1"/>
  <c r="H349" i="1"/>
  <c r="G351" i="1"/>
  <c r="F352" i="1"/>
  <c r="F368" i="1" s="1"/>
  <c r="F369" i="1" s="1"/>
  <c r="E352" i="1"/>
  <c r="E368" i="1" s="1"/>
  <c r="E68" i="1"/>
  <c r="E25" i="1"/>
  <c r="E26" i="1" s="1"/>
  <c r="E31" i="1"/>
  <c r="E32" i="1"/>
  <c r="D25" i="1"/>
  <c r="F68" i="1"/>
  <c r="D75" i="1"/>
  <c r="D76" i="1" s="1"/>
  <c r="G66" i="1"/>
  <c r="G68" i="1" s="1"/>
  <c r="F67" i="1"/>
  <c r="F69" i="1" s="1"/>
  <c r="F73" i="1"/>
  <c r="E73" i="1"/>
  <c r="D68" i="1"/>
  <c r="E69" i="1" s="1"/>
  <c r="F109" i="1"/>
  <c r="F116" i="1" s="1"/>
  <c r="E110" i="1"/>
  <c r="E112" i="1" s="1"/>
  <c r="E118" i="1"/>
  <c r="E119" i="1" s="1"/>
  <c r="E120" i="1" s="1"/>
  <c r="D111" i="1"/>
  <c r="E111" i="1"/>
  <c r="D161" i="1"/>
  <c r="D154" i="1"/>
  <c r="E153" i="1"/>
  <c r="E154" i="1"/>
  <c r="F154" i="1"/>
  <c r="D160" i="1"/>
  <c r="G152" i="1"/>
  <c r="F159" i="1"/>
  <c r="F153" i="1"/>
  <c r="F155" i="1" s="1"/>
  <c r="E166" i="1"/>
  <c r="E159" i="1"/>
  <c r="D222" i="1"/>
  <c r="F227" i="1"/>
  <c r="G220" i="1"/>
  <c r="F221" i="1"/>
  <c r="F222" i="1"/>
  <c r="E227" i="1"/>
  <c r="E222" i="1"/>
  <c r="D229" i="1"/>
  <c r="E221" i="1"/>
  <c r="E305" i="1"/>
  <c r="F305" i="1"/>
  <c r="G305" i="1"/>
  <c r="H305" i="1"/>
  <c r="D305" i="1"/>
  <c r="E304" i="1"/>
  <c r="F304" i="1"/>
  <c r="G304" i="1"/>
  <c r="H304" i="1"/>
  <c r="D304" i="1"/>
  <c r="D307" i="1" s="1"/>
  <c r="E303" i="1"/>
  <c r="D303" i="1"/>
  <c r="H281" i="1"/>
  <c r="G281" i="1"/>
  <c r="F281" i="1"/>
  <c r="E281" i="1"/>
  <c r="D270" i="1"/>
  <c r="D286" i="1" s="1"/>
  <c r="D264" i="1"/>
  <c r="D283" i="1" s="1"/>
  <c r="E263" i="1"/>
  <c r="E270" i="1" s="1"/>
  <c r="F310" i="1"/>
  <c r="D313" i="1"/>
  <c r="E85" i="1" l="1"/>
  <c r="E70" i="1"/>
  <c r="E27" i="1"/>
  <c r="E42" i="1"/>
  <c r="E128" i="1"/>
  <c r="E113" i="1"/>
  <c r="D77" i="1"/>
  <c r="D120" i="1"/>
  <c r="D156" i="1"/>
  <c r="D171" i="1"/>
  <c r="E33" i="1"/>
  <c r="E34" i="1" s="1"/>
  <c r="D231" i="1"/>
  <c r="D230" i="1"/>
  <c r="F70" i="1"/>
  <c r="F85" i="1"/>
  <c r="F86" i="1" s="1"/>
  <c r="D35" i="1"/>
  <c r="D33" i="1"/>
  <c r="F171" i="1"/>
  <c r="F172" i="1" s="1"/>
  <c r="F156" i="1"/>
  <c r="D162" i="1"/>
  <c r="F223" i="1"/>
  <c r="F224" i="1" s="1"/>
  <c r="E223" i="1"/>
  <c r="E224" i="1" s="1"/>
  <c r="F360" i="1"/>
  <c r="E369" i="1"/>
  <c r="H23" i="1"/>
  <c r="H25" i="1" s="1"/>
  <c r="E37" i="1"/>
  <c r="F30" i="1"/>
  <c r="F31" i="1" s="1"/>
  <c r="G30" i="1"/>
  <c r="G31" i="1" s="1"/>
  <c r="G24" i="1"/>
  <c r="G26" i="1" s="1"/>
  <c r="F24" i="1"/>
  <c r="F26" i="1" s="1"/>
  <c r="F111" i="1"/>
  <c r="F25" i="1"/>
  <c r="D239" i="1"/>
  <c r="D234" i="1"/>
  <c r="H350" i="1"/>
  <c r="J350" i="1" s="1"/>
  <c r="H356" i="1"/>
  <c r="H351" i="1"/>
  <c r="D361" i="1"/>
  <c r="E353" i="1"/>
  <c r="E363" i="1"/>
  <c r="G352" i="1"/>
  <c r="G368" i="1" s="1"/>
  <c r="G369" i="1" s="1"/>
  <c r="G357" i="1"/>
  <c r="G359" i="1" s="1"/>
  <c r="G360" i="1" s="1"/>
  <c r="G358" i="1"/>
  <c r="F363" i="1"/>
  <c r="F361" i="1"/>
  <c r="F353" i="1"/>
  <c r="D78" i="1"/>
  <c r="E75" i="1"/>
  <c r="E74" i="1"/>
  <c r="E76" i="1" s="1"/>
  <c r="E77" i="1" s="1"/>
  <c r="F74" i="1"/>
  <c r="F76" i="1" s="1"/>
  <c r="F77" i="1" s="1"/>
  <c r="F75" i="1"/>
  <c r="H66" i="1"/>
  <c r="G73" i="1"/>
  <c r="G67" i="1"/>
  <c r="G69" i="1" s="1"/>
  <c r="D166" i="1"/>
  <c r="G109" i="1"/>
  <c r="F110" i="1"/>
  <c r="F112" i="1" s="1"/>
  <c r="D123" i="1"/>
  <c r="D121" i="1"/>
  <c r="F117" i="1"/>
  <c r="F119" i="1" s="1"/>
  <c r="F120" i="1" s="1"/>
  <c r="F118" i="1"/>
  <c r="F160" i="1"/>
  <c r="F161" i="1"/>
  <c r="H152" i="1"/>
  <c r="G159" i="1"/>
  <c r="G153" i="1"/>
  <c r="G155" i="1" s="1"/>
  <c r="E160" i="1"/>
  <c r="E161" i="1"/>
  <c r="G154" i="1"/>
  <c r="D271" i="1"/>
  <c r="D274" i="1" s="1"/>
  <c r="E228" i="1"/>
  <c r="E230" i="1" s="1"/>
  <c r="E231" i="1" s="1"/>
  <c r="E229" i="1"/>
  <c r="E239" i="1"/>
  <c r="G227" i="1"/>
  <c r="G222" i="1"/>
  <c r="H220" i="1"/>
  <c r="H241" i="1" s="1"/>
  <c r="G221" i="1"/>
  <c r="G223" i="1" s="1"/>
  <c r="G224" i="1" s="1"/>
  <c r="F229" i="1"/>
  <c r="F228" i="1"/>
  <c r="F230" i="1" s="1"/>
  <c r="F231" i="1" s="1"/>
  <c r="D308" i="1"/>
  <c r="D315" i="1"/>
  <c r="E264" i="1"/>
  <c r="F263" i="1"/>
  <c r="E271" i="1"/>
  <c r="D267" i="1"/>
  <c r="D314" i="1"/>
  <c r="E306" i="1"/>
  <c r="E327" i="1" s="1"/>
  <c r="H324" i="1"/>
  <c r="G324" i="1"/>
  <c r="F324" i="1"/>
  <c r="F325" i="1" s="1"/>
  <c r="F326" i="1" s="1"/>
  <c r="E324" i="1"/>
  <c r="L327" i="1" l="1"/>
  <c r="J327" i="1"/>
  <c r="K327" i="1"/>
  <c r="D172" i="1"/>
  <c r="E43" i="1"/>
  <c r="E162" i="1"/>
  <c r="E163" i="1" s="1"/>
  <c r="D163" i="1"/>
  <c r="F113" i="1"/>
  <c r="F128" i="1"/>
  <c r="F129" i="1" s="1"/>
  <c r="D34" i="1"/>
  <c r="G156" i="1"/>
  <c r="G171" i="1"/>
  <c r="G172" i="1" s="1"/>
  <c r="D316" i="1"/>
  <c r="D317" i="1" s="1"/>
  <c r="F162" i="1"/>
  <c r="F163" i="1" s="1"/>
  <c r="G70" i="1"/>
  <c r="G85" i="1"/>
  <c r="G86" i="1" s="1"/>
  <c r="F27" i="1"/>
  <c r="F42" i="1"/>
  <c r="F43" i="1" s="1"/>
  <c r="G27" i="1"/>
  <c r="G42" i="1"/>
  <c r="G43" i="1" s="1"/>
  <c r="E129" i="1"/>
  <c r="E86" i="1"/>
  <c r="K350" i="1"/>
  <c r="K25" i="1"/>
  <c r="H24" i="1"/>
  <c r="H26" i="1" s="1"/>
  <c r="J26" i="1" s="1"/>
  <c r="H30" i="1"/>
  <c r="H31" i="1" s="1"/>
  <c r="F32" i="1"/>
  <c r="F33" i="1" s="1"/>
  <c r="E35" i="1"/>
  <c r="G32" i="1"/>
  <c r="G33" i="1" s="1"/>
  <c r="G34" i="1" s="1"/>
  <c r="G37" i="1"/>
  <c r="J25" i="1"/>
  <c r="E361" i="1"/>
  <c r="F80" i="1"/>
  <c r="K351" i="1"/>
  <c r="J351" i="1"/>
  <c r="D240" i="1"/>
  <c r="G363" i="1"/>
  <c r="G353" i="1"/>
  <c r="G361" i="1"/>
  <c r="H357" i="1"/>
  <c r="H358" i="1"/>
  <c r="K358" i="1" s="1"/>
  <c r="H352" i="1"/>
  <c r="D164" i="1"/>
  <c r="F166" i="1"/>
  <c r="E80" i="1"/>
  <c r="G74" i="1"/>
  <c r="G76" i="1" s="1"/>
  <c r="G77" i="1" s="1"/>
  <c r="G75" i="1"/>
  <c r="H73" i="1"/>
  <c r="H68" i="1"/>
  <c r="H67" i="1"/>
  <c r="G111" i="1"/>
  <c r="H109" i="1"/>
  <c r="G110" i="1"/>
  <c r="G116" i="1"/>
  <c r="E123" i="1"/>
  <c r="E121" i="1"/>
  <c r="H159" i="1"/>
  <c r="H153" i="1"/>
  <c r="H154" i="1"/>
  <c r="J154" i="1" s="1"/>
  <c r="G160" i="1"/>
  <c r="G162" i="1" s="1"/>
  <c r="G163" i="1" s="1"/>
  <c r="G161" i="1"/>
  <c r="E240" i="1"/>
  <c r="F239" i="1"/>
  <c r="F240" i="1" s="1"/>
  <c r="F234" i="1"/>
  <c r="G239" i="1"/>
  <c r="G240" i="1" s="1"/>
  <c r="H227" i="1"/>
  <c r="H221" i="1"/>
  <c r="H222" i="1"/>
  <c r="D232" i="1"/>
  <c r="E234" i="1"/>
  <c r="G228" i="1"/>
  <c r="G230" i="1" s="1"/>
  <c r="G231" i="1" s="1"/>
  <c r="G229" i="1"/>
  <c r="G263" i="1"/>
  <c r="H263" i="1" s="1"/>
  <c r="F270" i="1"/>
  <c r="F264" i="1"/>
  <c r="E308" i="1"/>
  <c r="E307" i="1"/>
  <c r="E326" i="1" s="1"/>
  <c r="E313" i="1"/>
  <c r="E329" i="1" s="1"/>
  <c r="D309" i="1"/>
  <c r="D325" i="1" s="1"/>
  <c r="D326" i="1" s="1"/>
  <c r="F320" i="1"/>
  <c r="F306" i="1"/>
  <c r="F34" i="1" l="1"/>
  <c r="K42" i="1"/>
  <c r="G112" i="1"/>
  <c r="L42" i="1"/>
  <c r="J42" i="1"/>
  <c r="L43" i="1"/>
  <c r="K43" i="1"/>
  <c r="K153" i="1"/>
  <c r="H155" i="1"/>
  <c r="H69" i="1"/>
  <c r="K31" i="1"/>
  <c r="K26" i="1"/>
  <c r="H27" i="1"/>
  <c r="J27" i="1" s="1"/>
  <c r="H42" i="1"/>
  <c r="H43" i="1" s="1"/>
  <c r="J43" i="1" s="1"/>
  <c r="L26" i="1"/>
  <c r="J352" i="1"/>
  <c r="H368" i="1"/>
  <c r="J357" i="1"/>
  <c r="H359" i="1"/>
  <c r="H240" i="1"/>
  <c r="H223" i="1"/>
  <c r="H32" i="1"/>
  <c r="K32" i="1" s="1"/>
  <c r="K24" i="1"/>
  <c r="J24" i="1"/>
  <c r="G35" i="1"/>
  <c r="J153" i="1"/>
  <c r="E78" i="1"/>
  <c r="J68" i="1"/>
  <c r="K68" i="1"/>
  <c r="K67" i="1"/>
  <c r="J31" i="1"/>
  <c r="J67" i="1"/>
  <c r="K357" i="1"/>
  <c r="J358" i="1"/>
  <c r="K154" i="1"/>
  <c r="F37" i="1"/>
  <c r="L352" i="1"/>
  <c r="K352" i="1"/>
  <c r="F123" i="1"/>
  <c r="J221" i="1"/>
  <c r="K221" i="1"/>
  <c r="J222" i="1"/>
  <c r="K222" i="1"/>
  <c r="H363" i="1"/>
  <c r="H353" i="1"/>
  <c r="K353" i="1" s="1"/>
  <c r="F35" i="1"/>
  <c r="H37" i="1"/>
  <c r="G80" i="1"/>
  <c r="H74" i="1"/>
  <c r="H75" i="1"/>
  <c r="F78" i="1"/>
  <c r="G118" i="1"/>
  <c r="G117" i="1"/>
  <c r="G119" i="1" s="1"/>
  <c r="H116" i="1"/>
  <c r="H111" i="1"/>
  <c r="K111" i="1" s="1"/>
  <c r="H110" i="1"/>
  <c r="F121" i="1"/>
  <c r="F164" i="1"/>
  <c r="H160" i="1"/>
  <c r="H161" i="1"/>
  <c r="J161" i="1" s="1"/>
  <c r="E164" i="1"/>
  <c r="G166" i="1"/>
  <c r="F232" i="1"/>
  <c r="G234" i="1"/>
  <c r="E232" i="1"/>
  <c r="H229" i="1"/>
  <c r="H228" i="1"/>
  <c r="H230" i="1" s="1"/>
  <c r="H231" i="1" s="1"/>
  <c r="G270" i="1"/>
  <c r="G271" i="1" s="1"/>
  <c r="G264" i="1"/>
  <c r="F271" i="1"/>
  <c r="H264" i="1"/>
  <c r="H270" i="1"/>
  <c r="D310" i="1"/>
  <c r="E315" i="1"/>
  <c r="E314" i="1"/>
  <c r="E317" i="1" s="1"/>
  <c r="F307" i="1"/>
  <c r="E309" i="1"/>
  <c r="E325" i="1" s="1"/>
  <c r="E310" i="1"/>
  <c r="D320" i="1"/>
  <c r="D318" i="1"/>
  <c r="F313" i="1"/>
  <c r="G306" i="1"/>
  <c r="J110" i="1" l="1"/>
  <c r="H112" i="1"/>
  <c r="H70" i="1"/>
  <c r="H85" i="1"/>
  <c r="K69" i="1"/>
  <c r="J69" i="1"/>
  <c r="L69" i="1"/>
  <c r="H156" i="1"/>
  <c r="H171" i="1"/>
  <c r="L155" i="1"/>
  <c r="K155" i="1"/>
  <c r="J155" i="1"/>
  <c r="J160" i="1"/>
  <c r="H162" i="1"/>
  <c r="K27" i="1"/>
  <c r="G128" i="1"/>
  <c r="G113" i="1"/>
  <c r="J112" i="1"/>
  <c r="L112" i="1"/>
  <c r="K112" i="1"/>
  <c r="G120" i="1"/>
  <c r="E316" i="1"/>
  <c r="K74" i="1"/>
  <c r="H76" i="1"/>
  <c r="J32" i="1"/>
  <c r="H33" i="1"/>
  <c r="L27" i="1"/>
  <c r="H360" i="1"/>
  <c r="K359" i="1"/>
  <c r="J359" i="1"/>
  <c r="L359" i="1"/>
  <c r="N363" i="1" s="1"/>
  <c r="H369" i="1"/>
  <c r="J368" i="1"/>
  <c r="K368" i="1"/>
  <c r="L368" i="1"/>
  <c r="H80" i="1"/>
  <c r="H35" i="1"/>
  <c r="K264" i="1"/>
  <c r="J264" i="1"/>
  <c r="J353" i="1"/>
  <c r="L353" i="1"/>
  <c r="K110" i="1"/>
  <c r="K161" i="1"/>
  <c r="K75" i="1"/>
  <c r="J75" i="1"/>
  <c r="J111" i="1"/>
  <c r="J74" i="1"/>
  <c r="M363" i="1"/>
  <c r="K160" i="1"/>
  <c r="H239" i="1"/>
  <c r="J223" i="1"/>
  <c r="L223" i="1"/>
  <c r="K223" i="1"/>
  <c r="J229" i="1"/>
  <c r="K229" i="1"/>
  <c r="J228" i="1"/>
  <c r="K228" i="1"/>
  <c r="H361" i="1"/>
  <c r="G78" i="1"/>
  <c r="H117" i="1"/>
  <c r="H118" i="1"/>
  <c r="K118" i="1" s="1"/>
  <c r="G123" i="1"/>
  <c r="G164" i="1"/>
  <c r="H166" i="1"/>
  <c r="H234" i="1"/>
  <c r="H224" i="1"/>
  <c r="G232" i="1"/>
  <c r="H271" i="1"/>
  <c r="F314" i="1"/>
  <c r="G307" i="1"/>
  <c r="E320" i="1"/>
  <c r="G313" i="1"/>
  <c r="H306" i="1"/>
  <c r="J196" i="1"/>
  <c r="J191" i="1"/>
  <c r="J190" i="1"/>
  <c r="J188" i="1"/>
  <c r="J187" i="1"/>
  <c r="E192" i="1"/>
  <c r="F192" i="1"/>
  <c r="G192" i="1"/>
  <c r="H192" i="1"/>
  <c r="D192" i="1"/>
  <c r="K113" i="1" l="1"/>
  <c r="G129" i="1"/>
  <c r="J128" i="1"/>
  <c r="K128" i="1"/>
  <c r="H86" i="1"/>
  <c r="J85" i="1"/>
  <c r="K85" i="1"/>
  <c r="L85" i="1"/>
  <c r="J70" i="1"/>
  <c r="L70" i="1"/>
  <c r="K70" i="1"/>
  <c r="K271" i="1"/>
  <c r="K117" i="1"/>
  <c r="H119" i="1"/>
  <c r="H163" i="1"/>
  <c r="J162" i="1"/>
  <c r="L162" i="1"/>
  <c r="N166" i="1" s="1"/>
  <c r="K162" i="1"/>
  <c r="H172" i="1"/>
  <c r="L171" i="1"/>
  <c r="K171" i="1"/>
  <c r="J171" i="1"/>
  <c r="H113" i="1"/>
  <c r="L113" i="1" s="1"/>
  <c r="H128" i="1"/>
  <c r="H129" i="1" s="1"/>
  <c r="H34" i="1"/>
  <c r="L33" i="1"/>
  <c r="L37" i="1" s="1"/>
  <c r="K33" i="1"/>
  <c r="M37" i="1" s="1"/>
  <c r="J33" i="1"/>
  <c r="L156" i="1"/>
  <c r="J156" i="1"/>
  <c r="K156" i="1"/>
  <c r="H77" i="1"/>
  <c r="K76" i="1"/>
  <c r="L76" i="1"/>
  <c r="J76" i="1"/>
  <c r="J369" i="1"/>
  <c r="L369" i="1"/>
  <c r="K369" i="1"/>
  <c r="L360" i="1"/>
  <c r="J360" i="1"/>
  <c r="K360" i="1"/>
  <c r="J117" i="1"/>
  <c r="J271" i="1"/>
  <c r="K37" i="1"/>
  <c r="M35" i="1"/>
  <c r="E38" i="1" s="1"/>
  <c r="E45" i="1" s="1"/>
  <c r="E46" i="1" s="1"/>
  <c r="E48" i="1" s="1"/>
  <c r="M361" i="1"/>
  <c r="M364" i="1"/>
  <c r="M365" i="1"/>
  <c r="K363" i="1"/>
  <c r="J118" i="1"/>
  <c r="N361" i="1"/>
  <c r="L363" i="1"/>
  <c r="L224" i="1"/>
  <c r="J224" i="1"/>
  <c r="K224" i="1"/>
  <c r="L239" i="1"/>
  <c r="J239" i="1"/>
  <c r="K239" i="1"/>
  <c r="J231" i="1"/>
  <c r="L231" i="1"/>
  <c r="K231" i="1"/>
  <c r="L230" i="1"/>
  <c r="J230" i="1"/>
  <c r="K230" i="1"/>
  <c r="H123" i="1"/>
  <c r="H78" i="1"/>
  <c r="G121" i="1"/>
  <c r="H164" i="1"/>
  <c r="H232" i="1"/>
  <c r="G314" i="1"/>
  <c r="E318" i="1"/>
  <c r="H307" i="1"/>
  <c r="J307" i="1" s="1"/>
  <c r="H313" i="1"/>
  <c r="J192" i="1"/>
  <c r="E184" i="1"/>
  <c r="F184" i="1"/>
  <c r="G184" i="1"/>
  <c r="H184" i="1"/>
  <c r="D184" i="1"/>
  <c r="K34" i="1" l="1"/>
  <c r="L34" i="1"/>
  <c r="J34" i="1"/>
  <c r="L128" i="1"/>
  <c r="N35" i="1"/>
  <c r="L129" i="1"/>
  <c r="J129" i="1"/>
  <c r="K129" i="1"/>
  <c r="L163" i="1"/>
  <c r="J163" i="1"/>
  <c r="K163" i="1"/>
  <c r="J113" i="1"/>
  <c r="J172" i="1"/>
  <c r="L172" i="1"/>
  <c r="K172" i="1"/>
  <c r="N37" i="1"/>
  <c r="H120" i="1"/>
  <c r="K119" i="1"/>
  <c r="L119" i="1"/>
  <c r="J119" i="1"/>
  <c r="L77" i="1"/>
  <c r="J77" i="1"/>
  <c r="K77" i="1"/>
  <c r="L86" i="1"/>
  <c r="K86" i="1"/>
  <c r="J86" i="1"/>
  <c r="F38" i="1"/>
  <c r="F45" i="1" s="1"/>
  <c r="F46" i="1" s="1"/>
  <c r="F48" i="1" s="1"/>
  <c r="D38" i="1"/>
  <c r="D45" i="1" s="1"/>
  <c r="H38" i="1"/>
  <c r="H45" i="1" s="1"/>
  <c r="H46" i="1" s="1"/>
  <c r="H48" i="1" s="1"/>
  <c r="G38" i="1"/>
  <c r="G45" i="1" s="1"/>
  <c r="G46" i="1" s="1"/>
  <c r="G48" i="1" s="1"/>
  <c r="N78" i="1"/>
  <c r="L80" i="1"/>
  <c r="N80" i="1"/>
  <c r="K307" i="1"/>
  <c r="K166" i="1"/>
  <c r="M164" i="1"/>
  <c r="M166" i="1"/>
  <c r="M78" i="1"/>
  <c r="K80" i="1"/>
  <c r="M80" i="1"/>
  <c r="H121" i="1"/>
  <c r="N164" i="1"/>
  <c r="L166" i="1"/>
  <c r="L241" i="1"/>
  <c r="J241" i="1"/>
  <c r="K241" i="1"/>
  <c r="L240" i="1"/>
  <c r="J240" i="1"/>
  <c r="K240" i="1"/>
  <c r="M234" i="1"/>
  <c r="K234" i="1"/>
  <c r="M232" i="1"/>
  <c r="N232" i="1"/>
  <c r="N234" i="1"/>
  <c r="L234" i="1"/>
  <c r="D364" i="1"/>
  <c r="D371" i="1" s="1"/>
  <c r="F364" i="1"/>
  <c r="F371" i="1" s="1"/>
  <c r="F372" i="1" s="1"/>
  <c r="F374" i="1" s="1"/>
  <c r="E364" i="1"/>
  <c r="E371" i="1" s="1"/>
  <c r="E372" i="1" s="1"/>
  <c r="E374" i="1" s="1"/>
  <c r="G364" i="1"/>
  <c r="G371" i="1" s="1"/>
  <c r="G372" i="1" s="1"/>
  <c r="G374" i="1" s="1"/>
  <c r="H364" i="1"/>
  <c r="H371" i="1" s="1"/>
  <c r="H372" i="1" s="1"/>
  <c r="H374" i="1" s="1"/>
  <c r="E39" i="1"/>
  <c r="F39" i="1"/>
  <c r="H314" i="1"/>
  <c r="K191" i="1"/>
  <c r="K196" i="1"/>
  <c r="K190" i="1"/>
  <c r="K192" i="1"/>
  <c r="K188" i="1"/>
  <c r="K187" i="1"/>
  <c r="K314" i="1" l="1"/>
  <c r="J120" i="1"/>
  <c r="L120" i="1"/>
  <c r="K120" i="1"/>
  <c r="D46" i="1"/>
  <c r="K45" i="1"/>
  <c r="J45" i="1"/>
  <c r="L45" i="1"/>
  <c r="H39" i="1"/>
  <c r="D372" i="1"/>
  <c r="K371" i="1"/>
  <c r="J371" i="1"/>
  <c r="L371" i="1"/>
  <c r="H235" i="1"/>
  <c r="E235" i="1"/>
  <c r="F235" i="1"/>
  <c r="F242" i="1" s="1"/>
  <c r="G235" i="1"/>
  <c r="G242" i="1" s="1"/>
  <c r="D39" i="1"/>
  <c r="G167" i="1"/>
  <c r="G174" i="1" s="1"/>
  <c r="G175" i="1" s="1"/>
  <c r="G177" i="1" s="1"/>
  <c r="F167" i="1"/>
  <c r="F174" i="1" s="1"/>
  <c r="F175" i="1" s="1"/>
  <c r="F177" i="1" s="1"/>
  <c r="D167" i="1"/>
  <c r="D174" i="1" s="1"/>
  <c r="G39" i="1"/>
  <c r="J38" i="1"/>
  <c r="J39" i="1" s="1"/>
  <c r="K38" i="1"/>
  <c r="H167" i="1"/>
  <c r="H174" i="1" s="1"/>
  <c r="H175" i="1" s="1"/>
  <c r="H177" i="1" s="1"/>
  <c r="L38" i="1"/>
  <c r="J314" i="1"/>
  <c r="E167" i="1"/>
  <c r="E174" i="1" s="1"/>
  <c r="E175" i="1" s="1"/>
  <c r="E177" i="1" s="1"/>
  <c r="K123" i="1"/>
  <c r="M121" i="1"/>
  <c r="M123" i="1"/>
  <c r="N121" i="1"/>
  <c r="L123" i="1"/>
  <c r="N123" i="1"/>
  <c r="D235" i="1"/>
  <c r="D242" i="1" s="1"/>
  <c r="D244" i="1" s="1"/>
  <c r="D245" i="1" s="1"/>
  <c r="L364" i="1"/>
  <c r="K364" i="1"/>
  <c r="J364" i="1"/>
  <c r="J365" i="1" s="1"/>
  <c r="H242" i="1"/>
  <c r="H243" i="1" s="1"/>
  <c r="H245" i="1" s="1"/>
  <c r="E242" i="1"/>
  <c r="G365" i="1"/>
  <c r="F365" i="1"/>
  <c r="H365" i="1"/>
  <c r="E365" i="1"/>
  <c r="D365" i="1"/>
  <c r="D81" i="1"/>
  <c r="D88" i="1" s="1"/>
  <c r="F81" i="1"/>
  <c r="F88" i="1" s="1"/>
  <c r="F89" i="1" s="1"/>
  <c r="F91" i="1" s="1"/>
  <c r="E81" i="1"/>
  <c r="E88" i="1" s="1"/>
  <c r="E89" i="1" s="1"/>
  <c r="E91" i="1" s="1"/>
  <c r="G81" i="1"/>
  <c r="G88" i="1" s="1"/>
  <c r="G89" i="1" s="1"/>
  <c r="G91" i="1" s="1"/>
  <c r="H81" i="1"/>
  <c r="H88" i="1" s="1"/>
  <c r="H89" i="1" s="1"/>
  <c r="H91" i="1" s="1"/>
  <c r="L46" i="1" l="1"/>
  <c r="D48" i="1"/>
  <c r="J46" i="1"/>
  <c r="K46" i="1"/>
  <c r="D89" i="1"/>
  <c r="J88" i="1"/>
  <c r="K88" i="1"/>
  <c r="L88" i="1"/>
  <c r="D175" i="1"/>
  <c r="K174" i="1"/>
  <c r="J174" i="1"/>
  <c r="L174" i="1"/>
  <c r="K372" i="1"/>
  <c r="L372" i="1"/>
  <c r="J372" i="1"/>
  <c r="D374" i="1"/>
  <c r="G243" i="1"/>
  <c r="G245" i="1" s="1"/>
  <c r="E243" i="1"/>
  <c r="E245" i="1" s="1"/>
  <c r="F243" i="1"/>
  <c r="F245" i="1" s="1"/>
  <c r="F168" i="1"/>
  <c r="G168" i="1"/>
  <c r="D168" i="1"/>
  <c r="D124" i="1"/>
  <c r="D131" i="1" s="1"/>
  <c r="H168" i="1"/>
  <c r="F124" i="1"/>
  <c r="F131" i="1" s="1"/>
  <c r="F132" i="1" s="1"/>
  <c r="F134" i="1" s="1"/>
  <c r="G124" i="1"/>
  <c r="G131" i="1" s="1"/>
  <c r="G132" i="1" s="1"/>
  <c r="G134" i="1" s="1"/>
  <c r="K167" i="1"/>
  <c r="J167" i="1"/>
  <c r="J168" i="1" s="1"/>
  <c r="E124" i="1"/>
  <c r="E131" i="1" s="1"/>
  <c r="E132" i="1" s="1"/>
  <c r="E134" i="1" s="1"/>
  <c r="E168" i="1"/>
  <c r="L167" i="1"/>
  <c r="H124" i="1"/>
  <c r="H131" i="1" s="1"/>
  <c r="H132" i="1" s="1"/>
  <c r="H134" i="1" s="1"/>
  <c r="K81" i="1"/>
  <c r="L81" i="1"/>
  <c r="J81" i="1"/>
  <c r="J82" i="1" s="1"/>
  <c r="L235" i="1"/>
  <c r="J235" i="1"/>
  <c r="J236" i="1" s="1"/>
  <c r="K235" i="1"/>
  <c r="J242" i="1"/>
  <c r="L242" i="1"/>
  <c r="K242" i="1"/>
  <c r="G82" i="1"/>
  <c r="E82" i="1"/>
  <c r="F82" i="1"/>
  <c r="H82" i="1"/>
  <c r="D82" i="1"/>
  <c r="H236" i="1"/>
  <c r="E236" i="1"/>
  <c r="G236" i="1"/>
  <c r="F236" i="1"/>
  <c r="D236" i="1"/>
  <c r="D125" i="1" l="1"/>
  <c r="G125" i="1"/>
  <c r="J89" i="1"/>
  <c r="L89" i="1"/>
  <c r="K89" i="1"/>
  <c r="D91" i="1"/>
  <c r="D132" i="1"/>
  <c r="L131" i="1"/>
  <c r="K131" i="1"/>
  <c r="J131" i="1"/>
  <c r="K175" i="1"/>
  <c r="J175" i="1"/>
  <c r="D177" i="1"/>
  <c r="L175" i="1"/>
  <c r="F125" i="1"/>
  <c r="K124" i="1"/>
  <c r="H125" i="1"/>
  <c r="J124" i="1"/>
  <c r="J125" i="1" s="1"/>
  <c r="E125" i="1"/>
  <c r="L124" i="1"/>
  <c r="K244" i="1"/>
  <c r="L244" i="1"/>
  <c r="J244" i="1"/>
  <c r="J243" i="1"/>
  <c r="L243" i="1"/>
  <c r="K243" i="1"/>
  <c r="L132" i="1" l="1"/>
  <c r="J132" i="1"/>
  <c r="K132" i="1"/>
  <c r="D134" i="1"/>
  <c r="H201" i="1"/>
  <c r="G201" i="1"/>
  <c r="F201" i="1"/>
  <c r="E201" i="1"/>
  <c r="D201" i="1"/>
  <c r="H194" i="1"/>
  <c r="G194" i="1"/>
  <c r="F194" i="1"/>
  <c r="E194" i="1"/>
  <c r="D194" i="1"/>
  <c r="H193" i="1"/>
  <c r="G193" i="1"/>
  <c r="F193" i="1"/>
  <c r="E193" i="1"/>
  <c r="D193" i="1"/>
  <c r="H189" i="1"/>
  <c r="H197" i="1" s="1"/>
  <c r="G189" i="1"/>
  <c r="G197" i="1" s="1"/>
  <c r="F189" i="1"/>
  <c r="F197" i="1" s="1"/>
  <c r="E189" i="1"/>
  <c r="D189" i="1"/>
  <c r="J201" i="1" l="1"/>
  <c r="J189" i="1"/>
  <c r="K189" i="1"/>
  <c r="E197" i="1"/>
  <c r="D195" i="1"/>
  <c r="D197" i="1"/>
  <c r="M198" i="1"/>
  <c r="E195" i="1"/>
  <c r="F195" i="1"/>
  <c r="G195" i="1"/>
  <c r="H195" i="1"/>
  <c r="M197" i="1" l="1"/>
  <c r="M193" i="1"/>
  <c r="M195" i="1"/>
  <c r="M194" i="1"/>
  <c r="E198" i="1" l="1"/>
  <c r="F198" i="1"/>
  <c r="G198" i="1"/>
  <c r="H198" i="1"/>
  <c r="D198" i="1"/>
  <c r="K198" i="1" l="1"/>
  <c r="J198" i="1"/>
  <c r="J199" i="1" s="1"/>
  <c r="G200" i="1"/>
  <c r="G199" i="1"/>
  <c r="H200" i="1"/>
  <c r="H199" i="1"/>
  <c r="D200" i="1"/>
  <c r="D199" i="1"/>
  <c r="F200" i="1"/>
  <c r="F199" i="1"/>
  <c r="E200" i="1"/>
  <c r="E199" i="1"/>
  <c r="J200" i="1" l="1"/>
  <c r="F303" i="1" l="1"/>
  <c r="F315" i="1" s="1"/>
  <c r="F316" i="1" s="1"/>
  <c r="F317" i="1" l="1"/>
  <c r="F308" i="1"/>
  <c r="F318" i="1" l="1"/>
  <c r="G303" i="1"/>
  <c r="G315" i="1" s="1"/>
  <c r="G316" i="1" s="1"/>
  <c r="G317" i="1" l="1"/>
  <c r="G308" i="1"/>
  <c r="G309" i="1" l="1"/>
  <c r="G325" i="1" s="1"/>
  <c r="G326" i="1" l="1"/>
  <c r="G320" i="1"/>
  <c r="G310" i="1"/>
  <c r="G318" i="1"/>
  <c r="H303" i="1"/>
  <c r="H308" i="1" l="1"/>
  <c r="H315" i="1"/>
  <c r="H316" i="1" s="1"/>
  <c r="H317" i="1" l="1"/>
  <c r="K316" i="1"/>
  <c r="J316" i="1"/>
  <c r="L316" i="1"/>
  <c r="H309" i="1"/>
  <c r="K308" i="1"/>
  <c r="J308" i="1"/>
  <c r="J315" i="1"/>
  <c r="K315" i="1"/>
  <c r="H310" i="1" l="1"/>
  <c r="H325" i="1"/>
  <c r="L317" i="1"/>
  <c r="J317" i="1"/>
  <c r="K317" i="1"/>
  <c r="H321" i="1"/>
  <c r="H328" i="1" s="1"/>
  <c r="H329" i="1" s="1"/>
  <c r="H331" i="1" s="1"/>
  <c r="H320" i="1"/>
  <c r="L310" i="1"/>
  <c r="K310" i="1"/>
  <c r="J310" i="1"/>
  <c r="K309" i="1"/>
  <c r="L309" i="1"/>
  <c r="J309" i="1"/>
  <c r="H326" i="1" l="1"/>
  <c r="L325" i="1"/>
  <c r="K325" i="1"/>
  <c r="J325" i="1"/>
  <c r="H322" i="1"/>
  <c r="M320" i="1"/>
  <c r="H318" i="1"/>
  <c r="N318" i="1"/>
  <c r="L320" i="1"/>
  <c r="N320" i="1"/>
  <c r="J326" i="1" l="1"/>
  <c r="K326" i="1"/>
  <c r="L326" i="1"/>
  <c r="M318" i="1"/>
  <c r="F321" i="1" s="1"/>
  <c r="K320" i="1"/>
  <c r="F322" i="1" l="1"/>
  <c r="F328" i="1"/>
  <c r="F329" i="1" s="1"/>
  <c r="F331" i="1" s="1"/>
  <c r="D321" i="1"/>
  <c r="D328" i="1" s="1"/>
  <c r="E321" i="1"/>
  <c r="E328" i="1" s="1"/>
  <c r="E330" i="1" s="1"/>
  <c r="G321" i="1"/>
  <c r="G328" i="1" s="1"/>
  <c r="G329" i="1" s="1"/>
  <c r="G331" i="1" s="1"/>
  <c r="L330" i="1" l="1"/>
  <c r="J330" i="1"/>
  <c r="E331" i="1"/>
  <c r="K330" i="1"/>
  <c r="D329" i="1"/>
  <c r="J328" i="1"/>
  <c r="L328" i="1"/>
  <c r="K328" i="1"/>
  <c r="G322" i="1"/>
  <c r="E322" i="1"/>
  <c r="J321" i="1"/>
  <c r="J322" i="1" s="1"/>
  <c r="L321" i="1"/>
  <c r="K321" i="1"/>
  <c r="D322" i="1"/>
  <c r="D260" i="1"/>
  <c r="D265" i="1" s="1"/>
  <c r="F260" i="1"/>
  <c r="F272" i="1" s="1"/>
  <c r="F273" i="1" s="1"/>
  <c r="F274" i="1" s="1"/>
  <c r="H260" i="1"/>
  <c r="H272" i="1" s="1"/>
  <c r="H273" i="1" s="1"/>
  <c r="H274" i="1" s="1"/>
  <c r="G260" i="1"/>
  <c r="G272" i="1" s="1"/>
  <c r="G273" i="1" s="1"/>
  <c r="G274" i="1" s="1"/>
  <c r="E260" i="1"/>
  <c r="E272" i="1" s="1"/>
  <c r="E273" i="1" s="1"/>
  <c r="E274" i="1" s="1"/>
  <c r="L274" i="1" l="1"/>
  <c r="J274" i="1"/>
  <c r="K274" i="1"/>
  <c r="K329" i="1"/>
  <c r="L329" i="1"/>
  <c r="J329" i="1"/>
  <c r="D331" i="1"/>
  <c r="H265" i="1"/>
  <c r="H266" i="1" s="1"/>
  <c r="G265" i="1"/>
  <c r="G266" i="1" s="1"/>
  <c r="G282" i="1" s="1"/>
  <c r="G283" i="1" s="1"/>
  <c r="E265" i="1"/>
  <c r="E266" i="1" s="1"/>
  <c r="D266" i="1"/>
  <c r="D282" i="1" s="1"/>
  <c r="D272" i="1"/>
  <c r="D273" i="1" s="1"/>
  <c r="F265" i="1"/>
  <c r="F266" i="1" s="1"/>
  <c r="F282" i="1" s="1"/>
  <c r="F283" i="1" s="1"/>
  <c r="H275" i="1" l="1"/>
  <c r="H282" i="1"/>
  <c r="H283" i="1" s="1"/>
  <c r="E277" i="1"/>
  <c r="E282" i="1"/>
  <c r="E283" i="1" s="1"/>
  <c r="J282" i="1"/>
  <c r="K282" i="1"/>
  <c r="L273" i="1"/>
  <c r="J273" i="1"/>
  <c r="K273" i="1"/>
  <c r="K265" i="1"/>
  <c r="J265" i="1"/>
  <c r="J272" i="1"/>
  <c r="K272" i="1"/>
  <c r="L266" i="1"/>
  <c r="J266" i="1"/>
  <c r="K266" i="1"/>
  <c r="G267" i="1"/>
  <c r="E267" i="1"/>
  <c r="G277" i="1"/>
  <c r="H267" i="1"/>
  <c r="H277" i="1"/>
  <c r="G275" i="1"/>
  <c r="E275" i="1"/>
  <c r="D277" i="1"/>
  <c r="F275" i="1"/>
  <c r="F267" i="1"/>
  <c r="F277" i="1"/>
  <c r="L282" i="1" l="1"/>
  <c r="L283" i="1"/>
  <c r="K283" i="1"/>
  <c r="J283" i="1"/>
  <c r="L267" i="1"/>
  <c r="J267" i="1"/>
  <c r="K267" i="1"/>
  <c r="D275" i="1"/>
  <c r="N277" i="1"/>
  <c r="M275" i="1"/>
  <c r="M277" i="1" l="1"/>
  <c r="F278" i="1" s="1"/>
  <c r="F285" i="1" s="1"/>
  <c r="F286" i="1" s="1"/>
  <c r="F288" i="1" s="1"/>
  <c r="K277" i="1"/>
  <c r="N275" i="1"/>
  <c r="L277" i="1"/>
  <c r="G278" i="1" l="1"/>
  <c r="H278" i="1"/>
  <c r="E278" i="1"/>
  <c r="D278" i="1"/>
  <c r="D285" i="1" s="1"/>
  <c r="F279" i="1"/>
  <c r="H279" i="1" l="1"/>
  <c r="H285" i="1"/>
  <c r="H286" i="1" s="1"/>
  <c r="H288" i="1" s="1"/>
  <c r="D287" i="1"/>
  <c r="E279" i="1"/>
  <c r="E285" i="1"/>
  <c r="E286" i="1" s="1"/>
  <c r="G279" i="1"/>
  <c r="G285" i="1"/>
  <c r="G286" i="1" s="1"/>
  <c r="G288" i="1" s="1"/>
  <c r="J278" i="1"/>
  <c r="J279" i="1" s="1"/>
  <c r="K278" i="1"/>
  <c r="L278" i="1"/>
  <c r="D279" i="1"/>
  <c r="J286" i="1" l="1"/>
  <c r="L286" i="1"/>
  <c r="E288" i="1"/>
  <c r="K286" i="1"/>
  <c r="J285" i="1"/>
  <c r="K285" i="1"/>
  <c r="L287" i="1"/>
  <c r="K287" i="1"/>
  <c r="J287" i="1"/>
  <c r="D288" i="1"/>
  <c r="L285" i="1"/>
</calcChain>
</file>

<file path=xl/comments1.xml><?xml version="1.0" encoding="utf-8"?>
<comments xmlns="http://schemas.openxmlformats.org/spreadsheetml/2006/main">
  <authors>
    <author>David Reddy</author>
  </authors>
  <commentList>
    <comment ref="K12" authorId="0" shapeId="0">
      <text>
        <r>
          <rPr>
            <b/>
            <sz val="9"/>
            <color indexed="81"/>
            <rFont val="Tahoma"/>
            <family val="2"/>
          </rPr>
          <t>David Reddy:</t>
        </r>
        <r>
          <rPr>
            <sz val="9"/>
            <color indexed="81"/>
            <rFont val="Tahoma"/>
            <family val="2"/>
          </rPr>
          <t xml:space="preserve">
Included spaces are all spaces except spaces defined to have:
1) Cross-pressurization/contamination requirements
2) Use DCV controls
3) Utilze VentStd = 'Other'</t>
        </r>
      </text>
    </comment>
    <comment ref="B42" authorId="0" shapeId="0">
      <text>
        <r>
          <rPr>
            <b/>
            <sz val="9"/>
            <color indexed="81"/>
            <rFont val="Tahoma"/>
            <family val="2"/>
          </rPr>
          <t>David Reddy:</t>
        </r>
        <r>
          <rPr>
            <sz val="9"/>
            <color indexed="81"/>
            <rFont val="Tahoma"/>
            <family val="2"/>
          </rPr>
          <t xml:space="preserve">
As distributed to zone in DesignSpecification:OutdoorAir objects.</t>
        </r>
      </text>
    </comment>
    <comment ref="B45" authorId="0" shapeId="0">
      <text>
        <r>
          <rPr>
            <b/>
            <sz val="9"/>
            <color indexed="81"/>
            <rFont val="Tahoma"/>
            <family val="2"/>
          </rPr>
          <t>David Reddy:</t>
        </r>
        <r>
          <rPr>
            <sz val="9"/>
            <color indexed="81"/>
            <rFont val="Tahoma"/>
            <family val="2"/>
          </rPr>
          <t xml:space="preserve">
As distributed to zone in DesignSpecification:OutdoorAir objects.</t>
        </r>
      </text>
    </comment>
    <comment ref="K55" authorId="0" shapeId="0">
      <text>
        <r>
          <rPr>
            <b/>
            <sz val="9"/>
            <color indexed="81"/>
            <rFont val="Tahoma"/>
            <family val="2"/>
          </rPr>
          <t>David Reddy:</t>
        </r>
        <r>
          <rPr>
            <sz val="9"/>
            <color indexed="81"/>
            <rFont val="Tahoma"/>
            <family val="2"/>
          </rPr>
          <t xml:space="preserve">
Included spaces are all spaces except spaces defined to have:
1) Cross-pressurization/contamination requirements
2) Use DCV controls
3) Utilze VentStd = 'Other'</t>
        </r>
      </text>
    </comment>
    <comment ref="B85" authorId="0" shapeId="0">
      <text>
        <r>
          <rPr>
            <b/>
            <sz val="9"/>
            <color indexed="81"/>
            <rFont val="Tahoma"/>
            <family val="2"/>
          </rPr>
          <t>David Reddy:</t>
        </r>
        <r>
          <rPr>
            <sz val="9"/>
            <color indexed="81"/>
            <rFont val="Tahoma"/>
            <family val="2"/>
          </rPr>
          <t xml:space="preserve">
As distributed to zone in DesignSpecification:OutdoorAir objects.</t>
        </r>
      </text>
    </comment>
    <comment ref="B88" authorId="0" shapeId="0">
      <text>
        <r>
          <rPr>
            <b/>
            <sz val="9"/>
            <color indexed="81"/>
            <rFont val="Tahoma"/>
            <family val="2"/>
          </rPr>
          <t>David Reddy:</t>
        </r>
        <r>
          <rPr>
            <sz val="9"/>
            <color indexed="81"/>
            <rFont val="Tahoma"/>
            <family val="2"/>
          </rPr>
          <t xml:space="preserve">
As distributed to zone in DesignSpecification:OutdoorAir objects.</t>
        </r>
      </text>
    </comment>
    <comment ref="K98" authorId="0" shapeId="0">
      <text>
        <r>
          <rPr>
            <b/>
            <sz val="9"/>
            <color indexed="81"/>
            <rFont val="Tahoma"/>
            <family val="2"/>
          </rPr>
          <t>David Reddy:</t>
        </r>
        <r>
          <rPr>
            <sz val="9"/>
            <color indexed="81"/>
            <rFont val="Tahoma"/>
            <family val="2"/>
          </rPr>
          <t xml:space="preserve">
Included spaces are all spaces except spaces defined to have:
1) Cross-pressurization/contamination requirements
2) Use DCV controls
3) Utilze VentStd = 'Other'</t>
        </r>
      </text>
    </comment>
    <comment ref="B128" authorId="0" shapeId="0">
      <text>
        <r>
          <rPr>
            <b/>
            <sz val="9"/>
            <color indexed="81"/>
            <rFont val="Tahoma"/>
            <family val="2"/>
          </rPr>
          <t>David Reddy:</t>
        </r>
        <r>
          <rPr>
            <sz val="9"/>
            <color indexed="81"/>
            <rFont val="Tahoma"/>
            <family val="2"/>
          </rPr>
          <t xml:space="preserve">
As distributed to zone in DesignSpecification:OutdoorAir objects.</t>
        </r>
      </text>
    </comment>
    <comment ref="B131" authorId="0" shapeId="0">
      <text>
        <r>
          <rPr>
            <b/>
            <sz val="9"/>
            <color indexed="81"/>
            <rFont val="Tahoma"/>
            <family val="2"/>
          </rPr>
          <t>David Reddy:</t>
        </r>
        <r>
          <rPr>
            <sz val="9"/>
            <color indexed="81"/>
            <rFont val="Tahoma"/>
            <family val="2"/>
          </rPr>
          <t xml:space="preserve">
As distributed to zone in DesignSpecification:OutdoorAir objects.</t>
        </r>
      </text>
    </comment>
    <comment ref="K141" authorId="0" shapeId="0">
      <text>
        <r>
          <rPr>
            <b/>
            <sz val="9"/>
            <color indexed="81"/>
            <rFont val="Tahoma"/>
            <family val="2"/>
          </rPr>
          <t>David Reddy:</t>
        </r>
        <r>
          <rPr>
            <sz val="9"/>
            <color indexed="81"/>
            <rFont val="Tahoma"/>
            <family val="2"/>
          </rPr>
          <t xml:space="preserve">
Included spaces are all spaces except spaces defined to have:
1) Cross-pressurization/contamination requirements
2) Use DCV controls
3) Utilze VentStd = 'Other'</t>
        </r>
      </text>
    </comment>
    <comment ref="B171" authorId="0" shapeId="0">
      <text>
        <r>
          <rPr>
            <b/>
            <sz val="9"/>
            <color indexed="81"/>
            <rFont val="Tahoma"/>
            <family val="2"/>
          </rPr>
          <t>David Reddy:</t>
        </r>
        <r>
          <rPr>
            <sz val="9"/>
            <color indexed="81"/>
            <rFont val="Tahoma"/>
            <family val="2"/>
          </rPr>
          <t xml:space="preserve">
As distributed to zone in DesignSpecification:OutdoorAir objects.</t>
        </r>
      </text>
    </comment>
    <comment ref="B174" authorId="0" shapeId="0">
      <text>
        <r>
          <rPr>
            <b/>
            <sz val="9"/>
            <color indexed="81"/>
            <rFont val="Tahoma"/>
            <family val="2"/>
          </rPr>
          <t>David Reddy:</t>
        </r>
        <r>
          <rPr>
            <sz val="9"/>
            <color indexed="81"/>
            <rFont val="Tahoma"/>
            <family val="2"/>
          </rPr>
          <t xml:space="preserve">
As distributed to zone in DesignSpecification:OutdoorAir objects.</t>
        </r>
      </text>
    </comment>
    <comment ref="K183" authorId="0" shapeId="0">
      <text>
        <r>
          <rPr>
            <b/>
            <sz val="9"/>
            <color indexed="81"/>
            <rFont val="Tahoma"/>
            <family val="2"/>
          </rPr>
          <t>David Reddy:</t>
        </r>
        <r>
          <rPr>
            <sz val="9"/>
            <color indexed="81"/>
            <rFont val="Tahoma"/>
            <family val="2"/>
          </rPr>
          <t xml:space="preserve">
Included spaces are all spaces except process spaces (lab and commercial kitchen) and spaces with DCV.</t>
        </r>
      </text>
    </comment>
    <comment ref="K209" authorId="0" shapeId="0">
      <text>
        <r>
          <rPr>
            <b/>
            <sz val="9"/>
            <color indexed="81"/>
            <rFont val="Tahoma"/>
            <family val="2"/>
          </rPr>
          <t>David Reddy:</t>
        </r>
        <r>
          <rPr>
            <sz val="9"/>
            <color indexed="81"/>
            <rFont val="Tahoma"/>
            <family val="2"/>
          </rPr>
          <t xml:space="preserve">
Included spaces are all spaces except spaces defined to have:
1) Cross-pressurization/contamination requirements
2) Use DCV controls
3) Utilze VentStd = 'Other'</t>
        </r>
      </text>
    </comment>
    <comment ref="B239" authorId="0" shapeId="0">
      <text>
        <r>
          <rPr>
            <b/>
            <sz val="9"/>
            <color indexed="81"/>
            <rFont val="Tahoma"/>
            <family val="2"/>
          </rPr>
          <t>David Reddy:</t>
        </r>
        <r>
          <rPr>
            <sz val="9"/>
            <color indexed="81"/>
            <rFont val="Tahoma"/>
            <family val="2"/>
          </rPr>
          <t xml:space="preserve">
As distributed to zone in DesignSpecification:OutdoorAir objects.</t>
        </r>
      </text>
    </comment>
    <comment ref="B242" authorId="0" shapeId="0">
      <text>
        <r>
          <rPr>
            <b/>
            <sz val="9"/>
            <color indexed="81"/>
            <rFont val="Tahoma"/>
            <family val="2"/>
          </rPr>
          <t>David Reddy:</t>
        </r>
        <r>
          <rPr>
            <sz val="9"/>
            <color indexed="81"/>
            <rFont val="Tahoma"/>
            <family val="2"/>
          </rPr>
          <t xml:space="preserve">
As distributed to zone in DesignSpecification:OutdoorAir objects.</t>
        </r>
      </text>
    </comment>
    <comment ref="K252" authorId="0" shapeId="0">
      <text>
        <r>
          <rPr>
            <b/>
            <sz val="9"/>
            <color indexed="81"/>
            <rFont val="Tahoma"/>
            <family val="2"/>
          </rPr>
          <t>David Reddy:</t>
        </r>
        <r>
          <rPr>
            <sz val="9"/>
            <color indexed="81"/>
            <rFont val="Tahoma"/>
            <family val="2"/>
          </rPr>
          <t xml:space="preserve">
Included spaces are all spaces except spaces defined to have:
1) Cross-pressurization/contamination requirements
2) Use DCV controls
3) Utilze VentStd = 'Other'</t>
        </r>
      </text>
    </comment>
    <comment ref="B282" authorId="0" shapeId="0">
      <text>
        <r>
          <rPr>
            <b/>
            <sz val="9"/>
            <color indexed="81"/>
            <rFont val="Tahoma"/>
            <family val="2"/>
          </rPr>
          <t>David Reddy:</t>
        </r>
        <r>
          <rPr>
            <sz val="9"/>
            <color indexed="81"/>
            <rFont val="Tahoma"/>
            <family val="2"/>
          </rPr>
          <t xml:space="preserve">
As distributed to zone in DesignSpecification:OutdoorAir objects.</t>
        </r>
      </text>
    </comment>
    <comment ref="B285" authorId="0" shapeId="0">
      <text>
        <r>
          <rPr>
            <b/>
            <sz val="9"/>
            <color indexed="81"/>
            <rFont val="Tahoma"/>
            <family val="2"/>
          </rPr>
          <t>David Reddy:</t>
        </r>
        <r>
          <rPr>
            <sz val="9"/>
            <color indexed="81"/>
            <rFont val="Tahoma"/>
            <family val="2"/>
          </rPr>
          <t xml:space="preserve">
As distributed to zone in DesignSpecification:OutdoorAir objects.</t>
        </r>
      </text>
    </comment>
    <comment ref="K295" authorId="0" shapeId="0">
      <text>
        <r>
          <rPr>
            <b/>
            <sz val="9"/>
            <color indexed="81"/>
            <rFont val="Tahoma"/>
            <family val="2"/>
          </rPr>
          <t>David Reddy:</t>
        </r>
        <r>
          <rPr>
            <sz val="9"/>
            <color indexed="81"/>
            <rFont val="Tahoma"/>
            <family val="2"/>
          </rPr>
          <t xml:space="preserve">
Included spaces are all spaces except spaces defined to have:
1) Cross-pressurization/contamination requirements
2) Use DCV controls
3) Utilze VentStd = 'Other'</t>
        </r>
      </text>
    </comment>
    <comment ref="B325" authorId="0" shapeId="0">
      <text>
        <r>
          <rPr>
            <b/>
            <sz val="9"/>
            <color indexed="81"/>
            <rFont val="Tahoma"/>
            <family val="2"/>
          </rPr>
          <t>David Reddy:</t>
        </r>
        <r>
          <rPr>
            <sz val="9"/>
            <color indexed="81"/>
            <rFont val="Tahoma"/>
            <family val="2"/>
          </rPr>
          <t xml:space="preserve">
As distributed to zone in DesignSpecification:OutdoorAir objects.</t>
        </r>
      </text>
    </comment>
    <comment ref="B328" authorId="0" shapeId="0">
      <text>
        <r>
          <rPr>
            <b/>
            <sz val="9"/>
            <color indexed="81"/>
            <rFont val="Tahoma"/>
            <family val="2"/>
          </rPr>
          <t>David Reddy:</t>
        </r>
        <r>
          <rPr>
            <sz val="9"/>
            <color indexed="81"/>
            <rFont val="Tahoma"/>
            <family val="2"/>
          </rPr>
          <t xml:space="preserve">
As distributed to zone in DesignSpecification:OutdoorAir objects.</t>
        </r>
      </text>
    </comment>
    <comment ref="K338" authorId="0" shapeId="0">
      <text>
        <r>
          <rPr>
            <b/>
            <sz val="9"/>
            <color indexed="81"/>
            <rFont val="Tahoma"/>
            <family val="2"/>
          </rPr>
          <t>David Reddy:</t>
        </r>
        <r>
          <rPr>
            <sz val="9"/>
            <color indexed="81"/>
            <rFont val="Tahoma"/>
            <family val="2"/>
          </rPr>
          <t xml:space="preserve">
Included spaces are all spaces except spaces defined to have:
1) Cross-pressurization/contamination requirements
2) Use DCV controls
3) Utilze VentStd = 'Other'</t>
        </r>
      </text>
    </comment>
    <comment ref="B368" authorId="0" shapeId="0">
      <text>
        <r>
          <rPr>
            <b/>
            <sz val="9"/>
            <color indexed="81"/>
            <rFont val="Tahoma"/>
            <family val="2"/>
          </rPr>
          <t>David Reddy:</t>
        </r>
        <r>
          <rPr>
            <sz val="9"/>
            <color indexed="81"/>
            <rFont val="Tahoma"/>
            <family val="2"/>
          </rPr>
          <t xml:space="preserve">
As distributed to zone in DesignSpecification:OutdoorAir objects.</t>
        </r>
      </text>
    </comment>
    <comment ref="B371" authorId="0" shapeId="0">
      <text>
        <r>
          <rPr>
            <b/>
            <sz val="9"/>
            <color indexed="81"/>
            <rFont val="Tahoma"/>
            <family val="2"/>
          </rPr>
          <t>David Reddy:</t>
        </r>
        <r>
          <rPr>
            <sz val="9"/>
            <color indexed="81"/>
            <rFont val="Tahoma"/>
            <family val="2"/>
          </rPr>
          <t xml:space="preserve">
As distributed to zone in DesignSpecification:OutdoorAir objects.</t>
        </r>
      </text>
    </comment>
  </commentList>
</comments>
</file>

<file path=xl/sharedStrings.xml><?xml version="1.0" encoding="utf-8"?>
<sst xmlns="http://schemas.openxmlformats.org/spreadsheetml/2006/main" count="806" uniqueCount="187">
  <si>
    <t>Space 1</t>
  </si>
  <si>
    <t>Space 2</t>
  </si>
  <si>
    <t>Space 3</t>
  </si>
  <si>
    <t>Space 4</t>
  </si>
  <si>
    <t>Space 5</t>
  </si>
  <si>
    <t>BuildingStory</t>
  </si>
  <si>
    <t>Exhaust</t>
  </si>
  <si>
    <t>Example 1)</t>
  </si>
  <si>
    <t>Example 2)</t>
  </si>
  <si>
    <t>Example 3)</t>
  </si>
  <si>
    <t>Example 4)</t>
  </si>
  <si>
    <t>cfm</t>
  </si>
  <si>
    <t>Notes</t>
  </si>
  <si>
    <t>Space Name</t>
  </si>
  <si>
    <t>Include?</t>
  </si>
  <si>
    <t>Ratio Vent:Exh</t>
  </si>
  <si>
    <t>Sum of All Spaces</t>
  </si>
  <si>
    <t>Input cell</t>
  </si>
  <si>
    <t>Comments:</t>
  </si>
  <si>
    <t>Space 2 is a commercial kitchen with exhaust, and make-up air is provided to dining area (Space 1)</t>
  </si>
  <si>
    <t>Baseline rates equal proposed since proposed design total BuildingStory ventilation flow does not exceed the baseline total.  Proportionality is maintained</t>
  </si>
  <si>
    <t>Description:</t>
  </si>
  <si>
    <t>Sum of Incl. Spaces</t>
  </si>
  <si>
    <t>Example 5)</t>
  </si>
  <si>
    <t>Story:MinVentBalRat</t>
  </si>
  <si>
    <t>Adjustments</t>
  </si>
  <si>
    <t>VentStd = 'Other'</t>
  </si>
  <si>
    <t>Comm. kitchen w/ exhaust</t>
  </si>
  <si>
    <t>Dining room</t>
  </si>
  <si>
    <t>Code Ra Flow</t>
  </si>
  <si>
    <t>Code Rp Flow</t>
  </si>
  <si>
    <t>Prop Ra Flow</t>
  </si>
  <si>
    <t>Prop Rp Flow</t>
  </si>
  <si>
    <t>Example 6)</t>
  </si>
  <si>
    <t>Ratio Prop:Code Vent, Ra</t>
  </si>
  <si>
    <t>Ratio Prop:Code Vent, Rp</t>
  </si>
  <si>
    <t>Proposed Total Design</t>
  </si>
  <si>
    <t>Code Min Design Total</t>
  </si>
  <si>
    <t>Baseline Simulated Design Total</t>
  </si>
  <si>
    <t>Difference from Proposed</t>
  </si>
  <si>
    <t>Has DCV?</t>
  </si>
  <si>
    <t>Ratio Prop:Code Vent Total</t>
  </si>
  <si>
    <t>Baseline VentPerAreaSim</t>
  </si>
  <si>
    <t>Baseline VentPerPersonSim</t>
  </si>
  <si>
    <t>Story:MinVentPerAreaRat</t>
  </si>
  <si>
    <t>Story:MinVentPerPersonRat</t>
  </si>
  <si>
    <t>Is Lab Space?</t>
  </si>
  <si>
    <t>Example 4b)</t>
  </si>
  <si>
    <r>
      <t xml:space="preserve">Baseline rates equal to proposed since total proposed BuildingStory ventilation air flow is less than 1.1x BuildingStory exhaust air flow. </t>
    </r>
    <r>
      <rPr>
        <i/>
        <sz val="11"/>
        <color rgb="FFFF0000"/>
        <rFont val="Calibri"/>
        <family val="2"/>
        <scheme val="minor"/>
      </rPr>
      <t xml:space="preserve"> Adjustments made to constant/person components individually.</t>
    </r>
  </si>
  <si>
    <t>VentStd = "Other"</t>
  </si>
  <si>
    <t>Example 7)</t>
  </si>
  <si>
    <t>Space has DCV and elevated Rp</t>
  </si>
  <si>
    <t>Commercial kitchen w/ exhaust</t>
  </si>
  <si>
    <t>Provided extra ventilation for kitchen make-up (i.e. dining area)</t>
  </si>
  <si>
    <t>Baseline rates is greater than code, but limited to 1.1x BuildingStory exhaust air flow.</t>
  </si>
  <si>
    <t>Baseline rates equal to proposed * ratio to proporitionally reduce so total baseline BuildingStory ventilation air flow is equal to code design min.</t>
  </si>
  <si>
    <t>Same as 1) but proposed is uniformly increased by:</t>
  </si>
  <si>
    <t>THE WHOLE ENCHILADA!!! Combination of all examples.</t>
  </si>
  <si>
    <t>Ratio Prop:Code, Total</t>
  </si>
  <si>
    <t>Exhaust Flow</t>
  </si>
  <si>
    <t>Prop Zone Vent Eff (P-Ez)</t>
  </si>
  <si>
    <t>Prop System Vent Eff (P-Ev)</t>
  </si>
  <si>
    <t>Base VentPerAreaSim</t>
  </si>
  <si>
    <t>Base VentPerPersonSim</t>
  </si>
  <si>
    <t>Prop Total Flow (P-Vbz)</t>
  </si>
  <si>
    <t>Difference from P-Vbz</t>
  </si>
  <si>
    <t>Base System OA Flow (B-Vot)</t>
  </si>
  <si>
    <t>Prop System OA Flow (P-Vot)</t>
  </si>
  <si>
    <t>Prop VentPerAreaSim</t>
  </si>
  <si>
    <t>Prop VentPerPersonSim</t>
  </si>
  <si>
    <t>Base Zone Vent Eff (B-Ez)</t>
  </si>
  <si>
    <t>&lt;&lt; To add more spaces, insert copied columns before this column</t>
  </si>
  <si>
    <t>Floor Area</t>
  </si>
  <si>
    <t>People</t>
  </si>
  <si>
    <t>#</t>
  </si>
  <si>
    <t>ft2</t>
  </si>
  <si>
    <t>cfm/per</t>
  </si>
  <si>
    <t>CoreZn</t>
  </si>
  <si>
    <t>PerimZn1</t>
  </si>
  <si>
    <t>PerimZn2</t>
  </si>
  <si>
    <t>PerimZn3</t>
  </si>
  <si>
    <t>PerimZn4</t>
  </si>
  <si>
    <t>Gets transfer air from PerimZn1</t>
  </si>
  <si>
    <t>Includes vent for CoreZn + 50cfm</t>
  </si>
  <si>
    <t>Gets transfer air from PerimZn1, has 200cfm of general exhaust</t>
  </si>
  <si>
    <t>Story:ExhVentRatLimit</t>
  </si>
  <si>
    <t>Story:ExhVentMult</t>
  </si>
  <si>
    <t>Prop Ra</t>
  </si>
  <si>
    <t>Prop Rp</t>
  </si>
  <si>
    <t>Code Ra</t>
  </si>
  <si>
    <t>Code Rp</t>
  </si>
  <si>
    <t>Questions</t>
  </si>
  <si>
    <t>If VentStd = 'Other', and the proposed design has DCV, does the baseline have DCV as well?  I suggest that the baseline rules for determining the use of DCV remain as they normally would, and only the ventilation/exhaust rates are maintained the same between the two designs. This is because there will be times when the zone may not exceed the occ density requirement, or, the baseline system may not meet the prerequisites specified in 6.4.3.9.</t>
  </si>
  <si>
    <t>[SG] I agree with your approach. The ventilation/exhaust rates can be same as proposed and rules for DCV are applied if applicable</t>
  </si>
  <si>
    <t>PNNL</t>
  </si>
  <si>
    <t>[SG] Yes, we had decided to not use E+’s capability for implementing the VRP. The OA rates calculated would be entered under DSOA object. However, there is a limitation is OS at present which prevents a correct implementation of this approach. I will send you a separate email regarding that.</t>
  </si>
  <si>
    <t>Up to this point, I've been assuming that we would calculate Vot for systems within rules based on user inputs, and then for simulation, specify DesignSpecification:OutdoorAir objects for each zone which specify OA flows including adjustments for Ez and Ev.  However, I recall we discussed using E+'s internal ability to calculate ventilation rates using Controller:MechanicalVentilation -&gt; System Outdoor Air Method = VentilationRateProcedure.  Please confirm that PNNL is not assuming we use E+'s implementation of VRP.  Instead, I am proposing we will use the current method, ZoneSum, and the SDD inputs for DesignSpecification:OutdoorAir will include the effectiveness adjustments made in rules.</t>
  </si>
  <si>
    <t>[SG] I don’t see how will be able to use both so smaller of the two works fine. Roger/Mike- please feel free to weigh in if this approach doesn’t sound correct.</t>
  </si>
  <si>
    <t xml:space="preserve">For Ez, do we need to allow input of both a heating and cooling zone effectiveness?  I've been assuming the user would only input one value, and that would be the smaller of heating/cooling effectiveness.
</t>
  </si>
  <si>
    <t>X</t>
  </si>
  <si>
    <t>If user specifys just an OA for zone CFM, how should the program allocate the OA to cfm_minimum vs cfm_person if DCV is used?</t>
  </si>
  <si>
    <t>In the Story ventilation balance calculations, I assume I should use the design ventilation rate, not the cfm_minimum in determining the amount of ventilation air to baseline allowance?</t>
  </si>
  <si>
    <t>Base Total Flow (B-Vbz) TARGET</t>
  </si>
  <si>
    <t>Provided extra ventilation for kitchen make-up (i.e. dining area) and has DCV</t>
  </si>
  <si>
    <t>Gets transfer air from PerimZn3, has 200cfm of general exhaust</t>
  </si>
  <si>
    <t>Includes vent for PerimZn2 + 50cfm</t>
  </si>
  <si>
    <t>Code Total Flow (B-Vbz)</t>
  </si>
  <si>
    <t>Code Min Flow</t>
  </si>
  <si>
    <t>Prop Min Flow</t>
  </si>
  <si>
    <t>CODE</t>
  </si>
  <si>
    <t>PROPOSED</t>
  </si>
  <si>
    <t>Occupant Density</t>
  </si>
  <si>
    <t>#/1000sf</t>
  </si>
  <si>
    <t>cfm/sf</t>
  </si>
  <si>
    <t>CoreZn space has DCV and elevated Rp</t>
  </si>
  <si>
    <t>Baseline Ra is specified at code minimum, with balance simulated as Rp flow</t>
  </si>
  <si>
    <t>Same as example 1 but add extra 50cfm to PerimZn1 and CoreZn has a an exhaust fan</t>
  </si>
  <si>
    <t>Baseline rates equal to proposed * multiplier to proporitionally reduce proposed rates so total baseline BuildingStory ventilation air flow is equal to code design min.</t>
  </si>
  <si>
    <t>CoreZn is indirectly conditioned/ventilated from PerimZn1</t>
  </si>
  <si>
    <t>CoreZn is a commercial kitchen with exhaust, and make-up air is provided to PerimZn1. Ez = 0.8 for all zones</t>
  </si>
  <si>
    <t>Example 8)</t>
  </si>
  <si>
    <t xml:space="preserve">Multi-zone </t>
  </si>
  <si>
    <t>Sum of Other Spaces</t>
  </si>
  <si>
    <t>Story:CodeVentMult</t>
  </si>
  <si>
    <t>Story:CodeOtherVentMult</t>
  </si>
  <si>
    <t>Story:ExhOtherVentMult</t>
  </si>
  <si>
    <t>Sum of VentStd Spaces</t>
  </si>
  <si>
    <t>CodeAdjustment</t>
  </si>
  <si>
    <t>CodeOtherAdjustment</t>
  </si>
  <si>
    <t>Uses VentStd?</t>
  </si>
  <si>
    <t>CoreZn uses VentStd = 'Other'  and is over-ventilated</t>
  </si>
  <si>
    <t>Based on user input of CodeOther values, the baseline flow is adjusted down to match code Min.</t>
  </si>
  <si>
    <t>Specification Method</t>
  </si>
  <si>
    <t>Maximum</t>
  </si>
  <si>
    <t>Sum</t>
  </si>
  <si>
    <t>Proposed</t>
  </si>
  <si>
    <t>Baseline</t>
  </si>
  <si>
    <t>Controls</t>
  </si>
  <si>
    <t>ThrmlZn</t>
  </si>
  <si>
    <t>VentSpecMthd</t>
  </si>
  <si>
    <t>VentSpecMthdSim</t>
  </si>
  <si>
    <t>VentCtrlMthd</t>
  </si>
  <si>
    <t>Component Inputs</t>
  </si>
  <si>
    <t>Space</t>
  </si>
  <si>
    <t>VentPerArea</t>
  </si>
  <si>
    <t>CodeVentPerArea</t>
  </si>
  <si>
    <t>CodeOtherVentPerArea</t>
  </si>
  <si>
    <t>VentPerPerson</t>
  </si>
  <si>
    <t>CodeVentPerPerson</t>
  </si>
  <si>
    <t>CodeOtherVentPerPerson</t>
  </si>
  <si>
    <t>VentACH</t>
  </si>
  <si>
    <t>CodeOtherVentACH</t>
  </si>
  <si>
    <t>Component Flows</t>
  </si>
  <si>
    <t>VentPerAreaFlow</t>
  </si>
  <si>
    <t>CodeVentPerAreaFlow</t>
  </si>
  <si>
    <t>VentPerPersonFlow</t>
  </si>
  <si>
    <t>CodeVentPerPersonFlow</t>
  </si>
  <si>
    <t>VentACHFlow</t>
  </si>
  <si>
    <t>CodeVentACHFlow</t>
  </si>
  <si>
    <t>Design Flow</t>
  </si>
  <si>
    <t>VentFlow</t>
  </si>
  <si>
    <t>CodeVentFlow</t>
  </si>
  <si>
    <t>CodeOtherVentFlow</t>
  </si>
  <si>
    <t>Design Minimum Flow</t>
  </si>
  <si>
    <t>MinVentFlow</t>
  </si>
  <si>
    <t>CodeMinVentFlow</t>
  </si>
  <si>
    <t>CodeOtherMinVentFlow</t>
  </si>
  <si>
    <t>Flow for Balance Calcs</t>
  </si>
  <si>
    <t>VentFlowForBal</t>
  </si>
  <si>
    <t>CodeVentFlowForBal</t>
  </si>
  <si>
    <t>MinVentFlowForBal</t>
  </si>
  <si>
    <t>CodeMinVentFlowForBal</t>
  </si>
  <si>
    <t>Multipliers</t>
  </si>
  <si>
    <t>Story</t>
  </si>
  <si>
    <t>CodeVentMult</t>
  </si>
  <si>
    <t>CodeOtherVentMult</t>
  </si>
  <si>
    <t>ExhVentMult</t>
  </si>
  <si>
    <t>OtherExhVentMult</t>
  </si>
  <si>
    <t>CodeVentFlowTarget</t>
  </si>
  <si>
    <t>VentPerAreaFlowSim</t>
  </si>
  <si>
    <t>VentPerPersonFlowSim</t>
  </si>
  <si>
    <t>CodeVentPerPersonFlowSim</t>
  </si>
  <si>
    <t>Properties echod at Space</t>
  </si>
  <si>
    <t>VentStd = 'Other', Has DCV</t>
  </si>
  <si>
    <t>Proposed Has DCV?</t>
  </si>
  <si>
    <t>Baseline Has DCV?</t>
  </si>
  <si>
    <t>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</si>
</sst>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0.00_);_(* \(#,##0.00\);_(* &quot;-&quot;??_);_(@_)"/>
    <numFmt numFmtId="164" formatCode="0.0"/>
    <numFmt numFmtId="165" formatCode="_(* #,##0_);_(* \(#,##0\);_(* &quot;-&quot;??_);_(@_)"/>
    <numFmt numFmtId="166" formatCode="_(* #,##0.0_);_(* \(#,##0.0\);_(* &quot;-&quot;??_);_(@_)"/>
    <numFmt numFmtId="167" formatCode="_(* #,##0.000_);_(* \(#,##0.000\);_(* &quot;-&quot;??_);_(@_)"/>
    <numFmt numFmtId="168" formatCode="_(* #,##0.0000_);_(* \(#,##0.0000\);_(* &quot;-&quot;??_);_(@_)"/>
    <numFmt numFmtId="169" formatCode="0.000"/>
  </numFmts>
  <fonts count="28" x14ac:knownFonts="1">
    <font>
      <sz val="11"/>
      <color theme="1"/>
      <name val="Calibri"/>
      <family val="2"/>
      <scheme val="minor"/>
    </font>
    <font>
      <sz val="11"/>
      <color theme="1"/>
      <name val="Calibri"/>
      <family val="2"/>
      <scheme val="minor"/>
    </font>
    <font>
      <sz val="11"/>
      <color rgb="FF3F3F76"/>
      <name val="Calibri"/>
      <family val="2"/>
      <scheme val="minor"/>
    </font>
    <font>
      <b/>
      <sz val="11"/>
      <color rgb="FFFA7D00"/>
      <name val="Calibri"/>
      <family val="2"/>
      <scheme val="minor"/>
    </font>
    <font>
      <b/>
      <sz val="11"/>
      <color theme="1"/>
      <name val="Calibri"/>
      <family val="2"/>
      <scheme val="minor"/>
    </font>
    <font>
      <b/>
      <sz val="11"/>
      <color theme="0"/>
      <name val="Calibri"/>
      <family val="2"/>
      <scheme val="minor"/>
    </font>
    <font>
      <b/>
      <sz val="14"/>
      <color theme="1"/>
      <name val="Calibri"/>
      <family val="2"/>
      <scheme val="minor"/>
    </font>
    <font>
      <sz val="9"/>
      <color indexed="81"/>
      <name val="Tahoma"/>
      <family val="2"/>
    </font>
    <font>
      <b/>
      <sz val="9"/>
      <color indexed="81"/>
      <name val="Tahoma"/>
      <family val="2"/>
    </font>
    <font>
      <i/>
      <sz val="11"/>
      <color theme="1"/>
      <name val="Calibri"/>
      <family val="2"/>
      <scheme val="minor"/>
    </font>
    <font>
      <sz val="11"/>
      <color theme="0" tint="-0.34998626667073579"/>
      <name val="Calibri"/>
      <family val="2"/>
      <scheme val="minor"/>
    </font>
    <font>
      <sz val="9"/>
      <color theme="1"/>
      <name val="Calibri"/>
      <family val="2"/>
      <scheme val="minor"/>
    </font>
    <font>
      <i/>
      <sz val="11"/>
      <color rgb="FFFF0000"/>
      <name val="Calibri"/>
      <family val="2"/>
      <scheme val="minor"/>
    </font>
    <font>
      <sz val="9"/>
      <color theme="0" tint="-0.34998626667073579"/>
      <name val="Calibri"/>
      <family val="2"/>
      <scheme val="minor"/>
    </font>
    <font>
      <sz val="9"/>
      <color rgb="FF0000FF"/>
      <name val="Calibri"/>
      <family val="2"/>
      <scheme val="minor"/>
    </font>
    <font>
      <sz val="11"/>
      <color theme="8"/>
      <name val="Calibri"/>
      <family val="2"/>
      <scheme val="minor"/>
    </font>
    <font>
      <b/>
      <sz val="11"/>
      <color theme="0" tint="-0.499984740745262"/>
      <name val="Calibri"/>
      <family val="2"/>
      <scheme val="minor"/>
    </font>
    <font>
      <sz val="9"/>
      <color theme="0" tint="-0.499984740745262"/>
      <name val="Calibri"/>
      <family val="2"/>
      <scheme val="minor"/>
    </font>
    <font>
      <sz val="11"/>
      <color theme="0" tint="-0.499984740745262"/>
      <name val="Calibri"/>
      <family val="2"/>
      <scheme val="minor"/>
    </font>
    <font>
      <sz val="11"/>
      <color rgb="FFFF0000"/>
      <name val="Calibri"/>
      <family val="2"/>
      <scheme val="minor"/>
    </font>
    <font>
      <b/>
      <sz val="11"/>
      <color rgb="FF3F3F3F"/>
      <name val="Calibri"/>
      <family val="2"/>
      <scheme val="minor"/>
    </font>
    <font>
      <b/>
      <sz val="11"/>
      <color rgb="FFFF0000"/>
      <name val="Calibri"/>
      <family val="2"/>
      <scheme val="minor"/>
    </font>
    <font>
      <b/>
      <sz val="11"/>
      <color theme="4" tint="-0.249977111117893"/>
      <name val="Calibri"/>
      <family val="2"/>
      <scheme val="minor"/>
    </font>
    <font>
      <b/>
      <sz val="16"/>
      <color theme="1"/>
      <name val="Calibri"/>
      <family val="2"/>
      <scheme val="minor"/>
    </font>
    <font>
      <b/>
      <sz val="11"/>
      <color theme="9" tint="-0.249977111117893"/>
      <name val="Calibri"/>
      <family val="2"/>
      <scheme val="minor"/>
    </font>
    <font>
      <sz val="11"/>
      <color rgb="FF9C0006"/>
      <name val="Calibri"/>
      <family val="2"/>
      <scheme val="minor"/>
    </font>
    <font>
      <i/>
      <sz val="11"/>
      <color rgb="FF7F7F7F"/>
      <name val="Calibri"/>
      <family val="2"/>
      <scheme val="minor"/>
    </font>
    <font>
      <b/>
      <sz val="9"/>
      <color theme="0" tint="-0.499984740745262"/>
      <name val="Calibri"/>
      <family val="2"/>
      <scheme val="minor"/>
    </font>
  </fonts>
  <fills count="9">
    <fill>
      <patternFill patternType="none"/>
    </fill>
    <fill>
      <patternFill patternType="gray125"/>
    </fill>
    <fill>
      <patternFill patternType="solid">
        <fgColor rgb="FFFFCC99"/>
      </patternFill>
    </fill>
    <fill>
      <patternFill patternType="solid">
        <fgColor rgb="FFF2F2F2"/>
      </patternFill>
    </fill>
    <fill>
      <patternFill patternType="solid">
        <fgColor rgb="FFA5A5A5"/>
      </patternFill>
    </fill>
    <fill>
      <patternFill patternType="solid">
        <fgColor theme="4" tint="0.59999389629810485"/>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FFC7CE"/>
      </patternFill>
    </fill>
  </fills>
  <borders count="19">
    <border>
      <left/>
      <right/>
      <top/>
      <bottom/>
      <diagonal/>
    </border>
    <border>
      <left style="thin">
        <color rgb="FF7F7F7F"/>
      </left>
      <right style="thin">
        <color rgb="FF7F7F7F"/>
      </right>
      <top style="thin">
        <color rgb="FF7F7F7F"/>
      </top>
      <bottom style="thin">
        <color rgb="FF7F7F7F"/>
      </bottom>
      <diagonal/>
    </border>
    <border>
      <left/>
      <right/>
      <top/>
      <bottom style="thin">
        <color indexed="64"/>
      </bottom>
      <diagonal/>
    </border>
    <border>
      <left style="thin">
        <color indexed="64"/>
      </left>
      <right/>
      <top/>
      <bottom/>
      <diagonal/>
    </border>
    <border>
      <left style="double">
        <color rgb="FF3F3F3F"/>
      </left>
      <right style="double">
        <color rgb="FF3F3F3F"/>
      </right>
      <top style="double">
        <color rgb="FF3F3F3F"/>
      </top>
      <bottom style="double">
        <color rgb="FF3F3F3F"/>
      </bottom>
      <diagonal/>
    </border>
    <border>
      <left/>
      <right/>
      <top/>
      <bottom style="double">
        <color indexed="64"/>
      </bottom>
      <diagonal/>
    </border>
    <border>
      <left style="thin">
        <color rgb="FF7F7F7F"/>
      </left>
      <right style="thin">
        <color rgb="FF7F7F7F"/>
      </right>
      <top style="thin">
        <color rgb="FF7F7F7F"/>
      </top>
      <bottom style="double">
        <color indexed="64"/>
      </bottom>
      <diagonal/>
    </border>
    <border>
      <left/>
      <right style="thin">
        <color rgb="FF7F7F7F"/>
      </right>
      <top/>
      <bottom style="double">
        <color indexed="64"/>
      </bottom>
      <diagonal/>
    </border>
    <border>
      <left style="thin">
        <color rgb="FF7F7F7F"/>
      </left>
      <right style="thin">
        <color rgb="FF7F7F7F"/>
      </right>
      <top/>
      <bottom style="thin">
        <color rgb="FF7F7F7F"/>
      </bottom>
      <diagonal/>
    </border>
    <border>
      <left style="thin">
        <color rgb="FF7F7F7F"/>
      </left>
      <right style="thin">
        <color rgb="FF7F7F7F"/>
      </right>
      <top style="thin">
        <color rgb="FF7F7F7F"/>
      </top>
      <bottom style="thin">
        <color indexed="64"/>
      </bottom>
      <diagonal/>
    </border>
    <border>
      <left/>
      <right/>
      <top/>
      <bottom style="medium">
        <color indexed="64"/>
      </bottom>
      <diagonal/>
    </border>
    <border>
      <left style="thin">
        <color indexed="64"/>
      </left>
      <right/>
      <top/>
      <bottom style="medium">
        <color indexed="64"/>
      </bottom>
      <diagonal/>
    </border>
    <border>
      <left style="thin">
        <color indexed="64"/>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style="thin">
        <color rgb="FF3F3F3F"/>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diagonal/>
    </border>
  </borders>
  <cellStyleXfs count="8">
    <xf numFmtId="0" fontId="0" fillId="0" borderId="0"/>
    <xf numFmtId="43" fontId="1" fillId="0" borderId="0" applyFont="0" applyFill="0" applyBorder="0" applyAlignment="0" applyProtection="0"/>
    <xf numFmtId="0" fontId="2" fillId="2" borderId="1" applyNumberFormat="0" applyAlignment="0" applyProtection="0"/>
    <xf numFmtId="0" fontId="3" fillId="3" borderId="1" applyNumberFormat="0" applyAlignment="0" applyProtection="0"/>
    <xf numFmtId="0" fontId="5" fillId="4" borderId="4" applyNumberFormat="0" applyAlignment="0" applyProtection="0"/>
    <xf numFmtId="0" fontId="20" fillId="3" borderId="13" applyNumberFormat="0" applyAlignment="0" applyProtection="0"/>
    <xf numFmtId="0" fontId="25" fillId="8" borderId="0" applyNumberFormat="0" applyBorder="0" applyAlignment="0" applyProtection="0"/>
    <xf numFmtId="0" fontId="26" fillId="0" borderId="0" applyNumberFormat="0" applyFill="0" applyBorder="0" applyAlignment="0" applyProtection="0"/>
  </cellStyleXfs>
  <cellXfs count="124">
    <xf numFmtId="0" fontId="0" fillId="0" borderId="0" xfId="0"/>
    <xf numFmtId="164" fontId="0" fillId="0" borderId="0" xfId="0" applyNumberFormat="1"/>
    <xf numFmtId="0" fontId="0" fillId="0" borderId="2" xfId="0" applyBorder="1"/>
    <xf numFmtId="0" fontId="0" fillId="0" borderId="3" xfId="0" applyBorder="1"/>
    <xf numFmtId="165" fontId="0" fillId="0" borderId="3" xfId="1" applyNumberFormat="1" applyFont="1" applyBorder="1"/>
    <xf numFmtId="165" fontId="0" fillId="0" borderId="0" xfId="1" applyNumberFormat="1" applyFont="1"/>
    <xf numFmtId="0" fontId="4" fillId="0" borderId="3" xfId="0" applyFont="1" applyBorder="1"/>
    <xf numFmtId="2" fontId="3" fillId="3" borderId="1" xfId="3" applyNumberFormat="1"/>
    <xf numFmtId="0" fontId="0" fillId="0" borderId="0" xfId="0" applyBorder="1"/>
    <xf numFmtId="0" fontId="4" fillId="0" borderId="0" xfId="0" applyFont="1" applyBorder="1"/>
    <xf numFmtId="43" fontId="0" fillId="0" borderId="5" xfId="1" applyNumberFormat="1" applyFont="1" applyBorder="1"/>
    <xf numFmtId="43" fontId="3" fillId="3" borderId="6" xfId="3" applyNumberFormat="1" applyBorder="1"/>
    <xf numFmtId="0" fontId="0" fillId="0" borderId="0" xfId="0" applyAlignment="1">
      <alignment vertical="top"/>
    </xf>
    <xf numFmtId="0" fontId="4" fillId="0" borderId="0" xfId="0" applyFont="1" applyAlignment="1">
      <alignment vertical="top"/>
    </xf>
    <xf numFmtId="0" fontId="4" fillId="0" borderId="2" xfId="0" applyFont="1" applyBorder="1" applyAlignment="1">
      <alignment vertical="top"/>
    </xf>
    <xf numFmtId="0" fontId="4" fillId="0" borderId="0" xfId="0" applyFont="1" applyBorder="1" applyAlignment="1">
      <alignment vertical="top"/>
    </xf>
    <xf numFmtId="0" fontId="4" fillId="0" borderId="5" xfId="0" applyFont="1" applyBorder="1" applyAlignment="1">
      <alignment vertical="top"/>
    </xf>
    <xf numFmtId="165" fontId="2" fillId="2" borderId="1" xfId="2" applyNumberFormat="1"/>
    <xf numFmtId="165" fontId="3" fillId="3" borderId="1" xfId="3" applyNumberFormat="1"/>
    <xf numFmtId="0" fontId="6" fillId="0" borderId="0" xfId="0" applyFont="1" applyBorder="1"/>
    <xf numFmtId="0" fontId="9" fillId="0" borderId="0" xfId="0" applyFont="1" applyAlignment="1">
      <alignment vertical="top"/>
    </xf>
    <xf numFmtId="0" fontId="10" fillId="0" borderId="0" xfId="0" applyFont="1"/>
    <xf numFmtId="0" fontId="0" fillId="0" borderId="7" xfId="0" applyBorder="1"/>
    <xf numFmtId="0" fontId="0" fillId="0" borderId="0" xfId="0" applyBorder="1" applyAlignment="1">
      <alignment vertical="top"/>
    </xf>
    <xf numFmtId="0" fontId="0" fillId="0" borderId="0" xfId="0" applyAlignment="1">
      <alignment vertical="top" wrapText="1"/>
    </xf>
    <xf numFmtId="0" fontId="10" fillId="0" borderId="0" xfId="0" applyFont="1" applyAlignment="1">
      <alignment vertical="top"/>
    </xf>
    <xf numFmtId="165" fontId="0" fillId="0" borderId="0" xfId="1" applyNumberFormat="1" applyFont="1" applyBorder="1"/>
    <xf numFmtId="165" fontId="2" fillId="2" borderId="1" xfId="1" applyNumberFormat="1" applyFont="1" applyFill="1" applyBorder="1"/>
    <xf numFmtId="0" fontId="4" fillId="0" borderId="0" xfId="0" applyFont="1" applyFill="1" applyBorder="1"/>
    <xf numFmtId="0" fontId="0" fillId="0" borderId="0" xfId="0" applyFont="1" applyBorder="1" applyAlignment="1">
      <alignment horizontal="center"/>
    </xf>
    <xf numFmtId="0" fontId="2" fillId="2" borderId="1" xfId="2" applyAlignment="1">
      <alignment horizontal="center"/>
    </xf>
    <xf numFmtId="165" fontId="2" fillId="2" borderId="8" xfId="1" applyNumberFormat="1" applyFont="1" applyFill="1" applyBorder="1"/>
    <xf numFmtId="0" fontId="4" fillId="0" borderId="10" xfId="0" applyFont="1" applyBorder="1" applyAlignment="1">
      <alignment vertical="top"/>
    </xf>
    <xf numFmtId="0" fontId="4" fillId="0" borderId="10" xfId="0" applyFont="1" applyBorder="1"/>
    <xf numFmtId="0" fontId="4" fillId="0" borderId="11" xfId="0" applyFont="1" applyBorder="1"/>
    <xf numFmtId="0" fontId="4" fillId="0" borderId="10" xfId="0" applyFont="1" applyFill="1" applyBorder="1"/>
    <xf numFmtId="165" fontId="3" fillId="3" borderId="9" xfId="3" applyNumberFormat="1" applyBorder="1"/>
    <xf numFmtId="0" fontId="5" fillId="4" borderId="4" xfId="4"/>
    <xf numFmtId="0" fontId="11" fillId="0" borderId="0" xfId="0" applyFont="1"/>
    <xf numFmtId="0" fontId="11" fillId="0" borderId="10" xfId="0" applyFont="1" applyBorder="1"/>
    <xf numFmtId="0" fontId="11" fillId="0" borderId="0" xfId="0" applyFont="1" applyBorder="1"/>
    <xf numFmtId="0" fontId="11" fillId="0" borderId="2" xfId="0" applyFont="1" applyBorder="1"/>
    <xf numFmtId="0" fontId="11" fillId="0" borderId="5" xfId="0" applyFont="1" applyBorder="1"/>
    <xf numFmtId="0" fontId="11" fillId="0" borderId="0" xfId="0" applyFont="1" applyAlignment="1">
      <alignment vertical="top"/>
    </xf>
    <xf numFmtId="0" fontId="13" fillId="0" borderId="2" xfId="0" applyFont="1" applyBorder="1"/>
    <xf numFmtId="0" fontId="14" fillId="0" borderId="0" xfId="0" applyFont="1"/>
    <xf numFmtId="165" fontId="4" fillId="0" borderId="3" xfId="1" applyNumberFormat="1" applyFont="1" applyBorder="1"/>
    <xf numFmtId="165" fontId="5" fillId="4" borderId="4" xfId="1" applyNumberFormat="1" applyFont="1" applyFill="1" applyBorder="1"/>
    <xf numFmtId="0" fontId="11" fillId="0" borderId="0" xfId="0" applyFont="1" applyAlignment="1">
      <alignment vertical="top" wrapText="1"/>
    </xf>
    <xf numFmtId="0" fontId="11" fillId="0" borderId="0" xfId="0" applyFont="1" applyAlignment="1">
      <alignment wrapText="1"/>
    </xf>
    <xf numFmtId="43" fontId="2" fillId="2" borderId="1" xfId="2" applyNumberFormat="1"/>
    <xf numFmtId="0" fontId="4" fillId="0" borderId="2" xfId="0" applyFont="1" applyFill="1" applyBorder="1" applyAlignment="1">
      <alignment vertical="top"/>
    </xf>
    <xf numFmtId="43" fontId="2" fillId="2" borderId="9" xfId="2" applyNumberFormat="1" applyBorder="1"/>
    <xf numFmtId="43" fontId="15" fillId="2" borderId="9" xfId="2" applyNumberFormat="1" applyFont="1" applyBorder="1"/>
    <xf numFmtId="2" fontId="0" fillId="0" borderId="0" xfId="0" applyNumberFormat="1"/>
    <xf numFmtId="165" fontId="5" fillId="4" borderId="12" xfId="1" applyNumberFormat="1" applyFont="1" applyFill="1" applyBorder="1"/>
    <xf numFmtId="165" fontId="5" fillId="4" borderId="12" xfId="4" applyNumberFormat="1" applyBorder="1"/>
    <xf numFmtId="166" fontId="2" fillId="2" borderId="8" xfId="1" applyNumberFormat="1" applyFont="1" applyFill="1" applyBorder="1"/>
    <xf numFmtId="43" fontId="2" fillId="2" borderId="8" xfId="1" applyNumberFormat="1" applyFont="1" applyFill="1" applyBorder="1"/>
    <xf numFmtId="0" fontId="16" fillId="0" borderId="0" xfId="0" applyFont="1" applyAlignment="1">
      <alignment vertical="top"/>
    </xf>
    <xf numFmtId="0" fontId="17" fillId="0" borderId="0" xfId="0" applyFont="1" applyBorder="1"/>
    <xf numFmtId="0" fontId="18" fillId="0" borderId="0" xfId="0" applyFont="1"/>
    <xf numFmtId="165" fontId="18" fillId="0" borderId="3" xfId="1" applyNumberFormat="1" applyFont="1" applyBorder="1"/>
    <xf numFmtId="165" fontId="18" fillId="0" borderId="0" xfId="1" applyNumberFormat="1" applyFont="1"/>
    <xf numFmtId="0" fontId="16" fillId="0" borderId="0" xfId="0" applyFont="1" applyBorder="1" applyAlignment="1">
      <alignment vertical="top"/>
    </xf>
    <xf numFmtId="167" fontId="2" fillId="2" borderId="1" xfId="1" applyNumberFormat="1" applyFont="1" applyFill="1" applyBorder="1"/>
    <xf numFmtId="168" fontId="18" fillId="0" borderId="0" xfId="1" applyNumberFormat="1" applyFont="1" applyBorder="1"/>
    <xf numFmtId="169" fontId="3" fillId="3" borderId="1" xfId="3" applyNumberFormat="1"/>
    <xf numFmtId="169" fontId="3" fillId="3" borderId="6" xfId="3" applyNumberFormat="1" applyBorder="1"/>
    <xf numFmtId="0" fontId="4" fillId="0" borderId="0" xfId="0" applyFont="1" applyAlignment="1">
      <alignment horizontal="left" vertical="top"/>
    </xf>
    <xf numFmtId="0" fontId="19" fillId="0" borderId="0" xfId="0" applyFont="1" applyAlignment="1">
      <alignment horizontal="left" vertical="top" wrapText="1"/>
    </xf>
    <xf numFmtId="0" fontId="19" fillId="0" borderId="0" xfId="0" applyFont="1" applyAlignment="1">
      <alignment vertical="top" wrapText="1"/>
    </xf>
    <xf numFmtId="165" fontId="20" fillId="3" borderId="13" xfId="5" applyNumberFormat="1"/>
    <xf numFmtId="2" fontId="20" fillId="3" borderId="13" xfId="5" applyNumberFormat="1"/>
    <xf numFmtId="43" fontId="0" fillId="0" borderId="7" xfId="1" applyNumberFormat="1" applyFont="1" applyBorder="1"/>
    <xf numFmtId="165" fontId="22" fillId="3" borderId="9" xfId="3" applyNumberFormat="1" applyFont="1" applyBorder="1"/>
    <xf numFmtId="2" fontId="14" fillId="0" borderId="0" xfId="0" applyNumberFormat="1" applyFont="1"/>
    <xf numFmtId="166" fontId="20" fillId="3" borderId="14" xfId="5" applyNumberFormat="1" applyBorder="1"/>
    <xf numFmtId="0" fontId="4" fillId="7" borderId="0" xfId="0" applyFont="1" applyFill="1" applyBorder="1" applyAlignment="1">
      <alignment vertical="top"/>
    </xf>
    <xf numFmtId="0" fontId="4" fillId="7" borderId="0" xfId="0" applyFont="1" applyFill="1" applyAlignment="1">
      <alignment vertical="top"/>
    </xf>
    <xf numFmtId="0" fontId="4" fillId="5" borderId="0" xfId="0" applyFont="1" applyFill="1" applyBorder="1" applyAlignment="1">
      <alignment vertical="top"/>
    </xf>
    <xf numFmtId="0" fontId="22" fillId="7" borderId="2" xfId="0" applyFont="1" applyFill="1" applyBorder="1" applyAlignment="1">
      <alignment vertical="top"/>
    </xf>
    <xf numFmtId="0" fontId="22" fillId="5" borderId="2" xfId="0" applyFont="1" applyFill="1" applyBorder="1"/>
    <xf numFmtId="0" fontId="24" fillId="5" borderId="0" xfId="0" applyFont="1" applyFill="1"/>
    <xf numFmtId="0" fontId="24" fillId="7" borderId="0" xfId="0" applyFont="1" applyFill="1" applyAlignment="1">
      <alignment vertical="top"/>
    </xf>
    <xf numFmtId="165" fontId="3" fillId="3" borderId="8" xfId="3" applyNumberFormat="1" applyBorder="1"/>
    <xf numFmtId="0" fontId="4" fillId="5" borderId="2" xfId="0" applyFont="1" applyFill="1" applyBorder="1" applyAlignment="1">
      <alignment vertical="top"/>
    </xf>
    <xf numFmtId="165" fontId="20" fillId="3" borderId="14" xfId="5" applyNumberFormat="1" applyBorder="1"/>
    <xf numFmtId="0" fontId="4" fillId="7" borderId="16" xfId="0" applyFont="1" applyFill="1" applyBorder="1" applyAlignment="1">
      <alignment vertical="top"/>
    </xf>
    <xf numFmtId="0" fontId="6" fillId="6" borderId="0" xfId="0" applyFont="1" applyFill="1" applyBorder="1"/>
    <xf numFmtId="0" fontId="0" fillId="6" borderId="0" xfId="0" applyFill="1" applyAlignment="1">
      <alignment vertical="top"/>
    </xf>
    <xf numFmtId="0" fontId="11" fillId="6" borderId="0" xfId="0" applyFont="1" applyFill="1"/>
    <xf numFmtId="0" fontId="0" fillId="6" borderId="0" xfId="0" applyFill="1"/>
    <xf numFmtId="0" fontId="0" fillId="6" borderId="3" xfId="0" applyFill="1" applyBorder="1"/>
    <xf numFmtId="166" fontId="21" fillId="2" borderId="8" xfId="1" applyNumberFormat="1" applyFont="1" applyFill="1" applyBorder="1"/>
    <xf numFmtId="166" fontId="2" fillId="2" borderId="18" xfId="2" applyNumberFormat="1" applyBorder="1"/>
    <xf numFmtId="165" fontId="21" fillId="3" borderId="8" xfId="3" applyNumberFormat="1" applyFont="1" applyBorder="1"/>
    <xf numFmtId="0" fontId="21" fillId="2" borderId="1" xfId="2" applyFont="1" applyAlignment="1">
      <alignment horizontal="center"/>
    </xf>
    <xf numFmtId="165" fontId="21" fillId="2" borderId="1" xfId="2" applyNumberFormat="1" applyFont="1"/>
    <xf numFmtId="0" fontId="4" fillId="0" borderId="0" xfId="0" applyFont="1" applyBorder="1" applyAlignment="1">
      <alignment horizontal="center" vertical="center"/>
    </xf>
    <xf numFmtId="0" fontId="4" fillId="0" borderId="0" xfId="0" applyFont="1" applyBorder="1" applyAlignment="1">
      <alignment horizontal="center" vertical="top"/>
    </xf>
    <xf numFmtId="0" fontId="0" fillId="6" borderId="0" xfId="0" applyFill="1" applyBorder="1"/>
    <xf numFmtId="0" fontId="4" fillId="0" borderId="0" xfId="0" applyFont="1" applyBorder="1" applyAlignment="1">
      <alignment horizontal="center" vertical="center"/>
    </xf>
    <xf numFmtId="0" fontId="20" fillId="3" borderId="13" xfId="5" applyAlignment="1">
      <alignment horizontal="center"/>
    </xf>
    <xf numFmtId="0" fontId="4" fillId="0" borderId="2" xfId="0" applyFont="1" applyBorder="1"/>
    <xf numFmtId="0" fontId="0" fillId="0" borderId="0" xfId="0" applyFill="1" applyBorder="1"/>
    <xf numFmtId="0" fontId="26" fillId="0" borderId="0" xfId="7" applyBorder="1"/>
    <xf numFmtId="43" fontId="21" fillId="2" borderId="1" xfId="2" applyNumberFormat="1" applyFont="1"/>
    <xf numFmtId="43" fontId="21" fillId="2" borderId="8" xfId="1" applyNumberFormat="1" applyFont="1" applyFill="1" applyBorder="1"/>
    <xf numFmtId="1" fontId="0" fillId="0" borderId="0" xfId="0" applyNumberFormat="1"/>
    <xf numFmtId="0" fontId="27" fillId="0" borderId="0" xfId="0" applyFont="1"/>
    <xf numFmtId="1" fontId="16" fillId="0" borderId="0" xfId="0" applyNumberFormat="1" applyFont="1"/>
    <xf numFmtId="165" fontId="25" fillId="8" borderId="1" xfId="6" applyNumberFormat="1" applyBorder="1"/>
    <xf numFmtId="165" fontId="25" fillId="8" borderId="8" xfId="6" applyNumberFormat="1" applyBorder="1"/>
    <xf numFmtId="165" fontId="25" fillId="8" borderId="9" xfId="6" applyNumberFormat="1" applyBorder="1"/>
    <xf numFmtId="167" fontId="18" fillId="0" borderId="0" xfId="1" applyNumberFormat="1" applyFont="1" applyBorder="1"/>
    <xf numFmtId="0" fontId="4" fillId="0" borderId="3" xfId="0" applyFont="1" applyBorder="1" applyAlignment="1">
      <alignment horizontal="center" vertical="center"/>
    </xf>
    <xf numFmtId="0" fontId="4" fillId="0" borderId="0" xfId="0" applyFont="1" applyBorder="1" applyAlignment="1">
      <alignment horizontal="center" vertical="center"/>
    </xf>
    <xf numFmtId="0" fontId="23" fillId="5" borderId="15" xfId="0" applyFont="1" applyFill="1" applyBorder="1" applyAlignment="1">
      <alignment horizontal="center" vertical="center" textRotation="90"/>
    </xf>
    <xf numFmtId="0" fontId="23" fillId="7" borderId="15" xfId="0" applyFont="1" applyFill="1" applyBorder="1" applyAlignment="1">
      <alignment horizontal="center" vertical="center" textRotation="90"/>
    </xf>
    <xf numFmtId="0" fontId="23" fillId="5" borderId="17" xfId="0" applyFont="1" applyFill="1" applyBorder="1" applyAlignment="1">
      <alignment horizontal="center" vertical="center" textRotation="90"/>
    </xf>
    <xf numFmtId="0" fontId="4" fillId="0" borderId="3" xfId="0" applyFont="1" applyBorder="1" applyAlignment="1">
      <alignment horizontal="center" vertical="top"/>
    </xf>
    <xf numFmtId="0" fontId="4" fillId="0" borderId="0" xfId="0" applyFont="1" applyBorder="1" applyAlignment="1">
      <alignment horizontal="center" vertical="top"/>
    </xf>
    <xf numFmtId="0" fontId="0" fillId="0" borderId="0" xfId="0" applyBorder="1" applyAlignment="1">
      <alignment horizontal="center"/>
    </xf>
  </cellXfs>
  <cellStyles count="8">
    <cellStyle name="Bad" xfId="6" builtinId="27"/>
    <cellStyle name="Calculation" xfId="3" builtinId="22"/>
    <cellStyle name="Check Cell" xfId="4" builtinId="23" customBuiltin="1"/>
    <cellStyle name="Comma" xfId="1" builtinId="3"/>
    <cellStyle name="Explanatory Text" xfId="7" builtinId="53"/>
    <cellStyle name="Input" xfId="2" builtinId="20"/>
    <cellStyle name="Normal" xfId="0" builtinId="0"/>
    <cellStyle name="Output" xfId="5" builtinId="21"/>
  </cellStyles>
  <dxfs count="0"/>
  <tableStyles count="0" defaultTableStyle="TableStyleMedium2" defaultPivotStyle="PivotStyleLight16"/>
  <colors>
    <mruColors>
      <color rgb="FF0000FF"/>
      <color rgb="FFFFCCFF"/>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376"/>
  <sheetViews>
    <sheetView tabSelected="1" zoomScale="70" zoomScaleNormal="70" workbookViewId="0"/>
  </sheetViews>
  <sheetFormatPr defaultRowHeight="15" x14ac:dyDescent="0.25"/>
  <cols>
    <col min="1" max="1" width="12" style="8" customWidth="1"/>
    <col min="2" max="2" width="35.28515625" style="12" customWidth="1"/>
    <col min="3" max="3" width="8.140625" style="38" customWidth="1"/>
    <col min="4" max="8" width="16.5703125" customWidth="1"/>
    <col min="9" max="9" width="1.5703125" customWidth="1"/>
    <col min="10" max="10" width="22.85546875" style="3" customWidth="1"/>
    <col min="11" max="12" width="22.85546875" customWidth="1"/>
    <col min="13" max="14" width="14.5703125" customWidth="1"/>
  </cols>
  <sheetData>
    <row r="1" spans="1:14" x14ac:dyDescent="0.25">
      <c r="A1" s="30" t="s">
        <v>17</v>
      </c>
      <c r="G1" s="8"/>
      <c r="H1" s="8"/>
      <c r="I1" t="s">
        <v>71</v>
      </c>
    </row>
    <row r="2" spans="1:14" x14ac:dyDescent="0.25">
      <c r="A2" s="8">
        <v>1.1499999999999999</v>
      </c>
      <c r="B2" s="12" t="s">
        <v>85</v>
      </c>
    </row>
    <row r="4" spans="1:14" x14ac:dyDescent="0.25">
      <c r="A4" s="8" t="s">
        <v>134</v>
      </c>
    </row>
    <row r="5" spans="1:14" x14ac:dyDescent="0.25">
      <c r="A5" s="8" t="s">
        <v>133</v>
      </c>
    </row>
    <row r="6" spans="1:14" x14ac:dyDescent="0.25">
      <c r="G6" s="8"/>
      <c r="H6" s="8"/>
    </row>
    <row r="7" spans="1:14" ht="18.75" x14ac:dyDescent="0.3">
      <c r="A7" s="89" t="s">
        <v>7</v>
      </c>
      <c r="B7" s="90"/>
      <c r="C7" s="91"/>
      <c r="D7" s="92"/>
      <c r="E7" s="92"/>
      <c r="F7" s="92"/>
      <c r="G7" s="101"/>
      <c r="H7" s="101"/>
      <c r="I7" s="92"/>
      <c r="J7" s="93"/>
      <c r="K7" s="92"/>
      <c r="L7" s="92"/>
    </row>
    <row r="8" spans="1:14" x14ac:dyDescent="0.25">
      <c r="A8" s="9" t="s">
        <v>21</v>
      </c>
      <c r="B8" s="8" t="s">
        <v>118</v>
      </c>
      <c r="G8" s="8"/>
      <c r="H8" s="8"/>
    </row>
    <row r="9" spans="1:14" x14ac:dyDescent="0.25">
      <c r="A9" s="9" t="s">
        <v>18</v>
      </c>
      <c r="B9" s="20" t="s">
        <v>20</v>
      </c>
      <c r="D9" s="5"/>
      <c r="E9" s="5"/>
      <c r="F9" s="5"/>
      <c r="G9" s="5"/>
      <c r="H9" s="5"/>
      <c r="J9" s="4"/>
    </row>
    <row r="10" spans="1:14" x14ac:dyDescent="0.25">
      <c r="A10" s="9"/>
      <c r="B10" s="20"/>
      <c r="D10" s="5"/>
      <c r="E10" s="5"/>
      <c r="F10" s="5"/>
      <c r="G10" s="5"/>
      <c r="H10" s="5"/>
      <c r="J10" s="4"/>
    </row>
    <row r="11" spans="1:14" ht="24.75" x14ac:dyDescent="0.25">
      <c r="B11" s="13" t="s">
        <v>12</v>
      </c>
      <c r="D11" s="49" t="s">
        <v>82</v>
      </c>
      <c r="E11" s="49"/>
      <c r="F11" s="38"/>
      <c r="G11" s="38"/>
      <c r="H11" s="38"/>
      <c r="J11" s="116" t="s">
        <v>5</v>
      </c>
      <c r="K11" s="117"/>
      <c r="L11" s="102"/>
      <c r="M11" s="12"/>
      <c r="N11" s="25"/>
    </row>
    <row r="12" spans="1:14" ht="15.75" thickBot="1" x14ac:dyDescent="0.3">
      <c r="B12" s="32" t="s">
        <v>13</v>
      </c>
      <c r="C12" s="39"/>
      <c r="D12" s="33" t="s">
        <v>77</v>
      </c>
      <c r="E12" s="33" t="s">
        <v>78</v>
      </c>
      <c r="F12" s="33" t="s">
        <v>79</v>
      </c>
      <c r="G12" s="33" t="s">
        <v>80</v>
      </c>
      <c r="H12" s="33" t="s">
        <v>81</v>
      </c>
      <c r="J12" s="34" t="s">
        <v>16</v>
      </c>
      <c r="K12" s="35" t="s">
        <v>126</v>
      </c>
      <c r="L12" s="35" t="s">
        <v>122</v>
      </c>
      <c r="M12" s="35" t="s">
        <v>127</v>
      </c>
      <c r="N12" s="35" t="s">
        <v>128</v>
      </c>
    </row>
    <row r="13" spans="1:14" x14ac:dyDescent="0.25">
      <c r="B13" s="15" t="s">
        <v>49</v>
      </c>
      <c r="C13" s="40"/>
      <c r="D13" s="30">
        <v>0</v>
      </c>
      <c r="E13" s="30">
        <v>0</v>
      </c>
      <c r="F13" s="30">
        <v>0</v>
      </c>
      <c r="G13" s="30">
        <v>0</v>
      </c>
      <c r="H13" s="30">
        <v>0</v>
      </c>
      <c r="J13" s="46"/>
      <c r="K13" s="26"/>
      <c r="L13" s="26"/>
      <c r="M13" s="8"/>
      <c r="N13" s="21"/>
    </row>
    <row r="14" spans="1:14" x14ac:dyDescent="0.25">
      <c r="B14" s="15" t="s">
        <v>132</v>
      </c>
      <c r="C14" s="40"/>
      <c r="D14" s="30" t="s">
        <v>134</v>
      </c>
      <c r="E14" s="30" t="s">
        <v>134</v>
      </c>
      <c r="F14" s="30" t="s">
        <v>134</v>
      </c>
      <c r="G14" s="30" t="s">
        <v>134</v>
      </c>
      <c r="H14" s="30" t="s">
        <v>134</v>
      </c>
      <c r="J14" s="46"/>
      <c r="K14" s="26"/>
      <c r="L14" s="26"/>
      <c r="M14" s="8"/>
      <c r="N14" s="21"/>
    </row>
    <row r="15" spans="1:14" x14ac:dyDescent="0.25">
      <c r="B15" s="15" t="s">
        <v>184</v>
      </c>
      <c r="C15" s="40"/>
      <c r="D15" s="30">
        <v>0</v>
      </c>
      <c r="E15" s="30">
        <v>0</v>
      </c>
      <c r="F15" s="30">
        <v>0</v>
      </c>
      <c r="G15" s="30">
        <v>0</v>
      </c>
      <c r="H15" s="30">
        <v>0</v>
      </c>
      <c r="J15" s="46"/>
      <c r="K15" s="26"/>
      <c r="L15" s="26"/>
      <c r="M15" s="8"/>
      <c r="N15" s="21"/>
    </row>
    <row r="16" spans="1:14" x14ac:dyDescent="0.25">
      <c r="B16" s="15" t="s">
        <v>185</v>
      </c>
      <c r="C16" s="40"/>
      <c r="D16" s="30">
        <v>0</v>
      </c>
      <c r="E16" s="30">
        <v>0</v>
      </c>
      <c r="F16" s="30">
        <v>0</v>
      </c>
      <c r="G16" s="30">
        <v>0</v>
      </c>
      <c r="H16" s="30">
        <v>0</v>
      </c>
      <c r="J16" s="46"/>
      <c r="K16" s="26"/>
      <c r="L16" s="26"/>
      <c r="M16" s="8"/>
      <c r="N16" s="21"/>
    </row>
    <row r="17" spans="1:14" x14ac:dyDescent="0.25">
      <c r="B17" s="104" t="s">
        <v>129</v>
      </c>
      <c r="C17" s="44"/>
      <c r="D17" s="103">
        <f>IF(D13=1,0,1)</f>
        <v>1</v>
      </c>
      <c r="E17" s="103">
        <f>IF(E13=1,0,1)</f>
        <v>1</v>
      </c>
      <c r="F17" s="103">
        <f>IF(F13=1,0,1)</f>
        <v>1</v>
      </c>
      <c r="G17" s="103">
        <f>IF(G13=1,0,1)</f>
        <v>1</v>
      </c>
      <c r="H17" s="103">
        <f>IF(H13=1,0,1)</f>
        <v>1</v>
      </c>
      <c r="J17" s="46"/>
      <c r="K17" s="5"/>
      <c r="L17" s="5"/>
      <c r="N17" s="21"/>
    </row>
    <row r="18" spans="1:14" x14ac:dyDescent="0.25">
      <c r="B18" s="15" t="s">
        <v>72</v>
      </c>
      <c r="C18" s="38" t="s">
        <v>75</v>
      </c>
      <c r="D18" s="95">
        <v>1610.9</v>
      </c>
      <c r="E18" s="95">
        <v>1221.2</v>
      </c>
      <c r="F18" s="95">
        <v>724.4</v>
      </c>
      <c r="G18" s="95">
        <v>1221.2</v>
      </c>
      <c r="H18" s="95">
        <v>724.4</v>
      </c>
      <c r="J18" s="46"/>
      <c r="K18" s="5"/>
      <c r="L18" s="5"/>
      <c r="N18" s="21"/>
    </row>
    <row r="19" spans="1:14" x14ac:dyDescent="0.25">
      <c r="B19" s="15" t="s">
        <v>111</v>
      </c>
      <c r="C19" s="40" t="s">
        <v>112</v>
      </c>
      <c r="D19" s="50">
        <v>10</v>
      </c>
      <c r="E19" s="50">
        <v>10</v>
      </c>
      <c r="F19" s="50">
        <v>10</v>
      </c>
      <c r="G19" s="50">
        <v>10</v>
      </c>
      <c r="H19" s="50">
        <v>10</v>
      </c>
      <c r="J19" s="4"/>
      <c r="K19" s="5"/>
      <c r="L19" s="5"/>
      <c r="N19" s="21"/>
    </row>
    <row r="20" spans="1:14" x14ac:dyDescent="0.25">
      <c r="B20" s="14" t="s">
        <v>73</v>
      </c>
      <c r="C20" s="41" t="s">
        <v>74</v>
      </c>
      <c r="D20" s="77">
        <f>D18*D19/1000</f>
        <v>16.109000000000002</v>
      </c>
      <c r="E20" s="77">
        <f>E18*E19/1000</f>
        <v>12.212</v>
      </c>
      <c r="F20" s="77">
        <f>F18*F19/1000</f>
        <v>7.2439999999999998</v>
      </c>
      <c r="G20" s="77">
        <f>G18*G19/1000</f>
        <v>12.212</v>
      </c>
      <c r="H20" s="77">
        <f>H18*H19/1000</f>
        <v>7.2439999999999998</v>
      </c>
      <c r="J20" s="4"/>
      <c r="K20" s="5"/>
      <c r="L20" s="5"/>
      <c r="N20" s="21"/>
    </row>
    <row r="21" spans="1:14" x14ac:dyDescent="0.25">
      <c r="A21" s="118" t="s">
        <v>110</v>
      </c>
      <c r="B21" s="80" t="s">
        <v>87</v>
      </c>
      <c r="C21" s="38" t="s">
        <v>113</v>
      </c>
      <c r="D21" s="58">
        <f t="shared" ref="D21:H21" si="0">D28</f>
        <v>0.06</v>
      </c>
      <c r="E21" s="58">
        <f t="shared" si="0"/>
        <v>0.06</v>
      </c>
      <c r="F21" s="58">
        <f t="shared" si="0"/>
        <v>0.06</v>
      </c>
      <c r="G21" s="58">
        <f t="shared" si="0"/>
        <v>0.06</v>
      </c>
      <c r="H21" s="58">
        <f t="shared" si="0"/>
        <v>0.06</v>
      </c>
      <c r="J21" s="4"/>
      <c r="K21" s="5"/>
      <c r="L21" s="5"/>
      <c r="N21" s="21"/>
    </row>
    <row r="22" spans="1:14" x14ac:dyDescent="0.25">
      <c r="A22" s="118"/>
      <c r="B22" s="80" t="s">
        <v>88</v>
      </c>
      <c r="C22" s="38" t="s">
        <v>76</v>
      </c>
      <c r="D22" s="57">
        <f t="shared" ref="D22:H22" si="1">D29</f>
        <v>5</v>
      </c>
      <c r="E22" s="57">
        <f t="shared" si="1"/>
        <v>5</v>
      </c>
      <c r="F22" s="57">
        <f t="shared" si="1"/>
        <v>5</v>
      </c>
      <c r="G22" s="57">
        <f t="shared" si="1"/>
        <v>5</v>
      </c>
      <c r="H22" s="57">
        <f t="shared" si="1"/>
        <v>5</v>
      </c>
      <c r="J22" s="4"/>
      <c r="K22" s="5"/>
      <c r="L22" s="5"/>
      <c r="N22" s="21"/>
    </row>
    <row r="23" spans="1:14" x14ac:dyDescent="0.25">
      <c r="A23" s="118"/>
      <c r="B23" s="80" t="s">
        <v>60</v>
      </c>
      <c r="C23"/>
      <c r="D23" s="50">
        <v>1</v>
      </c>
      <c r="E23" s="50">
        <f>D23</f>
        <v>1</v>
      </c>
      <c r="F23" s="50">
        <f t="shared" ref="F23" si="2">E23</f>
        <v>1</v>
      </c>
      <c r="G23" s="50">
        <f t="shared" ref="G23" si="3">F23</f>
        <v>1</v>
      </c>
      <c r="H23" s="50">
        <f t="shared" ref="H23" si="4">G23</f>
        <v>1</v>
      </c>
      <c r="N23" s="21"/>
    </row>
    <row r="24" spans="1:14" x14ac:dyDescent="0.25">
      <c r="A24" s="118"/>
      <c r="B24" s="80" t="s">
        <v>31</v>
      </c>
      <c r="C24" s="38" t="s">
        <v>11</v>
      </c>
      <c r="D24" s="72">
        <f>D18*D21/D23</f>
        <v>96.653999999999996</v>
      </c>
      <c r="E24" s="72">
        <f>E18*E21/E23</f>
        <v>73.272000000000006</v>
      </c>
      <c r="F24" s="72">
        <f>F18*F21/F23</f>
        <v>43.463999999999999</v>
      </c>
      <c r="G24" s="72">
        <f>G18*G21/G23</f>
        <v>73.272000000000006</v>
      </c>
      <c r="H24" s="72">
        <f>H18*H21/H23</f>
        <v>43.463999999999999</v>
      </c>
      <c r="J24" s="4">
        <f t="shared" ref="J24:J27" si="5">SUM(D24:I24)</f>
        <v>330.12599999999998</v>
      </c>
      <c r="K24" s="5">
        <f>SUMPRODUCT(D17:I17,D24:I24)</f>
        <v>330.12599999999998</v>
      </c>
      <c r="L24" s="5"/>
      <c r="N24" s="21"/>
    </row>
    <row r="25" spans="1:14" ht="15.75" thickBot="1" x14ac:dyDescent="0.3">
      <c r="A25" s="118"/>
      <c r="B25" s="86" t="s">
        <v>32</v>
      </c>
      <c r="C25" s="41" t="s">
        <v>11</v>
      </c>
      <c r="D25" s="87">
        <f>D20*D22/D23</f>
        <v>80.545000000000016</v>
      </c>
      <c r="E25" s="87">
        <f>E20*E22/E23</f>
        <v>61.06</v>
      </c>
      <c r="F25" s="87">
        <f>F20*F22/F23</f>
        <v>36.22</v>
      </c>
      <c r="G25" s="87">
        <f>G20*G22/G23</f>
        <v>61.06</v>
      </c>
      <c r="H25" s="87">
        <f>H20*H22/H23</f>
        <v>36.22</v>
      </c>
      <c r="J25" s="4">
        <f t="shared" si="5"/>
        <v>275.10500000000002</v>
      </c>
      <c r="K25" s="5">
        <f>SUMPRODUCT(D17:I17,D25:I25)</f>
        <v>275.10500000000002</v>
      </c>
      <c r="L25" s="5"/>
      <c r="N25" s="21"/>
    </row>
    <row r="26" spans="1:14" ht="16.5" thickTop="1" thickBot="1" x14ac:dyDescent="0.3">
      <c r="A26" s="118"/>
      <c r="B26" s="83" t="s">
        <v>64</v>
      </c>
      <c r="C26" s="38" t="s">
        <v>11</v>
      </c>
      <c r="D26" s="114">
        <v>0</v>
      </c>
      <c r="E26" s="114">
        <f>SUM(D24:E25)</f>
        <v>311.53100000000001</v>
      </c>
      <c r="F26" s="36">
        <f>SUM(F24:F25)</f>
        <v>79.683999999999997</v>
      </c>
      <c r="G26" s="36">
        <f t="shared" ref="G26:H26" si="6">SUM(G24:G25)</f>
        <v>134.33199999999999</v>
      </c>
      <c r="H26" s="36">
        <f t="shared" si="6"/>
        <v>79.683999999999997</v>
      </c>
      <c r="J26" s="55">
        <f t="shared" si="5"/>
        <v>605.23099999999999</v>
      </c>
      <c r="K26" s="47">
        <f>SUMPRODUCT(D17:I17,D26:I26)</f>
        <v>605.23099999999999</v>
      </c>
      <c r="L26" s="47">
        <f>SUMPRODUCT(D13:I13,D26:I26)</f>
        <v>0</v>
      </c>
      <c r="N26" s="21"/>
    </row>
    <row r="27" spans="1:14" ht="16.5" thickTop="1" thickBot="1" x14ac:dyDescent="0.3">
      <c r="A27" s="118"/>
      <c r="B27" s="82" t="s">
        <v>108</v>
      </c>
      <c r="C27" s="41" t="s">
        <v>11</v>
      </c>
      <c r="D27" s="75">
        <f>IF(D15=1,D24,D26)</f>
        <v>0</v>
      </c>
      <c r="E27" s="75">
        <f>IF(E15=1,E24,E26)</f>
        <v>311.53100000000001</v>
      </c>
      <c r="F27" s="75">
        <f>IF(F15=1,F24,F26)</f>
        <v>79.683999999999997</v>
      </c>
      <c r="G27" s="75">
        <f>IF(G15=1,G24,G26)</f>
        <v>134.33199999999999</v>
      </c>
      <c r="H27" s="75">
        <f>IF(H15=1,H24,H26)</f>
        <v>79.683999999999997</v>
      </c>
      <c r="J27" s="55">
        <f t="shared" si="5"/>
        <v>605.23099999999999</v>
      </c>
      <c r="K27" s="47">
        <f>SUMPRODUCT(D17:I17,D27:I27)</f>
        <v>605.23099999999999</v>
      </c>
      <c r="L27" s="47">
        <f>SUMPRODUCT(D13:I13,D27:I27)</f>
        <v>0</v>
      </c>
      <c r="N27" s="21"/>
    </row>
    <row r="28" spans="1:14" ht="15.75" thickTop="1" x14ac:dyDescent="0.25">
      <c r="A28" s="119" t="s">
        <v>109</v>
      </c>
      <c r="B28" s="78" t="s">
        <v>89</v>
      </c>
      <c r="C28" s="38" t="s">
        <v>113</v>
      </c>
      <c r="D28" s="58">
        <v>0.06</v>
      </c>
      <c r="E28" s="58">
        <v>0.06</v>
      </c>
      <c r="F28" s="58">
        <v>0.06</v>
      </c>
      <c r="G28" s="58">
        <v>0.06</v>
      </c>
      <c r="H28" s="58">
        <v>0.06</v>
      </c>
      <c r="J28" s="4"/>
      <c r="K28" s="5"/>
      <c r="L28" s="5"/>
      <c r="N28" s="21"/>
    </row>
    <row r="29" spans="1:14" x14ac:dyDescent="0.25">
      <c r="A29" s="119"/>
      <c r="B29" s="78" t="s">
        <v>90</v>
      </c>
      <c r="C29" s="38" t="s">
        <v>76</v>
      </c>
      <c r="D29" s="57">
        <v>5</v>
      </c>
      <c r="E29" s="57">
        <v>5</v>
      </c>
      <c r="F29" s="57">
        <v>5</v>
      </c>
      <c r="G29" s="57">
        <v>5</v>
      </c>
      <c r="H29" s="57">
        <v>5</v>
      </c>
      <c r="J29" s="4"/>
      <c r="K29" s="5"/>
      <c r="L29" s="5"/>
      <c r="N29" s="21"/>
    </row>
    <row r="30" spans="1:14" x14ac:dyDescent="0.25">
      <c r="A30" s="119"/>
      <c r="B30" s="78" t="s">
        <v>70</v>
      </c>
      <c r="C30"/>
      <c r="D30" s="73">
        <f>IF(AND(D23&gt;1,D13=0),1,D23)</f>
        <v>1</v>
      </c>
      <c r="E30" s="73">
        <f>IF(AND(E23&gt;1,E13=0),1,E23)</f>
        <v>1</v>
      </c>
      <c r="F30" s="73">
        <f>IF(AND(F23&gt;1,F13=0),1,F23)</f>
        <v>1</v>
      </c>
      <c r="G30" s="73">
        <f>IF(AND(G23&gt;1,G13=0),1,G23)</f>
        <v>1</v>
      </c>
      <c r="H30" s="73">
        <f>IF(AND(H23&gt;1,H13=0),1,H23)</f>
        <v>1</v>
      </c>
      <c r="N30" s="21"/>
    </row>
    <row r="31" spans="1:14" x14ac:dyDescent="0.25">
      <c r="A31" s="119"/>
      <c r="B31" s="79" t="s">
        <v>29</v>
      </c>
      <c r="C31" s="38" t="s">
        <v>11</v>
      </c>
      <c r="D31" s="72">
        <f>D18*D28/D30</f>
        <v>96.653999999999996</v>
      </c>
      <c r="E31" s="72">
        <f>E18*E28/E30</f>
        <v>73.272000000000006</v>
      </c>
      <c r="F31" s="72">
        <f>F18*F28/F30</f>
        <v>43.463999999999999</v>
      </c>
      <c r="G31" s="72">
        <f>G18*G28/G30</f>
        <v>73.272000000000006</v>
      </c>
      <c r="H31" s="72">
        <f>H18*H28/H30</f>
        <v>43.463999999999999</v>
      </c>
      <c r="J31" s="4">
        <f t="shared" ref="J31:J33" si="7">SUM(D31:I31)</f>
        <v>330.12599999999998</v>
      </c>
      <c r="K31" s="5">
        <f>SUMPRODUCT(D17:I17,D31:I31)</f>
        <v>330.12599999999998</v>
      </c>
      <c r="L31" s="5"/>
      <c r="N31" s="21"/>
    </row>
    <row r="32" spans="1:14" ht="15.75" thickBot="1" x14ac:dyDescent="0.3">
      <c r="A32" s="119"/>
      <c r="B32" s="88" t="s">
        <v>30</v>
      </c>
      <c r="C32" s="41" t="s">
        <v>11</v>
      </c>
      <c r="D32" s="87">
        <f>D20*D29/D30</f>
        <v>80.545000000000016</v>
      </c>
      <c r="E32" s="87">
        <f>E20*E29/E30</f>
        <v>61.06</v>
      </c>
      <c r="F32" s="87">
        <f>F20*F29/F30</f>
        <v>36.22</v>
      </c>
      <c r="G32" s="87">
        <f>G20*G29/G30</f>
        <v>61.06</v>
      </c>
      <c r="H32" s="87">
        <f>H20*H29/H30</f>
        <v>36.22</v>
      </c>
      <c r="J32" s="4">
        <f t="shared" si="7"/>
        <v>275.10500000000002</v>
      </c>
      <c r="K32" s="5">
        <f>SUMPRODUCT(D17:I17,D32:I32)</f>
        <v>275.10500000000002</v>
      </c>
      <c r="L32" s="5"/>
      <c r="N32" s="21"/>
    </row>
    <row r="33" spans="1:14" ht="16.5" thickTop="1" thickBot="1" x14ac:dyDescent="0.3">
      <c r="A33" s="119"/>
      <c r="B33" s="84" t="s">
        <v>106</v>
      </c>
      <c r="C33" s="38" t="s">
        <v>11</v>
      </c>
      <c r="D33" s="85">
        <f t="shared" ref="D33" si="8">IF(AND(D13=1,D14="Maximum"),MAX(D31:D32),SUM(D31:D32))</f>
        <v>177.19900000000001</v>
      </c>
      <c r="E33" s="85">
        <f t="shared" ref="E33" si="9">IF(AND(E13=1,E14="Maximum"),MAX(E31:E32),SUM(E31:E32))</f>
        <v>134.33199999999999</v>
      </c>
      <c r="F33" s="85">
        <f t="shared" ref="F33" si="10">IF(AND(F13=1,F14="Maximum"),MAX(F31:F32),SUM(F31:F32))</f>
        <v>79.683999999999997</v>
      </c>
      <c r="G33" s="85">
        <f t="shared" ref="G33" si="11">IF(AND(G13=1,G14="Maximum"),MAX(G31:G32),SUM(G31:G32))</f>
        <v>134.33199999999999</v>
      </c>
      <c r="H33" s="85">
        <f t="shared" ref="H33" si="12">IF(AND(H13=1,H14="Maximum"),MAX(H31:H32),SUM(H31:H32))</f>
        <v>79.683999999999997</v>
      </c>
      <c r="J33" s="55">
        <f t="shared" si="7"/>
        <v>605.23099999999999</v>
      </c>
      <c r="K33" s="47">
        <f>SUMPRODUCT(D17:I17,D33:I33)</f>
        <v>605.23099999999999</v>
      </c>
      <c r="L33" s="47">
        <f>SUMPRODUCT(D13:I13,D33:I33)</f>
        <v>0</v>
      </c>
      <c r="N33" s="21"/>
    </row>
    <row r="34" spans="1:14" ht="16.5" thickTop="1" thickBot="1" x14ac:dyDescent="0.3">
      <c r="A34" s="119"/>
      <c r="B34" s="81" t="s">
        <v>107</v>
      </c>
      <c r="C34" s="41" t="s">
        <v>11</v>
      </c>
      <c r="D34" s="75">
        <f t="shared" ref="D34" si="13">IF(D16=1,D31,D33)</f>
        <v>177.19900000000001</v>
      </c>
      <c r="E34" s="75">
        <f t="shared" ref="E34" si="14">IF(E16=1,E31,E33)</f>
        <v>134.33199999999999</v>
      </c>
      <c r="F34" s="75">
        <f t="shared" ref="F34" si="15">IF(F16=1,F31,F33)</f>
        <v>79.683999999999997</v>
      </c>
      <c r="G34" s="75">
        <f t="shared" ref="G34" si="16">IF(G16=1,G31,G33)</f>
        <v>134.33199999999999</v>
      </c>
      <c r="H34" s="75">
        <f t="shared" ref="H34" si="17">IF(H16=1,H31,H33)</f>
        <v>79.683999999999997</v>
      </c>
      <c r="J34" s="55">
        <f t="shared" ref="J34" si="18">SUM(D34:I34)</f>
        <v>605.23099999999999</v>
      </c>
      <c r="K34" s="47">
        <f>SUMPRODUCT(D17:I17,D34:I34)</f>
        <v>605.23099999999999</v>
      </c>
      <c r="L34" s="47">
        <f>SUMPRODUCT(D13:I13,D34:I34)</f>
        <v>0</v>
      </c>
      <c r="M34" s="21" t="s">
        <v>123</v>
      </c>
      <c r="N34" s="21" t="s">
        <v>124</v>
      </c>
    </row>
    <row r="35" spans="1:14" ht="15.75" thickTop="1" x14ac:dyDescent="0.25">
      <c r="A35"/>
      <c r="B35" s="13" t="s">
        <v>58</v>
      </c>
      <c r="D35" s="1">
        <f>IFERROR(D26/D33,0)</f>
        <v>0</v>
      </c>
      <c r="E35" s="1">
        <f>IFERROR(E26/E33,0)</f>
        <v>2.319112348509663</v>
      </c>
      <c r="F35" s="1">
        <f>IFERROR(F26/F33,0)</f>
        <v>1</v>
      </c>
      <c r="G35" s="1">
        <f>IFERROR(G26/G33,0)</f>
        <v>1</v>
      </c>
      <c r="H35" s="1">
        <f>IFERROR(H26/H33,0)</f>
        <v>1</v>
      </c>
      <c r="J35" s="4"/>
      <c r="K35" s="5"/>
      <c r="L35" s="5"/>
      <c r="M35" s="67">
        <f>K33/K26</f>
        <v>1</v>
      </c>
      <c r="N35" s="67">
        <f>IFERROR(L33/L26,1)</f>
        <v>1</v>
      </c>
    </row>
    <row r="36" spans="1:14" x14ac:dyDescent="0.25">
      <c r="A36"/>
      <c r="B36" s="13" t="s">
        <v>59</v>
      </c>
      <c r="C36" s="38" t="s">
        <v>11</v>
      </c>
      <c r="D36" s="17">
        <v>200</v>
      </c>
      <c r="E36" s="17">
        <v>0</v>
      </c>
      <c r="F36" s="17">
        <v>0</v>
      </c>
      <c r="G36" s="17">
        <v>0</v>
      </c>
      <c r="H36" s="17">
        <v>0</v>
      </c>
      <c r="J36" s="4">
        <f>SUM(D36:I36)</f>
        <v>200</v>
      </c>
      <c r="K36" s="5">
        <f>SUMPRODUCT(D17:I17,D36:I36)</f>
        <v>200</v>
      </c>
      <c r="L36" s="5">
        <f>SUMPRODUCT(D13:I13,D36:I36)</f>
        <v>0</v>
      </c>
      <c r="M36" s="21" t="s">
        <v>86</v>
      </c>
      <c r="N36" s="21" t="s">
        <v>125</v>
      </c>
    </row>
    <row r="37" spans="1:14" ht="15.75" thickBot="1" x14ac:dyDescent="0.3">
      <c r="A37"/>
      <c r="B37" s="16" t="s">
        <v>15</v>
      </c>
      <c r="C37" s="42"/>
      <c r="D37" s="10">
        <f>IFERROR(D26/D36,0)</f>
        <v>0</v>
      </c>
      <c r="E37" s="10">
        <f>IFERROR(E26/E36,0)</f>
        <v>0</v>
      </c>
      <c r="F37" s="10">
        <f>IFERROR(F26/F36,0)</f>
        <v>0</v>
      </c>
      <c r="G37" s="10">
        <f>IFERROR(G26/G36,0)</f>
        <v>0</v>
      </c>
      <c r="H37" s="10">
        <f>IFERROR(H26/H36,0)</f>
        <v>0</v>
      </c>
      <c r="J37" s="4"/>
      <c r="K37" s="74">
        <f>K36/K33</f>
        <v>0.33045233968517806</v>
      </c>
      <c r="L37" s="74">
        <f>IFERROR(L36/L33,0)</f>
        <v>0</v>
      </c>
      <c r="M37" s="68">
        <f>MAX(MIN(K26,$A$2*K36)/K33,1)</f>
        <v>1</v>
      </c>
      <c r="N37" s="68">
        <f>IFERROR(MAX(MIN(L26,$A$2*L36)/L33,1),1)</f>
        <v>1</v>
      </c>
    </row>
    <row r="38" spans="1:14" ht="16.5" thickTop="1" thickBot="1" x14ac:dyDescent="0.3">
      <c r="A38"/>
      <c r="B38" s="15" t="s">
        <v>102</v>
      </c>
      <c r="C38" s="38" t="s">
        <v>11</v>
      </c>
      <c r="D38" s="18">
        <f>IF(D17=1,D26*$M35*$M37,D26)</f>
        <v>0</v>
      </c>
      <c r="E38" s="18">
        <f>IF(E17=1,E26*$M35*$M37,IF(AND(E15=1,E13=0),(E24/E34)+(E25/#REF!),E26))</f>
        <v>311.53100000000001</v>
      </c>
      <c r="F38" s="18">
        <f>IF(F17=1,F26*$M35*$M37,IF(AND(F15=1,F13=0),(F24/F34)+(F25/#REF!),F26))</f>
        <v>79.683999999999997</v>
      </c>
      <c r="G38" s="18">
        <f>IF(G17=1,G26*$M35*$M37,IF(AND(G15=1,G13=0),(G24/G34)+(G25/#REF!),G26))</f>
        <v>134.33199999999999</v>
      </c>
      <c r="H38" s="18">
        <f>IF(H17=1,H26*$M35*$M37,IF(AND(H15=1,H13=0),(H24/H34)+(H25/#REF!),H26))</f>
        <v>79.683999999999997</v>
      </c>
      <c r="J38" s="55">
        <f>SUM(D38:I38)</f>
        <v>605.23099999999999</v>
      </c>
      <c r="K38" s="47">
        <f>SUMPRODUCT(D17:I17,D38:I38)</f>
        <v>605.23099999999999</v>
      </c>
      <c r="L38" s="47">
        <f>SUMPRODUCT(D13:I13,D38:I38)</f>
        <v>0</v>
      </c>
      <c r="M38" s="45" t="str">
        <f>IF(K36*$A$2&gt;K33,"Exhaust exception applies, ventilation up to "&amp;$A$2*100&amp;"% of exhaust flow allowed","")</f>
        <v/>
      </c>
      <c r="N38" s="21"/>
    </row>
    <row r="39" spans="1:14" ht="15.75" thickTop="1" x14ac:dyDescent="0.25">
      <c r="A39"/>
      <c r="B39" s="13" t="s">
        <v>65</v>
      </c>
      <c r="C39" s="38" t="s">
        <v>11</v>
      </c>
      <c r="D39" s="5">
        <f>D26-D38</f>
        <v>0</v>
      </c>
      <c r="E39" s="5">
        <f>E26-E38</f>
        <v>0</v>
      </c>
      <c r="F39" s="5">
        <f>F26-F38</f>
        <v>0</v>
      </c>
      <c r="G39" s="5">
        <f>G26-G38</f>
        <v>0</v>
      </c>
      <c r="H39" s="5">
        <f>H26-H38</f>
        <v>0</v>
      </c>
      <c r="J39" s="4">
        <f>J26-J38</f>
        <v>0</v>
      </c>
      <c r="K39" s="5"/>
      <c r="L39" s="5"/>
      <c r="M39" s="76" t="str">
        <f>IF(K36&gt;K33,"CHECK: "&amp;ROUND(K38/K36,3),"")</f>
        <v/>
      </c>
    </row>
    <row r="40" spans="1:14" x14ac:dyDescent="0.25">
      <c r="A40"/>
      <c r="B40" s="13"/>
      <c r="D40" s="5"/>
      <c r="E40" s="5"/>
      <c r="F40" s="5"/>
      <c r="G40" s="5"/>
      <c r="H40" s="5"/>
      <c r="J40" s="4"/>
      <c r="K40" s="5"/>
      <c r="L40" s="5"/>
    </row>
    <row r="41" spans="1:14" x14ac:dyDescent="0.25">
      <c r="A41"/>
      <c r="B41" s="51" t="s">
        <v>61</v>
      </c>
      <c r="C41" s="2"/>
      <c r="D41" s="52">
        <v>1</v>
      </c>
      <c r="E41" s="53">
        <f>$D41</f>
        <v>1</v>
      </c>
      <c r="F41" s="53">
        <f>$D41</f>
        <v>1</v>
      </c>
      <c r="G41" s="53">
        <f>$D41</f>
        <v>1</v>
      </c>
      <c r="H41" s="53">
        <f>$D41</f>
        <v>1</v>
      </c>
      <c r="N41" s="21"/>
    </row>
    <row r="42" spans="1:14" x14ac:dyDescent="0.25">
      <c r="A42"/>
      <c r="B42" s="13" t="s">
        <v>67</v>
      </c>
      <c r="C42" s="38" t="s">
        <v>11</v>
      </c>
      <c r="D42" s="5">
        <f>D26/D41</f>
        <v>0</v>
      </c>
      <c r="E42" s="5">
        <f>E26/E41</f>
        <v>311.53100000000001</v>
      </c>
      <c r="F42" s="5">
        <f>F26/F41</f>
        <v>79.683999999999997</v>
      </c>
      <c r="G42" s="5">
        <f>G26/G41</f>
        <v>134.33199999999999</v>
      </c>
      <c r="H42" s="5">
        <f>H26/H41</f>
        <v>79.683999999999997</v>
      </c>
      <c r="J42" s="4">
        <f t="shared" ref="J42" si="19">SUM(D42:I42)</f>
        <v>605.23099999999999</v>
      </c>
      <c r="K42" s="5">
        <f>SUMPRODUCT(D17:I17,D42:I42)</f>
        <v>605.23099999999999</v>
      </c>
      <c r="L42" s="5">
        <f>SUMPRODUCT(D13:I13,D42:I42)</f>
        <v>0</v>
      </c>
    </row>
    <row r="43" spans="1:14" x14ac:dyDescent="0.25">
      <c r="A43"/>
      <c r="B43" s="59" t="s">
        <v>68</v>
      </c>
      <c r="C43" s="60"/>
      <c r="D43" s="66">
        <f>IF(D15=1,D24/D41/D18,D42/D18)</f>
        <v>0</v>
      </c>
      <c r="E43" s="66">
        <f>IF(E15=1,E24/E41/E18,E42/E18)</f>
        <v>0.25510235833606287</v>
      </c>
      <c r="F43" s="66">
        <f>IF(F15=1,F24/F41/F18,F42/F18)</f>
        <v>0.11</v>
      </c>
      <c r="G43" s="66">
        <f>IF(G15=1,G24/G41/G18,G42/G18)</f>
        <v>0.10999999999999999</v>
      </c>
      <c r="H43" s="66">
        <f>IF(H15=1,H24/H41/H18,H42/H18)</f>
        <v>0.11</v>
      </c>
      <c r="I43" s="61"/>
      <c r="J43" s="62">
        <f>SUMPRODUCT(D43:H43,D18:H18)</f>
        <v>605.23099999999999</v>
      </c>
      <c r="K43" s="63">
        <f>SUMPRODUCT(D17:I17,D18:I18,D43:I43)</f>
        <v>605.23099999999999</v>
      </c>
      <c r="L43" s="63">
        <f>SUMPRODUCT(D13:I13,D18:I18,D43:I43)</f>
        <v>0</v>
      </c>
      <c r="M43" s="61"/>
    </row>
    <row r="44" spans="1:14" x14ac:dyDescent="0.25">
      <c r="A44"/>
      <c r="B44" s="64" t="s">
        <v>69</v>
      </c>
      <c r="C44" s="60"/>
      <c r="D44" s="66">
        <f>IF(D15=1,D22/D23,0)</f>
        <v>0</v>
      </c>
      <c r="E44" s="66">
        <f t="shared" ref="E44:I44" si="20">IF(E15=1,E22/E23,0)</f>
        <v>0</v>
      </c>
      <c r="F44" s="66">
        <f t="shared" si="20"/>
        <v>0</v>
      </c>
      <c r="G44" s="66">
        <f t="shared" si="20"/>
        <v>0</v>
      </c>
      <c r="H44" s="66">
        <f t="shared" si="20"/>
        <v>0</v>
      </c>
      <c r="I44" s="66">
        <f t="shared" si="20"/>
        <v>0</v>
      </c>
      <c r="J44" s="62">
        <f>SUMPRODUCT(D44:H44,D19:H19)</f>
        <v>0</v>
      </c>
      <c r="K44" s="63">
        <f>SUMPRODUCT(D17:I17,D19:I19,D44:I44)</f>
        <v>0</v>
      </c>
      <c r="L44" s="63">
        <f>SUMPRODUCT(D13:I13,D19:I19,D44:I44)</f>
        <v>0</v>
      </c>
      <c r="M44" s="61"/>
    </row>
    <row r="45" spans="1:14" x14ac:dyDescent="0.25">
      <c r="A45"/>
      <c r="B45" s="13" t="s">
        <v>66</v>
      </c>
      <c r="C45" s="38" t="s">
        <v>11</v>
      </c>
      <c r="D45" s="5">
        <f>D38/D41</f>
        <v>0</v>
      </c>
      <c r="E45" s="5">
        <f>E38/E41</f>
        <v>311.53100000000001</v>
      </c>
      <c r="F45" s="5">
        <f>F38/F41</f>
        <v>79.683999999999997</v>
      </c>
      <c r="G45" s="5">
        <f>G38/G41</f>
        <v>134.33199999999999</v>
      </c>
      <c r="H45" s="5">
        <f>H38/H41</f>
        <v>79.683999999999997</v>
      </c>
      <c r="J45" s="4">
        <f t="shared" ref="J45" si="21">SUM(D45:I45)</f>
        <v>605.23099999999999</v>
      </c>
      <c r="K45" s="5">
        <f>SUMPRODUCT(D17:I17,D45:I45)</f>
        <v>605.23099999999999</v>
      </c>
      <c r="L45" s="5">
        <f>SUMPRODUCT(D13:I13,D45:I45)</f>
        <v>0</v>
      </c>
      <c r="M45" s="54"/>
    </row>
    <row r="46" spans="1:14" x14ac:dyDescent="0.25">
      <c r="A46"/>
      <c r="B46" s="59" t="s">
        <v>62</v>
      </c>
      <c r="C46" s="60"/>
      <c r="D46" s="66">
        <f>IF(D16=1,D28/D30/D41,D45/D18)</f>
        <v>0</v>
      </c>
      <c r="E46" s="66">
        <f t="shared" ref="E46" si="22">IF(E16=1,E28/E30/E41,E45/E18)</f>
        <v>0.25510235833606287</v>
      </c>
      <c r="F46" s="66">
        <f t="shared" ref="F46" si="23">IF(F16=1,F28/F30/F41,F45/F18)</f>
        <v>0.11</v>
      </c>
      <c r="G46" s="66">
        <f t="shared" ref="G46" si="24">IF(G16=1,G28/G30/G41,G45/G18)</f>
        <v>0.10999999999999999</v>
      </c>
      <c r="H46" s="66">
        <f>IF(H16=1,H28/H30/H41,H45/H18)</f>
        <v>0.11</v>
      </c>
      <c r="I46" s="61"/>
      <c r="J46" s="62">
        <f>SUMPRODUCT(D46:I46,D18:I18)</f>
        <v>605.23099999999999</v>
      </c>
      <c r="K46" s="63">
        <f>SUMPRODUCT(D17:I17,D18:I18,D46:I46)</f>
        <v>605.23099999999999</v>
      </c>
      <c r="L46" s="63">
        <f>SUMPRODUCT(D13:I13,D18:I18,D46:I46)</f>
        <v>0</v>
      </c>
      <c r="M46" s="61"/>
    </row>
    <row r="47" spans="1:14" x14ac:dyDescent="0.25">
      <c r="A47"/>
      <c r="B47" s="64" t="s">
        <v>63</v>
      </c>
      <c r="C47" s="60"/>
      <c r="D47" s="66">
        <f t="shared" ref="D47" si="25">IF(D16=1,IF(AND(D13=1,D14="Maximum"),D29*$N35*$N37,(D45-D46*D18)/D20),0)</f>
        <v>0</v>
      </c>
      <c r="E47" s="66">
        <f t="shared" ref="E47" si="26">IF(E16=1,IF(AND(E13=1,E14="Maximum"),E29*$N35*$N37,(E45-E46*E18)/E20),0)</f>
        <v>0</v>
      </c>
      <c r="F47" s="66">
        <f t="shared" ref="F47" si="27">IF(F16=1,IF(AND(F13=1,F14="Maximum"),F29*$N35*$N37,(F45-F46*F18)/F20),0)</f>
        <v>0</v>
      </c>
      <c r="G47" s="66">
        <f t="shared" ref="G47" si="28">IF(G16=1,IF(AND(G13=1,G14="Maximum"),G29*$N35*$N37,(G45-G46*G18)/G20),0)</f>
        <v>0</v>
      </c>
      <c r="H47" s="66">
        <f>IF(H16=1,IF(AND(H13=1,H14="Maximum"),H22*$N35*$N37/H30,(H45-H46*H18)/H20),0)</f>
        <v>0</v>
      </c>
      <c r="I47" s="61"/>
      <c r="J47" s="62">
        <f>SUMPRODUCT(D47:I47,D19:I19)</f>
        <v>0</v>
      </c>
      <c r="K47" s="63">
        <f>SUMPRODUCT(D17:I17,D19:I19,D47:I47)</f>
        <v>0</v>
      </c>
      <c r="L47" s="63">
        <f>SUMPRODUCT(D13:I13,D19:I19,D47:I47)</f>
        <v>0</v>
      </c>
      <c r="M47" s="61"/>
      <c r="N47" s="21"/>
    </row>
    <row r="48" spans="1:14" x14ac:dyDescent="0.25">
      <c r="B48" s="59" t="s">
        <v>186</v>
      </c>
      <c r="C48" s="110"/>
      <c r="D48" s="111">
        <f t="shared" ref="D48" si="29">IF(D14="Maximum",MAX(D46*D18,D47*D20),D46*D18+D47*D20)</f>
        <v>0</v>
      </c>
      <c r="E48" s="111">
        <f t="shared" ref="E48" si="30">IF(E14="Maximum",MAX(E46*E18,E47*E20),E46*E18+E47*E20)</f>
        <v>311.53100000000001</v>
      </c>
      <c r="F48" s="111">
        <f t="shared" ref="F48" si="31">IF(F14="Maximum",MAX(F46*F18,F47*F20),F46*F18+F47*F20)</f>
        <v>79.683999999999997</v>
      </c>
      <c r="G48" s="111">
        <f t="shared" ref="G48" si="32">IF(G14="Maximum",MAX(G46*G18,G47*G20),G46*G18+G47*G20)</f>
        <v>134.33199999999999</v>
      </c>
      <c r="H48" s="111">
        <f t="shared" ref="H48" si="33">IF(H14="Maximum",MAX(H46*H18,H47*H20),H46*H18+H47*H20)</f>
        <v>79.683999999999997</v>
      </c>
    </row>
    <row r="50" spans="1:14" ht="18.75" x14ac:dyDescent="0.3">
      <c r="A50" s="89" t="s">
        <v>8</v>
      </c>
      <c r="B50" s="90"/>
      <c r="C50" s="91"/>
      <c r="D50" s="92"/>
      <c r="E50" s="92"/>
      <c r="F50" s="92"/>
      <c r="G50" s="92"/>
      <c r="H50" s="92"/>
      <c r="I50" s="92"/>
      <c r="J50" s="93"/>
      <c r="K50" s="92"/>
      <c r="L50" s="92"/>
      <c r="M50" s="92"/>
    </row>
    <row r="51" spans="1:14" x14ac:dyDescent="0.25">
      <c r="A51" s="9" t="s">
        <v>21</v>
      </c>
      <c r="B51" s="8" t="s">
        <v>56</v>
      </c>
      <c r="E51" s="65">
        <v>1.3</v>
      </c>
    </row>
    <row r="52" spans="1:14" x14ac:dyDescent="0.25">
      <c r="A52" s="9" t="s">
        <v>18</v>
      </c>
      <c r="B52" s="20" t="s">
        <v>55</v>
      </c>
    </row>
    <row r="53" spans="1:14" x14ac:dyDescent="0.25">
      <c r="A53" s="9"/>
      <c r="B53" s="20"/>
    </row>
    <row r="54" spans="1:14" x14ac:dyDescent="0.25">
      <c r="B54" s="13" t="s">
        <v>12</v>
      </c>
      <c r="F54" s="38"/>
      <c r="G54" s="38"/>
      <c r="H54" s="38"/>
      <c r="J54" s="116" t="s">
        <v>5</v>
      </c>
      <c r="K54" s="117"/>
      <c r="L54" s="102"/>
      <c r="M54" s="12"/>
      <c r="N54" s="25"/>
    </row>
    <row r="55" spans="1:14" ht="15.75" thickBot="1" x14ac:dyDescent="0.3">
      <c r="B55" s="32" t="s">
        <v>13</v>
      </c>
      <c r="C55" s="39"/>
      <c r="D55" s="33" t="s">
        <v>77</v>
      </c>
      <c r="E55" s="33" t="s">
        <v>78</v>
      </c>
      <c r="F55" s="33" t="s">
        <v>79</v>
      </c>
      <c r="G55" s="33" t="s">
        <v>80</v>
      </c>
      <c r="H55" s="33" t="s">
        <v>81</v>
      </c>
      <c r="J55" s="34" t="s">
        <v>16</v>
      </c>
      <c r="K55" s="35" t="s">
        <v>126</v>
      </c>
      <c r="L55" s="35" t="s">
        <v>122</v>
      </c>
      <c r="M55" s="35" t="s">
        <v>127</v>
      </c>
      <c r="N55" s="35" t="s">
        <v>128</v>
      </c>
    </row>
    <row r="56" spans="1:14" x14ac:dyDescent="0.25">
      <c r="B56" s="15" t="s">
        <v>49</v>
      </c>
      <c r="C56" s="40"/>
      <c r="D56" s="30">
        <v>0</v>
      </c>
      <c r="E56" s="30">
        <v>0</v>
      </c>
      <c r="F56" s="30">
        <v>0</v>
      </c>
      <c r="G56" s="30">
        <v>0</v>
      </c>
      <c r="H56" s="30">
        <v>0</v>
      </c>
      <c r="J56" s="46"/>
      <c r="K56" s="26"/>
      <c r="L56" s="26"/>
      <c r="M56" s="8"/>
      <c r="N56" s="21"/>
    </row>
    <row r="57" spans="1:14" x14ac:dyDescent="0.25">
      <c r="B57" s="15" t="s">
        <v>132</v>
      </c>
      <c r="C57" s="40"/>
      <c r="D57" s="30" t="s">
        <v>134</v>
      </c>
      <c r="E57" s="30" t="s">
        <v>134</v>
      </c>
      <c r="F57" s="30" t="s">
        <v>134</v>
      </c>
      <c r="G57" s="30" t="s">
        <v>134</v>
      </c>
      <c r="H57" s="30" t="s">
        <v>134</v>
      </c>
      <c r="J57" s="46"/>
      <c r="K57" s="26"/>
      <c r="L57" s="26"/>
      <c r="M57" s="8"/>
      <c r="N57" s="21"/>
    </row>
    <row r="58" spans="1:14" x14ac:dyDescent="0.25">
      <c r="B58" s="15" t="s">
        <v>184</v>
      </c>
      <c r="C58" s="40"/>
      <c r="D58" s="30">
        <v>0</v>
      </c>
      <c r="E58" s="30">
        <v>0</v>
      </c>
      <c r="F58" s="30">
        <v>0</v>
      </c>
      <c r="G58" s="30">
        <v>0</v>
      </c>
      <c r="H58" s="30">
        <v>0</v>
      </c>
      <c r="J58" s="46"/>
      <c r="K58" s="26"/>
      <c r="L58" s="26"/>
      <c r="M58" s="8"/>
      <c r="N58" s="21"/>
    </row>
    <row r="59" spans="1:14" x14ac:dyDescent="0.25">
      <c r="B59" s="15" t="s">
        <v>185</v>
      </c>
      <c r="C59" s="40"/>
      <c r="D59" s="30">
        <v>0</v>
      </c>
      <c r="E59" s="30">
        <v>0</v>
      </c>
      <c r="F59" s="30">
        <v>0</v>
      </c>
      <c r="G59" s="30">
        <v>0</v>
      </c>
      <c r="H59" s="30">
        <v>0</v>
      </c>
      <c r="J59" s="46"/>
      <c r="K59" s="26"/>
      <c r="L59" s="26"/>
      <c r="M59" s="8"/>
      <c r="N59" s="21"/>
    </row>
    <row r="60" spans="1:14" x14ac:dyDescent="0.25">
      <c r="B60" s="104" t="s">
        <v>129</v>
      </c>
      <c r="C60" s="44"/>
      <c r="D60" s="103">
        <f>IF(D56=1,0,1)</f>
        <v>1</v>
      </c>
      <c r="E60" s="103">
        <f>IF(E56=1,0,1)</f>
        <v>1</v>
      </c>
      <c r="F60" s="103">
        <f>IF(F56=1,0,1)</f>
        <v>1</v>
      </c>
      <c r="G60" s="103">
        <f>IF(G56=1,0,1)</f>
        <v>1</v>
      </c>
      <c r="H60" s="103">
        <f>IF(H56=1,0,1)</f>
        <v>1</v>
      </c>
      <c r="J60" s="46"/>
      <c r="K60" s="5"/>
      <c r="L60" s="5"/>
      <c r="N60" s="21"/>
    </row>
    <row r="61" spans="1:14" x14ac:dyDescent="0.25">
      <c r="B61" s="15" t="s">
        <v>72</v>
      </c>
      <c r="C61" s="38" t="s">
        <v>75</v>
      </c>
      <c r="D61" s="95">
        <v>1610.9</v>
      </c>
      <c r="E61" s="95">
        <v>1221.2</v>
      </c>
      <c r="F61" s="95">
        <v>724.4</v>
      </c>
      <c r="G61" s="95">
        <v>1221.2</v>
      </c>
      <c r="H61" s="95">
        <v>724.4</v>
      </c>
      <c r="J61" s="46"/>
      <c r="K61" s="5"/>
      <c r="L61" s="5"/>
      <c r="N61" s="21"/>
    </row>
    <row r="62" spans="1:14" x14ac:dyDescent="0.25">
      <c r="B62" s="15" t="s">
        <v>111</v>
      </c>
      <c r="C62" s="40" t="s">
        <v>112</v>
      </c>
      <c r="D62" s="50">
        <v>10</v>
      </c>
      <c r="E62" s="50">
        <v>10</v>
      </c>
      <c r="F62" s="50">
        <v>10</v>
      </c>
      <c r="G62" s="50">
        <v>10</v>
      </c>
      <c r="H62" s="50">
        <v>10</v>
      </c>
      <c r="J62" s="4"/>
      <c r="K62" s="5"/>
      <c r="L62" s="5"/>
      <c r="N62" s="21"/>
    </row>
    <row r="63" spans="1:14" x14ac:dyDescent="0.25">
      <c r="B63" s="14" t="s">
        <v>73</v>
      </c>
      <c r="C63" s="41" t="s">
        <v>74</v>
      </c>
      <c r="D63" s="77">
        <f>D61*D62/1000</f>
        <v>16.109000000000002</v>
      </c>
      <c r="E63" s="77">
        <f>E61*E62/1000</f>
        <v>12.212</v>
      </c>
      <c r="F63" s="77">
        <f>F61*F62/1000</f>
        <v>7.2439999999999998</v>
      </c>
      <c r="G63" s="77">
        <f>G61*G62/1000</f>
        <v>12.212</v>
      </c>
      <c r="H63" s="77">
        <f>H61*H62/1000</f>
        <v>7.2439999999999998</v>
      </c>
      <c r="J63" s="4"/>
      <c r="K63" s="5"/>
      <c r="L63" s="5"/>
      <c r="N63" s="21"/>
    </row>
    <row r="64" spans="1:14" x14ac:dyDescent="0.25">
      <c r="A64" s="118" t="s">
        <v>110</v>
      </c>
      <c r="B64" s="80" t="s">
        <v>87</v>
      </c>
      <c r="C64" s="38" t="s">
        <v>113</v>
      </c>
      <c r="D64" s="58">
        <f t="shared" ref="D64:H64" si="34">D71</f>
        <v>0.06</v>
      </c>
      <c r="E64" s="58">
        <f t="shared" si="34"/>
        <v>0.06</v>
      </c>
      <c r="F64" s="58">
        <f t="shared" si="34"/>
        <v>0.06</v>
      </c>
      <c r="G64" s="58">
        <f t="shared" si="34"/>
        <v>0.06</v>
      </c>
      <c r="H64" s="58">
        <f t="shared" si="34"/>
        <v>0.06</v>
      </c>
      <c r="J64" s="4"/>
      <c r="K64" s="5"/>
      <c r="L64" s="5"/>
      <c r="N64" s="21"/>
    </row>
    <row r="65" spans="1:14" x14ac:dyDescent="0.25">
      <c r="A65" s="118"/>
      <c r="B65" s="80" t="s">
        <v>88</v>
      </c>
      <c r="C65" s="38" t="s">
        <v>76</v>
      </c>
      <c r="D65" s="57">
        <f t="shared" ref="D65:H65" si="35">D72</f>
        <v>5</v>
      </c>
      <c r="E65" s="57">
        <f t="shared" si="35"/>
        <v>5</v>
      </c>
      <c r="F65" s="57">
        <f t="shared" si="35"/>
        <v>5</v>
      </c>
      <c r="G65" s="57">
        <f t="shared" si="35"/>
        <v>5</v>
      </c>
      <c r="H65" s="57">
        <f t="shared" si="35"/>
        <v>5</v>
      </c>
      <c r="J65" s="4"/>
      <c r="K65" s="5"/>
      <c r="L65" s="5"/>
      <c r="N65" s="21"/>
    </row>
    <row r="66" spans="1:14" x14ac:dyDescent="0.25">
      <c r="A66" s="118"/>
      <c r="B66" s="80" t="s">
        <v>60</v>
      </c>
      <c r="C66"/>
      <c r="D66" s="50">
        <v>1</v>
      </c>
      <c r="E66" s="50">
        <f>D66</f>
        <v>1</v>
      </c>
      <c r="F66" s="50">
        <f t="shared" ref="F66" si="36">E66</f>
        <v>1</v>
      </c>
      <c r="G66" s="50">
        <f t="shared" ref="G66" si="37">F66</f>
        <v>1</v>
      </c>
      <c r="H66" s="50">
        <f t="shared" ref="H66" si="38">G66</f>
        <v>1</v>
      </c>
      <c r="N66" s="21"/>
    </row>
    <row r="67" spans="1:14" x14ac:dyDescent="0.25">
      <c r="A67" s="118"/>
      <c r="B67" s="80" t="s">
        <v>31</v>
      </c>
      <c r="C67" s="38" t="s">
        <v>11</v>
      </c>
      <c r="D67" s="72">
        <f>D61*D64/D66</f>
        <v>96.653999999999996</v>
      </c>
      <c r="E67" s="72">
        <f>E61*E64/E66</f>
        <v>73.272000000000006</v>
      </c>
      <c r="F67" s="72">
        <f>F61*F64/F66</f>
        <v>43.463999999999999</v>
      </c>
      <c r="G67" s="72">
        <f>G61*G64/G66</f>
        <v>73.272000000000006</v>
      </c>
      <c r="H67" s="72">
        <f>H61*H64/H66</f>
        <v>43.463999999999999</v>
      </c>
      <c r="J67" s="4">
        <f t="shared" ref="J67:J70" si="39">SUM(D67:I67)</f>
        <v>330.12599999999998</v>
      </c>
      <c r="K67" s="5">
        <f>SUMPRODUCT(D60:I60,D67:I67)</f>
        <v>330.12599999999998</v>
      </c>
      <c r="L67" s="5"/>
      <c r="N67" s="21"/>
    </row>
    <row r="68" spans="1:14" ht="15.75" thickBot="1" x14ac:dyDescent="0.3">
      <c r="A68" s="118"/>
      <c r="B68" s="86" t="s">
        <v>32</v>
      </c>
      <c r="C68" s="41" t="s">
        <v>11</v>
      </c>
      <c r="D68" s="87">
        <f>D63*D65/D66</f>
        <v>80.545000000000016</v>
      </c>
      <c r="E68" s="87">
        <f>E63*E65/E66</f>
        <v>61.06</v>
      </c>
      <c r="F68" s="87">
        <f>F63*F65/F66</f>
        <v>36.22</v>
      </c>
      <c r="G68" s="87">
        <f>G63*G65/G66</f>
        <v>61.06</v>
      </c>
      <c r="H68" s="87">
        <f>H63*H65/H66</f>
        <v>36.22</v>
      </c>
      <c r="J68" s="4">
        <f t="shared" si="39"/>
        <v>275.10500000000002</v>
      </c>
      <c r="K68" s="5">
        <f>SUMPRODUCT(D60:I60,D68:I68)</f>
        <v>275.10500000000002</v>
      </c>
      <c r="L68" s="5"/>
      <c r="N68" s="21"/>
    </row>
    <row r="69" spans="1:14" ht="16.5" thickTop="1" thickBot="1" x14ac:dyDescent="0.3">
      <c r="A69" s="118"/>
      <c r="B69" s="83" t="s">
        <v>64</v>
      </c>
      <c r="C69" s="38" t="s">
        <v>11</v>
      </c>
      <c r="D69" s="113">
        <v>0</v>
      </c>
      <c r="E69" s="113">
        <f>SUM(D67:E68)*$E$51</f>
        <v>404.99030000000005</v>
      </c>
      <c r="F69" s="85">
        <f>IF(AND(F56=1,F57="Maximum"),MAX(F67:F68),SUM(F67:F68))*$E$51</f>
        <v>103.58920000000001</v>
      </c>
      <c r="G69" s="85">
        <f t="shared" ref="G69:H69" si="40">IF(AND(G56=1,G57="Maximum"),MAX(G67:G68),SUM(G67:G68))*$E$51</f>
        <v>174.63159999999999</v>
      </c>
      <c r="H69" s="85">
        <f t="shared" si="40"/>
        <v>103.58920000000001</v>
      </c>
      <c r="J69" s="55">
        <f t="shared" si="39"/>
        <v>786.80029999999999</v>
      </c>
      <c r="K69" s="47">
        <f>SUMPRODUCT(D60:I60,D69:I69)</f>
        <v>786.80029999999999</v>
      </c>
      <c r="L69" s="47">
        <f>SUMPRODUCT(D56:I56,D69:I69)</f>
        <v>0</v>
      </c>
      <c r="N69" s="21"/>
    </row>
    <row r="70" spans="1:14" ht="16.5" thickTop="1" thickBot="1" x14ac:dyDescent="0.3">
      <c r="A70" s="118"/>
      <c r="B70" s="82" t="s">
        <v>108</v>
      </c>
      <c r="C70" s="41" t="s">
        <v>11</v>
      </c>
      <c r="D70" s="75">
        <f t="shared" ref="D70" si="41">IF(D58=1,D67,D69)</f>
        <v>0</v>
      </c>
      <c r="E70" s="75">
        <f t="shared" ref="E70" si="42">IF(E58=1,E67,E69)</f>
        <v>404.99030000000005</v>
      </c>
      <c r="F70" s="75">
        <f t="shared" ref="F70" si="43">IF(F58=1,F67,F69)</f>
        <v>103.58920000000001</v>
      </c>
      <c r="G70" s="75">
        <f t="shared" ref="G70" si="44">IF(G58=1,G67,G69)</f>
        <v>174.63159999999999</v>
      </c>
      <c r="H70" s="75">
        <f>IF(H58=1,H67,H69)</f>
        <v>103.58920000000001</v>
      </c>
      <c r="J70" s="55">
        <f t="shared" si="39"/>
        <v>786.80029999999999</v>
      </c>
      <c r="K70" s="47">
        <f>SUMPRODUCT(D60:I60,D70:I70)</f>
        <v>786.80029999999999</v>
      </c>
      <c r="L70" s="47">
        <f>SUMPRODUCT(D56:I56,D70:I70)</f>
        <v>0</v>
      </c>
      <c r="N70" s="21"/>
    </row>
    <row r="71" spans="1:14" ht="15.75" thickTop="1" x14ac:dyDescent="0.25">
      <c r="A71" s="119" t="s">
        <v>109</v>
      </c>
      <c r="B71" s="78" t="s">
        <v>89</v>
      </c>
      <c r="C71" s="38" t="s">
        <v>113</v>
      </c>
      <c r="D71" s="58">
        <v>0.06</v>
      </c>
      <c r="E71" s="58">
        <v>0.06</v>
      </c>
      <c r="F71" s="58">
        <v>0.06</v>
      </c>
      <c r="G71" s="58">
        <v>0.06</v>
      </c>
      <c r="H71" s="58">
        <v>0.06</v>
      </c>
      <c r="J71" s="4"/>
      <c r="K71" s="5"/>
      <c r="L71" s="5"/>
      <c r="N71" s="21"/>
    </row>
    <row r="72" spans="1:14" x14ac:dyDescent="0.25">
      <c r="A72" s="119"/>
      <c r="B72" s="78" t="s">
        <v>90</v>
      </c>
      <c r="C72" s="38" t="s">
        <v>76</v>
      </c>
      <c r="D72" s="57">
        <v>5</v>
      </c>
      <c r="E72" s="57">
        <v>5</v>
      </c>
      <c r="F72" s="57">
        <v>5</v>
      </c>
      <c r="G72" s="57">
        <v>5</v>
      </c>
      <c r="H72" s="57">
        <v>5</v>
      </c>
      <c r="J72" s="4"/>
      <c r="K72" s="5"/>
      <c r="L72" s="5"/>
      <c r="N72" s="21"/>
    </row>
    <row r="73" spans="1:14" x14ac:dyDescent="0.25">
      <c r="A73" s="119"/>
      <c r="B73" s="78" t="s">
        <v>70</v>
      </c>
      <c r="C73"/>
      <c r="D73" s="73">
        <f>IF(AND(D66&gt;1,D56=0),1,D66)</f>
        <v>1</v>
      </c>
      <c r="E73" s="73">
        <f>IF(AND(E66&gt;1,E56=0),1,E66)</f>
        <v>1</v>
      </c>
      <c r="F73" s="73">
        <f>IF(AND(F66&gt;1,F56=0),1,F66)</f>
        <v>1</v>
      </c>
      <c r="G73" s="73">
        <f>IF(AND(G66&gt;1,G56=0),1,G66)</f>
        <v>1</v>
      </c>
      <c r="H73" s="73">
        <f>IF(AND(H66&gt;1,H56=0),1,H66)</f>
        <v>1</v>
      </c>
      <c r="N73" s="21"/>
    </row>
    <row r="74" spans="1:14" x14ac:dyDescent="0.25">
      <c r="A74" s="119"/>
      <c r="B74" s="79" t="s">
        <v>29</v>
      </c>
      <c r="C74" s="38" t="s">
        <v>11</v>
      </c>
      <c r="D74" s="72">
        <f>D61*D71/D73</f>
        <v>96.653999999999996</v>
      </c>
      <c r="E74" s="72">
        <f>E61*E71/E73</f>
        <v>73.272000000000006</v>
      </c>
      <c r="F74" s="72">
        <f>F61*F71/F73</f>
        <v>43.463999999999999</v>
      </c>
      <c r="G74" s="72">
        <f>G61*G71/G73</f>
        <v>73.272000000000006</v>
      </c>
      <c r="H74" s="72">
        <f>H61*H71/H73</f>
        <v>43.463999999999999</v>
      </c>
      <c r="J74" s="4">
        <f t="shared" ref="J74:J76" si="45">SUM(D74:I74)</f>
        <v>330.12599999999998</v>
      </c>
      <c r="K74" s="5">
        <f>SUMPRODUCT(D60:I60,D74:I74)</f>
        <v>330.12599999999998</v>
      </c>
      <c r="L74" s="5"/>
      <c r="N74" s="21"/>
    </row>
    <row r="75" spans="1:14" ht="15.75" thickBot="1" x14ac:dyDescent="0.3">
      <c r="A75" s="119"/>
      <c r="B75" s="88" t="s">
        <v>30</v>
      </c>
      <c r="C75" s="41" t="s">
        <v>11</v>
      </c>
      <c r="D75" s="87">
        <f>D63*D72/D73</f>
        <v>80.545000000000016</v>
      </c>
      <c r="E75" s="87">
        <f>E63*E72/E73</f>
        <v>61.06</v>
      </c>
      <c r="F75" s="87">
        <f>F63*F72/F73</f>
        <v>36.22</v>
      </c>
      <c r="G75" s="87">
        <f>G63*G72/G73</f>
        <v>61.06</v>
      </c>
      <c r="H75" s="87">
        <f>H63*H72/H73</f>
        <v>36.22</v>
      </c>
      <c r="J75" s="4">
        <f t="shared" si="45"/>
        <v>275.10500000000002</v>
      </c>
      <c r="K75" s="5">
        <f>SUMPRODUCT(D60:I60,D75:I75)</f>
        <v>275.10500000000002</v>
      </c>
      <c r="L75" s="5"/>
      <c r="N75" s="21"/>
    </row>
    <row r="76" spans="1:14" ht="16.5" thickTop="1" thickBot="1" x14ac:dyDescent="0.3">
      <c r="A76" s="119"/>
      <c r="B76" s="84" t="s">
        <v>106</v>
      </c>
      <c r="C76" s="38" t="s">
        <v>11</v>
      </c>
      <c r="D76" s="85">
        <f t="shared" ref="D76" si="46">IF(AND(D56=1,D57="Maximum"),MAX(D74:D75),SUM(D74:D75))</f>
        <v>177.19900000000001</v>
      </c>
      <c r="E76" s="85">
        <f t="shared" ref="E76" si="47">IF(AND(E56=1,E57="Maximum"),MAX(E74:E75),SUM(E74:E75))</f>
        <v>134.33199999999999</v>
      </c>
      <c r="F76" s="85">
        <f t="shared" ref="F76" si="48">IF(AND(F56=1,F57="Maximum"),MAX(F74:F75),SUM(F74:F75))</f>
        <v>79.683999999999997</v>
      </c>
      <c r="G76" s="85">
        <f t="shared" ref="G76" si="49">IF(AND(G56=1,G57="Maximum"),MAX(G74:G75),SUM(G74:G75))</f>
        <v>134.33199999999999</v>
      </c>
      <c r="H76" s="85">
        <f t="shared" ref="H76" si="50">IF(AND(H56=1,H57="Maximum"),MAX(H74:H75),SUM(H74:H75))</f>
        <v>79.683999999999997</v>
      </c>
      <c r="J76" s="55">
        <f t="shared" si="45"/>
        <v>605.23099999999999</v>
      </c>
      <c r="K76" s="47">
        <f>SUMPRODUCT(D60:I60,D76:I76)</f>
        <v>605.23099999999999</v>
      </c>
      <c r="L76" s="47">
        <f>SUMPRODUCT(D56:I56,D76:I76)</f>
        <v>0</v>
      </c>
      <c r="N76" s="21"/>
    </row>
    <row r="77" spans="1:14" ht="16.5" thickTop="1" thickBot="1" x14ac:dyDescent="0.3">
      <c r="A77" s="119"/>
      <c r="B77" s="81" t="s">
        <v>107</v>
      </c>
      <c r="C77" s="41" t="s">
        <v>11</v>
      </c>
      <c r="D77" s="75">
        <f t="shared" ref="D77" si="51">IF(D59=1,D74,D76)</f>
        <v>177.19900000000001</v>
      </c>
      <c r="E77" s="75">
        <f t="shared" ref="E77" si="52">IF(E59=1,E74,E76)</f>
        <v>134.33199999999999</v>
      </c>
      <c r="F77" s="75">
        <f t="shared" ref="F77" si="53">IF(F59=1,F74,F76)</f>
        <v>79.683999999999997</v>
      </c>
      <c r="G77" s="75">
        <f t="shared" ref="G77" si="54">IF(G59=1,G74,G76)</f>
        <v>134.33199999999999</v>
      </c>
      <c r="H77" s="75">
        <f t="shared" ref="H77" si="55">IF(H59=1,H74,H76)</f>
        <v>79.683999999999997</v>
      </c>
      <c r="J77" s="55">
        <f t="shared" ref="J77" si="56">SUM(D77:I77)</f>
        <v>605.23099999999999</v>
      </c>
      <c r="K77" s="47">
        <f>SUMPRODUCT(D60:I60,D77:I77)</f>
        <v>605.23099999999999</v>
      </c>
      <c r="L77" s="47">
        <f>SUMPRODUCT(D56:I56,D77:I77)</f>
        <v>0</v>
      </c>
      <c r="M77" s="21" t="s">
        <v>123</v>
      </c>
      <c r="N77" s="21" t="s">
        <v>124</v>
      </c>
    </row>
    <row r="78" spans="1:14" ht="15.75" thickTop="1" x14ac:dyDescent="0.25">
      <c r="A78"/>
      <c r="B78" s="13" t="s">
        <v>58</v>
      </c>
      <c r="D78" s="1">
        <f>IFERROR(D69/D76,0)</f>
        <v>0</v>
      </c>
      <c r="E78" s="1">
        <f>IFERROR(E69/E76,0)</f>
        <v>3.0148460530625618</v>
      </c>
      <c r="F78" s="1">
        <f>IFERROR(F69/F76,0)</f>
        <v>1.3</v>
      </c>
      <c r="G78" s="1">
        <f>IFERROR(G69/G76,0)</f>
        <v>1.3</v>
      </c>
      <c r="H78" s="1">
        <f>IFERROR(H69/H76,0)</f>
        <v>1.3</v>
      </c>
      <c r="J78" s="4"/>
      <c r="K78" s="5"/>
      <c r="L78" s="5"/>
      <c r="M78" s="67">
        <f>K76/K69</f>
        <v>0.76923076923076927</v>
      </c>
      <c r="N78" s="67">
        <f>IFERROR(L76/L69,1)</f>
        <v>1</v>
      </c>
    </row>
    <row r="79" spans="1:14" x14ac:dyDescent="0.25">
      <c r="A79"/>
      <c r="B79" s="13" t="s">
        <v>59</v>
      </c>
      <c r="C79" s="38" t="s">
        <v>11</v>
      </c>
      <c r="D79" s="17">
        <v>200</v>
      </c>
      <c r="E79" s="17">
        <v>0</v>
      </c>
      <c r="F79" s="17">
        <v>0</v>
      </c>
      <c r="G79" s="17">
        <v>0</v>
      </c>
      <c r="H79" s="17">
        <v>0</v>
      </c>
      <c r="J79" s="4">
        <f>SUM(D79:I79)</f>
        <v>200</v>
      </c>
      <c r="K79" s="5">
        <f>SUMPRODUCT(D60:I60,D79:I79)</f>
        <v>200</v>
      </c>
      <c r="L79" s="5">
        <f>SUMPRODUCT(D56:I56,D79:I79)</f>
        <v>0</v>
      </c>
      <c r="M79" s="21" t="s">
        <v>86</v>
      </c>
      <c r="N79" s="21" t="s">
        <v>125</v>
      </c>
    </row>
    <row r="80" spans="1:14" ht="15.75" thickBot="1" x14ac:dyDescent="0.3">
      <c r="A80"/>
      <c r="B80" s="16" t="s">
        <v>15</v>
      </c>
      <c r="C80" s="42"/>
      <c r="D80" s="10">
        <f>IFERROR(D69/D79,0)</f>
        <v>0</v>
      </c>
      <c r="E80" s="10">
        <f>IFERROR(E69/E79,0)</f>
        <v>0</v>
      </c>
      <c r="F80" s="10">
        <f>IFERROR(F69/F79,0)</f>
        <v>0</v>
      </c>
      <c r="G80" s="10">
        <f>IFERROR(G69/G79,0)</f>
        <v>0</v>
      </c>
      <c r="H80" s="10">
        <f>IFERROR(H69/H79,0)</f>
        <v>0</v>
      </c>
      <c r="J80" s="4"/>
      <c r="K80" s="74">
        <f>K79/K76</f>
        <v>0.33045233968517806</v>
      </c>
      <c r="L80" s="74">
        <f>IFERROR(L79/L76,0)</f>
        <v>0</v>
      </c>
      <c r="M80" s="68">
        <f>MAX(MIN(K69,$A$2*K79)/K76,1)</f>
        <v>1</v>
      </c>
      <c r="N80" s="68">
        <f>IFERROR(MAX(MIN(L69,$A$2*L79)/L76,1),1)</f>
        <v>1</v>
      </c>
    </row>
    <row r="81" spans="1:14" ht="16.5" thickTop="1" thickBot="1" x14ac:dyDescent="0.3">
      <c r="A81"/>
      <c r="B81" s="15" t="s">
        <v>102</v>
      </c>
      <c r="C81" s="38" t="s">
        <v>11</v>
      </c>
      <c r="D81" s="18">
        <f>IF(D60=1,D69*$M78*$M80,D69)</f>
        <v>0</v>
      </c>
      <c r="E81" s="18">
        <f>IF(E60=1,E69*$M78*$M80,IF(AND(E58=1,E56=0),(E67/E77)+(E68/#REF!),E69))</f>
        <v>311.53100000000006</v>
      </c>
      <c r="F81" s="18">
        <f>IF(F60=1,F69*$M78*$M80,IF(AND(F58=1,F56=0),(F67/F77)+(F68/#REF!),F69))</f>
        <v>79.684000000000012</v>
      </c>
      <c r="G81" s="18">
        <f>IF(G60=1,G69*$M78*$M80,IF(AND(G58=1,G56=0),(G67/G77)+(G68/#REF!),G69))</f>
        <v>134.33199999999999</v>
      </c>
      <c r="H81" s="18">
        <f>IF(H60=1,H69*$M78*$M80,IF(AND(H58=1,H56=0),(H67/H77)+(H68/#REF!),H69))</f>
        <v>79.684000000000012</v>
      </c>
      <c r="J81" s="55">
        <f>SUM(D81:I81)</f>
        <v>605.23099999999999</v>
      </c>
      <c r="K81" s="47">
        <f>SUMPRODUCT(D60:I60,D81:I81)</f>
        <v>605.23099999999999</v>
      </c>
      <c r="L81" s="47">
        <f>SUMPRODUCT(D56:I56,D81:I81)</f>
        <v>0</v>
      </c>
      <c r="M81" s="45" t="str">
        <f>IF(K79*$A$2&gt;K76,"Exhaust exception applies, ventilation up to "&amp;$A$2*100&amp;"% of exhaust flow allowed","")</f>
        <v/>
      </c>
      <c r="N81" s="21"/>
    </row>
    <row r="82" spans="1:14" ht="15.75" thickTop="1" x14ac:dyDescent="0.25">
      <c r="A82"/>
      <c r="B82" s="13" t="s">
        <v>65</v>
      </c>
      <c r="C82" s="38" t="s">
        <v>11</v>
      </c>
      <c r="D82" s="5">
        <f>D69-D81</f>
        <v>0</v>
      </c>
      <c r="E82" s="5">
        <f>E69-E81</f>
        <v>93.459299999999985</v>
      </c>
      <c r="F82" s="5">
        <f>F69-F81</f>
        <v>23.905199999999994</v>
      </c>
      <c r="G82" s="5">
        <f>G69-G81</f>
        <v>40.299599999999998</v>
      </c>
      <c r="H82" s="5">
        <f>H69-H81</f>
        <v>23.905199999999994</v>
      </c>
      <c r="J82" s="4">
        <f>J69-J81</f>
        <v>181.5693</v>
      </c>
      <c r="K82" s="5"/>
      <c r="L82" s="5"/>
      <c r="M82" s="76" t="str">
        <f>IF(K79&gt;K76,"CHECK: "&amp;ROUND(K81/K79,3),"")</f>
        <v/>
      </c>
    </row>
    <row r="83" spans="1:14" x14ac:dyDescent="0.25">
      <c r="A83"/>
      <c r="B83" s="13"/>
      <c r="D83" s="5"/>
      <c r="E83" s="5"/>
      <c r="F83" s="5"/>
      <c r="G83" s="5"/>
      <c r="H83" s="5"/>
      <c r="J83" s="4"/>
      <c r="K83" s="5"/>
      <c r="L83" s="5"/>
    </row>
    <row r="84" spans="1:14" x14ac:dyDescent="0.25">
      <c r="A84"/>
      <c r="B84" s="51" t="s">
        <v>61</v>
      </c>
      <c r="C84" s="2"/>
      <c r="D84" s="52">
        <v>1</v>
      </c>
      <c r="E84" s="53">
        <f>$D84</f>
        <v>1</v>
      </c>
      <c r="F84" s="53">
        <f>$D84</f>
        <v>1</v>
      </c>
      <c r="G84" s="53">
        <f>$D84</f>
        <v>1</v>
      </c>
      <c r="H84" s="53">
        <f>$D84</f>
        <v>1</v>
      </c>
      <c r="N84" s="21"/>
    </row>
    <row r="85" spans="1:14" x14ac:dyDescent="0.25">
      <c r="A85"/>
      <c r="B85" s="13" t="s">
        <v>67</v>
      </c>
      <c r="C85" s="38" t="s">
        <v>11</v>
      </c>
      <c r="D85" s="5">
        <f>D69/D84</f>
        <v>0</v>
      </c>
      <c r="E85" s="5">
        <f>E69/E84</f>
        <v>404.99030000000005</v>
      </c>
      <c r="F85" s="5">
        <f>F69/F84</f>
        <v>103.58920000000001</v>
      </c>
      <c r="G85" s="5">
        <f>G69/G84</f>
        <v>174.63159999999999</v>
      </c>
      <c r="H85" s="5">
        <f>H69/H84</f>
        <v>103.58920000000001</v>
      </c>
      <c r="J85" s="4">
        <f t="shared" ref="J85" si="57">SUM(D85:I85)</f>
        <v>786.80029999999999</v>
      </c>
      <c r="K85" s="5">
        <f>SUMPRODUCT(D60:I60,D85:I85)</f>
        <v>786.80029999999999</v>
      </c>
      <c r="L85" s="5">
        <f>SUMPRODUCT(D56:I56,D85:I85)</f>
        <v>0</v>
      </c>
    </row>
    <row r="86" spans="1:14" x14ac:dyDescent="0.25">
      <c r="A86"/>
      <c r="B86" s="59" t="s">
        <v>68</v>
      </c>
      <c r="C86" s="60"/>
      <c r="D86" s="66">
        <f>IF(D58=1,D67/D84/D61,D85/D61)</f>
        <v>0</v>
      </c>
      <c r="E86" s="66">
        <f>IF(E58=1,E67/E84/E61,E85/E61)</f>
        <v>0.33163306583688179</v>
      </c>
      <c r="F86" s="66">
        <f>IF(F58=1,F67/F84/F61,F85/F61)</f>
        <v>0.14300000000000002</v>
      </c>
      <c r="G86" s="66">
        <f>IF(G58=1,G67/G84/G61,G85/G61)</f>
        <v>0.14299999999999999</v>
      </c>
      <c r="H86" s="66">
        <f>IF(H58=1,H67/H84/H61,H85/H61)</f>
        <v>0.14300000000000002</v>
      </c>
      <c r="I86" s="61"/>
      <c r="J86" s="62">
        <f>SUMPRODUCT(D86:H86,D61:H61)</f>
        <v>786.80029999999999</v>
      </c>
      <c r="K86" s="63">
        <f>SUMPRODUCT(D60:I60,D61:I61,D86:I86)</f>
        <v>786.80029999999999</v>
      </c>
      <c r="L86" s="63">
        <f>SUMPRODUCT(D56:I56,D61:I61,D86:I86)</f>
        <v>0</v>
      </c>
      <c r="M86" s="61"/>
    </row>
    <row r="87" spans="1:14" x14ac:dyDescent="0.25">
      <c r="A87"/>
      <c r="B87" s="64" t="s">
        <v>69</v>
      </c>
      <c r="C87" s="60"/>
      <c r="D87" s="66">
        <f>IF(D58=1,D65/D66,0)</f>
        <v>0</v>
      </c>
      <c r="E87" s="66">
        <f t="shared" ref="E87:I87" si="58">IF(E58=1,E65/E66,0)</f>
        <v>0</v>
      </c>
      <c r="F87" s="66">
        <f t="shared" si="58"/>
        <v>0</v>
      </c>
      <c r="G87" s="66">
        <f t="shared" si="58"/>
        <v>0</v>
      </c>
      <c r="H87" s="66">
        <f t="shared" si="58"/>
        <v>0</v>
      </c>
      <c r="I87" s="66">
        <f t="shared" si="58"/>
        <v>0</v>
      </c>
      <c r="J87" s="62">
        <f>SUMPRODUCT(D87:H87,D62:H62)</f>
        <v>0</v>
      </c>
      <c r="K87" s="63">
        <f>SUMPRODUCT(D60:I60,D62:I62,D87:I87)</f>
        <v>0</v>
      </c>
      <c r="L87" s="63">
        <f>SUMPRODUCT(D56:I56,D62:I62,D87:I87)</f>
        <v>0</v>
      </c>
      <c r="M87" s="61"/>
    </row>
    <row r="88" spans="1:14" x14ac:dyDescent="0.25">
      <c r="A88"/>
      <c r="B88" s="13" t="s">
        <v>66</v>
      </c>
      <c r="C88" s="38" t="s">
        <v>11</v>
      </c>
      <c r="D88" s="5">
        <f>D81/D84</f>
        <v>0</v>
      </c>
      <c r="E88" s="5">
        <f>E81/E84</f>
        <v>311.53100000000006</v>
      </c>
      <c r="F88" s="5">
        <f>F81/F84</f>
        <v>79.684000000000012</v>
      </c>
      <c r="G88" s="5">
        <f>G81/G84</f>
        <v>134.33199999999999</v>
      </c>
      <c r="H88" s="5">
        <f>H81/H84</f>
        <v>79.684000000000012</v>
      </c>
      <c r="J88" s="4">
        <f t="shared" ref="J88" si="59">SUM(D88:I88)</f>
        <v>605.23099999999999</v>
      </c>
      <c r="K88" s="5">
        <f>SUMPRODUCT(D60:I60,D88:I88)</f>
        <v>605.23099999999999</v>
      </c>
      <c r="L88" s="5">
        <f>SUMPRODUCT(D56:I56,D88:I88)</f>
        <v>0</v>
      </c>
      <c r="M88" s="54"/>
    </row>
    <row r="89" spans="1:14" x14ac:dyDescent="0.25">
      <c r="A89"/>
      <c r="B89" s="59" t="s">
        <v>62</v>
      </c>
      <c r="C89" s="60"/>
      <c r="D89" s="66">
        <f>IF(D59=1,D71/D73/D84,D88/D61)</f>
        <v>0</v>
      </c>
      <c r="E89" s="66">
        <f t="shared" ref="E89" si="60">IF(E59=1,E71/E73/E84,E88/E61)</f>
        <v>0.25510235833606293</v>
      </c>
      <c r="F89" s="66">
        <f t="shared" ref="F89" si="61">IF(F59=1,F71/F73/F84,F88/F61)</f>
        <v>0.11000000000000001</v>
      </c>
      <c r="G89" s="66">
        <f t="shared" ref="G89" si="62">IF(G59=1,G71/G73/G84,G88/G61)</f>
        <v>0.10999999999999999</v>
      </c>
      <c r="H89" s="66">
        <f>IF(H59=1,H71/H73/H84,H88/H61)</f>
        <v>0.11000000000000001</v>
      </c>
      <c r="I89" s="61"/>
      <c r="J89" s="62">
        <f>SUMPRODUCT(D89:I89,D61:I61)</f>
        <v>605.23099999999999</v>
      </c>
      <c r="K89" s="63">
        <f>SUMPRODUCT(D60:I60,D61:I61,D89:I89)</f>
        <v>605.23099999999999</v>
      </c>
      <c r="L89" s="63">
        <f>SUMPRODUCT(D56:I56,D61:I61,D89:I89)</f>
        <v>0</v>
      </c>
      <c r="M89" s="61"/>
    </row>
    <row r="90" spans="1:14" x14ac:dyDescent="0.25">
      <c r="A90"/>
      <c r="B90" s="64" t="s">
        <v>63</v>
      </c>
      <c r="C90" s="60"/>
      <c r="D90" s="66">
        <f t="shared" ref="D90" si="63">IF(D59=1,IF(AND(D56=1,D57="Maximum"),D72*$N78*$N80,(D88-D89*D61)/D63),0)</f>
        <v>0</v>
      </c>
      <c r="E90" s="66">
        <f t="shared" ref="E90" si="64">IF(E59=1,IF(AND(E56=1,E57="Maximum"),E72*$N78*$N80,(E88-E89*E61)/E63),0)</f>
        <v>0</v>
      </c>
      <c r="F90" s="66">
        <f t="shared" ref="F90" si="65">IF(F59=1,IF(AND(F56=1,F57="Maximum"),F72*$N78*$N80,(F88-F89*F61)/F63),0)</f>
        <v>0</v>
      </c>
      <c r="G90" s="66">
        <f t="shared" ref="G90" si="66">IF(G59=1,IF(AND(G56=1,G57="Maximum"),G72*$N78*$N80,(G88-G89*G61)/G63),0)</f>
        <v>0</v>
      </c>
      <c r="H90" s="66">
        <f>IF(H59=1,IF(AND(H56=1,H57="Maximum"),H65*$N78*$N80/H73,(H88-H89*H61)/H63),0)</f>
        <v>0</v>
      </c>
      <c r="I90" s="61"/>
      <c r="J90" s="62">
        <f>SUMPRODUCT(D90:I90,D62:I62)</f>
        <v>0</v>
      </c>
      <c r="K90" s="63">
        <f>SUMPRODUCT(D60:I60,D62:I62,D90:I90)</f>
        <v>0</v>
      </c>
      <c r="L90" s="63">
        <f>SUMPRODUCT(D56:I56,D62:I62,D90:I90)</f>
        <v>0</v>
      </c>
      <c r="M90" s="61"/>
      <c r="N90" s="21"/>
    </row>
    <row r="91" spans="1:14" x14ac:dyDescent="0.25">
      <c r="B91" s="59" t="s">
        <v>186</v>
      </c>
      <c r="C91" s="110"/>
      <c r="D91" s="111">
        <f t="shared" ref="D91" si="67">IF(D57="Maximum",MAX(D89*D61,D90*D63),D89*D61+D90*D63)</f>
        <v>0</v>
      </c>
      <c r="E91" s="111">
        <f t="shared" ref="E91" si="68">IF(E57="Maximum",MAX(E89*E61,E90*E63),E89*E61+E90*E63)</f>
        <v>311.53100000000006</v>
      </c>
      <c r="F91" s="111">
        <f t="shared" ref="F91" si="69">IF(F57="Maximum",MAX(F89*F61,F90*F63),F89*F61+F90*F63)</f>
        <v>79.684000000000012</v>
      </c>
      <c r="G91" s="111">
        <f t="shared" ref="G91" si="70">IF(G57="Maximum",MAX(G89*G61,G90*G63),G89*G61+G90*G63)</f>
        <v>134.33199999999999</v>
      </c>
      <c r="H91" s="111">
        <f t="shared" ref="H91" si="71">IF(H57="Maximum",MAX(H89*H61,H90*H63),H89*H61+H90*H63)</f>
        <v>79.684000000000012</v>
      </c>
    </row>
    <row r="93" spans="1:14" ht="18.75" x14ac:dyDescent="0.3">
      <c r="A93" s="89" t="s">
        <v>9</v>
      </c>
      <c r="B93" s="90"/>
      <c r="C93" s="91"/>
      <c r="D93" s="92"/>
      <c r="E93" s="92"/>
      <c r="F93" s="92"/>
      <c r="G93" s="92"/>
      <c r="H93" s="92"/>
      <c r="I93" s="92"/>
      <c r="J93" s="93"/>
      <c r="K93" s="92"/>
      <c r="L93" s="92"/>
      <c r="M93" s="92"/>
    </row>
    <row r="94" spans="1:14" x14ac:dyDescent="0.25">
      <c r="A94" s="9" t="s">
        <v>21</v>
      </c>
      <c r="B94" s="8" t="s">
        <v>116</v>
      </c>
    </row>
    <row r="95" spans="1:14" x14ac:dyDescent="0.25">
      <c r="A95" s="9" t="s">
        <v>18</v>
      </c>
      <c r="B95" s="20" t="s">
        <v>117</v>
      </c>
    </row>
    <row r="96" spans="1:14" x14ac:dyDescent="0.25">
      <c r="A96" s="9"/>
      <c r="B96" s="20"/>
    </row>
    <row r="97" spans="1:14" s="12" customFormat="1" ht="48" x14ac:dyDescent="0.25">
      <c r="A97" s="23"/>
      <c r="B97" s="13" t="s">
        <v>12</v>
      </c>
      <c r="C97" s="43"/>
      <c r="D97" s="48" t="s">
        <v>84</v>
      </c>
      <c r="E97" s="48" t="s">
        <v>83</v>
      </c>
      <c r="F97" s="48"/>
      <c r="G97" s="48"/>
      <c r="H97" s="48"/>
      <c r="I97"/>
      <c r="J97" s="116" t="s">
        <v>5</v>
      </c>
      <c r="K97" s="117"/>
      <c r="L97" s="102"/>
      <c r="N97" s="25"/>
    </row>
    <row r="98" spans="1:14" ht="15.75" thickBot="1" x14ac:dyDescent="0.3">
      <c r="B98" s="32" t="s">
        <v>13</v>
      </c>
      <c r="C98" s="39"/>
      <c r="D98" s="33" t="s">
        <v>77</v>
      </c>
      <c r="E98" s="33" t="s">
        <v>78</v>
      </c>
      <c r="F98" s="33" t="s">
        <v>79</v>
      </c>
      <c r="G98" s="33" t="s">
        <v>80</v>
      </c>
      <c r="H98" s="33" t="s">
        <v>81</v>
      </c>
      <c r="J98" s="34" t="s">
        <v>16</v>
      </c>
      <c r="K98" s="35" t="s">
        <v>126</v>
      </c>
      <c r="L98" s="35" t="s">
        <v>122</v>
      </c>
      <c r="M98" s="35" t="s">
        <v>127</v>
      </c>
      <c r="N98" s="35" t="s">
        <v>128</v>
      </c>
    </row>
    <row r="99" spans="1:14" x14ac:dyDescent="0.25">
      <c r="B99" s="15" t="s">
        <v>49</v>
      </c>
      <c r="C99" s="40"/>
      <c r="D99" s="30">
        <v>0</v>
      </c>
      <c r="E99" s="30">
        <v>0</v>
      </c>
      <c r="F99" s="30">
        <v>0</v>
      </c>
      <c r="G99" s="30">
        <v>0</v>
      </c>
      <c r="H99" s="30">
        <v>0</v>
      </c>
      <c r="J99" s="46"/>
      <c r="K99" s="26"/>
      <c r="L99" s="26"/>
      <c r="M99" s="8"/>
      <c r="N99" s="21"/>
    </row>
    <row r="100" spans="1:14" x14ac:dyDescent="0.25">
      <c r="B100" s="15" t="s">
        <v>132</v>
      </c>
      <c r="C100" s="40"/>
      <c r="D100" s="30" t="s">
        <v>134</v>
      </c>
      <c r="E100" s="30" t="s">
        <v>134</v>
      </c>
      <c r="F100" s="30" t="s">
        <v>134</v>
      </c>
      <c r="G100" s="30" t="s">
        <v>134</v>
      </c>
      <c r="H100" s="30" t="s">
        <v>134</v>
      </c>
      <c r="J100" s="46"/>
      <c r="K100" s="26"/>
      <c r="L100" s="26"/>
      <c r="M100" s="8"/>
      <c r="N100" s="21"/>
    </row>
    <row r="101" spans="1:14" x14ac:dyDescent="0.25">
      <c r="B101" s="15" t="s">
        <v>184</v>
      </c>
      <c r="C101" s="40"/>
      <c r="D101" s="30">
        <v>0</v>
      </c>
      <c r="E101" s="30">
        <v>0</v>
      </c>
      <c r="F101" s="30">
        <v>0</v>
      </c>
      <c r="G101" s="30">
        <v>0</v>
      </c>
      <c r="H101" s="30">
        <v>0</v>
      </c>
      <c r="J101" s="46"/>
      <c r="K101" s="26"/>
      <c r="L101" s="26"/>
      <c r="M101" s="8"/>
      <c r="N101" s="21"/>
    </row>
    <row r="102" spans="1:14" x14ac:dyDescent="0.25">
      <c r="B102" s="15" t="s">
        <v>185</v>
      </c>
      <c r="C102" s="40"/>
      <c r="D102" s="30">
        <v>0</v>
      </c>
      <c r="E102" s="30">
        <v>0</v>
      </c>
      <c r="F102" s="30">
        <v>0</v>
      </c>
      <c r="G102" s="30">
        <v>0</v>
      </c>
      <c r="H102" s="30">
        <v>0</v>
      </c>
      <c r="J102" s="46"/>
      <c r="K102" s="26"/>
      <c r="L102" s="26"/>
      <c r="M102" s="8"/>
      <c r="N102" s="21"/>
    </row>
    <row r="103" spans="1:14" x14ac:dyDescent="0.25">
      <c r="B103" s="104" t="s">
        <v>129</v>
      </c>
      <c r="C103" s="44"/>
      <c r="D103" s="103">
        <f>IF(D99=1,0,1)</f>
        <v>1</v>
      </c>
      <c r="E103" s="103">
        <f>IF(E99=1,0,1)</f>
        <v>1</v>
      </c>
      <c r="F103" s="103">
        <f>IF(F99=1,0,1)</f>
        <v>1</v>
      </c>
      <c r="G103" s="103">
        <f>IF(G99=1,0,1)</f>
        <v>1</v>
      </c>
      <c r="H103" s="103">
        <f>IF(H99=1,0,1)</f>
        <v>1</v>
      </c>
      <c r="J103" s="46"/>
      <c r="K103" s="5"/>
      <c r="L103" s="5"/>
      <c r="N103" s="21"/>
    </row>
    <row r="104" spans="1:14" x14ac:dyDescent="0.25">
      <c r="B104" s="15" t="s">
        <v>72</v>
      </c>
      <c r="C104" s="38" t="s">
        <v>75</v>
      </c>
      <c r="D104" s="95">
        <v>1610.9</v>
      </c>
      <c r="E104" s="95">
        <v>1221.2</v>
      </c>
      <c r="F104" s="95">
        <v>724.4</v>
      </c>
      <c r="G104" s="95">
        <v>1221.2</v>
      </c>
      <c r="H104" s="95">
        <v>724.4</v>
      </c>
      <c r="J104" s="46"/>
      <c r="K104" s="5"/>
      <c r="L104" s="5"/>
      <c r="N104" s="21"/>
    </row>
    <row r="105" spans="1:14" x14ac:dyDescent="0.25">
      <c r="B105" s="15" t="s">
        <v>111</v>
      </c>
      <c r="C105" s="40" t="s">
        <v>112</v>
      </c>
      <c r="D105" s="50">
        <v>10</v>
      </c>
      <c r="E105" s="50">
        <v>10</v>
      </c>
      <c r="F105" s="50">
        <v>10</v>
      </c>
      <c r="G105" s="50">
        <v>10</v>
      </c>
      <c r="H105" s="50">
        <v>10</v>
      </c>
      <c r="J105" s="4"/>
      <c r="K105" s="5"/>
      <c r="L105" s="5"/>
      <c r="N105" s="21"/>
    </row>
    <row r="106" spans="1:14" x14ac:dyDescent="0.25">
      <c r="B106" s="14" t="s">
        <v>73</v>
      </c>
      <c r="C106" s="41" t="s">
        <v>74</v>
      </c>
      <c r="D106" s="77">
        <f>D104*D105/1000</f>
        <v>16.109000000000002</v>
      </c>
      <c r="E106" s="77">
        <f>E104*E105/1000</f>
        <v>12.212</v>
      </c>
      <c r="F106" s="77">
        <f>F104*F105/1000</f>
        <v>7.2439999999999998</v>
      </c>
      <c r="G106" s="77">
        <f>G104*G105/1000</f>
        <v>12.212</v>
      </c>
      <c r="H106" s="77">
        <f>H104*H105/1000</f>
        <v>7.2439999999999998</v>
      </c>
      <c r="J106" s="4"/>
      <c r="K106" s="5"/>
      <c r="L106" s="5"/>
      <c r="N106" s="21"/>
    </row>
    <row r="107" spans="1:14" x14ac:dyDescent="0.25">
      <c r="A107" s="118" t="s">
        <v>110</v>
      </c>
      <c r="B107" s="80" t="s">
        <v>87</v>
      </c>
      <c r="C107" s="38" t="s">
        <v>113</v>
      </c>
      <c r="D107" s="58">
        <f t="shared" ref="D107:E107" si="72">D114</f>
        <v>0.06</v>
      </c>
      <c r="E107" s="58">
        <f t="shared" si="72"/>
        <v>0.06</v>
      </c>
      <c r="F107" s="58">
        <f t="shared" ref="F107:H107" si="73">F114</f>
        <v>0.06</v>
      </c>
      <c r="G107" s="58">
        <f t="shared" si="73"/>
        <v>0.06</v>
      </c>
      <c r="H107" s="58">
        <f t="shared" si="73"/>
        <v>0.06</v>
      </c>
      <c r="J107" s="4"/>
      <c r="K107" s="5"/>
      <c r="L107" s="5"/>
      <c r="N107" s="21"/>
    </row>
    <row r="108" spans="1:14" x14ac:dyDescent="0.25">
      <c r="A108" s="118"/>
      <c r="B108" s="80" t="s">
        <v>88</v>
      </c>
      <c r="C108" s="38" t="s">
        <v>76</v>
      </c>
      <c r="D108" s="57">
        <f t="shared" ref="D108:E108" si="74">D115</f>
        <v>5</v>
      </c>
      <c r="E108" s="57">
        <f t="shared" si="74"/>
        <v>5</v>
      </c>
      <c r="F108" s="57">
        <f t="shared" ref="F108:H108" si="75">F115</f>
        <v>5</v>
      </c>
      <c r="G108" s="57">
        <f t="shared" si="75"/>
        <v>5</v>
      </c>
      <c r="H108" s="57">
        <f t="shared" si="75"/>
        <v>5</v>
      </c>
      <c r="J108" s="4"/>
      <c r="K108" s="5"/>
      <c r="L108" s="5"/>
      <c r="N108" s="21"/>
    </row>
    <row r="109" spans="1:14" x14ac:dyDescent="0.25">
      <c r="A109" s="118"/>
      <c r="B109" s="80" t="s">
        <v>60</v>
      </c>
      <c r="C109"/>
      <c r="D109" s="50">
        <v>1</v>
      </c>
      <c r="E109" s="50">
        <f>D109</f>
        <v>1</v>
      </c>
      <c r="F109" s="50">
        <f t="shared" ref="F109" si="76">E109</f>
        <v>1</v>
      </c>
      <c r="G109" s="50">
        <f t="shared" ref="G109" si="77">F109</f>
        <v>1</v>
      </c>
      <c r="H109" s="50">
        <f t="shared" ref="H109" si="78">G109</f>
        <v>1</v>
      </c>
      <c r="N109" s="21"/>
    </row>
    <row r="110" spans="1:14" x14ac:dyDescent="0.25">
      <c r="A110" s="118"/>
      <c r="B110" s="80" t="s">
        <v>31</v>
      </c>
      <c r="C110" s="38" t="s">
        <v>11</v>
      </c>
      <c r="D110" s="72">
        <f>D104*D107/D109</f>
        <v>96.653999999999996</v>
      </c>
      <c r="E110" s="72">
        <f>E104*E107/E109</f>
        <v>73.272000000000006</v>
      </c>
      <c r="F110" s="72">
        <f>F104*F107/F109</f>
        <v>43.463999999999999</v>
      </c>
      <c r="G110" s="72">
        <f>G104*G107/G109</f>
        <v>73.272000000000006</v>
      </c>
      <c r="H110" s="72">
        <f>H104*H107/H109</f>
        <v>43.463999999999999</v>
      </c>
      <c r="J110" s="4">
        <f t="shared" ref="J110:J113" si="79">SUM(D110:I110)</f>
        <v>330.12599999999998</v>
      </c>
      <c r="K110" s="5">
        <f>SUMPRODUCT(D103:I103,D110:I110)</f>
        <v>330.12599999999998</v>
      </c>
      <c r="L110" s="5"/>
      <c r="N110" s="21"/>
    </row>
    <row r="111" spans="1:14" ht="15.75" thickBot="1" x14ac:dyDescent="0.3">
      <c r="A111" s="118"/>
      <c r="B111" s="86" t="s">
        <v>32</v>
      </c>
      <c r="C111" s="41" t="s">
        <v>11</v>
      </c>
      <c r="D111" s="87">
        <f>D106*D108/D109</f>
        <v>80.545000000000016</v>
      </c>
      <c r="E111" s="87">
        <f>E106*E108/E109</f>
        <v>61.06</v>
      </c>
      <c r="F111" s="87">
        <f>F106*F108/F109</f>
        <v>36.22</v>
      </c>
      <c r="G111" s="87">
        <f>G106*G108/G109</f>
        <v>61.06</v>
      </c>
      <c r="H111" s="87">
        <f>H106*H108/H109</f>
        <v>36.22</v>
      </c>
      <c r="J111" s="4">
        <f t="shared" si="79"/>
        <v>275.10500000000002</v>
      </c>
      <c r="K111" s="5">
        <f>SUMPRODUCT(D103:I103,D111:I111)</f>
        <v>275.10500000000002</v>
      </c>
      <c r="L111" s="5"/>
      <c r="N111" s="21"/>
    </row>
    <row r="112" spans="1:14" ht="16.5" thickTop="1" thickBot="1" x14ac:dyDescent="0.3">
      <c r="A112" s="118"/>
      <c r="B112" s="83" t="s">
        <v>64</v>
      </c>
      <c r="C112" s="38" t="s">
        <v>11</v>
      </c>
      <c r="D112" s="113">
        <v>0</v>
      </c>
      <c r="E112" s="113">
        <f>SUM(D110:E111)+50</f>
        <v>361.53100000000001</v>
      </c>
      <c r="F112" s="85">
        <f t="shared" ref="F112" si="80">IF(AND(F99=1,F100="Maximum"),MAX(F110:F111),SUM(F110:F111))</f>
        <v>79.683999999999997</v>
      </c>
      <c r="G112" s="85">
        <f t="shared" ref="G112" si="81">IF(AND(G99=1,G100="Maximum"),MAX(G110:G111),SUM(G110:G111))</f>
        <v>134.33199999999999</v>
      </c>
      <c r="H112" s="18">
        <f>IF(AND(H99=1,H100="Maximum"),MAX(H110:H111),SUM(H110:H111))</f>
        <v>79.683999999999997</v>
      </c>
      <c r="J112" s="55">
        <f t="shared" si="79"/>
        <v>655.23099999999999</v>
      </c>
      <c r="K112" s="47">
        <f>SUMPRODUCT(D103:I103,D112:I112)</f>
        <v>655.23099999999999</v>
      </c>
      <c r="L112" s="47">
        <f>SUMPRODUCT(D99:I99,D112:I112)</f>
        <v>0</v>
      </c>
      <c r="N112" s="21"/>
    </row>
    <row r="113" spans="1:14" ht="16.5" thickTop="1" thickBot="1" x14ac:dyDescent="0.3">
      <c r="A113" s="118"/>
      <c r="B113" s="82" t="s">
        <v>108</v>
      </c>
      <c r="C113" s="41" t="s">
        <v>11</v>
      </c>
      <c r="D113" s="75">
        <f t="shared" ref="D113" si="82">IF(D101=1,D110,D112)</f>
        <v>0</v>
      </c>
      <c r="E113" s="75">
        <f t="shared" ref="E113" si="83">IF(E101=1,E110,E112)</f>
        <v>361.53100000000001</v>
      </c>
      <c r="F113" s="75">
        <f t="shared" ref="F113" si="84">IF(F101=1,F110,F112)</f>
        <v>79.683999999999997</v>
      </c>
      <c r="G113" s="75">
        <f t="shared" ref="G113" si="85">IF(G101=1,G110,G112)</f>
        <v>134.33199999999999</v>
      </c>
      <c r="H113" s="75">
        <f>IF(H101=1,H110,H112)</f>
        <v>79.683999999999997</v>
      </c>
      <c r="J113" s="55">
        <f t="shared" si="79"/>
        <v>655.23099999999999</v>
      </c>
      <c r="K113" s="47">
        <f>SUMPRODUCT(D103:I103,D113:I113)</f>
        <v>655.23099999999999</v>
      </c>
      <c r="L113" s="47">
        <f>SUMPRODUCT(D99:I99,D113:I113)</f>
        <v>0</v>
      </c>
      <c r="N113" s="21"/>
    </row>
    <row r="114" spans="1:14" ht="15.75" thickTop="1" x14ac:dyDescent="0.25">
      <c r="A114" s="119" t="s">
        <v>109</v>
      </c>
      <c r="B114" s="78" t="s">
        <v>89</v>
      </c>
      <c r="C114" s="38" t="s">
        <v>113</v>
      </c>
      <c r="D114" s="58">
        <v>0.06</v>
      </c>
      <c r="E114" s="58">
        <v>0.06</v>
      </c>
      <c r="F114" s="58">
        <v>0.06</v>
      </c>
      <c r="G114" s="58">
        <v>0.06</v>
      </c>
      <c r="H114" s="58">
        <v>0.06</v>
      </c>
      <c r="J114" s="4"/>
      <c r="K114" s="5"/>
      <c r="L114" s="5"/>
      <c r="N114" s="21"/>
    </row>
    <row r="115" spans="1:14" x14ac:dyDescent="0.25">
      <c r="A115" s="119"/>
      <c r="B115" s="78" t="s">
        <v>90</v>
      </c>
      <c r="C115" s="38" t="s">
        <v>76</v>
      </c>
      <c r="D115" s="57">
        <v>5</v>
      </c>
      <c r="E115" s="57">
        <v>5</v>
      </c>
      <c r="F115" s="57">
        <v>5</v>
      </c>
      <c r="G115" s="57">
        <v>5</v>
      </c>
      <c r="H115" s="57">
        <v>5</v>
      </c>
      <c r="J115" s="4"/>
      <c r="K115" s="5"/>
      <c r="L115" s="5"/>
      <c r="N115" s="21"/>
    </row>
    <row r="116" spans="1:14" x14ac:dyDescent="0.25">
      <c r="A116" s="119"/>
      <c r="B116" s="78" t="s">
        <v>70</v>
      </c>
      <c r="C116"/>
      <c r="D116" s="73">
        <f>IF(AND(D109&gt;1,D99=0),1,D109)</f>
        <v>1</v>
      </c>
      <c r="E116" s="73">
        <f>IF(AND(E109&gt;1,E99=0),1,E109)</f>
        <v>1</v>
      </c>
      <c r="F116" s="73">
        <f>IF(AND(F109&gt;1,F99=0),1,F109)</f>
        <v>1</v>
      </c>
      <c r="G116" s="73">
        <f>IF(AND(G109&gt;1,G99=0),1,G109)</f>
        <v>1</v>
      </c>
      <c r="H116" s="73">
        <f>IF(AND(H109&gt;1,H99=0),1,H109)</f>
        <v>1</v>
      </c>
      <c r="N116" s="21"/>
    </row>
    <row r="117" spans="1:14" x14ac:dyDescent="0.25">
      <c r="A117" s="119"/>
      <c r="B117" s="79" t="s">
        <v>29</v>
      </c>
      <c r="C117" s="38" t="s">
        <v>11</v>
      </c>
      <c r="D117" s="72">
        <f>D104*D114/D116</f>
        <v>96.653999999999996</v>
      </c>
      <c r="E117" s="72">
        <f>E104*E114/E116</f>
        <v>73.272000000000006</v>
      </c>
      <c r="F117" s="72">
        <f>F104*F114/F116</f>
        <v>43.463999999999999</v>
      </c>
      <c r="G117" s="72">
        <f>G104*G114/G116</f>
        <v>73.272000000000006</v>
      </c>
      <c r="H117" s="72">
        <f>H104*H114/H116</f>
        <v>43.463999999999999</v>
      </c>
      <c r="J117" s="4">
        <f t="shared" ref="J117:J119" si="86">SUM(D117:I117)</f>
        <v>330.12599999999998</v>
      </c>
      <c r="K117" s="5">
        <f>SUMPRODUCT(D103:I103,D117:I117)</f>
        <v>330.12599999999998</v>
      </c>
      <c r="L117" s="5"/>
      <c r="N117" s="21"/>
    </row>
    <row r="118" spans="1:14" ht="15.75" thickBot="1" x14ac:dyDescent="0.3">
      <c r="A118" s="119"/>
      <c r="B118" s="88" t="s">
        <v>30</v>
      </c>
      <c r="C118" s="41" t="s">
        <v>11</v>
      </c>
      <c r="D118" s="87">
        <f>D106*D115/D116</f>
        <v>80.545000000000016</v>
      </c>
      <c r="E118" s="87">
        <f>E106*E115/E116</f>
        <v>61.06</v>
      </c>
      <c r="F118" s="87">
        <f>F106*F115/F116</f>
        <v>36.22</v>
      </c>
      <c r="G118" s="87">
        <f>G106*G115/G116</f>
        <v>61.06</v>
      </c>
      <c r="H118" s="87">
        <f>H106*H115/H116</f>
        <v>36.22</v>
      </c>
      <c r="J118" s="4">
        <f t="shared" si="86"/>
        <v>275.10500000000002</v>
      </c>
      <c r="K118" s="5">
        <f>SUMPRODUCT(D103:I103,D118:I118)</f>
        <v>275.10500000000002</v>
      </c>
      <c r="L118" s="5"/>
      <c r="N118" s="21"/>
    </row>
    <row r="119" spans="1:14" ht="16.5" thickTop="1" thickBot="1" x14ac:dyDescent="0.3">
      <c r="A119" s="119"/>
      <c r="B119" s="84" t="s">
        <v>106</v>
      </c>
      <c r="C119" s="38" t="s">
        <v>11</v>
      </c>
      <c r="D119" s="85">
        <f t="shared" ref="D119" si="87">IF(AND(D99=1,D100="Maximum"),MAX(D117:D118),SUM(D117:D118))</f>
        <v>177.19900000000001</v>
      </c>
      <c r="E119" s="85">
        <f t="shared" ref="E119" si="88">IF(AND(E99=1,E100="Maximum"),MAX(E117:E118),SUM(E117:E118))</f>
        <v>134.33199999999999</v>
      </c>
      <c r="F119" s="85">
        <f t="shared" ref="F119" si="89">IF(AND(F99=1,F100="Maximum"),MAX(F117:F118),SUM(F117:F118))</f>
        <v>79.683999999999997</v>
      </c>
      <c r="G119" s="85">
        <f t="shared" ref="G119" si="90">IF(AND(G99=1,G100="Maximum"),MAX(G117:G118),SUM(G117:G118))</f>
        <v>134.33199999999999</v>
      </c>
      <c r="H119" s="85">
        <f t="shared" ref="H119" si="91">IF(AND(H99=1,H100="Maximum"),MAX(H117:H118),SUM(H117:H118))</f>
        <v>79.683999999999997</v>
      </c>
      <c r="J119" s="55">
        <f t="shared" si="86"/>
        <v>605.23099999999999</v>
      </c>
      <c r="K119" s="47">
        <f>SUMPRODUCT(D103:I103,D119:I119)</f>
        <v>605.23099999999999</v>
      </c>
      <c r="L119" s="47">
        <f>SUMPRODUCT(D99:I99,D119:I119)</f>
        <v>0</v>
      </c>
      <c r="N119" s="21"/>
    </row>
    <row r="120" spans="1:14" ht="16.5" thickTop="1" thickBot="1" x14ac:dyDescent="0.3">
      <c r="A120" s="119"/>
      <c r="B120" s="81" t="s">
        <v>107</v>
      </c>
      <c r="C120" s="41" t="s">
        <v>11</v>
      </c>
      <c r="D120" s="75">
        <f t="shared" ref="D120" si="92">IF(D102=1,D117,D119)</f>
        <v>177.19900000000001</v>
      </c>
      <c r="E120" s="75">
        <f t="shared" ref="E120" si="93">IF(E102=1,E117,E119)</f>
        <v>134.33199999999999</v>
      </c>
      <c r="F120" s="75">
        <f t="shared" ref="F120" si="94">IF(F102=1,F117,F119)</f>
        <v>79.683999999999997</v>
      </c>
      <c r="G120" s="75">
        <f t="shared" ref="G120" si="95">IF(G102=1,G117,G119)</f>
        <v>134.33199999999999</v>
      </c>
      <c r="H120" s="75">
        <f t="shared" ref="H120" si="96">IF(H102=1,H117,H119)</f>
        <v>79.683999999999997</v>
      </c>
      <c r="J120" s="55">
        <f t="shared" ref="J120" si="97">SUM(D120:I120)</f>
        <v>605.23099999999999</v>
      </c>
      <c r="K120" s="47">
        <f>SUMPRODUCT(D103:I103,D120:I120)</f>
        <v>605.23099999999999</v>
      </c>
      <c r="L120" s="47">
        <f>SUMPRODUCT(D99:I99,D120:I120)</f>
        <v>0</v>
      </c>
      <c r="M120" s="21" t="s">
        <v>123</v>
      </c>
      <c r="N120" s="21" t="s">
        <v>124</v>
      </c>
    </row>
    <row r="121" spans="1:14" ht="15.75" thickTop="1" x14ac:dyDescent="0.25">
      <c r="A121"/>
      <c r="B121" s="13" t="s">
        <v>58</v>
      </c>
      <c r="D121" s="1">
        <f>IFERROR(D112/D119,0)</f>
        <v>0</v>
      </c>
      <c r="E121" s="1">
        <f>IFERROR(E112/E119,0)</f>
        <v>2.6913244796474407</v>
      </c>
      <c r="F121" s="1">
        <f>IFERROR(F112/F119,0)</f>
        <v>1</v>
      </c>
      <c r="G121" s="1">
        <f>IFERROR(G112/G119,0)</f>
        <v>1</v>
      </c>
      <c r="H121" s="1">
        <f>IFERROR(H112/H119,0)</f>
        <v>1</v>
      </c>
      <c r="J121" s="4"/>
      <c r="K121" s="5"/>
      <c r="L121" s="5"/>
      <c r="M121" s="67">
        <f>K119/K112</f>
        <v>0.92369103415436693</v>
      </c>
      <c r="N121" s="67">
        <f>IFERROR(L119/L112,1)</f>
        <v>1</v>
      </c>
    </row>
    <row r="122" spans="1:14" x14ac:dyDescent="0.25">
      <c r="A122"/>
      <c r="B122" s="13" t="s">
        <v>59</v>
      </c>
      <c r="C122" s="38" t="s">
        <v>11</v>
      </c>
      <c r="D122" s="17">
        <v>200</v>
      </c>
      <c r="E122" s="17">
        <v>0</v>
      </c>
      <c r="F122" s="17">
        <v>0</v>
      </c>
      <c r="G122" s="17">
        <v>0</v>
      </c>
      <c r="H122" s="17">
        <v>0</v>
      </c>
      <c r="J122" s="4">
        <f>SUM(D122:I122)</f>
        <v>200</v>
      </c>
      <c r="K122" s="5">
        <f>SUMPRODUCT(D103:I103,D122:I122)</f>
        <v>200</v>
      </c>
      <c r="L122" s="5">
        <f>SUMPRODUCT(D99:I99,D122:I122)</f>
        <v>0</v>
      </c>
      <c r="M122" s="21" t="s">
        <v>86</v>
      </c>
      <c r="N122" s="21" t="s">
        <v>125</v>
      </c>
    </row>
    <row r="123" spans="1:14" ht="15.75" thickBot="1" x14ac:dyDescent="0.3">
      <c r="A123"/>
      <c r="B123" s="16" t="s">
        <v>15</v>
      </c>
      <c r="C123" s="42"/>
      <c r="D123" s="10">
        <f>IFERROR(D112/D122,0)</f>
        <v>0</v>
      </c>
      <c r="E123" s="10">
        <f>IFERROR(E112/E122,0)</f>
        <v>0</v>
      </c>
      <c r="F123" s="10">
        <f>IFERROR(F112/F122,0)</f>
        <v>0</v>
      </c>
      <c r="G123" s="10">
        <f>IFERROR(G112/G122,0)</f>
        <v>0</v>
      </c>
      <c r="H123" s="10">
        <f>IFERROR(H112/H122,0)</f>
        <v>0</v>
      </c>
      <c r="J123" s="4"/>
      <c r="K123" s="74">
        <f>K122/K119</f>
        <v>0.33045233968517806</v>
      </c>
      <c r="L123" s="74">
        <f>IFERROR(L122/L119,0)</f>
        <v>0</v>
      </c>
      <c r="M123" s="68">
        <f>MAX(MIN(K112,$A$2*K122)/K119,1)</f>
        <v>1</v>
      </c>
      <c r="N123" s="68">
        <f>IFERROR(MAX(MIN(L112,$A$2*L122)/L119,1),1)</f>
        <v>1</v>
      </c>
    </row>
    <row r="124" spans="1:14" ht="16.5" thickTop="1" thickBot="1" x14ac:dyDescent="0.3">
      <c r="A124"/>
      <c r="B124" s="15" t="s">
        <v>102</v>
      </c>
      <c r="C124" s="38" t="s">
        <v>11</v>
      </c>
      <c r="D124" s="18">
        <f>IF(D103=1,D112*$M121*$M123,D112)</f>
        <v>0</v>
      </c>
      <c r="E124" s="18">
        <f>IF(E103=1,E112*$M121*$M123,IF(AND(E101=1,E99=0),(E110/E120)+(E111/#REF!),E112))</f>
        <v>333.94294326886245</v>
      </c>
      <c r="F124" s="18">
        <f>IF(F103=1,F112*$M121*$M123,IF(AND(F101=1,F99=0),(F110/F120)+(F111/#REF!),F112))</f>
        <v>73.603396365556577</v>
      </c>
      <c r="G124" s="18">
        <f>IF(G103=1,G112*$M121*$M123,IF(AND(G101=1,G99=0),(G110/G120)+(G111/#REF!),G112))</f>
        <v>124.08126400002442</v>
      </c>
      <c r="H124" s="18">
        <f>IF(H103=1,H112*$M121*$M123,IF(AND(H101=1,H99=0),(H110/H120)+(H111/#REF!),H112))</f>
        <v>73.603396365556577</v>
      </c>
      <c r="J124" s="55">
        <f>SUM(D124:I124)</f>
        <v>605.23099999999999</v>
      </c>
      <c r="K124" s="47">
        <f>SUMPRODUCT(D103:I103,D124:I124)</f>
        <v>605.23099999999999</v>
      </c>
      <c r="L124" s="47">
        <f>SUMPRODUCT(D99:I99,D124:I124)</f>
        <v>0</v>
      </c>
      <c r="M124" s="45" t="str">
        <f>IF(K122*$A$2&gt;K119,"Exhaust exception applies, ventilation up to "&amp;$A$2*100&amp;"% of exhaust flow allowed","")</f>
        <v/>
      </c>
      <c r="N124" s="21"/>
    </row>
    <row r="125" spans="1:14" ht="15.75" thickTop="1" x14ac:dyDescent="0.25">
      <c r="A125"/>
      <c r="B125" s="13" t="s">
        <v>65</v>
      </c>
      <c r="C125" s="38" t="s">
        <v>11</v>
      </c>
      <c r="D125" s="5">
        <f>D112-D124</f>
        <v>0</v>
      </c>
      <c r="E125" s="5">
        <f>E112-E124</f>
        <v>27.588056731137556</v>
      </c>
      <c r="F125" s="5">
        <f>F112-F124</f>
        <v>6.0806036344434204</v>
      </c>
      <c r="G125" s="5">
        <f>G112-G124</f>
        <v>10.250735999975575</v>
      </c>
      <c r="H125" s="5">
        <f>H112-H124</f>
        <v>6.0806036344434204</v>
      </c>
      <c r="J125" s="4">
        <f>J112-J124</f>
        <v>50</v>
      </c>
      <c r="K125" s="5"/>
      <c r="L125" s="5"/>
      <c r="M125" s="76" t="str">
        <f>IF(K122&gt;K119,"CHECK: "&amp;ROUND(K124/K122,3),"")</f>
        <v/>
      </c>
    </row>
    <row r="126" spans="1:14" x14ac:dyDescent="0.25">
      <c r="A126"/>
      <c r="B126" s="13"/>
      <c r="D126" s="5"/>
      <c r="E126" s="5"/>
      <c r="F126" s="5"/>
      <c r="G126" s="5"/>
      <c r="H126" s="5"/>
      <c r="J126" s="4"/>
      <c r="K126" s="5"/>
      <c r="L126" s="5"/>
    </row>
    <row r="127" spans="1:14" x14ac:dyDescent="0.25">
      <c r="A127"/>
      <c r="B127" s="51" t="s">
        <v>61</v>
      </c>
      <c r="C127" s="2"/>
      <c r="D127" s="52">
        <v>1</v>
      </c>
      <c r="E127" s="53">
        <f>$D127</f>
        <v>1</v>
      </c>
      <c r="F127" s="53">
        <f>$D127</f>
        <v>1</v>
      </c>
      <c r="G127" s="53">
        <f>$D127</f>
        <v>1</v>
      </c>
      <c r="H127" s="53">
        <f>$D127</f>
        <v>1</v>
      </c>
      <c r="N127" s="21"/>
    </row>
    <row r="128" spans="1:14" x14ac:dyDescent="0.25">
      <c r="A128"/>
      <c r="B128" s="13" t="s">
        <v>67</v>
      </c>
      <c r="C128" s="38" t="s">
        <v>11</v>
      </c>
      <c r="D128" s="5">
        <f>D112/D127</f>
        <v>0</v>
      </c>
      <c r="E128" s="5">
        <f>E112/E127</f>
        <v>361.53100000000001</v>
      </c>
      <c r="F128" s="5">
        <f>F112/F127</f>
        <v>79.683999999999997</v>
      </c>
      <c r="G128" s="5">
        <f>G112/G127</f>
        <v>134.33199999999999</v>
      </c>
      <c r="H128" s="5">
        <f>H112/H127</f>
        <v>79.683999999999997</v>
      </c>
      <c r="J128" s="4">
        <f t="shared" ref="J128" si="98">SUM(D128:I128)</f>
        <v>655.23099999999999</v>
      </c>
      <c r="K128" s="5">
        <f>SUMPRODUCT(D103:I103,D128:I128)</f>
        <v>655.23099999999999</v>
      </c>
      <c r="L128" s="5">
        <f>SUMPRODUCT(D99:I99,D128:I128)</f>
        <v>0</v>
      </c>
    </row>
    <row r="129" spans="1:14" x14ac:dyDescent="0.25">
      <c r="A129"/>
      <c r="B129" s="59" t="s">
        <v>68</v>
      </c>
      <c r="C129" s="60"/>
      <c r="D129" s="66">
        <f>IF(D101=1,D110/D127/D104,D128/D104)</f>
        <v>0</v>
      </c>
      <c r="E129" s="66">
        <f>IF(E101=1,E110/E127/E104,E128/E104)</f>
        <v>0.29604569276121845</v>
      </c>
      <c r="F129" s="66">
        <f>IF(F101=1,F110/F127/F104,F128/F104)</f>
        <v>0.11</v>
      </c>
      <c r="G129" s="66">
        <f>IF(G101=1,G110/G127/G104,G128/G104)</f>
        <v>0.10999999999999999</v>
      </c>
      <c r="H129" s="66">
        <f>IF(H101=1,H110/H127/H104,H128/H104)</f>
        <v>0.11</v>
      </c>
      <c r="I129" s="61"/>
      <c r="J129" s="62">
        <f>SUMPRODUCT(D129:H129,D104:H104)</f>
        <v>655.23099999999999</v>
      </c>
      <c r="K129" s="63">
        <f>SUMPRODUCT(D103:I103,D104:I104,D129:I129)</f>
        <v>655.23099999999999</v>
      </c>
      <c r="L129" s="63">
        <f>SUMPRODUCT(D99:I99,D104:I104,D129:I129)</f>
        <v>0</v>
      </c>
      <c r="M129" s="61"/>
    </row>
    <row r="130" spans="1:14" x14ac:dyDescent="0.25">
      <c r="A130"/>
      <c r="B130" s="64" t="s">
        <v>69</v>
      </c>
      <c r="C130" s="60"/>
      <c r="D130" s="66">
        <f>IF(D101=1,D108/D109,0)</f>
        <v>0</v>
      </c>
      <c r="E130" s="66">
        <f t="shared" ref="E130:I130" si="99">IF(E101=1,E108/E109,0)</f>
        <v>0</v>
      </c>
      <c r="F130" s="66">
        <f t="shared" si="99"/>
        <v>0</v>
      </c>
      <c r="G130" s="66">
        <f t="shared" si="99"/>
        <v>0</v>
      </c>
      <c r="H130" s="66">
        <f t="shared" si="99"/>
        <v>0</v>
      </c>
      <c r="I130" s="66">
        <f t="shared" si="99"/>
        <v>0</v>
      </c>
      <c r="J130" s="62">
        <f>SUMPRODUCT(D130:H130,D105:H105)</f>
        <v>0</v>
      </c>
      <c r="K130" s="63">
        <f>SUMPRODUCT(D103:I103,D105:I105,D130:I130)</f>
        <v>0</v>
      </c>
      <c r="L130" s="63">
        <f>SUMPRODUCT(D99:I99,D105:I105,D130:I130)</f>
        <v>0</v>
      </c>
      <c r="M130" s="61"/>
    </row>
    <row r="131" spans="1:14" x14ac:dyDescent="0.25">
      <c r="A131"/>
      <c r="B131" s="13" t="s">
        <v>66</v>
      </c>
      <c r="C131" s="38" t="s">
        <v>11</v>
      </c>
      <c r="D131" s="5">
        <f>D124/D127</f>
        <v>0</v>
      </c>
      <c r="E131" s="5">
        <f>E124/E127</f>
        <v>333.94294326886245</v>
      </c>
      <c r="F131" s="5">
        <f>F124/F127</f>
        <v>73.603396365556577</v>
      </c>
      <c r="G131" s="5">
        <f>G124/G127</f>
        <v>124.08126400002442</v>
      </c>
      <c r="H131" s="5">
        <f>H124/H127</f>
        <v>73.603396365556577</v>
      </c>
      <c r="J131" s="4">
        <f t="shared" ref="J131" si="100">SUM(D131:I131)</f>
        <v>605.23099999999999</v>
      </c>
      <c r="K131" s="5">
        <f>SUMPRODUCT(D103:I103,D131:I131)</f>
        <v>605.23099999999999</v>
      </c>
      <c r="L131" s="5">
        <f>SUMPRODUCT(D99:I99,D131:I131)</f>
        <v>0</v>
      </c>
      <c r="M131" s="54"/>
    </row>
    <row r="132" spans="1:14" x14ac:dyDescent="0.25">
      <c r="A132"/>
      <c r="B132" s="59" t="s">
        <v>62</v>
      </c>
      <c r="C132" s="60"/>
      <c r="D132" s="66">
        <f>IF(D102=1,D114/D116/D127,D131/D104)</f>
        <v>0</v>
      </c>
      <c r="E132" s="66">
        <f t="shared" ref="E132" si="101">IF(E102=1,E114/E116/E127,E131/E104)</f>
        <v>0.27345475210355585</v>
      </c>
      <c r="F132" s="66">
        <f t="shared" ref="F132" si="102">IF(F102=1,F114/F116/F127,F131/F104)</f>
        <v>0.10160601375698036</v>
      </c>
      <c r="G132" s="66">
        <f t="shared" ref="G132" si="103">IF(G102=1,G114/G116/G127,G131/G104)</f>
        <v>0.10160601375698036</v>
      </c>
      <c r="H132" s="66">
        <f>IF(H102=1,H114/H116/H127,H131/H104)</f>
        <v>0.10160601375698036</v>
      </c>
      <c r="I132" s="61"/>
      <c r="J132" s="62">
        <f>SUMPRODUCT(D132:I132,D104:I104)</f>
        <v>605.23099999999999</v>
      </c>
      <c r="K132" s="63">
        <f>SUMPRODUCT(D103:I103,D104:I104,D132:I132)</f>
        <v>605.23099999999999</v>
      </c>
      <c r="L132" s="63">
        <f>SUMPRODUCT(D99:I99,D104:I104,D132:I132)</f>
        <v>0</v>
      </c>
      <c r="M132" s="61"/>
    </row>
    <row r="133" spans="1:14" x14ac:dyDescent="0.25">
      <c r="A133"/>
      <c r="B133" s="64" t="s">
        <v>63</v>
      </c>
      <c r="C133" s="60"/>
      <c r="D133" s="66">
        <f t="shared" ref="D133" si="104">IF(D102=1,IF(AND(D99=1,D100="Maximum"),D115*$N121*$N123,(D131-D132*D104)/D106),0)</f>
        <v>0</v>
      </c>
      <c r="E133" s="66">
        <f t="shared" ref="E133" si="105">IF(E102=1,IF(AND(E99=1,E100="Maximum"),E115*$N121*$N123,(E131-E132*E104)/E106),0)</f>
        <v>0</v>
      </c>
      <c r="F133" s="66">
        <f t="shared" ref="F133" si="106">IF(F102=1,IF(AND(F99=1,F100="Maximum"),F115*$N121*$N123,(F131-F132*F104)/F106),0)</f>
        <v>0</v>
      </c>
      <c r="G133" s="66">
        <f t="shared" ref="G133" si="107">IF(G102=1,IF(AND(G99=1,G100="Maximum"),G115*$N121*$N123,(G131-G132*G104)/G106),0)</f>
        <v>0</v>
      </c>
      <c r="H133" s="66">
        <f>IF(H102=1,IF(AND(H99=1,H100="Maximum"),H108*$N121*$N123/H116,(H131-H132*H104)/H106),0)</f>
        <v>0</v>
      </c>
      <c r="I133" s="61"/>
      <c r="J133" s="62">
        <f>SUMPRODUCT(D133:I133,D105:I105)</f>
        <v>0</v>
      </c>
      <c r="K133" s="63">
        <f>SUMPRODUCT(D103:I103,D105:I105,D133:I133)</f>
        <v>0</v>
      </c>
      <c r="L133" s="63">
        <f>SUMPRODUCT(D99:I99,D105:I105,D133:I133)</f>
        <v>0</v>
      </c>
      <c r="M133" s="61"/>
      <c r="N133" s="21"/>
    </row>
    <row r="134" spans="1:14" x14ac:dyDescent="0.25">
      <c r="B134" s="59" t="s">
        <v>186</v>
      </c>
      <c r="C134" s="110"/>
      <c r="D134" s="111">
        <f t="shared" ref="D134" si="108">IF(D100="Maximum",MAX(D132*D104,D133*D106),D132*D104+D133*D106)</f>
        <v>0</v>
      </c>
      <c r="E134" s="111">
        <f t="shared" ref="E134" si="109">IF(E100="Maximum",MAX(E132*E104,E133*E106),E132*E104+E133*E106)</f>
        <v>333.94294326886239</v>
      </c>
      <c r="F134" s="111">
        <f t="shared" ref="F134" si="110">IF(F100="Maximum",MAX(F132*F104,F133*F106),F132*F104+F133*F106)</f>
        <v>73.603396365556577</v>
      </c>
      <c r="G134" s="111">
        <f t="shared" ref="G134" si="111">IF(G100="Maximum",MAX(G132*G104,G133*G106),G132*G104+G133*G106)</f>
        <v>124.08126400002442</v>
      </c>
      <c r="H134" s="111">
        <f t="shared" ref="H134" si="112">IF(H100="Maximum",MAX(H132*H104,H133*H106),H132*H104+H133*H106)</f>
        <v>73.603396365556577</v>
      </c>
    </row>
    <row r="136" spans="1:14" ht="18.75" x14ac:dyDescent="0.3">
      <c r="A136" s="89" t="s">
        <v>10</v>
      </c>
      <c r="B136" s="90"/>
      <c r="C136" s="91"/>
      <c r="D136" s="92"/>
      <c r="E136" s="92"/>
      <c r="F136" s="92"/>
      <c r="G136" s="92"/>
      <c r="H136" s="92"/>
      <c r="I136" s="92"/>
      <c r="J136" s="93"/>
      <c r="K136" s="92"/>
      <c r="L136" s="92"/>
      <c r="M136" s="92"/>
    </row>
    <row r="137" spans="1:14" x14ac:dyDescent="0.25">
      <c r="A137" s="9" t="s">
        <v>21</v>
      </c>
      <c r="B137" s="8" t="s">
        <v>119</v>
      </c>
    </row>
    <row r="138" spans="1:14" x14ac:dyDescent="0.25">
      <c r="A138" s="9" t="s">
        <v>18</v>
      </c>
      <c r="B138" s="20" t="s">
        <v>54</v>
      </c>
    </row>
    <row r="139" spans="1:14" x14ac:dyDescent="0.25">
      <c r="A139" s="9"/>
      <c r="B139" s="20"/>
    </row>
    <row r="140" spans="1:14" s="12" customFormat="1" ht="48" x14ac:dyDescent="0.25">
      <c r="A140" s="23"/>
      <c r="B140" s="13" t="s">
        <v>12</v>
      </c>
      <c r="C140" s="43"/>
      <c r="D140" s="48" t="s">
        <v>52</v>
      </c>
      <c r="E140" s="48" t="s">
        <v>53</v>
      </c>
      <c r="F140" s="48"/>
      <c r="G140" s="48"/>
      <c r="H140" s="48"/>
      <c r="I140"/>
      <c r="J140" s="116" t="s">
        <v>5</v>
      </c>
      <c r="K140" s="117"/>
      <c r="L140" s="102"/>
      <c r="N140" s="25"/>
    </row>
    <row r="141" spans="1:14" ht="15.75" thickBot="1" x14ac:dyDescent="0.3">
      <c r="B141" s="32" t="s">
        <v>13</v>
      </c>
      <c r="C141" s="39"/>
      <c r="D141" s="33" t="s">
        <v>77</v>
      </c>
      <c r="E141" s="33" t="s">
        <v>78</v>
      </c>
      <c r="F141" s="33" t="s">
        <v>79</v>
      </c>
      <c r="G141" s="33" t="s">
        <v>80</v>
      </c>
      <c r="H141" s="33" t="s">
        <v>81</v>
      </c>
      <c r="J141" s="34" t="s">
        <v>16</v>
      </c>
      <c r="K141" s="35" t="s">
        <v>126</v>
      </c>
      <c r="L141" s="35" t="s">
        <v>122</v>
      </c>
      <c r="M141" s="35" t="s">
        <v>127</v>
      </c>
      <c r="N141" s="35" t="s">
        <v>128</v>
      </c>
    </row>
    <row r="142" spans="1:14" x14ac:dyDescent="0.25">
      <c r="B142" s="15" t="s">
        <v>49</v>
      </c>
      <c r="C142" s="40"/>
      <c r="D142" s="30">
        <v>0</v>
      </c>
      <c r="E142" s="30">
        <v>0</v>
      </c>
      <c r="F142" s="30">
        <v>0</v>
      </c>
      <c r="G142" s="30">
        <v>0</v>
      </c>
      <c r="H142" s="30">
        <v>0</v>
      </c>
      <c r="J142" s="46"/>
      <c r="K142" s="26"/>
      <c r="L142" s="26"/>
      <c r="M142" s="8"/>
      <c r="N142" s="21"/>
    </row>
    <row r="143" spans="1:14" x14ac:dyDescent="0.25">
      <c r="B143" s="15" t="s">
        <v>132</v>
      </c>
      <c r="C143" s="40"/>
      <c r="D143" s="30" t="s">
        <v>134</v>
      </c>
      <c r="E143" s="30" t="s">
        <v>134</v>
      </c>
      <c r="F143" s="30" t="s">
        <v>134</v>
      </c>
      <c r="G143" s="30" t="s">
        <v>134</v>
      </c>
      <c r="H143" s="30" t="s">
        <v>134</v>
      </c>
      <c r="J143" s="46"/>
      <c r="K143" s="26"/>
      <c r="L143" s="26"/>
      <c r="M143" s="8"/>
      <c r="N143" s="21"/>
    </row>
    <row r="144" spans="1:14" x14ac:dyDescent="0.25">
      <c r="B144" s="15" t="s">
        <v>184</v>
      </c>
      <c r="C144" s="40"/>
      <c r="D144" s="30">
        <v>0</v>
      </c>
      <c r="E144" s="30">
        <v>0</v>
      </c>
      <c r="F144" s="30">
        <v>0</v>
      </c>
      <c r="G144" s="30">
        <v>0</v>
      </c>
      <c r="H144" s="30">
        <v>0</v>
      </c>
      <c r="J144" s="46"/>
      <c r="K144" s="26"/>
      <c r="L144" s="26"/>
      <c r="M144" s="8"/>
      <c r="N144" s="21"/>
    </row>
    <row r="145" spans="1:14" x14ac:dyDescent="0.25">
      <c r="B145" s="15" t="s">
        <v>185</v>
      </c>
      <c r="C145" s="40"/>
      <c r="D145" s="30">
        <v>0</v>
      </c>
      <c r="E145" s="30">
        <v>0</v>
      </c>
      <c r="F145" s="30">
        <v>0</v>
      </c>
      <c r="G145" s="30">
        <v>0</v>
      </c>
      <c r="H145" s="30">
        <v>0</v>
      </c>
      <c r="J145" s="46"/>
      <c r="K145" s="26"/>
      <c r="L145" s="26"/>
      <c r="M145" s="8"/>
      <c r="N145" s="21"/>
    </row>
    <row r="146" spans="1:14" x14ac:dyDescent="0.25">
      <c r="B146" s="104" t="s">
        <v>129</v>
      </c>
      <c r="C146" s="44"/>
      <c r="D146" s="103">
        <f>IF(D142=1,0,1)</f>
        <v>1</v>
      </c>
      <c r="E146" s="103">
        <f>IF(E142=1,0,1)</f>
        <v>1</v>
      </c>
      <c r="F146" s="103">
        <f>IF(F142=1,0,1)</f>
        <v>1</v>
      </c>
      <c r="G146" s="103">
        <f>IF(G142=1,0,1)</f>
        <v>1</v>
      </c>
      <c r="H146" s="103">
        <f>IF(H142=1,0,1)</f>
        <v>1</v>
      </c>
      <c r="J146" s="46"/>
      <c r="K146" s="5"/>
      <c r="L146" s="5"/>
      <c r="N146" s="21"/>
    </row>
    <row r="147" spans="1:14" x14ac:dyDescent="0.25">
      <c r="B147" s="15" t="s">
        <v>72</v>
      </c>
      <c r="C147" s="38" t="s">
        <v>75</v>
      </c>
      <c r="D147" s="95">
        <v>1610.9</v>
      </c>
      <c r="E147" s="95">
        <v>1221.2</v>
      </c>
      <c r="F147" s="95">
        <v>724.4</v>
      </c>
      <c r="G147" s="95">
        <v>1221.2</v>
      </c>
      <c r="H147" s="95">
        <v>724.4</v>
      </c>
      <c r="J147" s="46"/>
      <c r="K147" s="5"/>
      <c r="L147" s="5"/>
      <c r="N147" s="21"/>
    </row>
    <row r="148" spans="1:14" x14ac:dyDescent="0.25">
      <c r="B148" s="15" t="s">
        <v>111</v>
      </c>
      <c r="C148" s="40" t="s">
        <v>112</v>
      </c>
      <c r="D148" s="50">
        <v>5</v>
      </c>
      <c r="E148" s="50">
        <v>5</v>
      </c>
      <c r="F148" s="50">
        <v>10</v>
      </c>
      <c r="G148" s="50">
        <v>10</v>
      </c>
      <c r="H148" s="50">
        <v>10</v>
      </c>
      <c r="J148" s="4"/>
      <c r="K148" s="5"/>
      <c r="L148" s="5"/>
      <c r="N148" s="21"/>
    </row>
    <row r="149" spans="1:14" x14ac:dyDescent="0.25">
      <c r="B149" s="14" t="s">
        <v>73</v>
      </c>
      <c r="C149" s="41" t="s">
        <v>74</v>
      </c>
      <c r="D149" s="77">
        <f>D147*D148/1000</f>
        <v>8.0545000000000009</v>
      </c>
      <c r="E149" s="77">
        <f>E147*E148/1000</f>
        <v>6.1059999999999999</v>
      </c>
      <c r="F149" s="77">
        <f>F147*F148/1000</f>
        <v>7.2439999999999998</v>
      </c>
      <c r="G149" s="77">
        <f>G147*G148/1000</f>
        <v>12.212</v>
      </c>
      <c r="H149" s="77">
        <f>H147*H148/1000</f>
        <v>7.2439999999999998</v>
      </c>
      <c r="J149" s="4"/>
      <c r="K149" s="5"/>
      <c r="L149" s="5"/>
      <c r="N149" s="21"/>
    </row>
    <row r="150" spans="1:14" x14ac:dyDescent="0.25">
      <c r="A150" s="118" t="s">
        <v>110</v>
      </c>
      <c r="B150" s="80" t="s">
        <v>87</v>
      </c>
      <c r="C150" s="38" t="s">
        <v>113</v>
      </c>
      <c r="D150" s="58">
        <f>D157</f>
        <v>0.12</v>
      </c>
      <c r="E150" s="58">
        <f t="shared" ref="E150:H150" si="113">E157</f>
        <v>0.12</v>
      </c>
      <c r="F150" s="58">
        <f t="shared" si="113"/>
        <v>0.06</v>
      </c>
      <c r="G150" s="58">
        <f t="shared" si="113"/>
        <v>0.06</v>
      </c>
      <c r="H150" s="58">
        <f t="shared" si="113"/>
        <v>0.06</v>
      </c>
      <c r="J150" s="4"/>
      <c r="K150" s="5"/>
      <c r="L150" s="5"/>
      <c r="N150" s="21"/>
    </row>
    <row r="151" spans="1:14" x14ac:dyDescent="0.25">
      <c r="A151" s="118"/>
      <c r="B151" s="80" t="s">
        <v>88</v>
      </c>
      <c r="C151" s="38" t="s">
        <v>76</v>
      </c>
      <c r="D151" s="57">
        <f>D158</f>
        <v>7.5</v>
      </c>
      <c r="E151" s="57">
        <f t="shared" ref="E151:H151" si="114">E158</f>
        <v>7.5</v>
      </c>
      <c r="F151" s="57">
        <f t="shared" si="114"/>
        <v>5</v>
      </c>
      <c r="G151" s="57">
        <f t="shared" si="114"/>
        <v>5</v>
      </c>
      <c r="H151" s="57">
        <f t="shared" si="114"/>
        <v>5</v>
      </c>
      <c r="J151" s="4"/>
      <c r="K151" s="5"/>
      <c r="L151" s="5"/>
      <c r="N151" s="21"/>
    </row>
    <row r="152" spans="1:14" x14ac:dyDescent="0.25">
      <c r="A152" s="118"/>
      <c r="B152" s="80" t="s">
        <v>60</v>
      </c>
      <c r="C152"/>
      <c r="D152" s="50">
        <v>0.8</v>
      </c>
      <c r="E152" s="50">
        <f>D152</f>
        <v>0.8</v>
      </c>
      <c r="F152" s="50">
        <f t="shared" ref="F152" si="115">E152</f>
        <v>0.8</v>
      </c>
      <c r="G152" s="50">
        <f t="shared" ref="G152" si="116">F152</f>
        <v>0.8</v>
      </c>
      <c r="H152" s="50">
        <f t="shared" ref="H152" si="117">G152</f>
        <v>0.8</v>
      </c>
      <c r="N152" s="21"/>
    </row>
    <row r="153" spans="1:14" x14ac:dyDescent="0.25">
      <c r="A153" s="118"/>
      <c r="B153" s="80" t="s">
        <v>31</v>
      </c>
      <c r="C153" s="38" t="s">
        <v>11</v>
      </c>
      <c r="D153" s="72">
        <f>D147*D150/D152</f>
        <v>241.63499999999999</v>
      </c>
      <c r="E153" s="72">
        <f>E147*E150/E152</f>
        <v>183.18</v>
      </c>
      <c r="F153" s="72">
        <f>F147*F150/F152</f>
        <v>54.33</v>
      </c>
      <c r="G153" s="72">
        <f>G147*G150/G152</f>
        <v>91.59</v>
      </c>
      <c r="H153" s="72">
        <f>H147*H150/H152</f>
        <v>54.33</v>
      </c>
      <c r="J153" s="4">
        <f t="shared" ref="J153:J156" si="118">SUM(D153:I153)</f>
        <v>625.06500000000005</v>
      </c>
      <c r="K153" s="5">
        <f>SUMPRODUCT(D146:I146,D153:I153)</f>
        <v>625.06500000000005</v>
      </c>
      <c r="L153" s="5"/>
      <c r="N153" s="21"/>
    </row>
    <row r="154" spans="1:14" ht="15.75" thickBot="1" x14ac:dyDescent="0.3">
      <c r="A154" s="118"/>
      <c r="B154" s="86" t="s">
        <v>32</v>
      </c>
      <c r="C154" s="41" t="s">
        <v>11</v>
      </c>
      <c r="D154" s="87">
        <f>D149*D151/D152</f>
        <v>75.510937499999997</v>
      </c>
      <c r="E154" s="87">
        <f>E149*E151/E152</f>
        <v>57.243749999999999</v>
      </c>
      <c r="F154" s="87">
        <f>F149*F151/F152</f>
        <v>45.274999999999999</v>
      </c>
      <c r="G154" s="87">
        <f>G149*G151/G152</f>
        <v>76.325000000000003</v>
      </c>
      <c r="H154" s="87">
        <f>H149*H151/H152</f>
        <v>45.274999999999999</v>
      </c>
      <c r="J154" s="4">
        <f t="shared" si="118"/>
        <v>299.62968749999999</v>
      </c>
      <c r="K154" s="5">
        <f>SUMPRODUCT(D146:I146,D154:I154)</f>
        <v>299.62968749999999</v>
      </c>
      <c r="L154" s="5"/>
      <c r="N154" s="21"/>
    </row>
    <row r="155" spans="1:14" ht="16.5" thickTop="1" thickBot="1" x14ac:dyDescent="0.3">
      <c r="A155" s="118"/>
      <c r="B155" s="83" t="s">
        <v>64</v>
      </c>
      <c r="C155" s="38" t="s">
        <v>11</v>
      </c>
      <c r="D155" s="85">
        <f t="shared" ref="D155" si="119">IF(AND(D142=1,D143="Maximum"),MAX(D153:D154),SUM(D153:D154))</f>
        <v>317.1459375</v>
      </c>
      <c r="E155" s="112">
        <v>600</v>
      </c>
      <c r="F155" s="85">
        <f t="shared" ref="F155" si="120">IF(AND(F142=1,F143="Maximum"),MAX(F153:F154),SUM(F153:F154))</f>
        <v>99.60499999999999</v>
      </c>
      <c r="G155" s="85">
        <f t="shared" ref="G155" si="121">IF(AND(G142=1,G143="Maximum"),MAX(G153:G154),SUM(G153:G154))</f>
        <v>167.91500000000002</v>
      </c>
      <c r="H155" s="18">
        <f>IF(AND(H142=1,H143="Maximum"),MAX(H153:H154),SUM(H153:H154))</f>
        <v>99.60499999999999</v>
      </c>
      <c r="J155" s="55">
        <f t="shared" si="118"/>
        <v>1284.2709374999999</v>
      </c>
      <c r="K155" s="47">
        <f>SUMPRODUCT(D146:I146,D155:I155)</f>
        <v>1284.2709374999999</v>
      </c>
      <c r="L155" s="47">
        <f>SUMPRODUCT(D142:I142,D155:I155)</f>
        <v>0</v>
      </c>
      <c r="N155" s="21"/>
    </row>
    <row r="156" spans="1:14" ht="16.5" thickTop="1" thickBot="1" x14ac:dyDescent="0.3">
      <c r="A156" s="118"/>
      <c r="B156" s="82" t="s">
        <v>108</v>
      </c>
      <c r="C156" s="41" t="s">
        <v>11</v>
      </c>
      <c r="D156" s="75">
        <f t="shared" ref="D156" si="122">IF(D144=1,D153,D155)</f>
        <v>317.1459375</v>
      </c>
      <c r="E156" s="75">
        <f t="shared" ref="E156" si="123">IF(E144=1,E153,E155)</f>
        <v>600</v>
      </c>
      <c r="F156" s="75">
        <f t="shared" ref="F156" si="124">IF(F144=1,F153,F155)</f>
        <v>99.60499999999999</v>
      </c>
      <c r="G156" s="75">
        <f t="shared" ref="G156" si="125">IF(G144=1,G153,G155)</f>
        <v>167.91500000000002</v>
      </c>
      <c r="H156" s="75">
        <f>IF(H144=1,H153,H155)</f>
        <v>99.60499999999999</v>
      </c>
      <c r="J156" s="55">
        <f t="shared" si="118"/>
        <v>1284.2709374999999</v>
      </c>
      <c r="K156" s="47">
        <f>SUMPRODUCT(D146:I146,D156:I156)</f>
        <v>1284.2709374999999</v>
      </c>
      <c r="L156" s="47">
        <f>SUMPRODUCT(D142:I142,D156:I156)</f>
        <v>0</v>
      </c>
      <c r="N156" s="21"/>
    </row>
    <row r="157" spans="1:14" ht="15.75" thickTop="1" x14ac:dyDescent="0.25">
      <c r="A157" s="119" t="s">
        <v>109</v>
      </c>
      <c r="B157" s="78" t="s">
        <v>89</v>
      </c>
      <c r="C157" s="38" t="s">
        <v>113</v>
      </c>
      <c r="D157" s="58">
        <v>0.12</v>
      </c>
      <c r="E157" s="58">
        <v>0.12</v>
      </c>
      <c r="F157" s="58">
        <v>0.06</v>
      </c>
      <c r="G157" s="58">
        <v>0.06</v>
      </c>
      <c r="H157" s="58">
        <v>0.06</v>
      </c>
      <c r="J157" s="4"/>
      <c r="K157" s="5"/>
      <c r="L157" s="5"/>
      <c r="N157" s="21"/>
    </row>
    <row r="158" spans="1:14" x14ac:dyDescent="0.25">
      <c r="A158" s="119"/>
      <c r="B158" s="78" t="s">
        <v>90</v>
      </c>
      <c r="C158" s="38" t="s">
        <v>76</v>
      </c>
      <c r="D158" s="57">
        <v>7.5</v>
      </c>
      <c r="E158" s="57">
        <v>7.5</v>
      </c>
      <c r="F158" s="57">
        <v>5</v>
      </c>
      <c r="G158" s="57">
        <v>5</v>
      </c>
      <c r="H158" s="57">
        <v>5</v>
      </c>
      <c r="J158" s="4"/>
      <c r="K158" s="5"/>
      <c r="L158" s="5"/>
      <c r="N158" s="21"/>
    </row>
    <row r="159" spans="1:14" x14ac:dyDescent="0.25">
      <c r="A159" s="119"/>
      <c r="B159" s="78" t="s">
        <v>70</v>
      </c>
      <c r="C159"/>
      <c r="D159" s="73">
        <f>IF(AND(D152&gt;1,D142=0),1,D152)</f>
        <v>0.8</v>
      </c>
      <c r="E159" s="73">
        <f>IF(AND(E152&gt;1,E142=0),1,E152)</f>
        <v>0.8</v>
      </c>
      <c r="F159" s="73">
        <f>IF(AND(F152&gt;1,F142=0),1,F152)</f>
        <v>0.8</v>
      </c>
      <c r="G159" s="73">
        <f>IF(AND(G152&gt;1,G142=0),1,G152)</f>
        <v>0.8</v>
      </c>
      <c r="H159" s="73">
        <f>IF(AND(H152&gt;1,H142=0),1,H152)</f>
        <v>0.8</v>
      </c>
      <c r="N159" s="21"/>
    </row>
    <row r="160" spans="1:14" x14ac:dyDescent="0.25">
      <c r="A160" s="119"/>
      <c r="B160" s="79" t="s">
        <v>29</v>
      </c>
      <c r="C160" s="38" t="s">
        <v>11</v>
      </c>
      <c r="D160" s="72">
        <f>D147*D157/D159</f>
        <v>241.63499999999999</v>
      </c>
      <c r="E160" s="72">
        <f>E147*E157/E159</f>
        <v>183.18</v>
      </c>
      <c r="F160" s="72">
        <f>F147*F157/F159</f>
        <v>54.33</v>
      </c>
      <c r="G160" s="72">
        <f>G147*G157/G159</f>
        <v>91.59</v>
      </c>
      <c r="H160" s="72">
        <f>H147*H157/H159</f>
        <v>54.33</v>
      </c>
      <c r="J160" s="4">
        <f t="shared" ref="J160:J162" si="126">SUM(D160:I160)</f>
        <v>625.06500000000005</v>
      </c>
      <c r="K160" s="5">
        <f>SUMPRODUCT(D146:I146,D160:I160)</f>
        <v>625.06500000000005</v>
      </c>
      <c r="L160" s="5"/>
      <c r="N160" s="21"/>
    </row>
    <row r="161" spans="1:14" ht="15.75" thickBot="1" x14ac:dyDescent="0.3">
      <c r="A161" s="119"/>
      <c r="B161" s="88" t="s">
        <v>30</v>
      </c>
      <c r="C161" s="41" t="s">
        <v>11</v>
      </c>
      <c r="D161" s="87">
        <f>D149*D158/D159</f>
        <v>75.510937499999997</v>
      </c>
      <c r="E161" s="87">
        <f>E149*E158/E159</f>
        <v>57.243749999999999</v>
      </c>
      <c r="F161" s="87">
        <f>F149*F158/F159</f>
        <v>45.274999999999999</v>
      </c>
      <c r="G161" s="87">
        <f>G149*G158/G159</f>
        <v>76.325000000000003</v>
      </c>
      <c r="H161" s="87">
        <f>H149*H158/H159</f>
        <v>45.274999999999999</v>
      </c>
      <c r="J161" s="4">
        <f t="shared" si="126"/>
        <v>299.62968749999999</v>
      </c>
      <c r="K161" s="5">
        <f>SUMPRODUCT(D146:I146,D161:I161)</f>
        <v>299.62968749999999</v>
      </c>
      <c r="L161" s="5"/>
      <c r="N161" s="21"/>
    </row>
    <row r="162" spans="1:14" ht="16.5" thickTop="1" thickBot="1" x14ac:dyDescent="0.3">
      <c r="A162" s="119"/>
      <c r="B162" s="84" t="s">
        <v>106</v>
      </c>
      <c r="C162" s="38" t="s">
        <v>11</v>
      </c>
      <c r="D162" s="85">
        <f t="shared" ref="D162" si="127">IF(AND(D142=1,D143="Maximum"),MAX(D160:D161),SUM(D160:D161))</f>
        <v>317.1459375</v>
      </c>
      <c r="E162" s="85">
        <f t="shared" ref="E162" si="128">IF(AND(E142=1,E143="Maximum"),MAX(E160:E161),SUM(E160:E161))</f>
        <v>240.42375000000001</v>
      </c>
      <c r="F162" s="85">
        <f t="shared" ref="F162" si="129">IF(AND(F142=1,F143="Maximum"),MAX(F160:F161),SUM(F160:F161))</f>
        <v>99.60499999999999</v>
      </c>
      <c r="G162" s="85">
        <f t="shared" ref="G162" si="130">IF(AND(G142=1,G143="Maximum"),MAX(G160:G161),SUM(G160:G161))</f>
        <v>167.91500000000002</v>
      </c>
      <c r="H162" s="85">
        <f t="shared" ref="H162" si="131">IF(AND(H142=1,H143="Maximum"),MAX(H160:H161),SUM(H160:H161))</f>
        <v>99.60499999999999</v>
      </c>
      <c r="J162" s="55">
        <f t="shared" si="126"/>
        <v>924.6946875000001</v>
      </c>
      <c r="K162" s="47">
        <f>SUMPRODUCT(D146:I146,D162:I162)</f>
        <v>924.6946875000001</v>
      </c>
      <c r="L162" s="47">
        <f>SUMPRODUCT(D142:I142,D162:I162)</f>
        <v>0</v>
      </c>
      <c r="N162" s="21"/>
    </row>
    <row r="163" spans="1:14" ht="16.5" thickTop="1" thickBot="1" x14ac:dyDescent="0.3">
      <c r="A163" s="119"/>
      <c r="B163" s="81" t="s">
        <v>107</v>
      </c>
      <c r="C163" s="41" t="s">
        <v>11</v>
      </c>
      <c r="D163" s="75">
        <f t="shared" ref="D163" si="132">IF(D145=1,D160,D162)</f>
        <v>317.1459375</v>
      </c>
      <c r="E163" s="75">
        <f t="shared" ref="E163" si="133">IF(E145=1,E160,E162)</f>
        <v>240.42375000000001</v>
      </c>
      <c r="F163" s="75">
        <f t="shared" ref="F163" si="134">IF(F145=1,F160,F162)</f>
        <v>99.60499999999999</v>
      </c>
      <c r="G163" s="75">
        <f t="shared" ref="G163" si="135">IF(G145=1,G160,G162)</f>
        <v>167.91500000000002</v>
      </c>
      <c r="H163" s="75">
        <f t="shared" ref="H163" si="136">IF(H145=1,H160,H162)</f>
        <v>99.60499999999999</v>
      </c>
      <c r="J163" s="55">
        <f t="shared" ref="J163" si="137">SUM(D163:I163)</f>
        <v>924.6946875000001</v>
      </c>
      <c r="K163" s="47">
        <f>SUMPRODUCT(D146:I146,D163:I163)</f>
        <v>924.6946875000001</v>
      </c>
      <c r="L163" s="47">
        <f>SUMPRODUCT(D142:I142,D163:I163)</f>
        <v>0</v>
      </c>
      <c r="M163" s="21" t="s">
        <v>123</v>
      </c>
      <c r="N163" s="21" t="s">
        <v>124</v>
      </c>
    </row>
    <row r="164" spans="1:14" ht="15.75" thickTop="1" x14ac:dyDescent="0.25">
      <c r="A164"/>
      <c r="B164" s="13" t="s">
        <v>58</v>
      </c>
      <c r="D164" s="1">
        <f>IFERROR(D155/D162,0)</f>
        <v>1</v>
      </c>
      <c r="E164" s="1">
        <f>IFERROR(E155/E162,0)</f>
        <v>2.4955937173428167</v>
      </c>
      <c r="F164" s="1">
        <f>IFERROR(F155/F162,0)</f>
        <v>1</v>
      </c>
      <c r="G164" s="1">
        <f>IFERROR(G155/G162,0)</f>
        <v>1</v>
      </c>
      <c r="H164" s="1">
        <f>IFERROR(H155/H162,0)</f>
        <v>1</v>
      </c>
      <c r="J164" s="4"/>
      <c r="K164" s="5"/>
      <c r="L164" s="5"/>
      <c r="M164" s="67">
        <f>K162/K155</f>
        <v>0.72001527131030341</v>
      </c>
      <c r="N164" s="67">
        <f>IFERROR(L162/L155,1)</f>
        <v>1</v>
      </c>
    </row>
    <row r="165" spans="1:14" x14ac:dyDescent="0.25">
      <c r="A165"/>
      <c r="B165" s="13" t="s">
        <v>59</v>
      </c>
      <c r="C165" s="38" t="s">
        <v>11</v>
      </c>
      <c r="D165" s="17">
        <v>1000</v>
      </c>
      <c r="E165" s="17">
        <v>0</v>
      </c>
      <c r="F165" s="17">
        <v>0</v>
      </c>
      <c r="G165" s="17">
        <v>0</v>
      </c>
      <c r="H165" s="17">
        <v>0</v>
      </c>
      <c r="J165" s="4">
        <f>SUM(D165:I165)</f>
        <v>1000</v>
      </c>
      <c r="K165" s="5">
        <f>SUMPRODUCT(D146:I146,D165:I165)</f>
        <v>1000</v>
      </c>
      <c r="L165" s="5">
        <f>SUMPRODUCT(D142:I142,D165:I165)</f>
        <v>0</v>
      </c>
      <c r="M165" s="21" t="s">
        <v>86</v>
      </c>
      <c r="N165" s="21" t="s">
        <v>125</v>
      </c>
    </row>
    <row r="166" spans="1:14" ht="15.75" thickBot="1" x14ac:dyDescent="0.3">
      <c r="A166"/>
      <c r="B166" s="16" t="s">
        <v>15</v>
      </c>
      <c r="C166" s="42"/>
      <c r="D166" s="10">
        <f>IFERROR(D155/D165,0)</f>
        <v>0.31714593749999997</v>
      </c>
      <c r="E166" s="10">
        <f>IFERROR(E155/E165,0)</f>
        <v>0</v>
      </c>
      <c r="F166" s="10">
        <f>IFERROR(F155/F165,0)</f>
        <v>0</v>
      </c>
      <c r="G166" s="10">
        <f>IFERROR(G155/G165,0)</f>
        <v>0</v>
      </c>
      <c r="H166" s="10">
        <f>IFERROR(H155/H165,0)</f>
        <v>0</v>
      </c>
      <c r="J166" s="4"/>
      <c r="K166" s="74">
        <f>K165/K162</f>
        <v>1.0814380287006893</v>
      </c>
      <c r="L166" s="74">
        <f>IFERROR(L165/L162,0)</f>
        <v>0</v>
      </c>
      <c r="M166" s="68">
        <f>MAX(MIN(K155,$A$2*K165)/K162,1)</f>
        <v>1.2436537330057926</v>
      </c>
      <c r="N166" s="68">
        <f>IFERROR(MAX(MIN(L155,$A$2*L165)/L162,1),1)</f>
        <v>1</v>
      </c>
    </row>
    <row r="167" spans="1:14" ht="16.5" thickTop="1" thickBot="1" x14ac:dyDescent="0.3">
      <c r="A167"/>
      <c r="B167" s="15" t="s">
        <v>102</v>
      </c>
      <c r="C167" s="38" t="s">
        <v>11</v>
      </c>
      <c r="D167" s="18">
        <f>IF(D146=1,D155*$M164*$M166,D155)</f>
        <v>283.98822824331023</v>
      </c>
      <c r="E167" s="18">
        <f>IF(E146=1,E155*$M164*$M166,IF(AND(E144=1,E142=0),(E153/E163)+(E154/#REF!),E155))</f>
        <v>537.26980799174248</v>
      </c>
      <c r="F167" s="18">
        <f>IF(F146=1,F155*$M164*$M166,IF(AND(F144=1,F142=0),(F153/F163)+(F154/#REF!),F155))</f>
        <v>89.191265375029161</v>
      </c>
      <c r="G167" s="18">
        <f>IF(G146=1,G155*$M164*$M166,IF(AND(G144=1,G142=0),(G153/G163)+(G154/#REF!),G155))</f>
        <v>150.35943301488908</v>
      </c>
      <c r="H167" s="18">
        <f>IF(H146=1,H155*$M164*$M166,IF(AND(H144=1,H142=0),(H153/H163)+(H154/#REF!),H155))</f>
        <v>89.191265375029161</v>
      </c>
      <c r="J167" s="55">
        <f>SUM(D167:I167)</f>
        <v>1150</v>
      </c>
      <c r="K167" s="47">
        <f>SUMPRODUCT(D146:I146,D167:I167)</f>
        <v>1150</v>
      </c>
      <c r="L167" s="47">
        <f>SUMPRODUCT(D142:I142,D167:I167)</f>
        <v>0</v>
      </c>
      <c r="M167" s="45" t="str">
        <f>IF(K165*$A$2&gt;K162,"Exhaust exception applies, ventilation up to "&amp;$A$2*100&amp;"% of exhaust flow allowed","")</f>
        <v>Exhaust exception applies, ventilation up to 115% of exhaust flow allowed</v>
      </c>
      <c r="N167" s="21"/>
    </row>
    <row r="168" spans="1:14" ht="15.75" thickTop="1" x14ac:dyDescent="0.25">
      <c r="A168"/>
      <c r="B168" s="13" t="s">
        <v>65</v>
      </c>
      <c r="C168" s="38" t="s">
        <v>11</v>
      </c>
      <c r="D168" s="5">
        <f>D155-D167</f>
        <v>33.15770925668977</v>
      </c>
      <c r="E168" s="5">
        <f>E155-E167</f>
        <v>62.730192008257518</v>
      </c>
      <c r="F168" s="5">
        <f>F155-F167</f>
        <v>10.413734624970829</v>
      </c>
      <c r="G168" s="5">
        <f>G155-G167</f>
        <v>17.555566985110943</v>
      </c>
      <c r="H168" s="5">
        <f>H155-H167</f>
        <v>10.413734624970829</v>
      </c>
      <c r="J168" s="4">
        <f>J155-J167</f>
        <v>134.27093749999995</v>
      </c>
      <c r="K168" s="5"/>
      <c r="L168" s="5"/>
      <c r="M168" s="76" t="str">
        <f>IF(K165&gt;K162,"CHECK: "&amp;ROUND(K167/K165,3),"")</f>
        <v>CHECK: 1.15</v>
      </c>
    </row>
    <row r="169" spans="1:14" x14ac:dyDescent="0.25">
      <c r="A169"/>
      <c r="B169" s="13"/>
      <c r="D169" s="5"/>
      <c r="E169" s="5"/>
      <c r="F169" s="5"/>
      <c r="G169" s="5"/>
      <c r="H169" s="5"/>
      <c r="J169" s="4"/>
      <c r="K169" s="5"/>
      <c r="L169" s="5"/>
    </row>
    <row r="170" spans="1:14" x14ac:dyDescent="0.25">
      <c r="A170"/>
      <c r="B170" s="51" t="s">
        <v>61</v>
      </c>
      <c r="C170" s="2"/>
      <c r="D170" s="52">
        <v>1</v>
      </c>
      <c r="E170" s="53">
        <f>$D170</f>
        <v>1</v>
      </c>
      <c r="F170" s="53">
        <f>$D170</f>
        <v>1</v>
      </c>
      <c r="G170" s="53">
        <f>$D170</f>
        <v>1</v>
      </c>
      <c r="H170" s="53">
        <f>$D170</f>
        <v>1</v>
      </c>
      <c r="N170" s="21"/>
    </row>
    <row r="171" spans="1:14" x14ac:dyDescent="0.25">
      <c r="A171"/>
      <c r="B171" s="13" t="s">
        <v>67</v>
      </c>
      <c r="C171" s="38" t="s">
        <v>11</v>
      </c>
      <c r="D171" s="5">
        <f>D155/D170</f>
        <v>317.1459375</v>
      </c>
      <c r="E171" s="5">
        <f>E155/E170</f>
        <v>600</v>
      </c>
      <c r="F171" s="5">
        <f>F155/F170</f>
        <v>99.60499999999999</v>
      </c>
      <c r="G171" s="5">
        <f>G155/G170</f>
        <v>167.91500000000002</v>
      </c>
      <c r="H171" s="5">
        <f>H155/H170</f>
        <v>99.60499999999999</v>
      </c>
      <c r="J171" s="4">
        <f t="shared" ref="J171" si="138">SUM(D171:I171)</f>
        <v>1284.2709374999999</v>
      </c>
      <c r="K171" s="5">
        <f>SUMPRODUCT(D146:I146,D171:I171)</f>
        <v>1284.2709374999999</v>
      </c>
      <c r="L171" s="5">
        <f>SUMPRODUCT(D142:I142,D171:I171)</f>
        <v>0</v>
      </c>
    </row>
    <row r="172" spans="1:14" x14ac:dyDescent="0.25">
      <c r="A172"/>
      <c r="B172" s="59" t="s">
        <v>68</v>
      </c>
      <c r="C172" s="60"/>
      <c r="D172" s="115">
        <f>IF(D144=1,D153/D170/D147,D171/D147)</f>
        <v>0.19687499999999999</v>
      </c>
      <c r="E172" s="115">
        <f>IF(E144=1,E153/E170/E147,E171/E147)</f>
        <v>0.49132001310186701</v>
      </c>
      <c r="F172" s="115">
        <f>IF(F144=1,F153/F170/F147,F171/F147)</f>
        <v>0.13749999999999998</v>
      </c>
      <c r="G172" s="115">
        <f>IF(G144=1,G153/G170/G147,G171/G147)</f>
        <v>0.13750000000000001</v>
      </c>
      <c r="H172" s="115">
        <f>IF(H144=1,H153/H170/H147,H171/H147)</f>
        <v>0.13749999999999998</v>
      </c>
      <c r="I172" s="61"/>
      <c r="J172" s="62">
        <f>SUMPRODUCT(D172:H172,D147:H147)</f>
        <v>1284.2709374999999</v>
      </c>
      <c r="K172" s="63">
        <f>SUMPRODUCT(D146:I146,D147:I147,D172:I172)</f>
        <v>1284.2709374999999</v>
      </c>
      <c r="L172" s="63">
        <f>SUMPRODUCT(D142:I142,D147:I147,D172:I172)</f>
        <v>0</v>
      </c>
      <c r="M172" s="61"/>
    </row>
    <row r="173" spans="1:14" x14ac:dyDescent="0.25">
      <c r="A173"/>
      <c r="B173" s="64" t="s">
        <v>69</v>
      </c>
      <c r="C173" s="60"/>
      <c r="D173" s="66">
        <f>IF(D144=1,D151/D152,0)</f>
        <v>0</v>
      </c>
      <c r="E173" s="66">
        <f t="shared" ref="E173:I173" si="139">IF(E144=1,E151/E152,0)</f>
        <v>0</v>
      </c>
      <c r="F173" s="66">
        <f t="shared" si="139"/>
        <v>0</v>
      </c>
      <c r="G173" s="66">
        <f t="shared" si="139"/>
        <v>0</v>
      </c>
      <c r="H173" s="66">
        <f t="shared" si="139"/>
        <v>0</v>
      </c>
      <c r="I173" s="66">
        <f t="shared" si="139"/>
        <v>0</v>
      </c>
      <c r="J173" s="62">
        <f>SUMPRODUCT(D173:H173,D148:H148)</f>
        <v>0</v>
      </c>
      <c r="K173" s="63">
        <f>SUMPRODUCT(D146:I146,D148:I148,D173:I173)</f>
        <v>0</v>
      </c>
      <c r="L173" s="63">
        <f>SUMPRODUCT(D142:I142,D148:I148,D173:I173)</f>
        <v>0</v>
      </c>
      <c r="M173" s="61"/>
    </row>
    <row r="174" spans="1:14" x14ac:dyDescent="0.25">
      <c r="A174"/>
      <c r="B174" s="13" t="s">
        <v>66</v>
      </c>
      <c r="C174" s="38" t="s">
        <v>11</v>
      </c>
      <c r="D174" s="5">
        <f>D167/D170</f>
        <v>283.98822824331023</v>
      </c>
      <c r="E174" s="5">
        <f>E167/E170</f>
        <v>537.26980799174248</v>
      </c>
      <c r="F174" s="5">
        <f>F167/F170</f>
        <v>89.191265375029161</v>
      </c>
      <c r="G174" s="5">
        <f>G167/G170</f>
        <v>150.35943301488908</v>
      </c>
      <c r="H174" s="5">
        <f>H167/H170</f>
        <v>89.191265375029161</v>
      </c>
      <c r="J174" s="4">
        <f t="shared" ref="J174" si="140">SUM(D174:I174)</f>
        <v>1150</v>
      </c>
      <c r="K174" s="5">
        <f>SUMPRODUCT(D146:I146,D174:I174)</f>
        <v>1150</v>
      </c>
      <c r="L174" s="5">
        <f>SUMPRODUCT(D142:I142,D174:I174)</f>
        <v>0</v>
      </c>
      <c r="M174" s="54"/>
    </row>
    <row r="175" spans="1:14" x14ac:dyDescent="0.25">
      <c r="A175"/>
      <c r="B175" s="59" t="s">
        <v>62</v>
      </c>
      <c r="C175" s="60"/>
      <c r="D175" s="115">
        <f>IF(D145=1,D157/D159/D170,D174/D147)</f>
        <v>0.17629165574729047</v>
      </c>
      <c r="E175" s="115">
        <f t="shared" ref="E175" si="141">IF(E145=1,E157/E159/E170,E174/E147)</f>
        <v>0.43995234850290083</v>
      </c>
      <c r="F175" s="115">
        <f t="shared" ref="F175" si="142">IF(F145=1,F157/F159/F170,F174/F147)</f>
        <v>0.12312433099810763</v>
      </c>
      <c r="G175" s="115">
        <f t="shared" ref="G175" si="143">IF(G145=1,G157/G159/G170,G174/G147)</f>
        <v>0.12312433099810766</v>
      </c>
      <c r="H175" s="115">
        <f>IF(H145=1,H157/H159/H170,H174/H147)</f>
        <v>0.12312433099810763</v>
      </c>
      <c r="I175" s="61"/>
      <c r="J175" s="62">
        <f>SUMPRODUCT(D175:I175,D147:I147)</f>
        <v>1150</v>
      </c>
      <c r="K175" s="63">
        <f>SUMPRODUCT(D146:I146,D147:I147,D175:I175)</f>
        <v>1150</v>
      </c>
      <c r="L175" s="63">
        <f>SUMPRODUCT(D142:I142,D147:I147,D175:I175)</f>
        <v>0</v>
      </c>
      <c r="M175" s="61"/>
    </row>
    <row r="176" spans="1:14" x14ac:dyDescent="0.25">
      <c r="A176"/>
      <c r="B176" s="64" t="s">
        <v>63</v>
      </c>
      <c r="C176" s="60"/>
      <c r="D176" s="66">
        <f t="shared" ref="D176" si="144">IF(D145=1,IF(AND(D142=1,D143="Maximum"),D158*$N164*$N166,(D174-D175*D147)/D149),0)</f>
        <v>0</v>
      </c>
      <c r="E176" s="66">
        <f t="shared" ref="E176" si="145">IF(E145=1,IF(AND(E142=1,E143="Maximum"),E158*$N164*$N166,(E174-E175*E147)/E149),0)</f>
        <v>0</v>
      </c>
      <c r="F176" s="66">
        <f t="shared" ref="F176" si="146">IF(F145=1,IF(AND(F142=1,F143="Maximum"),F158*$N164*$N166,(F174-F175*F147)/F149),0)</f>
        <v>0</v>
      </c>
      <c r="G176" s="66">
        <f t="shared" ref="G176" si="147">IF(G145=1,IF(AND(G142=1,G143="Maximum"),G158*$N164*$N166,(G174-G175*G147)/G149),0)</f>
        <v>0</v>
      </c>
      <c r="H176" s="66">
        <f>IF(H145=1,IF(AND(H142=1,H143="Maximum"),H151*$N164*$N166/H159,(H174-H175*H147)/H149),0)</f>
        <v>0</v>
      </c>
      <c r="I176" s="61"/>
      <c r="J176" s="62">
        <f>SUMPRODUCT(D176:I176,D148:I148)</f>
        <v>0</v>
      </c>
      <c r="K176" s="63">
        <f>SUMPRODUCT(D146:I146,D148:I148,D176:I176)</f>
        <v>0</v>
      </c>
      <c r="L176" s="63">
        <f>SUMPRODUCT(D142:I142,D148:I148,D176:I176)</f>
        <v>0</v>
      </c>
      <c r="M176" s="61"/>
      <c r="N176" s="21"/>
    </row>
    <row r="177" spans="1:14" x14ac:dyDescent="0.25">
      <c r="B177" s="59" t="s">
        <v>186</v>
      </c>
      <c r="C177" s="110"/>
      <c r="D177" s="111">
        <f t="shared" ref="D177" si="148">IF(D143="Maximum",MAX(D175*D147,D176*D149),D175*D147+D176*D149)</f>
        <v>283.98822824331023</v>
      </c>
      <c r="E177" s="111">
        <f t="shared" ref="E177" si="149">IF(E143="Maximum",MAX(E175*E147,E176*E149),E175*E147+E176*E149)</f>
        <v>537.26980799174248</v>
      </c>
      <c r="F177" s="111">
        <f t="shared" ref="F177" si="150">IF(F143="Maximum",MAX(F175*F147,F176*F149),F175*F147+F176*F149)</f>
        <v>89.191265375029161</v>
      </c>
      <c r="G177" s="111">
        <f t="shared" ref="G177" si="151">IF(G143="Maximum",MAX(G175*G147,G176*G149),G175*G147+G176*G149)</f>
        <v>150.35943301488908</v>
      </c>
      <c r="H177" s="111">
        <f t="shared" ref="H177" si="152">IF(H143="Maximum",MAX(H175*H147,H176*H149),H175*H147+H176*H149)</f>
        <v>89.191265375029161</v>
      </c>
    </row>
    <row r="179" spans="1:14" ht="18.75" hidden="1" customHeight="1" x14ac:dyDescent="0.3">
      <c r="A179" s="19" t="s">
        <v>47</v>
      </c>
    </row>
    <row r="180" spans="1:14" ht="15" hidden="1" customHeight="1" x14ac:dyDescent="0.25">
      <c r="A180" s="9" t="s">
        <v>21</v>
      </c>
      <c r="B180" s="8" t="s">
        <v>19</v>
      </c>
    </row>
    <row r="181" spans="1:14" ht="15" hidden="1" customHeight="1" x14ac:dyDescent="0.25">
      <c r="A181" s="9" t="s">
        <v>18</v>
      </c>
      <c r="B181" s="20" t="s">
        <v>48</v>
      </c>
    </row>
    <row r="182" spans="1:14" s="12" customFormat="1" ht="30" hidden="1" customHeight="1" x14ac:dyDescent="0.25">
      <c r="A182" s="23"/>
      <c r="B182" s="13" t="s">
        <v>12</v>
      </c>
      <c r="C182" s="43"/>
      <c r="D182" s="24" t="s">
        <v>28</v>
      </c>
      <c r="E182" s="24" t="s">
        <v>27</v>
      </c>
      <c r="F182" s="24"/>
      <c r="G182" s="24"/>
      <c r="H182" s="24"/>
      <c r="I182"/>
      <c r="J182" s="121" t="s">
        <v>5</v>
      </c>
      <c r="K182" s="122"/>
      <c r="L182" s="100"/>
    </row>
    <row r="183" spans="1:14" ht="15.75" hidden="1" customHeight="1" thickBot="1" x14ac:dyDescent="0.3">
      <c r="B183" s="32" t="s">
        <v>13</v>
      </c>
      <c r="C183" s="39"/>
      <c r="D183" s="33" t="s">
        <v>0</v>
      </c>
      <c r="E183" s="33" t="s">
        <v>1</v>
      </c>
      <c r="F183" s="33" t="s">
        <v>2</v>
      </c>
      <c r="G183" s="33" t="s">
        <v>3</v>
      </c>
      <c r="H183" s="33" t="s">
        <v>4</v>
      </c>
      <c r="J183" s="34" t="s">
        <v>16</v>
      </c>
      <c r="K183" s="35" t="s">
        <v>22</v>
      </c>
      <c r="L183" s="35"/>
      <c r="M183" s="35" t="s">
        <v>25</v>
      </c>
    </row>
    <row r="184" spans="1:14" ht="15" hidden="1" customHeight="1" x14ac:dyDescent="0.25">
      <c r="B184" s="15" t="s">
        <v>14</v>
      </c>
      <c r="C184" s="40"/>
      <c r="D184" s="29">
        <f>IF(SUM(D185,D186)&gt;0,0,1)</f>
        <v>1</v>
      </c>
      <c r="E184" s="29">
        <f>IF(SUM(E185,E186)&gt;0,0,1)</f>
        <v>1</v>
      </c>
      <c r="F184" s="29">
        <f>IF(SUM(F185,F186)&gt;0,0,1)</f>
        <v>1</v>
      </c>
      <c r="G184" s="29">
        <f>IF(SUM(G185,G186)&gt;0,0,1)</f>
        <v>1</v>
      </c>
      <c r="H184" s="29">
        <f>IF(SUM(H185,H186)&gt;0,0,1)</f>
        <v>1</v>
      </c>
      <c r="J184" s="6"/>
      <c r="N184" s="21"/>
    </row>
    <row r="185" spans="1:14" ht="15" hidden="1" customHeight="1" x14ac:dyDescent="0.25">
      <c r="B185" s="15" t="s">
        <v>40</v>
      </c>
      <c r="C185" s="40"/>
      <c r="D185" s="30">
        <v>0</v>
      </c>
      <c r="E185" s="30">
        <v>0</v>
      </c>
      <c r="F185" s="30">
        <v>0</v>
      </c>
      <c r="G185" s="30">
        <v>0</v>
      </c>
      <c r="H185" s="30">
        <v>0</v>
      </c>
      <c r="J185" s="6"/>
      <c r="K185" s="8"/>
      <c r="L185" s="8"/>
      <c r="M185" s="8"/>
      <c r="N185" s="21"/>
    </row>
    <row r="186" spans="1:14" ht="15" hidden="1" customHeight="1" x14ac:dyDescent="0.25">
      <c r="B186" s="15" t="s">
        <v>46</v>
      </c>
      <c r="C186" s="40"/>
      <c r="D186" s="30">
        <v>0</v>
      </c>
      <c r="E186" s="30">
        <v>0</v>
      </c>
      <c r="F186" s="30">
        <v>0</v>
      </c>
      <c r="G186" s="30">
        <v>0</v>
      </c>
      <c r="H186" s="30">
        <v>0</v>
      </c>
      <c r="J186" s="6"/>
      <c r="K186" s="8"/>
      <c r="L186" s="8"/>
      <c r="M186" s="8"/>
      <c r="N186" s="21"/>
    </row>
    <row r="187" spans="1:14" ht="15" hidden="1" customHeight="1" x14ac:dyDescent="0.25">
      <c r="B187" s="15" t="s">
        <v>31</v>
      </c>
      <c r="C187" s="38" t="s">
        <v>11</v>
      </c>
      <c r="D187" s="31">
        <v>400</v>
      </c>
      <c r="E187" s="31">
        <v>100</v>
      </c>
      <c r="F187" s="31">
        <v>50</v>
      </c>
      <c r="G187" s="31">
        <v>150</v>
      </c>
      <c r="H187" s="31">
        <v>50</v>
      </c>
      <c r="J187" s="4">
        <f t="shared" ref="J187:J192" si="153">SUM(D187:I187)</f>
        <v>750</v>
      </c>
      <c r="K187">
        <f>SUMPRODUCT(D184:I184,D187:I187)</f>
        <v>750</v>
      </c>
      <c r="N187" s="21"/>
    </row>
    <row r="188" spans="1:14" ht="15.75" hidden="1" customHeight="1" thickBot="1" x14ac:dyDescent="0.3">
      <c r="B188" s="15" t="s">
        <v>32</v>
      </c>
      <c r="C188" s="38" t="s">
        <v>11</v>
      </c>
      <c r="D188" s="27">
        <v>150</v>
      </c>
      <c r="E188" s="27">
        <v>100</v>
      </c>
      <c r="F188" s="27">
        <v>50</v>
      </c>
      <c r="G188" s="27">
        <v>150</v>
      </c>
      <c r="H188" s="27">
        <v>50</v>
      </c>
      <c r="J188" s="4">
        <f t="shared" si="153"/>
        <v>500</v>
      </c>
      <c r="K188">
        <f>SUMPRODUCT(D184:I184,D188:I188)</f>
        <v>500</v>
      </c>
      <c r="N188" s="21"/>
    </row>
    <row r="189" spans="1:14" ht="16.5" hidden="1" customHeight="1" thickTop="1" thickBot="1" x14ac:dyDescent="0.3">
      <c r="B189" s="14" t="s">
        <v>36</v>
      </c>
      <c r="C189" s="41" t="s">
        <v>11</v>
      </c>
      <c r="D189" s="36">
        <f>SUM(D187:D188)</f>
        <v>550</v>
      </c>
      <c r="E189" s="36">
        <f t="shared" ref="E189" si="154">SUM(E187:E188)</f>
        <v>200</v>
      </c>
      <c r="F189" s="36">
        <f t="shared" ref="F189" si="155">SUM(F187:F188)</f>
        <v>100</v>
      </c>
      <c r="G189" s="36">
        <f t="shared" ref="G189" si="156">SUM(G187:G188)</f>
        <v>300</v>
      </c>
      <c r="H189" s="36">
        <f t="shared" ref="H189" si="157">SUM(H187:H188)</f>
        <v>100</v>
      </c>
      <c r="J189" s="56">
        <f t="shared" si="153"/>
        <v>1250</v>
      </c>
      <c r="K189" s="37">
        <f>SUMPRODUCT(D184:I184,D189:I189)</f>
        <v>1250</v>
      </c>
      <c r="L189" s="37"/>
      <c r="N189" s="21"/>
    </row>
    <row r="190" spans="1:14" ht="15.75" hidden="1" customHeight="1" thickTop="1" x14ac:dyDescent="0.25">
      <c r="B190" s="13" t="s">
        <v>29</v>
      </c>
      <c r="C190" s="38" t="s">
        <v>11</v>
      </c>
      <c r="D190" s="31">
        <v>50</v>
      </c>
      <c r="E190" s="31">
        <v>100</v>
      </c>
      <c r="F190" s="31">
        <v>50</v>
      </c>
      <c r="G190" s="31">
        <v>150</v>
      </c>
      <c r="H190" s="31">
        <v>50</v>
      </c>
      <c r="J190" s="4">
        <f t="shared" si="153"/>
        <v>400</v>
      </c>
      <c r="K190">
        <f>SUMPRODUCT(D184:I184,D190:I190)</f>
        <v>400</v>
      </c>
      <c r="N190" s="21"/>
    </row>
    <row r="191" spans="1:14" ht="15.75" hidden="1" customHeight="1" thickBot="1" x14ac:dyDescent="0.3">
      <c r="B191" s="13" t="s">
        <v>30</v>
      </c>
      <c r="C191" s="38" t="s">
        <v>11</v>
      </c>
      <c r="D191" s="27">
        <v>50</v>
      </c>
      <c r="E191" s="27">
        <v>100</v>
      </c>
      <c r="F191" s="27">
        <v>50</v>
      </c>
      <c r="G191" s="27">
        <v>150</v>
      </c>
      <c r="H191" s="27">
        <v>50</v>
      </c>
      <c r="J191" s="4">
        <f t="shared" si="153"/>
        <v>400</v>
      </c>
      <c r="K191">
        <f>SUMPRODUCT(D184:I184,D191:I191)</f>
        <v>400</v>
      </c>
      <c r="N191" s="21"/>
    </row>
    <row r="192" spans="1:14" ht="16.5" hidden="1" customHeight="1" thickTop="1" thickBot="1" x14ac:dyDescent="0.3">
      <c r="B192" s="14" t="s">
        <v>37</v>
      </c>
      <c r="C192" s="41" t="s">
        <v>11</v>
      </c>
      <c r="D192" s="36">
        <f>IF(D186=1,D189,SUM(D190:D191))</f>
        <v>100</v>
      </c>
      <c r="E192" s="36">
        <f t="shared" ref="E192:H192" si="158">IF(E186=1,E189,SUM(E190:E191))</f>
        <v>200</v>
      </c>
      <c r="F192" s="36">
        <f t="shared" si="158"/>
        <v>100</v>
      </c>
      <c r="G192" s="36">
        <f t="shared" si="158"/>
        <v>300</v>
      </c>
      <c r="H192" s="36">
        <f t="shared" si="158"/>
        <v>100</v>
      </c>
      <c r="J192" s="56">
        <f t="shared" si="153"/>
        <v>800</v>
      </c>
      <c r="K192" s="37">
        <f>SUMPRODUCT(D184:I184,D192:I192)</f>
        <v>800</v>
      </c>
      <c r="L192" s="37"/>
      <c r="N192" s="21"/>
    </row>
    <row r="193" spans="1:14" ht="15.75" hidden="1" customHeight="1" thickTop="1" x14ac:dyDescent="0.25">
      <c r="B193" s="13" t="s">
        <v>34</v>
      </c>
      <c r="D193" s="1">
        <f>IFERROR(D187/D190,0)</f>
        <v>8</v>
      </c>
      <c r="E193" s="1">
        <f t="shared" ref="E193:H193" si="159">IFERROR(E187/E190,0)</f>
        <v>1</v>
      </c>
      <c r="F193" s="1">
        <f t="shared" si="159"/>
        <v>1</v>
      </c>
      <c r="G193" s="1">
        <f t="shared" si="159"/>
        <v>1</v>
      </c>
      <c r="H193" s="1">
        <f t="shared" si="159"/>
        <v>1</v>
      </c>
      <c r="M193" s="7">
        <f>K190/K187</f>
        <v>0.53333333333333333</v>
      </c>
      <c r="N193" s="21" t="s">
        <v>44</v>
      </c>
    </row>
    <row r="194" spans="1:14" ht="15" hidden="1" customHeight="1" x14ac:dyDescent="0.25">
      <c r="B194" s="13" t="s">
        <v>35</v>
      </c>
      <c r="D194" s="1">
        <f>IFERROR(D188/D191,0)</f>
        <v>3</v>
      </c>
      <c r="E194" s="1">
        <f t="shared" ref="E194:H194" si="160">IFERROR(E188/E191,0)</f>
        <v>1</v>
      </c>
      <c r="F194" s="1">
        <f t="shared" si="160"/>
        <v>1</v>
      </c>
      <c r="G194" s="1">
        <f t="shared" si="160"/>
        <v>1</v>
      </c>
      <c r="H194" s="1">
        <f t="shared" si="160"/>
        <v>1</v>
      </c>
      <c r="M194" s="7">
        <f>K191/K188</f>
        <v>0.8</v>
      </c>
      <c r="N194" s="21" t="s">
        <v>45</v>
      </c>
    </row>
    <row r="195" spans="1:14" ht="15" hidden="1" customHeight="1" x14ac:dyDescent="0.25">
      <c r="B195" s="13" t="s">
        <v>41</v>
      </c>
      <c r="D195" s="1">
        <f>IFERROR(D189/D192,0)</f>
        <v>5.5</v>
      </c>
      <c r="E195" s="1">
        <f t="shared" ref="E195:H195" si="161">IFERROR(E189/E192,0)</f>
        <v>1</v>
      </c>
      <c r="F195" s="1">
        <f t="shared" si="161"/>
        <v>1</v>
      </c>
      <c r="G195" s="1">
        <f t="shared" si="161"/>
        <v>1</v>
      </c>
      <c r="H195" s="1">
        <f t="shared" si="161"/>
        <v>1</v>
      </c>
      <c r="M195" s="7">
        <f>K192/K189</f>
        <v>0.64</v>
      </c>
      <c r="N195" s="21" t="s">
        <v>24</v>
      </c>
    </row>
    <row r="196" spans="1:14" ht="15" hidden="1" customHeight="1" x14ac:dyDescent="0.25">
      <c r="B196" s="13" t="s">
        <v>6</v>
      </c>
      <c r="C196" s="38" t="s">
        <v>11</v>
      </c>
      <c r="D196" s="17">
        <v>0</v>
      </c>
      <c r="E196" s="17">
        <v>1000</v>
      </c>
      <c r="F196" s="17">
        <v>0</v>
      </c>
      <c r="G196" s="17">
        <v>0</v>
      </c>
      <c r="H196" s="17">
        <v>0</v>
      </c>
      <c r="J196" s="4">
        <f>SUM(D196:I196)</f>
        <v>1000</v>
      </c>
      <c r="K196">
        <f>SUMPRODUCT(D184:I184,D196:I196)</f>
        <v>1000</v>
      </c>
      <c r="N196" s="21"/>
    </row>
    <row r="197" spans="1:14" ht="15.75" hidden="1" customHeight="1" thickBot="1" x14ac:dyDescent="0.3">
      <c r="B197" s="16" t="s">
        <v>15</v>
      </c>
      <c r="C197" s="42"/>
      <c r="D197" s="10">
        <f t="shared" ref="D197:H197" si="162">IFERROR(D189/D196,0)</f>
        <v>0</v>
      </c>
      <c r="E197" s="10">
        <f t="shared" si="162"/>
        <v>0.2</v>
      </c>
      <c r="F197" s="10">
        <f t="shared" si="162"/>
        <v>0</v>
      </c>
      <c r="G197" s="10">
        <f t="shared" si="162"/>
        <v>0</v>
      </c>
      <c r="H197" s="10">
        <f t="shared" si="162"/>
        <v>0</v>
      </c>
      <c r="K197" s="22"/>
      <c r="L197" s="22"/>
      <c r="M197" s="11">
        <f>MAX(MIN(K189,$A$2*K196)/K192,1)</f>
        <v>1.4375</v>
      </c>
      <c r="N197" s="21" t="s">
        <v>86</v>
      </c>
    </row>
    <row r="198" spans="1:14" ht="16.5" hidden="1" customHeight="1" thickTop="1" thickBot="1" x14ac:dyDescent="0.3">
      <c r="B198" s="13" t="s">
        <v>38</v>
      </c>
      <c r="C198" s="38" t="s">
        <v>11</v>
      </c>
      <c r="D198" s="18">
        <f>IF(D184=1,(D187*$M193*$M197)+(D188*$M194*$M197),IF(D185=1,(D187/D193)+(D188/D194),D189))</f>
        <v>479.16666666666669</v>
      </c>
      <c r="E198" s="18">
        <f>IF(E184=1,(E187*$M193*$M197)+(E188*$M194*$M197),IF(E185=1,(E187/E193)+(E188/E194),E189))</f>
        <v>191.66666666666669</v>
      </c>
      <c r="F198" s="18">
        <f>IF(F184=1,(F187*$M193*$M197)+(F188*$M194*$M197),IF(F185=1,(F187/F193)+(F188/F194),F189))</f>
        <v>95.833333333333343</v>
      </c>
      <c r="G198" s="18">
        <f>IF(G184=1,(G187*$M193*$M197)+(G188*$M194*$M197),IF(G185=1,(G187/G193)+(G188/G194),G189))</f>
        <v>287.5</v>
      </c>
      <c r="H198" s="18">
        <f>IF(H184=1,(H187*$M193*$M197)+(H188*$M194*$M197),IF(H185=1,(H187/H193)+(H188/H194),H189))</f>
        <v>95.833333333333343</v>
      </c>
      <c r="J198" s="56">
        <f>SUM(D198:I198)</f>
        <v>1150</v>
      </c>
      <c r="K198" s="37">
        <f>SUMPRODUCT(D184:I184,D198:I198)</f>
        <v>1150</v>
      </c>
      <c r="L198" s="37"/>
      <c r="M198" s="38" t="str">
        <f>IF(K196&gt;K192,"Exhaust exception applies, ventilation up to "&amp;A2*100&amp;"% of exhaust flow allowed","")</f>
        <v>Exhaust exception applies, ventilation up to 115% of exhaust flow allowed</v>
      </c>
      <c r="N198" s="21"/>
    </row>
    <row r="199" spans="1:14" ht="15.75" hidden="1" customHeight="1" thickTop="1" x14ac:dyDescent="0.25">
      <c r="B199" s="13" t="s">
        <v>39</v>
      </c>
      <c r="C199" s="38" t="s">
        <v>11</v>
      </c>
      <c r="D199" s="5">
        <f t="shared" ref="D199:J199" si="163">D189-D198</f>
        <v>70.833333333333314</v>
      </c>
      <c r="E199" s="5">
        <f t="shared" si="163"/>
        <v>8.3333333333333144</v>
      </c>
      <c r="F199" s="5">
        <f t="shared" si="163"/>
        <v>4.1666666666666572</v>
      </c>
      <c r="G199" s="5">
        <f t="shared" si="163"/>
        <v>12.5</v>
      </c>
      <c r="H199" s="5">
        <f t="shared" si="163"/>
        <v>4.1666666666666572</v>
      </c>
      <c r="J199" s="4">
        <f t="shared" si="163"/>
        <v>100</v>
      </c>
    </row>
    <row r="200" spans="1:14" ht="15" hidden="1" customHeight="1" x14ac:dyDescent="0.25">
      <c r="B200" s="13" t="s">
        <v>42</v>
      </c>
      <c r="C200" s="40"/>
      <c r="D200" s="26">
        <f>IF(D185=1,D187/D193,D198)</f>
        <v>479.16666666666669</v>
      </c>
      <c r="E200" s="26">
        <f>IF(E185=1,E187/E193,E198)</f>
        <v>191.66666666666669</v>
      </c>
      <c r="F200" s="26">
        <f>IF(F185=1,F187/F193,F198)</f>
        <v>95.833333333333343</v>
      </c>
      <c r="G200" s="26">
        <f>IF(G185=1,G187/G193,G198)</f>
        <v>287.5</v>
      </c>
      <c r="H200" s="26">
        <f>IF(H185=1,H187/H193,H198)</f>
        <v>95.833333333333343</v>
      </c>
      <c r="J200" s="4">
        <f>SUM(D200:I200)</f>
        <v>1150</v>
      </c>
      <c r="K200" s="8"/>
      <c r="L200" s="8"/>
      <c r="N200" s="21"/>
    </row>
    <row r="201" spans="1:14" ht="15" hidden="1" customHeight="1" x14ac:dyDescent="0.25">
      <c r="B201" s="15" t="s">
        <v>43</v>
      </c>
      <c r="C201" s="40"/>
      <c r="D201" s="26">
        <f>IF(D185=1,D188/D194,0)</f>
        <v>0</v>
      </c>
      <c r="E201" s="26">
        <f>IF(E185=1,E188/E194,0)</f>
        <v>0</v>
      </c>
      <c r="F201" s="26">
        <f>IF(F185=1,F188/F194,0)</f>
        <v>0</v>
      </c>
      <c r="G201" s="26">
        <f>IF(G185=1,G188/G194,0)</f>
        <v>0</v>
      </c>
      <c r="H201" s="26">
        <f>IF(H185=1,H188/H194,0)</f>
        <v>0</v>
      </c>
      <c r="J201" s="4">
        <f>SUM(D201:I201)</f>
        <v>0</v>
      </c>
      <c r="K201" s="8"/>
      <c r="L201" s="8"/>
      <c r="N201" s="21"/>
    </row>
    <row r="202" spans="1:14" ht="15" hidden="1" customHeight="1" x14ac:dyDescent="0.25">
      <c r="B202" s="15"/>
      <c r="C202" s="40"/>
      <c r="D202" s="9"/>
      <c r="E202" s="9"/>
      <c r="F202" s="9"/>
      <c r="G202" s="9"/>
      <c r="H202" s="9"/>
      <c r="J202" s="6"/>
      <c r="K202" s="28"/>
      <c r="L202" s="28"/>
    </row>
    <row r="203" spans="1:14" ht="15" hidden="1" customHeight="1" x14ac:dyDescent="0.25">
      <c r="B203" s="15"/>
      <c r="C203" s="40"/>
      <c r="D203" s="9"/>
      <c r="E203" s="9"/>
      <c r="F203" s="9"/>
      <c r="G203" s="9"/>
      <c r="H203" s="9"/>
      <c r="J203" s="6"/>
      <c r="K203" s="28"/>
      <c r="L203" s="28"/>
    </row>
    <row r="204" spans="1:14" ht="18.75" x14ac:dyDescent="0.3">
      <c r="A204" s="89" t="s">
        <v>23</v>
      </c>
      <c r="B204" s="90"/>
      <c r="C204" s="91"/>
      <c r="D204" s="92"/>
      <c r="E204" s="92"/>
      <c r="F204" s="92"/>
      <c r="G204" s="92"/>
      <c r="H204" s="92"/>
      <c r="I204" s="92"/>
      <c r="J204" s="93"/>
      <c r="K204" s="92"/>
      <c r="L204" s="92"/>
      <c r="M204" s="92"/>
      <c r="N204" s="21"/>
    </row>
    <row r="205" spans="1:14" x14ac:dyDescent="0.25">
      <c r="A205" s="9" t="s">
        <v>21</v>
      </c>
      <c r="B205" s="8" t="s">
        <v>130</v>
      </c>
      <c r="N205" s="21"/>
    </row>
    <row r="206" spans="1:14" x14ac:dyDescent="0.25">
      <c r="A206" s="9" t="s">
        <v>18</v>
      </c>
      <c r="B206" s="20" t="s">
        <v>131</v>
      </c>
      <c r="N206" s="21"/>
    </row>
    <row r="207" spans="1:14" x14ac:dyDescent="0.25">
      <c r="A207" s="9"/>
      <c r="B207" s="20"/>
      <c r="N207" s="21"/>
    </row>
    <row r="208" spans="1:14" s="12" customFormat="1" ht="24" x14ac:dyDescent="0.25">
      <c r="A208" s="23"/>
      <c r="B208" s="13" t="s">
        <v>12</v>
      </c>
      <c r="C208" s="43"/>
      <c r="D208" s="48" t="s">
        <v>183</v>
      </c>
      <c r="E208" s="48"/>
      <c r="G208" s="48"/>
      <c r="H208" s="48" t="s">
        <v>183</v>
      </c>
      <c r="I208"/>
      <c r="J208" s="116" t="s">
        <v>5</v>
      </c>
      <c r="K208" s="117"/>
      <c r="L208" s="99"/>
      <c r="N208" s="25"/>
    </row>
    <row r="209" spans="1:14" ht="15.75" thickBot="1" x14ac:dyDescent="0.3">
      <c r="B209" s="32" t="s">
        <v>13</v>
      </c>
      <c r="C209" s="39"/>
      <c r="D209" s="33" t="s">
        <v>77</v>
      </c>
      <c r="E209" s="33" t="s">
        <v>78</v>
      </c>
      <c r="F209" s="33" t="s">
        <v>79</v>
      </c>
      <c r="G209" s="33" t="s">
        <v>80</v>
      </c>
      <c r="H209" s="33" t="s">
        <v>81</v>
      </c>
      <c r="J209" s="34" t="s">
        <v>16</v>
      </c>
      <c r="K209" s="35" t="s">
        <v>126</v>
      </c>
      <c r="L209" s="35" t="s">
        <v>122</v>
      </c>
      <c r="M209" s="35" t="s">
        <v>127</v>
      </c>
      <c r="N209" s="35" t="s">
        <v>128</v>
      </c>
    </row>
    <row r="210" spans="1:14" x14ac:dyDescent="0.25">
      <c r="B210" s="15" t="s">
        <v>49</v>
      </c>
      <c r="C210" s="40"/>
      <c r="D210" s="30">
        <v>1</v>
      </c>
      <c r="E210" s="30">
        <v>0</v>
      </c>
      <c r="F210" s="30">
        <v>0</v>
      </c>
      <c r="G210" s="30">
        <v>0</v>
      </c>
      <c r="H210" s="30">
        <v>1</v>
      </c>
      <c r="J210" s="46"/>
      <c r="K210" s="26"/>
      <c r="L210" s="26"/>
      <c r="M210" s="8"/>
      <c r="N210" s="21"/>
    </row>
    <row r="211" spans="1:14" x14ac:dyDescent="0.25">
      <c r="B211" s="15" t="s">
        <v>132</v>
      </c>
      <c r="C211" s="40"/>
      <c r="D211" s="30" t="s">
        <v>134</v>
      </c>
      <c r="E211" s="30" t="s">
        <v>134</v>
      </c>
      <c r="F211" s="30" t="s">
        <v>134</v>
      </c>
      <c r="G211" s="30" t="s">
        <v>134</v>
      </c>
      <c r="H211" s="30" t="s">
        <v>133</v>
      </c>
      <c r="J211" s="46"/>
      <c r="K211" s="26"/>
      <c r="L211" s="26"/>
      <c r="M211" s="8"/>
      <c r="N211" s="21"/>
    </row>
    <row r="212" spans="1:14" x14ac:dyDescent="0.25">
      <c r="B212" s="15" t="s">
        <v>184</v>
      </c>
      <c r="C212" s="40"/>
      <c r="D212" s="30">
        <v>1</v>
      </c>
      <c r="E212" s="30">
        <v>0</v>
      </c>
      <c r="F212" s="30">
        <v>0</v>
      </c>
      <c r="G212" s="30">
        <v>0</v>
      </c>
      <c r="H212" s="30">
        <v>1</v>
      </c>
      <c r="J212" s="46"/>
      <c r="K212" s="26"/>
      <c r="L212" s="26"/>
      <c r="M212" s="8"/>
      <c r="N212" s="21"/>
    </row>
    <row r="213" spans="1:14" x14ac:dyDescent="0.25">
      <c r="B213" s="15" t="s">
        <v>185</v>
      </c>
      <c r="C213" s="40"/>
      <c r="D213" s="30">
        <v>1</v>
      </c>
      <c r="E213" s="30">
        <v>0</v>
      </c>
      <c r="F213" s="30">
        <v>0</v>
      </c>
      <c r="G213" s="30">
        <v>0</v>
      </c>
      <c r="H213" s="30">
        <v>0</v>
      </c>
      <c r="J213" s="46"/>
      <c r="K213" s="26"/>
      <c r="L213" s="26"/>
      <c r="M213" s="8"/>
      <c r="N213" s="21"/>
    </row>
    <row r="214" spans="1:14" x14ac:dyDescent="0.25">
      <c r="B214" s="104" t="s">
        <v>129</v>
      </c>
      <c r="C214" s="44"/>
      <c r="D214" s="103">
        <f>IF(D210=1,0,1)</f>
        <v>0</v>
      </c>
      <c r="E214" s="103">
        <f>IF(E210=1,0,1)</f>
        <v>1</v>
      </c>
      <c r="F214" s="103">
        <f>IF(F210=1,0,1)</f>
        <v>1</v>
      </c>
      <c r="G214" s="103">
        <f>IF(G210=1,0,1)</f>
        <v>1</v>
      </c>
      <c r="H214" s="103">
        <f>IF(H210=1,0,1)</f>
        <v>0</v>
      </c>
      <c r="J214" s="46"/>
      <c r="K214" s="5"/>
      <c r="L214" s="5"/>
      <c r="N214" s="21"/>
    </row>
    <row r="215" spans="1:14" x14ac:dyDescent="0.25">
      <c r="B215" s="15" t="s">
        <v>72</v>
      </c>
      <c r="C215" s="38" t="s">
        <v>75</v>
      </c>
      <c r="D215" s="95">
        <v>1610.9</v>
      </c>
      <c r="E215" s="95">
        <v>1221.2</v>
      </c>
      <c r="F215" s="95">
        <v>724.4</v>
      </c>
      <c r="G215" s="95">
        <v>1221.2</v>
      </c>
      <c r="H215" s="95">
        <v>724.4</v>
      </c>
      <c r="J215" s="46"/>
      <c r="K215" s="5"/>
      <c r="L215" s="5"/>
      <c r="N215" s="21"/>
    </row>
    <row r="216" spans="1:14" x14ac:dyDescent="0.25">
      <c r="B216" s="15" t="s">
        <v>111</v>
      </c>
      <c r="C216" s="40" t="s">
        <v>112</v>
      </c>
      <c r="D216" s="107">
        <v>41</v>
      </c>
      <c r="E216" s="50">
        <v>10</v>
      </c>
      <c r="F216" s="50">
        <v>10</v>
      </c>
      <c r="G216" s="50">
        <v>10</v>
      </c>
      <c r="H216" s="50">
        <v>10</v>
      </c>
      <c r="J216" s="4"/>
      <c r="K216" s="5"/>
      <c r="L216" s="5"/>
      <c r="N216" s="21"/>
    </row>
    <row r="217" spans="1:14" x14ac:dyDescent="0.25">
      <c r="B217" s="14" t="s">
        <v>73</v>
      </c>
      <c r="C217" s="41" t="s">
        <v>74</v>
      </c>
      <c r="D217" s="77">
        <f>D215*D216/1000</f>
        <v>66.046900000000008</v>
      </c>
      <c r="E217" s="77">
        <f>E215*E216/1000</f>
        <v>12.212</v>
      </c>
      <c r="F217" s="77">
        <f>F215*F216/1000</f>
        <v>7.2439999999999998</v>
      </c>
      <c r="G217" s="77">
        <f>G215*G216/1000</f>
        <v>12.212</v>
      </c>
      <c r="H217" s="77">
        <f>H215*H216/1000</f>
        <v>7.2439999999999998</v>
      </c>
      <c r="J217" s="4"/>
      <c r="K217" s="5"/>
      <c r="L217" s="5"/>
      <c r="N217" s="21"/>
    </row>
    <row r="218" spans="1:14" x14ac:dyDescent="0.25">
      <c r="A218" s="118" t="s">
        <v>110</v>
      </c>
      <c r="B218" s="80" t="s">
        <v>87</v>
      </c>
      <c r="C218" s="38" t="s">
        <v>113</v>
      </c>
      <c r="D218" s="108">
        <v>0.1</v>
      </c>
      <c r="E218" s="58">
        <f t="shared" ref="E218:G218" si="164">E225</f>
        <v>0.06</v>
      </c>
      <c r="F218" s="58">
        <f t="shared" si="164"/>
        <v>0.06</v>
      </c>
      <c r="G218" s="58">
        <f t="shared" si="164"/>
        <v>0.06</v>
      </c>
      <c r="H218" s="58">
        <f>H215*H216/60/H215</f>
        <v>0.16666666666666669</v>
      </c>
      <c r="J218" s="4"/>
      <c r="K218" s="5"/>
      <c r="L218" s="5"/>
      <c r="N218" s="21"/>
    </row>
    <row r="219" spans="1:14" x14ac:dyDescent="0.25">
      <c r="A219" s="118"/>
      <c r="B219" s="80" t="s">
        <v>88</v>
      </c>
      <c r="C219" s="38" t="s">
        <v>76</v>
      </c>
      <c r="D219" s="94">
        <v>6</v>
      </c>
      <c r="E219" s="57">
        <f t="shared" ref="E219:G219" si="165">E226</f>
        <v>5</v>
      </c>
      <c r="F219" s="57">
        <f t="shared" si="165"/>
        <v>5</v>
      </c>
      <c r="G219" s="57">
        <f t="shared" si="165"/>
        <v>5</v>
      </c>
      <c r="H219" s="57">
        <v>25</v>
      </c>
      <c r="J219" s="4"/>
      <c r="K219" s="5"/>
      <c r="L219" s="5"/>
      <c r="N219" s="21"/>
    </row>
    <row r="220" spans="1:14" x14ac:dyDescent="0.25">
      <c r="A220" s="118"/>
      <c r="B220" s="80" t="s">
        <v>60</v>
      </c>
      <c r="C220"/>
      <c r="D220" s="50">
        <v>0.8</v>
      </c>
      <c r="E220" s="50">
        <f>D220</f>
        <v>0.8</v>
      </c>
      <c r="F220" s="50">
        <f t="shared" ref="F220" si="166">E220</f>
        <v>0.8</v>
      </c>
      <c r="G220" s="50">
        <f t="shared" ref="G220" si="167">F220</f>
        <v>0.8</v>
      </c>
      <c r="H220" s="50">
        <f t="shared" ref="H220" si="168">G220</f>
        <v>0.8</v>
      </c>
      <c r="N220" s="21"/>
    </row>
    <row r="221" spans="1:14" x14ac:dyDescent="0.25">
      <c r="A221" s="118"/>
      <c r="B221" s="80" t="s">
        <v>31</v>
      </c>
      <c r="C221" s="38" t="s">
        <v>11</v>
      </c>
      <c r="D221" s="72">
        <f>D215*D218/D220</f>
        <v>201.36250000000004</v>
      </c>
      <c r="E221" s="72">
        <f>E215*E218/E220</f>
        <v>91.59</v>
      </c>
      <c r="F221" s="72">
        <f>F215*F218/F220</f>
        <v>54.33</v>
      </c>
      <c r="G221" s="72">
        <f>G215*G218/G220</f>
        <v>91.59</v>
      </c>
      <c r="H221" s="72">
        <f>H215*H218/H220</f>
        <v>150.91666666666669</v>
      </c>
      <c r="J221" s="4">
        <f t="shared" ref="J221:J224" si="169">SUM(D221:I221)</f>
        <v>589.78916666666669</v>
      </c>
      <c r="K221" s="5">
        <f>SUMPRODUCT(D214:I214,D221:I221)</f>
        <v>237.51000000000002</v>
      </c>
      <c r="L221" s="5"/>
      <c r="N221" s="21"/>
    </row>
    <row r="222" spans="1:14" ht="15.75" thickBot="1" x14ac:dyDescent="0.3">
      <c r="A222" s="118"/>
      <c r="B222" s="86" t="s">
        <v>32</v>
      </c>
      <c r="C222" s="41" t="s">
        <v>11</v>
      </c>
      <c r="D222" s="87">
        <f>D217*D219/D220</f>
        <v>495.3517500000001</v>
      </c>
      <c r="E222" s="87">
        <f>E217*E219/E220</f>
        <v>76.325000000000003</v>
      </c>
      <c r="F222" s="87">
        <f>F217*F219/F220</f>
        <v>45.274999999999999</v>
      </c>
      <c r="G222" s="87">
        <f>G217*G219/G220</f>
        <v>76.325000000000003</v>
      </c>
      <c r="H222" s="87">
        <f>H217*H219/H220</f>
        <v>226.37499999999997</v>
      </c>
      <c r="J222" s="4">
        <f t="shared" si="169"/>
        <v>919.65175000000011</v>
      </c>
      <c r="K222" s="5">
        <f>SUMPRODUCT(D214:I214,D222:I222)</f>
        <v>197.92500000000001</v>
      </c>
      <c r="L222" s="5"/>
      <c r="N222" s="21"/>
    </row>
    <row r="223" spans="1:14" ht="16.5" thickTop="1" thickBot="1" x14ac:dyDescent="0.3">
      <c r="A223" s="118"/>
      <c r="B223" s="83" t="s">
        <v>64</v>
      </c>
      <c r="C223" s="38" t="s">
        <v>11</v>
      </c>
      <c r="D223" s="85">
        <f t="shared" ref="D223:G223" si="170">IF(AND(D210=1,D211="Maximum"),MAX(D221:D222),SUM(D221:D222))</f>
        <v>696.71425000000011</v>
      </c>
      <c r="E223" s="85">
        <f t="shared" si="170"/>
        <v>167.91500000000002</v>
      </c>
      <c r="F223" s="85">
        <f t="shared" si="170"/>
        <v>99.60499999999999</v>
      </c>
      <c r="G223" s="85">
        <f t="shared" si="170"/>
        <v>167.91500000000002</v>
      </c>
      <c r="H223" s="18">
        <f>IF(AND(H210=1,H211="Maximum"),MAX(H221:H222),SUM(H221:H222))</f>
        <v>226.37499999999997</v>
      </c>
      <c r="J223" s="55">
        <f t="shared" si="169"/>
        <v>1358.5242500000002</v>
      </c>
      <c r="K223" s="47">
        <f>SUMPRODUCT(D214:I214,D223:I223)</f>
        <v>435.435</v>
      </c>
      <c r="L223" s="47">
        <f>SUMPRODUCT(D210:I210,D223:I223)</f>
        <v>923.08925000000011</v>
      </c>
      <c r="N223" s="21"/>
    </row>
    <row r="224" spans="1:14" ht="16.5" thickTop="1" thickBot="1" x14ac:dyDescent="0.3">
      <c r="A224" s="118"/>
      <c r="B224" s="82" t="s">
        <v>108</v>
      </c>
      <c r="C224" s="41" t="s">
        <v>11</v>
      </c>
      <c r="D224" s="75">
        <f t="shared" ref="D224:G224" si="171">IF(D212=1,D221,D223)</f>
        <v>201.36250000000004</v>
      </c>
      <c r="E224" s="75">
        <f t="shared" si="171"/>
        <v>167.91500000000002</v>
      </c>
      <c r="F224" s="75">
        <f t="shared" si="171"/>
        <v>99.60499999999999</v>
      </c>
      <c r="G224" s="75">
        <f t="shared" si="171"/>
        <v>167.91500000000002</v>
      </c>
      <c r="H224" s="75">
        <f>IF(H212=1,H221,H223)</f>
        <v>150.91666666666669</v>
      </c>
      <c r="J224" s="55">
        <f t="shared" si="169"/>
        <v>787.71416666666687</v>
      </c>
      <c r="K224" s="47">
        <f>SUMPRODUCT(D214:I214,D224:I224)</f>
        <v>435.435</v>
      </c>
      <c r="L224" s="47">
        <f>SUMPRODUCT(D210:I210,D224:I224)</f>
        <v>352.2791666666667</v>
      </c>
      <c r="N224" s="21"/>
    </row>
    <row r="225" spans="1:14" ht="15.75" thickTop="1" x14ac:dyDescent="0.25">
      <c r="A225" s="119" t="s">
        <v>109</v>
      </c>
      <c r="B225" s="78" t="s">
        <v>89</v>
      </c>
      <c r="C225" s="38" t="s">
        <v>113</v>
      </c>
      <c r="D225" s="108">
        <v>0.08</v>
      </c>
      <c r="E225" s="58">
        <v>0.06</v>
      </c>
      <c r="F225" s="58">
        <v>0.06</v>
      </c>
      <c r="G225" s="58">
        <v>0.06</v>
      </c>
      <c r="H225" s="58">
        <f>H218</f>
        <v>0.16666666666666669</v>
      </c>
      <c r="J225" s="4"/>
      <c r="K225" s="5"/>
      <c r="L225" s="5"/>
      <c r="N225" s="21"/>
    </row>
    <row r="226" spans="1:14" x14ac:dyDescent="0.25">
      <c r="A226" s="119"/>
      <c r="B226" s="78" t="s">
        <v>90</v>
      </c>
      <c r="C226" s="38" t="s">
        <v>76</v>
      </c>
      <c r="D226" s="94">
        <v>5</v>
      </c>
      <c r="E226" s="57">
        <v>5</v>
      </c>
      <c r="F226" s="57">
        <v>5</v>
      </c>
      <c r="G226" s="57">
        <v>5</v>
      </c>
      <c r="H226" s="57">
        <v>20</v>
      </c>
      <c r="J226" s="4"/>
      <c r="K226" s="5"/>
      <c r="L226" s="5"/>
      <c r="N226" s="21"/>
    </row>
    <row r="227" spans="1:14" x14ac:dyDescent="0.25">
      <c r="A227" s="119"/>
      <c r="B227" s="78" t="s">
        <v>70</v>
      </c>
      <c r="C227"/>
      <c r="D227" s="73">
        <f>IF(AND(D220&gt;1,D210=0),1,D220)</f>
        <v>0.8</v>
      </c>
      <c r="E227" s="73">
        <f>IF(AND(E220&gt;1,E210=0),1,E220)</f>
        <v>0.8</v>
      </c>
      <c r="F227" s="73">
        <f>IF(AND(F220&gt;1,F210=0),1,F220)</f>
        <v>0.8</v>
      </c>
      <c r="G227" s="73">
        <f>IF(AND(G220&gt;1,G210=0),1,G220)</f>
        <v>0.8</v>
      </c>
      <c r="H227" s="73">
        <f>IF(AND(H220&gt;1,H210=0),1,H220)</f>
        <v>0.8</v>
      </c>
      <c r="N227" s="21"/>
    </row>
    <row r="228" spans="1:14" x14ac:dyDescent="0.25">
      <c r="A228" s="119"/>
      <c r="B228" s="79" t="s">
        <v>29</v>
      </c>
      <c r="C228" s="38" t="s">
        <v>11</v>
      </c>
      <c r="D228" s="72">
        <f>D215*D225/D227</f>
        <v>161.09</v>
      </c>
      <c r="E228" s="72">
        <f>E215*E225/E227</f>
        <v>91.59</v>
      </c>
      <c r="F228" s="72">
        <f>F215*F225/F227</f>
        <v>54.33</v>
      </c>
      <c r="G228" s="72">
        <f>G215*G225/G227</f>
        <v>91.59</v>
      </c>
      <c r="H228" s="72">
        <f>H215*H225/H227</f>
        <v>150.91666666666669</v>
      </c>
      <c r="J228" s="4">
        <f t="shared" ref="J228:J230" si="172">SUM(D228:I228)</f>
        <v>549.51666666666665</v>
      </c>
      <c r="K228" s="5">
        <f>SUMPRODUCT(D214:I214,D228:I228)</f>
        <v>237.51000000000002</v>
      </c>
      <c r="L228" s="5"/>
      <c r="N228" s="21"/>
    </row>
    <row r="229" spans="1:14" ht="15.75" thickBot="1" x14ac:dyDescent="0.3">
      <c r="A229" s="119"/>
      <c r="B229" s="88" t="s">
        <v>30</v>
      </c>
      <c r="C229" s="41" t="s">
        <v>11</v>
      </c>
      <c r="D229" s="87">
        <f>D217*D226/D227</f>
        <v>412.79312500000003</v>
      </c>
      <c r="E229" s="87">
        <f>E217*E226/E227</f>
        <v>76.325000000000003</v>
      </c>
      <c r="F229" s="87">
        <f>F217*F226/F227</f>
        <v>45.274999999999999</v>
      </c>
      <c r="G229" s="87">
        <f>G217*G226/G227</f>
        <v>76.325000000000003</v>
      </c>
      <c r="H229" s="87">
        <f>H217*H226/H227</f>
        <v>181.1</v>
      </c>
      <c r="J229" s="4">
        <f t="shared" si="172"/>
        <v>791.81812500000012</v>
      </c>
      <c r="K229" s="5">
        <f>SUMPRODUCT(D214:I214,D229:I229)</f>
        <v>197.92500000000001</v>
      </c>
      <c r="L229" s="5"/>
      <c r="N229" s="21"/>
    </row>
    <row r="230" spans="1:14" ht="16.5" thickTop="1" thickBot="1" x14ac:dyDescent="0.3">
      <c r="A230" s="119"/>
      <c r="B230" s="84" t="s">
        <v>106</v>
      </c>
      <c r="C230" s="38" t="s">
        <v>11</v>
      </c>
      <c r="D230" s="85">
        <f t="shared" ref="D230" si="173">IF(AND(D210=1,D211="Maximum"),MAX(D228:D229),SUM(D228:D229))</f>
        <v>573.88312500000006</v>
      </c>
      <c r="E230" s="85">
        <f t="shared" ref="E230" si="174">IF(AND(E210=1,E211="Maximum"),MAX(E228:E229),SUM(E228:E229))</f>
        <v>167.91500000000002</v>
      </c>
      <c r="F230" s="85">
        <f t="shared" ref="F230" si="175">IF(AND(F210=1,F211="Maximum"),MAX(F228:F229),SUM(F228:F229))</f>
        <v>99.60499999999999</v>
      </c>
      <c r="G230" s="85">
        <f t="shared" ref="G230" si="176">IF(AND(G210=1,G211="Maximum"),MAX(G228:G229),SUM(G228:G229))</f>
        <v>167.91500000000002</v>
      </c>
      <c r="H230" s="85">
        <f t="shared" ref="H230" si="177">IF(AND(H210=1,H211="Maximum"),MAX(H228:H229),SUM(H228:H229))</f>
        <v>181.1</v>
      </c>
      <c r="J230" s="55">
        <f t="shared" si="172"/>
        <v>1190.4181249999999</v>
      </c>
      <c r="K230" s="47">
        <f>SUMPRODUCT(D214:I214,D230:I230)</f>
        <v>435.435</v>
      </c>
      <c r="L230" s="47">
        <f>SUMPRODUCT(D210:I210,D230:I230)</f>
        <v>754.98312500000009</v>
      </c>
      <c r="N230" s="21"/>
    </row>
    <row r="231" spans="1:14" ht="16.5" thickTop="1" thickBot="1" x14ac:dyDescent="0.3">
      <c r="A231" s="119"/>
      <c r="B231" s="81" t="s">
        <v>107</v>
      </c>
      <c r="C231" s="41" t="s">
        <v>11</v>
      </c>
      <c r="D231" s="75">
        <f t="shared" ref="D231" si="178">IF(D213=1,D228,D230)</f>
        <v>161.09</v>
      </c>
      <c r="E231" s="75">
        <f t="shared" ref="E231" si="179">IF(E213=1,E228,E230)</f>
        <v>167.91500000000002</v>
      </c>
      <c r="F231" s="75">
        <f t="shared" ref="F231" si="180">IF(F213=1,F228,F230)</f>
        <v>99.60499999999999</v>
      </c>
      <c r="G231" s="75">
        <f t="shared" ref="G231" si="181">IF(G213=1,G228,G230)</f>
        <v>167.91500000000002</v>
      </c>
      <c r="H231" s="75">
        <f t="shared" ref="H231" si="182">IF(H213=1,H228,H230)</f>
        <v>181.1</v>
      </c>
      <c r="J231" s="55">
        <f t="shared" ref="J231" si="183">SUM(D231:I231)</f>
        <v>777.62500000000011</v>
      </c>
      <c r="K231" s="47">
        <f>SUMPRODUCT(D214:I214,D231:I231)</f>
        <v>435.435</v>
      </c>
      <c r="L231" s="47">
        <f>SUMPRODUCT(D210:I210,D231:I231)</f>
        <v>342.19</v>
      </c>
      <c r="M231" s="21" t="s">
        <v>123</v>
      </c>
      <c r="N231" s="21" t="s">
        <v>124</v>
      </c>
    </row>
    <row r="232" spans="1:14" ht="15.75" thickTop="1" x14ac:dyDescent="0.25">
      <c r="A232"/>
      <c r="B232" s="13" t="s">
        <v>58</v>
      </c>
      <c r="D232" s="1">
        <f>IFERROR(D223/D230,0)</f>
        <v>1.2140350877192982</v>
      </c>
      <c r="E232" s="1">
        <f>IFERROR(E223/E230,0)</f>
        <v>1</v>
      </c>
      <c r="F232" s="1">
        <f>IFERROR(F223/F230,0)</f>
        <v>1</v>
      </c>
      <c r="G232" s="1">
        <f>IFERROR(G223/G230,0)</f>
        <v>1</v>
      </c>
      <c r="H232" s="1">
        <f>IFERROR(H223/H230,0)</f>
        <v>1.2499999999999998</v>
      </c>
      <c r="J232" s="4"/>
      <c r="K232" s="5"/>
      <c r="L232" s="5"/>
      <c r="M232" s="67">
        <f>K230/K223</f>
        <v>1</v>
      </c>
      <c r="N232" s="67">
        <f>IFERROR(L230/L223,1)</f>
        <v>0.81788746321116834</v>
      </c>
    </row>
    <row r="233" spans="1:14" x14ac:dyDescent="0.25">
      <c r="A233"/>
      <c r="B233" s="13" t="s">
        <v>59</v>
      </c>
      <c r="C233" s="38" t="s">
        <v>11</v>
      </c>
      <c r="D233" s="17">
        <v>0</v>
      </c>
      <c r="E233" s="17">
        <v>0</v>
      </c>
      <c r="F233" s="17">
        <v>0</v>
      </c>
      <c r="G233" s="17">
        <v>0</v>
      </c>
      <c r="H233" s="17">
        <v>0</v>
      </c>
      <c r="J233" s="4">
        <f>SUM(D233:I233)</f>
        <v>0</v>
      </c>
      <c r="K233" s="5">
        <f>SUMPRODUCT(D214:I214,D233:I233)</f>
        <v>0</v>
      </c>
      <c r="L233" s="5">
        <f>SUMPRODUCT(D210:I210,D233:I233)</f>
        <v>0</v>
      </c>
      <c r="M233" s="21" t="s">
        <v>86</v>
      </c>
      <c r="N233" s="21" t="s">
        <v>125</v>
      </c>
    </row>
    <row r="234" spans="1:14" ht="15.75" thickBot="1" x14ac:dyDescent="0.3">
      <c r="A234"/>
      <c r="B234" s="16" t="s">
        <v>15</v>
      </c>
      <c r="C234" s="42"/>
      <c r="D234" s="10">
        <f>IFERROR(D223/D233,0)</f>
        <v>0</v>
      </c>
      <c r="E234" s="10">
        <f>IFERROR(E223/E233,0)</f>
        <v>0</v>
      </c>
      <c r="F234" s="10">
        <f>IFERROR(F223/F233,0)</f>
        <v>0</v>
      </c>
      <c r="G234" s="10">
        <f>IFERROR(G223/G233,0)</f>
        <v>0</v>
      </c>
      <c r="H234" s="10">
        <f>IFERROR(H223/H233,0)</f>
        <v>0</v>
      </c>
      <c r="J234" s="4"/>
      <c r="K234" s="74">
        <f>K233/K230</f>
        <v>0</v>
      </c>
      <c r="L234" s="74">
        <f>IFERROR(L233/L230,0)</f>
        <v>0</v>
      </c>
      <c r="M234" s="68">
        <f>MAX(MIN(K223,$A$2*K233)/K230,1)</f>
        <v>1</v>
      </c>
      <c r="N234" s="68">
        <f>IFERROR(MAX(MIN(L223,$A$2*L233)/L230,1),1)</f>
        <v>1</v>
      </c>
    </row>
    <row r="235" spans="1:14" ht="16.5" thickTop="1" thickBot="1" x14ac:dyDescent="0.3">
      <c r="A235"/>
      <c r="B235" s="15" t="s">
        <v>102</v>
      </c>
      <c r="C235" s="38" t="s">
        <v>11</v>
      </c>
      <c r="D235" s="18">
        <f>IF(D214=1,D223*$M232*$M234,D223*$N232*$N234)</f>
        <v>569.83385051557184</v>
      </c>
      <c r="E235" s="18">
        <f t="shared" ref="E235:H235" si="184">IF(E214=1,E223*$M232*$M234,E223*$N232*$N234)</f>
        <v>167.91500000000002</v>
      </c>
      <c r="F235" s="18">
        <f t="shared" si="184"/>
        <v>99.60499999999999</v>
      </c>
      <c r="G235" s="18">
        <f t="shared" si="184"/>
        <v>167.91500000000002</v>
      </c>
      <c r="H235" s="18">
        <f t="shared" si="184"/>
        <v>185.14927448442822</v>
      </c>
      <c r="J235" s="55">
        <f>SUM(D235:I235)</f>
        <v>1190.4181249999999</v>
      </c>
      <c r="K235" s="47">
        <f>SUMPRODUCT(D214:I214,D235:I235)</f>
        <v>435.435</v>
      </c>
      <c r="L235" s="47">
        <f>SUMPRODUCT(D210:I210,D235:I235)</f>
        <v>754.98312500000009</v>
      </c>
      <c r="M235" s="45" t="str">
        <f>IF(K233*$A$2&gt;K230,"Exhaust exception applies, ventilation up to "&amp;$A$2*100&amp;"% of exhaust flow allowed","")</f>
        <v/>
      </c>
      <c r="N235" s="21"/>
    </row>
    <row r="236" spans="1:14" ht="15.75" thickTop="1" x14ac:dyDescent="0.25">
      <c r="A236"/>
      <c r="B236" s="13" t="s">
        <v>65</v>
      </c>
      <c r="C236" s="38" t="s">
        <v>11</v>
      </c>
      <c r="D236" s="5">
        <f>D223-D235</f>
        <v>126.88039948442827</v>
      </c>
      <c r="E236" s="5">
        <f>E223-E235</f>
        <v>0</v>
      </c>
      <c r="F236" s="5">
        <f>F223-F235</f>
        <v>0</v>
      </c>
      <c r="G236" s="5">
        <f>G223-G235</f>
        <v>0</v>
      </c>
      <c r="H236" s="5">
        <f>H223-H235</f>
        <v>41.225725515571753</v>
      </c>
      <c r="J236" s="4">
        <f>J223-J235</f>
        <v>168.10612500000025</v>
      </c>
      <c r="K236" s="5"/>
      <c r="L236" s="5"/>
      <c r="M236" s="76" t="str">
        <f>IF(K233&gt;K230,"CHECK: "&amp;ROUND(K235/K233,3),"")</f>
        <v/>
      </c>
    </row>
    <row r="237" spans="1:14" x14ac:dyDescent="0.25">
      <c r="A237"/>
      <c r="B237" s="13"/>
      <c r="D237" s="5"/>
      <c r="E237" s="5"/>
      <c r="F237" s="5"/>
      <c r="G237" s="5"/>
      <c r="H237" s="5"/>
      <c r="J237" s="4"/>
      <c r="K237" s="5"/>
      <c r="L237" s="5"/>
    </row>
    <row r="238" spans="1:14" x14ac:dyDescent="0.25">
      <c r="A238"/>
      <c r="B238" s="51" t="s">
        <v>61</v>
      </c>
      <c r="C238" s="2"/>
      <c r="D238" s="52">
        <v>1</v>
      </c>
      <c r="E238" s="53">
        <f>$D238</f>
        <v>1</v>
      </c>
      <c r="F238" s="53">
        <f>$D238</f>
        <v>1</v>
      </c>
      <c r="G238" s="53">
        <f>$D238</f>
        <v>1</v>
      </c>
      <c r="H238" s="53">
        <v>1</v>
      </c>
      <c r="N238" s="21"/>
    </row>
    <row r="239" spans="1:14" x14ac:dyDescent="0.25">
      <c r="A239"/>
      <c r="B239" s="13" t="s">
        <v>67</v>
      </c>
      <c r="C239" s="38" t="s">
        <v>11</v>
      </c>
      <c r="D239" s="5">
        <f>D223/D238</f>
        <v>696.71425000000011</v>
      </c>
      <c r="E239" s="5">
        <f>E223/E238</f>
        <v>167.91500000000002</v>
      </c>
      <c r="F239" s="5">
        <f>F223/F238</f>
        <v>99.60499999999999</v>
      </c>
      <c r="G239" s="5">
        <f>G223/G238</f>
        <v>167.91500000000002</v>
      </c>
      <c r="H239" s="5">
        <f>H223/H238</f>
        <v>226.37499999999997</v>
      </c>
      <c r="J239" s="4">
        <f t="shared" ref="J239" si="185">SUM(D239:I239)</f>
        <v>1358.5242500000002</v>
      </c>
      <c r="K239" s="5">
        <f>SUMPRODUCT(D214:I214,D239:I239)</f>
        <v>435.435</v>
      </c>
      <c r="L239" s="5">
        <f>SUMPRODUCT(D210:I210,D239:I239)</f>
        <v>923.08925000000011</v>
      </c>
    </row>
    <row r="240" spans="1:14" x14ac:dyDescent="0.25">
      <c r="A240"/>
      <c r="B240" s="59" t="s">
        <v>68</v>
      </c>
      <c r="C240" s="60"/>
      <c r="D240" s="66">
        <f>IF(D212=1,D221/D238/D215,D239/D215)</f>
        <v>0.12500000000000003</v>
      </c>
      <c r="E240" s="66">
        <f>IF(E212=1,E221/E238/E215,E239/E215)</f>
        <v>0.13750000000000001</v>
      </c>
      <c r="F240" s="66">
        <f>IF(F212=1,F221/F238/F215,F239/F215)</f>
        <v>0.13749999999999998</v>
      </c>
      <c r="G240" s="66">
        <f>IF(G212=1,G221/G238/G215,G239/G215)</f>
        <v>0.13750000000000001</v>
      </c>
      <c r="H240" s="66">
        <f>IF(H212=1,H221/H238/H215,H239/H215)</f>
        <v>0.20833333333333337</v>
      </c>
      <c r="I240" s="61"/>
      <c r="J240" s="62">
        <f>SUMPRODUCT(D240:H240,D215:H215)</f>
        <v>787.71416666666687</v>
      </c>
      <c r="K240" s="63">
        <f>SUMPRODUCT(D214:I214,D215:I215,D240:I240)</f>
        <v>435.435</v>
      </c>
      <c r="L240" s="63">
        <f>SUMPRODUCT(D210:I210,D215:I215,D240:I240)</f>
        <v>352.27916666666675</v>
      </c>
      <c r="M240" s="61"/>
    </row>
    <row r="241" spans="1:14" x14ac:dyDescent="0.25">
      <c r="A241"/>
      <c r="B241" s="64" t="s">
        <v>69</v>
      </c>
      <c r="C241" s="60"/>
      <c r="D241" s="66">
        <f>IF(D212=1,D219/D220,0)</f>
        <v>7.5</v>
      </c>
      <c r="E241" s="66">
        <f t="shared" ref="E241:I241" si="186">IF(E212=1,E219/E220,0)</f>
        <v>0</v>
      </c>
      <c r="F241" s="66">
        <f t="shared" si="186"/>
        <v>0</v>
      </c>
      <c r="G241" s="66">
        <f t="shared" si="186"/>
        <v>0</v>
      </c>
      <c r="H241" s="66">
        <f t="shared" si="186"/>
        <v>31.25</v>
      </c>
      <c r="I241" s="66">
        <f t="shared" si="186"/>
        <v>0</v>
      </c>
      <c r="J241" s="62">
        <f>SUMPRODUCT(D241:H241,D216:H216)</f>
        <v>620</v>
      </c>
      <c r="K241" s="63">
        <f>SUMPRODUCT(D214:I214,D216:I216,D241:I241)</f>
        <v>0</v>
      </c>
      <c r="L241" s="63">
        <f>SUMPRODUCT(D210:I210,D216:I216,D241:I241)</f>
        <v>620</v>
      </c>
      <c r="M241" s="61"/>
    </row>
    <row r="242" spans="1:14" x14ac:dyDescent="0.25">
      <c r="A242"/>
      <c r="B242" s="13" t="s">
        <v>66</v>
      </c>
      <c r="C242" s="38" t="s">
        <v>11</v>
      </c>
      <c r="D242" s="5">
        <f>D235/D238</f>
        <v>569.83385051557184</v>
      </c>
      <c r="E242" s="5">
        <f>E235/E238</f>
        <v>167.91500000000002</v>
      </c>
      <c r="F242" s="5">
        <f>F235/F238</f>
        <v>99.60499999999999</v>
      </c>
      <c r="G242" s="5">
        <f>G235/G238</f>
        <v>167.91500000000002</v>
      </c>
      <c r="H242" s="5">
        <f>H235/H238</f>
        <v>185.14927448442822</v>
      </c>
      <c r="J242" s="4">
        <f t="shared" ref="J242" si="187">SUM(D242:I242)</f>
        <v>1190.4181249999999</v>
      </c>
      <c r="K242" s="5">
        <f>SUMPRODUCT(D214:I214,D242:I242)</f>
        <v>435.435</v>
      </c>
      <c r="L242" s="5">
        <f>SUMPRODUCT(D210:I210,D242:I242)</f>
        <v>754.98312500000009</v>
      </c>
      <c r="M242" s="54"/>
    </row>
    <row r="243" spans="1:14" x14ac:dyDescent="0.25">
      <c r="A243"/>
      <c r="B243" s="59" t="s">
        <v>62</v>
      </c>
      <c r="C243" s="60"/>
      <c r="D243" s="66">
        <f>IF(D213=1,D225/D227/D238,D242/D215)</f>
        <v>9.9999999999999992E-2</v>
      </c>
      <c r="E243" s="66">
        <f t="shared" ref="E243:G243" si="188">IF(E213=1,E225/E227/E238,E242/E215)</f>
        <v>0.13750000000000001</v>
      </c>
      <c r="F243" s="66">
        <f t="shared" si="188"/>
        <v>0.13749999999999998</v>
      </c>
      <c r="G243" s="66">
        <f t="shared" si="188"/>
        <v>0.13750000000000001</v>
      </c>
      <c r="H243" s="66">
        <f>IF(H213=1,H225/H227/H238,H242/H215)</f>
        <v>0.25558983225349008</v>
      </c>
      <c r="I243" s="61"/>
      <c r="J243" s="62">
        <f>SUMPRODUCT(D243:I243,D215:I215)</f>
        <v>781.67427448442834</v>
      </c>
      <c r="K243" s="63">
        <f>SUMPRODUCT(D214:I214,D215:I215,D243:I243)</f>
        <v>435.435</v>
      </c>
      <c r="L243" s="63">
        <f>SUMPRODUCT(D210:I210,D215:I215,D243:I243)</f>
        <v>346.23927448442822</v>
      </c>
      <c r="M243" s="61"/>
    </row>
    <row r="244" spans="1:14" x14ac:dyDescent="0.25">
      <c r="A244"/>
      <c r="B244" s="64" t="s">
        <v>63</v>
      </c>
      <c r="C244" s="60"/>
      <c r="D244" s="66">
        <f t="shared" ref="D244:G244" si="189">IF(D213=1,IF(AND(D210=1,D211="Maximum"),D226*$N232*$N234,(D242-D243*D215)/D217),0)</f>
        <v>6.1886909228983003</v>
      </c>
      <c r="E244" s="66">
        <f t="shared" si="189"/>
        <v>0</v>
      </c>
      <c r="F244" s="66">
        <f t="shared" si="189"/>
        <v>0</v>
      </c>
      <c r="G244" s="66">
        <f t="shared" si="189"/>
        <v>0</v>
      </c>
      <c r="H244" s="66">
        <f>IF(H213=1,IF(AND(H210=1,H211="Maximum"),H219*$N232*$N234/H227,(H242-H243*H215)/H217),0)</f>
        <v>0</v>
      </c>
      <c r="I244" s="61"/>
      <c r="J244" s="62">
        <f>SUMPRODUCT(D244:I244,D216:I216)</f>
        <v>253.73632783883031</v>
      </c>
      <c r="K244" s="63">
        <f>SUMPRODUCT(D214:I214,D216:I216,D244:I244)</f>
        <v>0</v>
      </c>
      <c r="L244" s="63">
        <f>SUMPRODUCT(D210:I210,D216:I216,D244:I244)</f>
        <v>253.73632783883031</v>
      </c>
      <c r="M244" s="61"/>
      <c r="N244" s="21"/>
    </row>
    <row r="245" spans="1:14" x14ac:dyDescent="0.25">
      <c r="B245" s="59" t="s">
        <v>186</v>
      </c>
      <c r="C245" s="110"/>
      <c r="D245" s="111">
        <f t="shared" ref="D245" si="190">IF(D211="Maximum",MAX(D243*D215,D244*D217),D243*D215+D244*D217)</f>
        <v>569.83385051557184</v>
      </c>
      <c r="E245" s="111">
        <f t="shared" ref="E245" si="191">IF(E211="Maximum",MAX(E243*E215,E244*E217),E243*E215+E244*E217)</f>
        <v>167.91500000000002</v>
      </c>
      <c r="F245" s="111">
        <f t="shared" ref="F245" si="192">IF(F211="Maximum",MAX(F243*F215,F244*F217),F243*F215+F244*F217)</f>
        <v>99.60499999999999</v>
      </c>
      <c r="G245" s="111">
        <f t="shared" ref="G245" si="193">IF(G211="Maximum",MAX(G243*G215,G244*G217),G243*G215+G244*G217)</f>
        <v>167.91500000000002</v>
      </c>
      <c r="H245" s="111">
        <f t="shared" ref="H245" si="194">IF(H211="Maximum",MAX(H243*H215,H244*H217),H243*H215+H244*H217)</f>
        <v>185.14927448442822</v>
      </c>
    </row>
    <row r="246" spans="1:14" x14ac:dyDescent="0.25">
      <c r="H246" s="109"/>
    </row>
    <row r="247" spans="1:14" ht="18.75" x14ac:dyDescent="0.3">
      <c r="A247" s="89" t="s">
        <v>33</v>
      </c>
      <c r="B247" s="90"/>
      <c r="C247" s="91"/>
      <c r="D247" s="92"/>
      <c r="E247" s="92"/>
      <c r="F247" s="92"/>
      <c r="G247" s="92"/>
      <c r="H247" s="92"/>
      <c r="I247" s="92"/>
      <c r="J247" s="93"/>
      <c r="K247" s="92"/>
      <c r="L247" s="92"/>
      <c r="M247" s="92"/>
      <c r="N247" s="21"/>
    </row>
    <row r="248" spans="1:14" x14ac:dyDescent="0.25">
      <c r="A248" s="9" t="s">
        <v>21</v>
      </c>
      <c r="B248" s="8" t="s">
        <v>114</v>
      </c>
      <c r="N248" s="21"/>
    </row>
    <row r="249" spans="1:14" x14ac:dyDescent="0.25">
      <c r="A249" s="9" t="s">
        <v>18</v>
      </c>
      <c r="B249" s="20" t="s">
        <v>115</v>
      </c>
      <c r="N249" s="21"/>
    </row>
    <row r="250" spans="1:14" x14ac:dyDescent="0.25">
      <c r="A250" s="9"/>
      <c r="B250" s="20"/>
      <c r="N250" s="21"/>
    </row>
    <row r="251" spans="1:14" s="12" customFormat="1" ht="24" x14ac:dyDescent="0.25">
      <c r="A251" s="23"/>
      <c r="B251" s="13" t="s">
        <v>12</v>
      </c>
      <c r="C251" s="43"/>
      <c r="D251" s="48" t="s">
        <v>51</v>
      </c>
      <c r="E251" s="48"/>
      <c r="F251" s="48"/>
      <c r="H251" s="48"/>
      <c r="I251"/>
      <c r="J251" s="116" t="s">
        <v>5</v>
      </c>
      <c r="K251" s="117"/>
      <c r="L251" s="102"/>
      <c r="N251" s="25"/>
    </row>
    <row r="252" spans="1:14" ht="15.75" thickBot="1" x14ac:dyDescent="0.3">
      <c r="B252" s="32" t="s">
        <v>13</v>
      </c>
      <c r="C252" s="39"/>
      <c r="D252" s="33" t="s">
        <v>77</v>
      </c>
      <c r="E252" s="33" t="s">
        <v>78</v>
      </c>
      <c r="F252" s="33" t="s">
        <v>79</v>
      </c>
      <c r="G252" s="33" t="s">
        <v>80</v>
      </c>
      <c r="H252" s="33" t="s">
        <v>81</v>
      </c>
      <c r="J252" s="34" t="s">
        <v>16</v>
      </c>
      <c r="K252" s="35" t="s">
        <v>126</v>
      </c>
      <c r="L252" s="35" t="s">
        <v>122</v>
      </c>
      <c r="M252" s="35" t="s">
        <v>127</v>
      </c>
      <c r="N252" s="35" t="s">
        <v>128</v>
      </c>
    </row>
    <row r="253" spans="1:14" x14ac:dyDescent="0.25">
      <c r="B253" s="15" t="s">
        <v>49</v>
      </c>
      <c r="C253" s="40"/>
      <c r="D253" s="30">
        <v>0</v>
      </c>
      <c r="E253" s="30">
        <v>0</v>
      </c>
      <c r="F253" s="30">
        <v>0</v>
      </c>
      <c r="G253" s="30">
        <v>0</v>
      </c>
      <c r="H253" s="30">
        <v>0</v>
      </c>
      <c r="J253" s="46"/>
      <c r="K253" s="26"/>
      <c r="L253" s="26"/>
      <c r="M253" s="8"/>
      <c r="N253" s="21"/>
    </row>
    <row r="254" spans="1:14" x14ac:dyDescent="0.25">
      <c r="B254" s="15" t="s">
        <v>132</v>
      </c>
      <c r="C254" s="40"/>
      <c r="D254" s="30" t="s">
        <v>134</v>
      </c>
      <c r="E254" s="30" t="s">
        <v>134</v>
      </c>
      <c r="F254" s="30" t="s">
        <v>134</v>
      </c>
      <c r="G254" s="30" t="s">
        <v>134</v>
      </c>
      <c r="H254" s="30" t="s">
        <v>134</v>
      </c>
      <c r="J254" s="46"/>
      <c r="K254" s="26"/>
      <c r="L254" s="26"/>
      <c r="M254" s="8"/>
      <c r="N254" s="21"/>
    </row>
    <row r="255" spans="1:14" x14ac:dyDescent="0.25">
      <c r="B255" s="15" t="s">
        <v>184</v>
      </c>
      <c r="C255" s="40"/>
      <c r="D255" s="97">
        <v>1</v>
      </c>
      <c r="E255" s="30">
        <v>0</v>
      </c>
      <c r="F255" s="30">
        <v>0</v>
      </c>
      <c r="G255" s="30">
        <v>0</v>
      </c>
      <c r="H255" s="30">
        <v>0</v>
      </c>
      <c r="J255" s="46"/>
      <c r="K255" s="26"/>
      <c r="L255" s="26"/>
      <c r="M255" s="8"/>
      <c r="N255" s="21"/>
    </row>
    <row r="256" spans="1:14" x14ac:dyDescent="0.25">
      <c r="B256" s="15" t="s">
        <v>185</v>
      </c>
      <c r="C256" s="40"/>
      <c r="D256" s="30">
        <v>1</v>
      </c>
      <c r="E256" s="30">
        <v>0</v>
      </c>
      <c r="F256" s="30">
        <v>0</v>
      </c>
      <c r="G256" s="30">
        <v>0</v>
      </c>
      <c r="H256" s="30">
        <v>0</v>
      </c>
      <c r="J256" s="46"/>
      <c r="K256" s="26"/>
      <c r="L256" s="26"/>
      <c r="M256" s="8"/>
      <c r="N256" s="21"/>
    </row>
    <row r="257" spans="1:14" x14ac:dyDescent="0.25">
      <c r="B257" s="104" t="s">
        <v>129</v>
      </c>
      <c r="C257" s="44"/>
      <c r="D257" s="103">
        <f>IF(D253=1,0,1)</f>
        <v>1</v>
      </c>
      <c r="E257" s="103">
        <f>IF(E253=1,0,1)</f>
        <v>1</v>
      </c>
      <c r="F257" s="103">
        <f>IF(F253=1,0,1)</f>
        <v>1</v>
      </c>
      <c r="G257" s="103">
        <f>IF(G253=1,0,1)</f>
        <v>1</v>
      </c>
      <c r="H257" s="103">
        <f>IF(H253=1,0,1)</f>
        <v>1</v>
      </c>
      <c r="J257" s="46"/>
      <c r="K257" s="5"/>
      <c r="L257" s="5"/>
      <c r="N257" s="21"/>
    </row>
    <row r="258" spans="1:14" x14ac:dyDescent="0.25">
      <c r="B258" s="15" t="s">
        <v>72</v>
      </c>
      <c r="C258" s="38" t="s">
        <v>75</v>
      </c>
      <c r="D258" s="95">
        <v>1610.9</v>
      </c>
      <c r="E258" s="95">
        <v>1221.2</v>
      </c>
      <c r="F258" s="95">
        <v>724.4</v>
      </c>
      <c r="G258" s="95">
        <v>1221.2</v>
      </c>
      <c r="H258" s="95">
        <v>724.4</v>
      </c>
      <c r="J258" s="46"/>
      <c r="K258" s="5"/>
      <c r="L258" s="5"/>
      <c r="N258" s="21"/>
    </row>
    <row r="259" spans="1:14" x14ac:dyDescent="0.25">
      <c r="B259" s="15" t="s">
        <v>111</v>
      </c>
      <c r="C259" s="40" t="s">
        <v>112</v>
      </c>
      <c r="D259" s="50">
        <v>66.67</v>
      </c>
      <c r="E259" s="50">
        <v>10</v>
      </c>
      <c r="F259" s="50">
        <v>10</v>
      </c>
      <c r="G259" s="50">
        <v>10</v>
      </c>
      <c r="H259" s="50">
        <v>10</v>
      </c>
      <c r="J259" s="4"/>
      <c r="K259" s="5"/>
      <c r="L259" s="5"/>
      <c r="N259" s="21"/>
    </row>
    <row r="260" spans="1:14" x14ac:dyDescent="0.25">
      <c r="A260" s="2"/>
      <c r="B260" s="14" t="s">
        <v>73</v>
      </c>
      <c r="C260" s="41" t="s">
        <v>74</v>
      </c>
      <c r="D260" s="77">
        <f>D258*D259/1000</f>
        <v>107.39870300000001</v>
      </c>
      <c r="E260" s="77">
        <f>E258*E259/1000</f>
        <v>12.212</v>
      </c>
      <c r="F260" s="77">
        <f>F258*F259/1000</f>
        <v>7.2439999999999998</v>
      </c>
      <c r="G260" s="77">
        <f>G258*G259/1000</f>
        <v>12.212</v>
      </c>
      <c r="H260" s="77">
        <f>H258*H259/1000</f>
        <v>7.2439999999999998</v>
      </c>
      <c r="J260" s="4"/>
      <c r="K260" s="5"/>
      <c r="L260" s="5"/>
      <c r="N260" s="21"/>
    </row>
    <row r="261" spans="1:14" x14ac:dyDescent="0.25">
      <c r="A261" s="120" t="s">
        <v>110</v>
      </c>
      <c r="B261" s="80" t="s">
        <v>87</v>
      </c>
      <c r="C261" s="38" t="s">
        <v>113</v>
      </c>
      <c r="D261" s="58">
        <f>D268</f>
        <v>0.18</v>
      </c>
      <c r="E261" s="58">
        <v>0.06</v>
      </c>
      <c r="F261" s="58">
        <v>0.06</v>
      </c>
      <c r="G261" s="58">
        <v>0.06</v>
      </c>
      <c r="H261" s="58">
        <v>0.06</v>
      </c>
      <c r="J261" s="4"/>
      <c r="K261" s="5"/>
      <c r="L261" s="5"/>
      <c r="N261" s="21"/>
    </row>
    <row r="262" spans="1:14" x14ac:dyDescent="0.25">
      <c r="A262" s="118"/>
      <c r="B262" s="80" t="s">
        <v>88</v>
      </c>
      <c r="C262" s="38" t="s">
        <v>76</v>
      </c>
      <c r="D262" s="94">
        <v>10</v>
      </c>
      <c r="E262" s="57">
        <v>5</v>
      </c>
      <c r="F262" s="57">
        <v>5</v>
      </c>
      <c r="G262" s="57">
        <v>5</v>
      </c>
      <c r="H262" s="57">
        <v>5</v>
      </c>
      <c r="J262" s="4"/>
      <c r="K262" s="5"/>
      <c r="L262" s="5"/>
      <c r="N262" s="21"/>
    </row>
    <row r="263" spans="1:14" x14ac:dyDescent="0.25">
      <c r="A263" s="118"/>
      <c r="B263" s="80" t="s">
        <v>60</v>
      </c>
      <c r="C263"/>
      <c r="D263" s="50">
        <v>0.8</v>
      </c>
      <c r="E263" s="50">
        <f>D263</f>
        <v>0.8</v>
      </c>
      <c r="F263" s="50">
        <f t="shared" ref="F263" si="195">E263</f>
        <v>0.8</v>
      </c>
      <c r="G263" s="50">
        <f t="shared" ref="G263" si="196">F263</f>
        <v>0.8</v>
      </c>
      <c r="H263" s="50">
        <f t="shared" ref="H263" si="197">G263</f>
        <v>0.8</v>
      </c>
      <c r="N263" s="21"/>
    </row>
    <row r="264" spans="1:14" x14ac:dyDescent="0.25">
      <c r="A264" s="118"/>
      <c r="B264" s="80" t="s">
        <v>31</v>
      </c>
      <c r="C264" s="38" t="s">
        <v>11</v>
      </c>
      <c r="D264" s="72">
        <f>D258*D261/D263</f>
        <v>362.45249999999999</v>
      </c>
      <c r="E264" s="72">
        <f>E258*E261/E263</f>
        <v>91.59</v>
      </c>
      <c r="F264" s="72">
        <f>F258*F261/F263</f>
        <v>54.33</v>
      </c>
      <c r="G264" s="72">
        <f>G258*G261/G263</f>
        <v>91.59</v>
      </c>
      <c r="H264" s="72">
        <f>H258*H261/H263</f>
        <v>54.33</v>
      </c>
      <c r="J264" s="4">
        <f t="shared" ref="J264:J267" si="198">SUM(D264:I264)</f>
        <v>654.29250000000002</v>
      </c>
      <c r="K264" s="5">
        <f>SUMPRODUCT(D257:I257,D264:I264)</f>
        <v>654.29250000000002</v>
      </c>
      <c r="L264" s="5"/>
      <c r="N264" s="21"/>
    </row>
    <row r="265" spans="1:14" ht="15.75" thickBot="1" x14ac:dyDescent="0.3">
      <c r="A265" s="118"/>
      <c r="B265" s="86" t="s">
        <v>32</v>
      </c>
      <c r="C265" s="41" t="s">
        <v>11</v>
      </c>
      <c r="D265" s="87">
        <f>D260*D262/D263</f>
        <v>1342.4837875000003</v>
      </c>
      <c r="E265" s="87">
        <f>E260*E262/E263</f>
        <v>76.325000000000003</v>
      </c>
      <c r="F265" s="87">
        <f>F260*F262/F263</f>
        <v>45.274999999999999</v>
      </c>
      <c r="G265" s="87">
        <f>G260*G262/G263</f>
        <v>76.325000000000003</v>
      </c>
      <c r="H265" s="87">
        <f>H260*H262/H263</f>
        <v>45.274999999999999</v>
      </c>
      <c r="J265" s="4">
        <f t="shared" si="198"/>
        <v>1585.6837875000006</v>
      </c>
      <c r="K265" s="5">
        <f>SUMPRODUCT(D257:I257,D265:I265)</f>
        <v>1585.6837875000006</v>
      </c>
      <c r="L265" s="5"/>
      <c r="N265" s="21"/>
    </row>
    <row r="266" spans="1:14" ht="16.5" thickTop="1" thickBot="1" x14ac:dyDescent="0.3">
      <c r="A266" s="118"/>
      <c r="B266" s="83" t="s">
        <v>64</v>
      </c>
      <c r="C266" s="38" t="s">
        <v>11</v>
      </c>
      <c r="D266" s="85">
        <f t="shared" ref="D266:H266" si="199">SUM(D264:D265)</f>
        <v>1704.9362875000002</v>
      </c>
      <c r="E266" s="85">
        <f t="shared" si="199"/>
        <v>167.91500000000002</v>
      </c>
      <c r="F266" s="85">
        <f t="shared" si="199"/>
        <v>99.60499999999999</v>
      </c>
      <c r="G266" s="85">
        <f t="shared" si="199"/>
        <v>167.91500000000002</v>
      </c>
      <c r="H266" s="85">
        <f t="shared" si="199"/>
        <v>99.60499999999999</v>
      </c>
      <c r="J266" s="55">
        <f t="shared" si="198"/>
        <v>2239.9762875000001</v>
      </c>
      <c r="K266" s="47">
        <f>SUMPRODUCT(D257:I257,D266:I266)</f>
        <v>2239.9762875000001</v>
      </c>
      <c r="L266" s="47">
        <f>SUMPRODUCT(D253:I253,D266:I266)</f>
        <v>0</v>
      </c>
      <c r="N266" s="21"/>
    </row>
    <row r="267" spans="1:14" ht="16.5" thickTop="1" thickBot="1" x14ac:dyDescent="0.3">
      <c r="A267" s="118"/>
      <c r="B267" s="82" t="s">
        <v>108</v>
      </c>
      <c r="C267" s="41" t="s">
        <v>11</v>
      </c>
      <c r="D267" s="75">
        <f>IF(D255=1,D264,D266)</f>
        <v>362.45249999999999</v>
      </c>
      <c r="E267" s="75">
        <f>IF(E255=1,E264,E266)</f>
        <v>167.91500000000002</v>
      </c>
      <c r="F267" s="75">
        <f>IF(F255=1,F264,F266)</f>
        <v>99.60499999999999</v>
      </c>
      <c r="G267" s="75">
        <f>IF(G255=1,G264,G266)</f>
        <v>167.91500000000002</v>
      </c>
      <c r="H267" s="75">
        <f>IF(H255=1,H264,H266)</f>
        <v>99.60499999999999</v>
      </c>
      <c r="J267" s="55">
        <f t="shared" si="198"/>
        <v>897.49250000000006</v>
      </c>
      <c r="K267" s="47">
        <f>SUMPRODUCT(D257:I257,D267:I267)</f>
        <v>897.49250000000006</v>
      </c>
      <c r="L267" s="47">
        <f>SUMPRODUCT(D253:I253,D267:I267)</f>
        <v>0</v>
      </c>
      <c r="N267" s="21"/>
    </row>
    <row r="268" spans="1:14" ht="15.75" thickTop="1" x14ac:dyDescent="0.25">
      <c r="A268" s="119" t="s">
        <v>109</v>
      </c>
      <c r="B268" s="78" t="s">
        <v>89</v>
      </c>
      <c r="C268" s="38" t="s">
        <v>113</v>
      </c>
      <c r="D268" s="58">
        <v>0.18</v>
      </c>
      <c r="E268" s="58">
        <v>0.06</v>
      </c>
      <c r="F268" s="58">
        <v>0.06</v>
      </c>
      <c r="G268" s="58">
        <v>0.06</v>
      </c>
      <c r="H268" s="58">
        <v>0.06</v>
      </c>
      <c r="J268" s="4"/>
      <c r="K268" s="5"/>
      <c r="L268" s="5"/>
      <c r="N268" s="21"/>
    </row>
    <row r="269" spans="1:14" x14ac:dyDescent="0.25">
      <c r="A269" s="119"/>
      <c r="B269" s="78" t="s">
        <v>90</v>
      </c>
      <c r="C269" s="38" t="s">
        <v>76</v>
      </c>
      <c r="D269" s="57">
        <v>7.5</v>
      </c>
      <c r="E269" s="57">
        <v>5</v>
      </c>
      <c r="F269" s="57">
        <v>5</v>
      </c>
      <c r="G269" s="57">
        <v>5</v>
      </c>
      <c r="H269" s="57">
        <v>5</v>
      </c>
      <c r="J269" s="4"/>
      <c r="K269" s="5"/>
      <c r="L269" s="5"/>
      <c r="N269" s="21"/>
    </row>
    <row r="270" spans="1:14" x14ac:dyDescent="0.25">
      <c r="A270" s="119"/>
      <c r="B270" s="78" t="s">
        <v>70</v>
      </c>
      <c r="C270"/>
      <c r="D270" s="73">
        <f>IF(AND(D263&gt;1,D253=0),1,D263)</f>
        <v>0.8</v>
      </c>
      <c r="E270" s="73">
        <f>IF(AND(E263&gt;1,E253=0),1,E263)</f>
        <v>0.8</v>
      </c>
      <c r="F270" s="73">
        <f>IF(AND(F263&gt;1,F253=0),1,F263)</f>
        <v>0.8</v>
      </c>
      <c r="G270" s="73">
        <f>IF(AND(G263&gt;1,G253=0),1,G263)</f>
        <v>0.8</v>
      </c>
      <c r="H270" s="73">
        <f>IF(AND(H263&gt;1,H253=0),1,H263)</f>
        <v>0.8</v>
      </c>
      <c r="N270" s="21"/>
    </row>
    <row r="271" spans="1:14" x14ac:dyDescent="0.25">
      <c r="A271" s="119"/>
      <c r="B271" s="79" t="s">
        <v>29</v>
      </c>
      <c r="C271" s="38" t="s">
        <v>11</v>
      </c>
      <c r="D271" s="72">
        <f>D258*D268/D270</f>
        <v>362.45249999999999</v>
      </c>
      <c r="E271" s="72">
        <f>E258*E268/E270</f>
        <v>91.59</v>
      </c>
      <c r="F271" s="72">
        <f>F258*F268/F270</f>
        <v>54.33</v>
      </c>
      <c r="G271" s="72">
        <f>G258*G268/G270</f>
        <v>91.59</v>
      </c>
      <c r="H271" s="72">
        <f>H258*H268/H270</f>
        <v>54.33</v>
      </c>
      <c r="J271" s="4">
        <f t="shared" ref="J271:J273" si="200">SUM(D271:I271)</f>
        <v>654.29250000000002</v>
      </c>
      <c r="K271" s="5">
        <f>SUMPRODUCT(D257:I257,D271:I271)</f>
        <v>654.29250000000002</v>
      </c>
      <c r="L271" s="5"/>
      <c r="N271" s="21"/>
    </row>
    <row r="272" spans="1:14" ht="15.75" thickBot="1" x14ac:dyDescent="0.3">
      <c r="A272" s="119"/>
      <c r="B272" s="88" t="s">
        <v>30</v>
      </c>
      <c r="C272" s="41" t="s">
        <v>11</v>
      </c>
      <c r="D272" s="87">
        <f>D260*D269/D270</f>
        <v>1006.862840625</v>
      </c>
      <c r="E272" s="87">
        <f>E260*E269/E270</f>
        <v>76.325000000000003</v>
      </c>
      <c r="F272" s="87">
        <f>F260*F269/F270</f>
        <v>45.274999999999999</v>
      </c>
      <c r="G272" s="87">
        <f>G260*G269/G270</f>
        <v>76.325000000000003</v>
      </c>
      <c r="H272" s="87">
        <f>H260*H269/H270</f>
        <v>45.274999999999999</v>
      </c>
      <c r="J272" s="4">
        <f t="shared" si="200"/>
        <v>1250.0628406250003</v>
      </c>
      <c r="K272" s="5">
        <f>SUMPRODUCT(D257:I257,D272:I272)</f>
        <v>1250.0628406250003</v>
      </c>
      <c r="L272" s="5"/>
      <c r="N272" s="21"/>
    </row>
    <row r="273" spans="1:14" ht="16.5" thickTop="1" thickBot="1" x14ac:dyDescent="0.3">
      <c r="A273" s="119"/>
      <c r="B273" s="84" t="s">
        <v>106</v>
      </c>
      <c r="C273" s="38" t="s">
        <v>11</v>
      </c>
      <c r="D273" s="85">
        <f t="shared" ref="D273" si="201">IF(AND(D253=1,D254="Maximum"),MAX(D271:D272),SUM(D271:D272))</f>
        <v>1369.3153406249999</v>
      </c>
      <c r="E273" s="85">
        <f t="shared" ref="E273" si="202">IF(AND(E253=1,E254="Maximum"),MAX(E271:E272),SUM(E271:E272))</f>
        <v>167.91500000000002</v>
      </c>
      <c r="F273" s="85">
        <f t="shared" ref="F273" si="203">IF(AND(F253=1,F254="Maximum"),MAX(F271:F272),SUM(F271:F272))</f>
        <v>99.60499999999999</v>
      </c>
      <c r="G273" s="85">
        <f t="shared" ref="G273" si="204">IF(AND(G253=1,G254="Maximum"),MAX(G271:G272),SUM(G271:G272))</f>
        <v>167.91500000000002</v>
      </c>
      <c r="H273" s="85">
        <f t="shared" ref="H273" si="205">IF(AND(H253=1,H254="Maximum"),MAX(H271:H272),SUM(H271:H272))</f>
        <v>99.60499999999999</v>
      </c>
      <c r="J273" s="55">
        <f t="shared" si="200"/>
        <v>1904.3553406249998</v>
      </c>
      <c r="K273" s="47">
        <f>SUMPRODUCT(D257:I257,D273:I273)</f>
        <v>1904.3553406249998</v>
      </c>
      <c r="L273" s="47">
        <f>SUMPRODUCT(D253:I253,D273:I273)</f>
        <v>0</v>
      </c>
      <c r="N273" s="21"/>
    </row>
    <row r="274" spans="1:14" ht="16.5" thickTop="1" thickBot="1" x14ac:dyDescent="0.3">
      <c r="A274" s="119"/>
      <c r="B274" s="81" t="s">
        <v>107</v>
      </c>
      <c r="C274" s="41" t="s">
        <v>11</v>
      </c>
      <c r="D274" s="75">
        <f t="shared" ref="D274" si="206">IF(D256=1,D271,D273)</f>
        <v>362.45249999999999</v>
      </c>
      <c r="E274" s="75">
        <f t="shared" ref="E274" si="207">IF(E256=1,E271,E273)</f>
        <v>167.91500000000002</v>
      </c>
      <c r="F274" s="75">
        <f t="shared" ref="F274" si="208">IF(F256=1,F271,F273)</f>
        <v>99.60499999999999</v>
      </c>
      <c r="G274" s="75">
        <f t="shared" ref="G274" si="209">IF(G256=1,G271,G273)</f>
        <v>167.91500000000002</v>
      </c>
      <c r="H274" s="75">
        <f t="shared" ref="H274" si="210">IF(H256=1,H271,H273)</f>
        <v>99.60499999999999</v>
      </c>
      <c r="J274" s="55">
        <f t="shared" ref="J274" si="211">SUM(D274:I274)</f>
        <v>897.49250000000006</v>
      </c>
      <c r="K274" s="47">
        <f>SUMPRODUCT(D257:I257,D274:I274)</f>
        <v>897.49250000000006</v>
      </c>
      <c r="L274" s="47">
        <f>SUMPRODUCT(D253:I253,D274:I274)</f>
        <v>0</v>
      </c>
      <c r="M274" s="21" t="s">
        <v>123</v>
      </c>
      <c r="N274" s="21" t="s">
        <v>124</v>
      </c>
    </row>
    <row r="275" spans="1:14" ht="15.75" thickTop="1" x14ac:dyDescent="0.25">
      <c r="A275"/>
      <c r="B275" s="13" t="s">
        <v>58</v>
      </c>
      <c r="D275" s="1">
        <f>IFERROR(D266/D273,0)</f>
        <v>1.2451012830410648</v>
      </c>
      <c r="E275" s="1">
        <f>IFERROR(E266/E273,0)</f>
        <v>1</v>
      </c>
      <c r="F275" s="1">
        <f>IFERROR(F266/F273,0)</f>
        <v>1</v>
      </c>
      <c r="G275" s="1">
        <f>IFERROR(G266/G273,0)</f>
        <v>1</v>
      </c>
      <c r="H275" s="1">
        <f>IFERROR(H266/H273,0)</f>
        <v>1</v>
      </c>
      <c r="J275" s="4"/>
      <c r="K275" s="5"/>
      <c r="L275" s="5"/>
      <c r="M275" s="67">
        <f>K273/K266</f>
        <v>0.85016763402902751</v>
      </c>
      <c r="N275" s="67">
        <f>IFERROR(L273/L266,1)</f>
        <v>1</v>
      </c>
    </row>
    <row r="276" spans="1:14" x14ac:dyDescent="0.25">
      <c r="A276"/>
      <c r="B276" s="13" t="s">
        <v>59</v>
      </c>
      <c r="C276" s="38" t="s">
        <v>11</v>
      </c>
      <c r="D276" s="17">
        <v>0</v>
      </c>
      <c r="E276" s="17">
        <v>0</v>
      </c>
      <c r="F276" s="17">
        <v>0</v>
      </c>
      <c r="G276" s="17">
        <v>0</v>
      </c>
      <c r="H276" s="17">
        <v>0</v>
      </c>
      <c r="J276" s="4">
        <f>SUM(D276:I276)</f>
        <v>0</v>
      </c>
      <c r="K276" s="5">
        <f>SUMPRODUCT(D257:I257,D276:I276)</f>
        <v>0</v>
      </c>
      <c r="L276" s="5">
        <f>SUMPRODUCT(D253:I253,D276:I276)</f>
        <v>0</v>
      </c>
      <c r="M276" s="21" t="s">
        <v>86</v>
      </c>
      <c r="N276" s="21" t="s">
        <v>125</v>
      </c>
    </row>
    <row r="277" spans="1:14" ht="15.75" thickBot="1" x14ac:dyDescent="0.3">
      <c r="A277"/>
      <c r="B277" s="16" t="s">
        <v>15</v>
      </c>
      <c r="C277" s="42"/>
      <c r="D277" s="10">
        <f>IFERROR(D266/D276,0)</f>
        <v>0</v>
      </c>
      <c r="E277" s="10">
        <f>IFERROR(E266/E276,0)</f>
        <v>0</v>
      </c>
      <c r="F277" s="10">
        <f>IFERROR(F266/F276,0)</f>
        <v>0</v>
      </c>
      <c r="G277" s="10">
        <f>IFERROR(G266/G276,0)</f>
        <v>0</v>
      </c>
      <c r="H277" s="10">
        <f>IFERROR(H266/H276,0)</f>
        <v>0</v>
      </c>
      <c r="J277" s="4"/>
      <c r="K277" s="74">
        <f>K276/K273</f>
        <v>0</v>
      </c>
      <c r="L277" s="74">
        <f>IFERROR(L276/L273,0)</f>
        <v>0</v>
      </c>
      <c r="M277" s="68">
        <f>MAX(MIN(K266,$A$2*K276)/K273,1)</f>
        <v>1</v>
      </c>
      <c r="N277" s="68">
        <f>IFERROR(MAX(MIN(L266,$A$2*L276)/L273,1),1)</f>
        <v>1</v>
      </c>
    </row>
    <row r="278" spans="1:14" ht="16.5" thickTop="1" thickBot="1" x14ac:dyDescent="0.3">
      <c r="A278"/>
      <c r="B278" s="15" t="s">
        <v>102</v>
      </c>
      <c r="C278" s="38" t="s">
        <v>11</v>
      </c>
      <c r="D278" s="18">
        <f>IF(D257=1,D266*$M275*$M277,D266)</f>
        <v>1449.4816497141089</v>
      </c>
      <c r="E278" s="18">
        <f>IF(E257=1,E266*$M275*$M277,IF(AND(E255=1,E253=0),(E264/E274)+(E265/#REF!),E266))</f>
        <v>142.75589826798418</v>
      </c>
      <c r="F278" s="18">
        <f>IF(F257=1,F266*$M275*$M277,IF(AND(F255=1,F253=0),(F264/F274)+(F265/#REF!),F266))</f>
        <v>84.680947187461271</v>
      </c>
      <c r="G278" s="18">
        <f>IF(G257=1,G266*$M275*$M277,IF(AND(G255=1,G253=0),(G264/G274)+(G265/#REF!),G266))</f>
        <v>142.75589826798418</v>
      </c>
      <c r="H278" s="18">
        <f>IF(H257=1,H266*$M275*$M277,IF(AND(H255=1,H253=0),(H264/H274)+(H265/#REF!),H266))</f>
        <v>84.680947187461271</v>
      </c>
      <c r="J278" s="55">
        <f>SUM(D278:I278)</f>
        <v>1904.3553406249996</v>
      </c>
      <c r="K278" s="47">
        <f>SUMPRODUCT(D257:I257,D278:I278)</f>
        <v>1904.3553406249996</v>
      </c>
      <c r="L278" s="47">
        <f>SUMPRODUCT(D253:I253,D278:I278)</f>
        <v>0</v>
      </c>
      <c r="M278" s="45" t="str">
        <f>IF(K276*$A$2&gt;K273,"Exhaust exception applies, ventilation up to "&amp;$A$2*100&amp;"% of exhaust flow allowed","")</f>
        <v/>
      </c>
      <c r="N278" s="21"/>
    </row>
    <row r="279" spans="1:14" ht="15.75" thickTop="1" x14ac:dyDescent="0.25">
      <c r="A279"/>
      <c r="B279" s="13" t="s">
        <v>65</v>
      </c>
      <c r="C279" s="38" t="s">
        <v>11</v>
      </c>
      <c r="D279" s="5">
        <f>D266-D278</f>
        <v>255.45463778589124</v>
      </c>
      <c r="E279" s="5">
        <f>E266-E278</f>
        <v>25.159101732015841</v>
      </c>
      <c r="F279" s="5">
        <f>F266-F278</f>
        <v>14.924052812538719</v>
      </c>
      <c r="G279" s="5">
        <f>G266-G278</f>
        <v>25.159101732015841</v>
      </c>
      <c r="H279" s="5">
        <f>H266-H278</f>
        <v>14.924052812538719</v>
      </c>
      <c r="J279" s="4">
        <f>J266-J278</f>
        <v>335.62094687500053</v>
      </c>
      <c r="K279" s="5"/>
      <c r="L279" s="5"/>
      <c r="M279" s="76" t="str">
        <f>IF(K276&gt;K273,"CHECK: "&amp;ROUND(K278/K276,3),"")</f>
        <v/>
      </c>
    </row>
    <row r="280" spans="1:14" x14ac:dyDescent="0.25">
      <c r="A280"/>
      <c r="B280" s="13"/>
      <c r="D280" s="5"/>
      <c r="E280" s="5"/>
      <c r="F280" s="5"/>
      <c r="G280" s="5"/>
      <c r="H280" s="5"/>
      <c r="J280" s="4"/>
      <c r="K280" s="5"/>
      <c r="L280" s="5"/>
    </row>
    <row r="281" spans="1:14" x14ac:dyDescent="0.25">
      <c r="A281"/>
      <c r="B281" s="51" t="s">
        <v>61</v>
      </c>
      <c r="C281" s="2"/>
      <c r="D281" s="52">
        <v>1</v>
      </c>
      <c r="E281" s="53">
        <f>$D281</f>
        <v>1</v>
      </c>
      <c r="F281" s="53">
        <f>$D281</f>
        <v>1</v>
      </c>
      <c r="G281" s="53">
        <f>$D281</f>
        <v>1</v>
      </c>
      <c r="H281" s="53">
        <f>$D281</f>
        <v>1</v>
      </c>
      <c r="N281" s="21"/>
    </row>
    <row r="282" spans="1:14" x14ac:dyDescent="0.25">
      <c r="A282"/>
      <c r="B282" s="13" t="s">
        <v>67</v>
      </c>
      <c r="C282" s="38" t="s">
        <v>11</v>
      </c>
      <c r="D282" s="5">
        <f>D266/D281</f>
        <v>1704.9362875000002</v>
      </c>
      <c r="E282" s="5">
        <f>E266/E281</f>
        <v>167.91500000000002</v>
      </c>
      <c r="F282" s="5">
        <f>F266/F281</f>
        <v>99.60499999999999</v>
      </c>
      <c r="G282" s="5">
        <f>G266/G281</f>
        <v>167.91500000000002</v>
      </c>
      <c r="H282" s="5">
        <f>H266/H281</f>
        <v>99.60499999999999</v>
      </c>
      <c r="J282" s="4">
        <f t="shared" ref="J282" si="212">SUM(D282:I282)</f>
        <v>2239.9762875000001</v>
      </c>
      <c r="K282" s="5">
        <f>SUMPRODUCT(D257:I257,D282:I282)</f>
        <v>2239.9762875000001</v>
      </c>
      <c r="L282" s="5">
        <f>SUMPRODUCT(D253:I253,D282:I282)</f>
        <v>0</v>
      </c>
    </row>
    <row r="283" spans="1:14" x14ac:dyDescent="0.25">
      <c r="A283"/>
      <c r="B283" s="59" t="s">
        <v>68</v>
      </c>
      <c r="C283" s="60"/>
      <c r="D283" s="66">
        <f>IF(D255=1,D264/D281/D258,D282/D258)</f>
        <v>0.22499999999999998</v>
      </c>
      <c r="E283" s="66">
        <f>IF(E255=1,E264/E281/E258,E282/E258)</f>
        <v>0.13750000000000001</v>
      </c>
      <c r="F283" s="66">
        <f>IF(F255=1,F264/F281/F258,F282/F258)</f>
        <v>0.13749999999999998</v>
      </c>
      <c r="G283" s="66">
        <f>IF(G255=1,G264/G281/G258,G282/G258)</f>
        <v>0.13750000000000001</v>
      </c>
      <c r="H283" s="66">
        <f>IF(H255=1,H264/H281/H258,H282/H258)</f>
        <v>0.13749999999999998</v>
      </c>
      <c r="I283" s="61"/>
      <c r="J283" s="62">
        <f>SUMPRODUCT(D283:H283,D258:H258)</f>
        <v>897.49250000000006</v>
      </c>
      <c r="K283" s="63">
        <f>SUMPRODUCT(D257:I257,D258:I258,D283:I283)</f>
        <v>897.49250000000006</v>
      </c>
      <c r="L283" s="63">
        <f>SUMPRODUCT(D253:I253,D258:I258,D283:I283)</f>
        <v>0</v>
      </c>
      <c r="M283" s="61"/>
    </row>
    <row r="284" spans="1:14" x14ac:dyDescent="0.25">
      <c r="A284"/>
      <c r="B284" s="64" t="s">
        <v>69</v>
      </c>
      <c r="C284" s="60"/>
      <c r="D284" s="66">
        <f>IF(D255=1,D262/D263,0)</f>
        <v>12.5</v>
      </c>
      <c r="E284" s="66">
        <f t="shared" ref="E284:I284" si="213">IF(E255=1,E262/E263,0)</f>
        <v>0</v>
      </c>
      <c r="F284" s="66">
        <f t="shared" si="213"/>
        <v>0</v>
      </c>
      <c r="G284" s="66">
        <f t="shared" si="213"/>
        <v>0</v>
      </c>
      <c r="H284" s="66">
        <f t="shared" si="213"/>
        <v>0</v>
      </c>
      <c r="I284" s="66">
        <f t="shared" si="213"/>
        <v>0</v>
      </c>
      <c r="J284" s="62">
        <f>SUMPRODUCT(D284:H284,D259:H259)</f>
        <v>833.375</v>
      </c>
      <c r="K284" s="63">
        <f>SUMPRODUCT(D257:I257,D259:I259,D284:I284)</f>
        <v>833.375</v>
      </c>
      <c r="L284" s="63">
        <f>SUMPRODUCT(D253:I253,D259:I259,D284:I284)</f>
        <v>0</v>
      </c>
      <c r="M284" s="61"/>
    </row>
    <row r="285" spans="1:14" x14ac:dyDescent="0.25">
      <c r="A285"/>
      <c r="B285" s="13" t="s">
        <v>66</v>
      </c>
      <c r="C285" s="38" t="s">
        <v>11</v>
      </c>
      <c r="D285" s="5">
        <f>D278/D281</f>
        <v>1449.4816497141089</v>
      </c>
      <c r="E285" s="5">
        <f>E278/E281</f>
        <v>142.75589826798418</v>
      </c>
      <c r="F285" s="5">
        <f>F278/F281</f>
        <v>84.680947187461271</v>
      </c>
      <c r="G285" s="5">
        <f>G278/G281</f>
        <v>142.75589826798418</v>
      </c>
      <c r="H285" s="5">
        <f>H278/H281</f>
        <v>84.680947187461271</v>
      </c>
      <c r="J285" s="4">
        <f t="shared" ref="J285" si="214">SUM(D285:I285)</f>
        <v>1904.3553406249996</v>
      </c>
      <c r="K285" s="5">
        <f>SUMPRODUCT(D257:I257,D285:I285)</f>
        <v>1904.3553406249996</v>
      </c>
      <c r="L285" s="5">
        <f>SUMPRODUCT(D253:I253,D285:I285)</f>
        <v>0</v>
      </c>
      <c r="M285" s="54"/>
    </row>
    <row r="286" spans="1:14" x14ac:dyDescent="0.25">
      <c r="A286"/>
      <c r="B286" s="59" t="s">
        <v>62</v>
      </c>
      <c r="C286" s="60"/>
      <c r="D286" s="66">
        <f>IF(D256=1,D268/D270/D281,D285/D258)</f>
        <v>0.22499999999999998</v>
      </c>
      <c r="E286" s="66">
        <f t="shared" ref="E286" si="215">IF(E256=1,E268/E270/E281,E285/E258)</f>
        <v>0.1168980496789913</v>
      </c>
      <c r="F286" s="66">
        <f t="shared" ref="F286" si="216">IF(F256=1,F268/F270/F281,F285/F258)</f>
        <v>0.11689804967899127</v>
      </c>
      <c r="G286" s="66">
        <f t="shared" ref="G286" si="217">IF(G256=1,G268/G270/G281,G285/G258)</f>
        <v>0.1168980496789913</v>
      </c>
      <c r="H286" s="66">
        <f>IF(H256=1,H268/H270/H281,H285/H258)</f>
        <v>0.11689804967899127</v>
      </c>
      <c r="I286" s="61"/>
      <c r="J286" s="62">
        <f>SUMPRODUCT(D286:I286,D258:I258)</f>
        <v>817.32619091089089</v>
      </c>
      <c r="K286" s="63">
        <f>SUMPRODUCT(D257:I257,D258:I258,D286:I286)</f>
        <v>817.32619091089089</v>
      </c>
      <c r="L286" s="63">
        <f>SUMPRODUCT(D253:I253,D258:I258,D286:I286)</f>
        <v>0</v>
      </c>
      <c r="M286" s="61"/>
    </row>
    <row r="287" spans="1:14" x14ac:dyDescent="0.25">
      <c r="A287"/>
      <c r="B287" s="64" t="s">
        <v>63</v>
      </c>
      <c r="C287" s="60"/>
      <c r="D287" s="66">
        <f t="shared" ref="D287" si="218">IF(D256=1,IF(AND(D253=1,D254="Maximum"),D269*$N275*$N277,(D285-D286*D258)/D260),0)</f>
        <v>10.12143647315842</v>
      </c>
      <c r="E287" s="66">
        <f t="shared" ref="E287" si="219">IF(E256=1,IF(AND(E253=1,E254="Maximum"),E269*$N275*$N277,(E285-E286*E258)/E260),0)</f>
        <v>0</v>
      </c>
      <c r="F287" s="66">
        <f t="shared" ref="F287" si="220">IF(F256=1,IF(AND(F253=1,F254="Maximum"),F269*$N275*$N277,(F285-F286*F258)/F260),0)</f>
        <v>0</v>
      </c>
      <c r="G287" s="66">
        <f t="shared" ref="G287" si="221">IF(G256=1,IF(AND(G253=1,G254="Maximum"),G269*$N275*$N277,(G285-G286*G258)/G260),0)</f>
        <v>0</v>
      </c>
      <c r="H287" s="66">
        <f>IF(H256=1,IF(AND(H253=1,H254="Maximum"),H262*$N275*$N277/H270,(H285-H286*H258)/H260),0)</f>
        <v>0</v>
      </c>
      <c r="I287" s="61"/>
      <c r="J287" s="62">
        <f>SUMPRODUCT(D287:I287,D259:I259)</f>
        <v>674.79616966547189</v>
      </c>
      <c r="K287" s="63">
        <f>SUMPRODUCT(D257:I257,D259:I259,D287:I287)</f>
        <v>674.79616966547189</v>
      </c>
      <c r="L287" s="63">
        <f>SUMPRODUCT(D253:I253,D259:I259,D287:I287)</f>
        <v>0</v>
      </c>
      <c r="M287" s="61"/>
      <c r="N287" s="21"/>
    </row>
    <row r="288" spans="1:14" x14ac:dyDescent="0.25">
      <c r="B288" s="59" t="s">
        <v>186</v>
      </c>
      <c r="C288" s="110"/>
      <c r="D288" s="111">
        <f t="shared" ref="D288" si="222">IF(D254="Maximum",MAX(D286*D258,D287*D260),D286*D258+D287*D260)</f>
        <v>1449.4816497141087</v>
      </c>
      <c r="E288" s="111">
        <f t="shared" ref="E288" si="223">IF(E254="Maximum",MAX(E286*E258,E287*E260),E286*E258+E287*E260)</f>
        <v>142.75589826798418</v>
      </c>
      <c r="F288" s="111">
        <f t="shared" ref="F288" si="224">IF(F254="Maximum",MAX(F286*F258,F287*F260),F286*F258+F287*F260)</f>
        <v>84.680947187461271</v>
      </c>
      <c r="G288" s="111">
        <f t="shared" ref="G288" si="225">IF(G254="Maximum",MAX(G286*G258,G287*G260),G286*G258+G287*G260)</f>
        <v>142.75589826798418</v>
      </c>
      <c r="H288" s="111">
        <f t="shared" ref="H288" si="226">IF(H254="Maximum",MAX(H286*H258,H287*H260),H286*H258+H287*H260)</f>
        <v>84.680947187461271</v>
      </c>
    </row>
    <row r="289" spans="1:14" x14ac:dyDescent="0.25">
      <c r="A289"/>
      <c r="B289" s="15"/>
      <c r="C289" s="40"/>
      <c r="D289" s="9"/>
      <c r="E289" s="9"/>
      <c r="F289" s="9"/>
      <c r="G289" s="9"/>
      <c r="H289" s="9"/>
    </row>
    <row r="290" spans="1:14" ht="18.75" x14ac:dyDescent="0.3">
      <c r="A290" s="89" t="s">
        <v>50</v>
      </c>
      <c r="B290" s="90"/>
      <c r="C290" s="91"/>
      <c r="D290" s="92"/>
      <c r="E290" s="92"/>
      <c r="F290" s="92"/>
      <c r="G290" s="92"/>
      <c r="H290" s="92"/>
      <c r="I290" s="92"/>
      <c r="J290" s="93"/>
      <c r="K290" s="92"/>
      <c r="L290" s="92"/>
      <c r="M290" s="92"/>
      <c r="N290" s="21"/>
    </row>
    <row r="291" spans="1:14" x14ac:dyDescent="0.25">
      <c r="A291" s="9" t="s">
        <v>21</v>
      </c>
      <c r="B291" s="8" t="s">
        <v>57</v>
      </c>
      <c r="N291" s="21"/>
    </row>
    <row r="292" spans="1:14" x14ac:dyDescent="0.25">
      <c r="A292" s="9" t="s">
        <v>18</v>
      </c>
      <c r="B292" s="20"/>
      <c r="N292" s="21"/>
    </row>
    <row r="293" spans="1:14" x14ac:dyDescent="0.25">
      <c r="A293" s="9"/>
      <c r="B293" s="20"/>
      <c r="N293" s="21"/>
    </row>
    <row r="294" spans="1:14" s="12" customFormat="1" ht="63.75" customHeight="1" x14ac:dyDescent="0.25">
      <c r="A294" s="23"/>
      <c r="B294" s="13" t="s">
        <v>12</v>
      </c>
      <c r="C294" s="43"/>
      <c r="D294" s="48" t="s">
        <v>52</v>
      </c>
      <c r="E294" s="48" t="s">
        <v>103</v>
      </c>
      <c r="F294" s="48" t="s">
        <v>104</v>
      </c>
      <c r="G294" s="48" t="s">
        <v>105</v>
      </c>
      <c r="H294" s="48" t="s">
        <v>26</v>
      </c>
      <c r="I294"/>
      <c r="J294" s="116" t="s">
        <v>5</v>
      </c>
      <c r="K294" s="117"/>
      <c r="L294" s="102"/>
      <c r="N294" s="25"/>
    </row>
    <row r="295" spans="1:14" ht="15.75" thickBot="1" x14ac:dyDescent="0.3">
      <c r="B295" s="32" t="s">
        <v>13</v>
      </c>
      <c r="C295" s="39"/>
      <c r="D295" s="33" t="s">
        <v>77</v>
      </c>
      <c r="E295" s="33" t="s">
        <v>78</v>
      </c>
      <c r="F295" s="33" t="s">
        <v>79</v>
      </c>
      <c r="G295" s="33" t="s">
        <v>80</v>
      </c>
      <c r="H295" s="33" t="s">
        <v>81</v>
      </c>
      <c r="J295" s="34" t="s">
        <v>16</v>
      </c>
      <c r="K295" s="35" t="s">
        <v>126</v>
      </c>
      <c r="L295" s="35" t="s">
        <v>122</v>
      </c>
      <c r="M295" s="35" t="s">
        <v>127</v>
      </c>
      <c r="N295" s="35" t="s">
        <v>128</v>
      </c>
    </row>
    <row r="296" spans="1:14" x14ac:dyDescent="0.25">
      <c r="B296" s="15" t="s">
        <v>49</v>
      </c>
      <c r="C296" s="40"/>
      <c r="D296" s="30">
        <v>0</v>
      </c>
      <c r="E296" s="30">
        <v>0</v>
      </c>
      <c r="F296" s="30">
        <v>0</v>
      </c>
      <c r="G296" s="30">
        <v>0</v>
      </c>
      <c r="H296" s="97">
        <v>1</v>
      </c>
      <c r="J296" s="46"/>
      <c r="K296" s="26"/>
      <c r="L296" s="26"/>
      <c r="M296" s="8"/>
      <c r="N296" s="21"/>
    </row>
    <row r="297" spans="1:14" x14ac:dyDescent="0.25">
      <c r="B297" s="15" t="s">
        <v>132</v>
      </c>
      <c r="C297" s="40"/>
      <c r="D297" s="30" t="s">
        <v>134</v>
      </c>
      <c r="E297" s="30" t="s">
        <v>134</v>
      </c>
      <c r="F297" s="30" t="s">
        <v>134</v>
      </c>
      <c r="G297" s="30" t="s">
        <v>134</v>
      </c>
      <c r="H297" s="30" t="s">
        <v>134</v>
      </c>
      <c r="J297" s="46"/>
      <c r="K297" s="26"/>
      <c r="L297" s="26"/>
      <c r="M297" s="8"/>
      <c r="N297" s="21"/>
    </row>
    <row r="298" spans="1:14" x14ac:dyDescent="0.25">
      <c r="B298" s="15" t="s">
        <v>184</v>
      </c>
      <c r="C298" s="40"/>
      <c r="D298" s="30">
        <v>0</v>
      </c>
      <c r="E298" s="30">
        <v>1</v>
      </c>
      <c r="F298" s="30">
        <v>0</v>
      </c>
      <c r="G298" s="30">
        <v>0</v>
      </c>
      <c r="H298" s="30">
        <v>0</v>
      </c>
      <c r="J298" s="46"/>
      <c r="K298" s="26"/>
      <c r="L298" s="26"/>
      <c r="M298" s="8"/>
      <c r="N298" s="21"/>
    </row>
    <row r="299" spans="1:14" x14ac:dyDescent="0.25">
      <c r="B299" s="15" t="s">
        <v>185</v>
      </c>
      <c r="C299" s="40"/>
      <c r="D299" s="30">
        <v>0</v>
      </c>
      <c r="E299" s="30">
        <v>1</v>
      </c>
      <c r="F299" s="30">
        <v>0</v>
      </c>
      <c r="G299" s="30">
        <v>0</v>
      </c>
      <c r="H299" s="30">
        <v>0</v>
      </c>
      <c r="J299" s="46"/>
      <c r="K299" s="26"/>
      <c r="L299" s="26"/>
      <c r="M299" s="8"/>
      <c r="N299" s="21"/>
    </row>
    <row r="300" spans="1:14" x14ac:dyDescent="0.25">
      <c r="B300" s="104" t="s">
        <v>129</v>
      </c>
      <c r="C300" s="44"/>
      <c r="D300" s="103">
        <f>IF(D296=1,0,1)</f>
        <v>1</v>
      </c>
      <c r="E300" s="103">
        <f>IF(E296=1,0,1)</f>
        <v>1</v>
      </c>
      <c r="F300" s="103">
        <f>IF(F296=1,0,1)</f>
        <v>1</v>
      </c>
      <c r="G300" s="103">
        <f>IF(G296=1,0,1)</f>
        <v>1</v>
      </c>
      <c r="H300" s="103">
        <f>IF(H296=1,0,1)</f>
        <v>0</v>
      </c>
      <c r="J300" s="46"/>
      <c r="K300" s="5"/>
      <c r="L300" s="5"/>
      <c r="N300" s="21"/>
    </row>
    <row r="301" spans="1:14" x14ac:dyDescent="0.25">
      <c r="B301" s="15" t="s">
        <v>72</v>
      </c>
      <c r="C301" s="40" t="s">
        <v>75</v>
      </c>
      <c r="D301" s="95">
        <v>1610.9</v>
      </c>
      <c r="E301" s="95">
        <v>1221.2</v>
      </c>
      <c r="F301" s="95">
        <v>724.4</v>
      </c>
      <c r="G301" s="95">
        <v>1221.2</v>
      </c>
      <c r="H301" s="95">
        <v>724.4</v>
      </c>
      <c r="J301" s="46"/>
      <c r="K301" s="5"/>
      <c r="L301" s="5"/>
      <c r="N301" s="21"/>
    </row>
    <row r="302" spans="1:14" x14ac:dyDescent="0.25">
      <c r="B302" s="15" t="s">
        <v>111</v>
      </c>
      <c r="C302" s="40" t="s">
        <v>112</v>
      </c>
      <c r="D302" s="50">
        <v>5</v>
      </c>
      <c r="E302" s="50">
        <v>66.67</v>
      </c>
      <c r="F302" s="50">
        <v>10</v>
      </c>
      <c r="G302" s="50">
        <v>10</v>
      </c>
      <c r="H302" s="50">
        <v>10</v>
      </c>
      <c r="J302" s="4"/>
      <c r="K302" s="5"/>
      <c r="L302" s="5"/>
      <c r="N302" s="21"/>
    </row>
    <row r="303" spans="1:14" x14ac:dyDescent="0.25">
      <c r="A303" s="2"/>
      <c r="B303" s="14" t="s">
        <v>73</v>
      </c>
      <c r="C303" s="41" t="s">
        <v>74</v>
      </c>
      <c r="D303" s="77">
        <f>D301*D302/1000</f>
        <v>8.0545000000000009</v>
      </c>
      <c r="E303" s="77">
        <f>E301*E302/1000</f>
        <v>81.417404000000005</v>
      </c>
      <c r="F303" s="77">
        <f>F301*F302/1000</f>
        <v>7.2439999999999998</v>
      </c>
      <c r="G303" s="77">
        <f>G301*G302/1000</f>
        <v>12.212</v>
      </c>
      <c r="H303" s="77">
        <f>H301*H302/1000</f>
        <v>7.2439999999999998</v>
      </c>
      <c r="J303" s="4"/>
      <c r="K303" s="5"/>
      <c r="L303" s="5"/>
      <c r="N303" s="21"/>
    </row>
    <row r="304" spans="1:14" x14ac:dyDescent="0.25">
      <c r="A304" s="120" t="s">
        <v>110</v>
      </c>
      <c r="B304" s="80" t="s">
        <v>87</v>
      </c>
      <c r="C304" s="38" t="s">
        <v>113</v>
      </c>
      <c r="D304" s="58">
        <f t="shared" ref="D304:H305" si="227">D311</f>
        <v>0.12</v>
      </c>
      <c r="E304" s="58">
        <f t="shared" si="227"/>
        <v>0.18</v>
      </c>
      <c r="F304" s="58">
        <f t="shared" si="227"/>
        <v>0.06</v>
      </c>
      <c r="G304" s="58">
        <f t="shared" si="227"/>
        <v>0.06</v>
      </c>
      <c r="H304" s="58">
        <f t="shared" si="227"/>
        <v>0.06</v>
      </c>
      <c r="J304" s="4"/>
      <c r="K304" s="5"/>
      <c r="L304" s="5"/>
      <c r="N304" s="21"/>
    </row>
    <row r="305" spans="1:14" x14ac:dyDescent="0.25">
      <c r="A305" s="118"/>
      <c r="B305" s="80" t="s">
        <v>88</v>
      </c>
      <c r="C305" s="38" t="s">
        <v>76</v>
      </c>
      <c r="D305" s="57">
        <f t="shared" si="227"/>
        <v>7.5</v>
      </c>
      <c r="E305" s="57">
        <f t="shared" si="227"/>
        <v>7.5</v>
      </c>
      <c r="F305" s="57">
        <f t="shared" si="227"/>
        <v>5</v>
      </c>
      <c r="G305" s="57">
        <f t="shared" si="227"/>
        <v>5</v>
      </c>
      <c r="H305" s="57">
        <f t="shared" si="227"/>
        <v>5</v>
      </c>
      <c r="J305" s="4"/>
      <c r="K305" s="5"/>
      <c r="L305" s="5"/>
      <c r="N305" s="21"/>
    </row>
    <row r="306" spans="1:14" x14ac:dyDescent="0.25">
      <c r="A306" s="118"/>
      <c r="B306" s="80" t="s">
        <v>60</v>
      </c>
      <c r="C306"/>
      <c r="D306" s="50">
        <v>0.8</v>
      </c>
      <c r="E306" s="50">
        <f>D306</f>
        <v>0.8</v>
      </c>
      <c r="F306" s="50">
        <f t="shared" ref="F306" si="228">E306</f>
        <v>0.8</v>
      </c>
      <c r="G306" s="50">
        <f t="shared" ref="G306" si="229">F306</f>
        <v>0.8</v>
      </c>
      <c r="H306" s="50">
        <f t="shared" ref="H306" si="230">G306</f>
        <v>0.8</v>
      </c>
      <c r="N306" s="21"/>
    </row>
    <row r="307" spans="1:14" x14ac:dyDescent="0.25">
      <c r="A307" s="118"/>
      <c r="B307" s="80" t="s">
        <v>31</v>
      </c>
      <c r="C307" s="38" t="s">
        <v>11</v>
      </c>
      <c r="D307" s="72">
        <f>D301*D304/D306</f>
        <v>241.63499999999999</v>
      </c>
      <c r="E307" s="72">
        <f>E301*E304/E306</f>
        <v>274.77</v>
      </c>
      <c r="F307" s="72">
        <f>F301*F304/F306</f>
        <v>54.33</v>
      </c>
      <c r="G307" s="72">
        <f>G301*G304/G306</f>
        <v>91.59</v>
      </c>
      <c r="H307" s="72">
        <f>H301*H304/H306</f>
        <v>54.33</v>
      </c>
      <c r="J307" s="4">
        <f t="shared" ref="J307:J310" si="231">SUM(D307:I307)</f>
        <v>716.65500000000009</v>
      </c>
      <c r="K307" s="5">
        <f>SUMPRODUCT(D300:I300,D307:I307)</f>
        <v>662.32500000000005</v>
      </c>
      <c r="L307" s="5"/>
      <c r="N307" s="21"/>
    </row>
    <row r="308" spans="1:14" ht="15.75" thickBot="1" x14ac:dyDescent="0.3">
      <c r="A308" s="118"/>
      <c r="B308" s="86" t="s">
        <v>32</v>
      </c>
      <c r="C308" s="41" t="s">
        <v>11</v>
      </c>
      <c r="D308" s="87">
        <f>D303*D305/D306</f>
        <v>75.510937499999997</v>
      </c>
      <c r="E308" s="87">
        <f>E303*E305/E306</f>
        <v>763.2881625</v>
      </c>
      <c r="F308" s="87">
        <f>F303*F305/F306</f>
        <v>45.274999999999999</v>
      </c>
      <c r="G308" s="87">
        <f>G303*G305/G306</f>
        <v>76.325000000000003</v>
      </c>
      <c r="H308" s="87">
        <f>H303*H305/H306</f>
        <v>45.274999999999999</v>
      </c>
      <c r="J308" s="4">
        <f t="shared" si="231"/>
        <v>1005.6741</v>
      </c>
      <c r="K308" s="5">
        <f>SUMPRODUCT(D300:I300,D308:I308)</f>
        <v>960.39909999999998</v>
      </c>
      <c r="L308" s="5"/>
      <c r="N308" s="21"/>
    </row>
    <row r="309" spans="1:14" ht="16.5" thickTop="1" thickBot="1" x14ac:dyDescent="0.3">
      <c r="A309" s="118"/>
      <c r="B309" s="83" t="s">
        <v>64</v>
      </c>
      <c r="C309" s="38" t="s">
        <v>11</v>
      </c>
      <c r="D309" s="85">
        <f t="shared" ref="D309:E309" si="232">SUM(D307:D308)</f>
        <v>317.1459375</v>
      </c>
      <c r="E309" s="85">
        <f t="shared" si="232"/>
        <v>1038.0581625</v>
      </c>
      <c r="F309" s="96">
        <v>0</v>
      </c>
      <c r="G309" s="85">
        <f>SUM(F307:G308)+50</f>
        <v>317.52000000000004</v>
      </c>
      <c r="H309" s="85">
        <f t="shared" ref="H309" si="233">SUM(H307:H308)</f>
        <v>99.60499999999999</v>
      </c>
      <c r="J309" s="55">
        <f t="shared" si="231"/>
        <v>1772.3290999999999</v>
      </c>
      <c r="K309" s="47">
        <f>SUMPRODUCT(D300:I300,D309:I309)</f>
        <v>1672.7240999999999</v>
      </c>
      <c r="L309" s="47">
        <f>SUMPRODUCT(D296:I296,D309:I309)</f>
        <v>99.60499999999999</v>
      </c>
      <c r="N309" s="21"/>
    </row>
    <row r="310" spans="1:14" ht="16.5" thickTop="1" thickBot="1" x14ac:dyDescent="0.3">
      <c r="A310" s="118"/>
      <c r="B310" s="82" t="s">
        <v>108</v>
      </c>
      <c r="C310" s="41" t="s">
        <v>11</v>
      </c>
      <c r="D310" s="75">
        <f>IF(D298=1,D307,D309)</f>
        <v>317.1459375</v>
      </c>
      <c r="E310" s="75">
        <f>IF(E298=1,E307,E309)</f>
        <v>274.77</v>
      </c>
      <c r="F310" s="75">
        <f>IF(F298=1,F307,F309)</f>
        <v>0</v>
      </c>
      <c r="G310" s="75">
        <f>IF(G298=1,G307,G309)</f>
        <v>317.52000000000004</v>
      </c>
      <c r="H310" s="75">
        <f>IF(H298=1,H307,H309)</f>
        <v>99.60499999999999</v>
      </c>
      <c r="J310" s="55">
        <f t="shared" si="231"/>
        <v>1009.0409374999999</v>
      </c>
      <c r="K310" s="47">
        <f>SUMPRODUCT(D300:I300,D310:I310)</f>
        <v>909.43593749999991</v>
      </c>
      <c r="L310" s="47">
        <f>SUMPRODUCT(D296:I296,D310:I310)</f>
        <v>99.60499999999999</v>
      </c>
      <c r="N310" s="21"/>
    </row>
    <row r="311" spans="1:14" ht="15.75" thickTop="1" x14ac:dyDescent="0.25">
      <c r="A311" s="119" t="s">
        <v>109</v>
      </c>
      <c r="B311" s="78" t="s">
        <v>89</v>
      </c>
      <c r="C311" s="38" t="s">
        <v>113</v>
      </c>
      <c r="D311" s="58">
        <v>0.12</v>
      </c>
      <c r="E311" s="58">
        <v>0.18</v>
      </c>
      <c r="F311" s="58">
        <v>0.06</v>
      </c>
      <c r="G311" s="58">
        <v>0.06</v>
      </c>
      <c r="H311" s="58">
        <v>0.06</v>
      </c>
      <c r="J311" s="4"/>
      <c r="K311" s="5"/>
      <c r="L311" s="5"/>
      <c r="N311" s="21"/>
    </row>
    <row r="312" spans="1:14" x14ac:dyDescent="0.25">
      <c r="A312" s="119"/>
      <c r="B312" s="78" t="s">
        <v>90</v>
      </c>
      <c r="C312" s="38" t="s">
        <v>76</v>
      </c>
      <c r="D312" s="57">
        <v>7.5</v>
      </c>
      <c r="E312" s="57">
        <v>7.5</v>
      </c>
      <c r="F312" s="57">
        <v>5</v>
      </c>
      <c r="G312" s="57">
        <v>5</v>
      </c>
      <c r="H312" s="57">
        <v>5</v>
      </c>
      <c r="J312" s="4"/>
      <c r="K312" s="5"/>
      <c r="L312" s="5"/>
      <c r="N312" s="21"/>
    </row>
    <row r="313" spans="1:14" x14ac:dyDescent="0.25">
      <c r="A313" s="119"/>
      <c r="B313" s="78" t="s">
        <v>70</v>
      </c>
      <c r="C313"/>
      <c r="D313" s="73">
        <f>IF(AND(D306&gt;1,D296=0),1,D306)</f>
        <v>0.8</v>
      </c>
      <c r="E313" s="73">
        <f>IF(AND(E306&gt;1,E296=0),1,E306)</f>
        <v>0.8</v>
      </c>
      <c r="F313" s="73">
        <f>IF(AND(F306&gt;1,F296=0),1,F306)</f>
        <v>0.8</v>
      </c>
      <c r="G313" s="73">
        <f>IF(AND(G306&gt;1,G296=0),1,G306)</f>
        <v>0.8</v>
      </c>
      <c r="H313" s="73">
        <f>IF(AND(H306&gt;1,H296=0),1,H306)</f>
        <v>0.8</v>
      </c>
      <c r="N313" s="21"/>
    </row>
    <row r="314" spans="1:14" x14ac:dyDescent="0.25">
      <c r="A314" s="119"/>
      <c r="B314" s="79" t="s">
        <v>29</v>
      </c>
      <c r="C314" s="38" t="s">
        <v>11</v>
      </c>
      <c r="D314" s="72">
        <f>D301*D311/D313</f>
        <v>241.63499999999999</v>
      </c>
      <c r="E314" s="72">
        <f>E301*E311/E313</f>
        <v>274.77</v>
      </c>
      <c r="F314" s="72">
        <f>F301*F311/F313</f>
        <v>54.33</v>
      </c>
      <c r="G314" s="72">
        <f>G301*G311/G313</f>
        <v>91.59</v>
      </c>
      <c r="H314" s="72">
        <f>H301*H311/H313</f>
        <v>54.33</v>
      </c>
      <c r="J314" s="4">
        <f t="shared" ref="J314:J316" si="234">SUM(D314:I314)</f>
        <v>716.65500000000009</v>
      </c>
      <c r="K314" s="5">
        <f>SUMPRODUCT(D300:I300,D314:I314)</f>
        <v>662.32500000000005</v>
      </c>
      <c r="L314" s="5"/>
      <c r="N314" s="21"/>
    </row>
    <row r="315" spans="1:14" ht="15.75" thickBot="1" x14ac:dyDescent="0.3">
      <c r="A315" s="119"/>
      <c r="B315" s="88" t="s">
        <v>30</v>
      </c>
      <c r="C315" s="41" t="s">
        <v>11</v>
      </c>
      <c r="D315" s="87">
        <f>D303*D312/D313</f>
        <v>75.510937499999997</v>
      </c>
      <c r="E315" s="87">
        <f>E303*E312/E313</f>
        <v>763.2881625</v>
      </c>
      <c r="F315" s="87">
        <f>F303*F312/F313</f>
        <v>45.274999999999999</v>
      </c>
      <c r="G315" s="87">
        <f>G303*G312/G313</f>
        <v>76.325000000000003</v>
      </c>
      <c r="H315" s="87">
        <f>H303*H312/H313</f>
        <v>45.274999999999999</v>
      </c>
      <c r="J315" s="4">
        <f t="shared" si="234"/>
        <v>1005.6741</v>
      </c>
      <c r="K315" s="5">
        <f>SUMPRODUCT(D300:I300,D315:I315)</f>
        <v>960.39909999999998</v>
      </c>
      <c r="L315" s="5"/>
      <c r="N315" s="21"/>
    </row>
    <row r="316" spans="1:14" ht="16.5" thickTop="1" thickBot="1" x14ac:dyDescent="0.3">
      <c r="A316" s="119"/>
      <c r="B316" s="84" t="s">
        <v>106</v>
      </c>
      <c r="C316" s="38" t="s">
        <v>11</v>
      </c>
      <c r="D316" s="85">
        <f t="shared" ref="D316" si="235">IF(AND(D296=1,D297="Maximum"),MAX(D314:D315),SUM(D314:D315))</f>
        <v>317.1459375</v>
      </c>
      <c r="E316" s="85">
        <f t="shared" ref="E316" si="236">IF(AND(E296=1,E297="Maximum"),MAX(E314:E315),SUM(E314:E315))</f>
        <v>1038.0581625</v>
      </c>
      <c r="F316" s="85">
        <f t="shared" ref="F316" si="237">IF(AND(F296=1,F297="Maximum"),MAX(F314:F315),SUM(F314:F315))</f>
        <v>99.60499999999999</v>
      </c>
      <c r="G316" s="85">
        <f t="shared" ref="G316" si="238">IF(AND(G296=1,G297="Maximum"),MAX(G314:G315),SUM(G314:G315))</f>
        <v>167.91500000000002</v>
      </c>
      <c r="H316" s="85">
        <f t="shared" ref="H316" si="239">IF(AND(H296=1,H297="Maximum"),MAX(H314:H315),SUM(H314:H315))</f>
        <v>99.60499999999999</v>
      </c>
      <c r="J316" s="55">
        <f t="shared" si="234"/>
        <v>1722.3290999999999</v>
      </c>
      <c r="K316" s="47">
        <f>SUMPRODUCT(D300:I300,D316:I316)</f>
        <v>1622.7240999999999</v>
      </c>
      <c r="L316" s="47">
        <f>SUMPRODUCT(D296:I296,D316:I316)</f>
        <v>99.60499999999999</v>
      </c>
      <c r="N316" s="21"/>
    </row>
    <row r="317" spans="1:14" ht="16.5" thickTop="1" thickBot="1" x14ac:dyDescent="0.3">
      <c r="A317" s="119"/>
      <c r="B317" s="81" t="s">
        <v>107</v>
      </c>
      <c r="C317" s="41" t="s">
        <v>11</v>
      </c>
      <c r="D317" s="75">
        <f t="shared" ref="D317" si="240">IF(D299=1,D314,D316)</f>
        <v>317.1459375</v>
      </c>
      <c r="E317" s="75">
        <f t="shared" ref="E317" si="241">IF(E299=1,E314,E316)</f>
        <v>274.77</v>
      </c>
      <c r="F317" s="75">
        <f t="shared" ref="F317" si="242">IF(F299=1,F314,F316)</f>
        <v>99.60499999999999</v>
      </c>
      <c r="G317" s="75">
        <f t="shared" ref="G317" si="243">IF(G299=1,G314,G316)</f>
        <v>167.91500000000002</v>
      </c>
      <c r="H317" s="75">
        <f t="shared" ref="H317" si="244">IF(H299=1,H314,H316)</f>
        <v>99.60499999999999</v>
      </c>
      <c r="J317" s="55">
        <f t="shared" ref="J317" si="245">SUM(D317:I317)</f>
        <v>959.04093749999993</v>
      </c>
      <c r="K317" s="47">
        <f>SUMPRODUCT(D300:I300,D317:I317)</f>
        <v>859.43593749999991</v>
      </c>
      <c r="L317" s="47">
        <f>SUMPRODUCT(D296:I296,D317:I317)</f>
        <v>99.60499999999999</v>
      </c>
      <c r="M317" s="21" t="s">
        <v>123</v>
      </c>
      <c r="N317" s="21" t="s">
        <v>124</v>
      </c>
    </row>
    <row r="318" spans="1:14" ht="15.75" thickTop="1" x14ac:dyDescent="0.25">
      <c r="A318"/>
      <c r="B318" s="13" t="s">
        <v>58</v>
      </c>
      <c r="D318" s="1">
        <f>IFERROR(D309/D316,0)</f>
        <v>1</v>
      </c>
      <c r="E318" s="1">
        <f>IFERROR(E309/E316,0)</f>
        <v>1</v>
      </c>
      <c r="F318" s="1">
        <f>IFERROR(F309/F316,0)</f>
        <v>0</v>
      </c>
      <c r="G318" s="1">
        <f>IFERROR(G309/G316,0)</f>
        <v>1.8909567340618765</v>
      </c>
      <c r="H318" s="1">
        <f>IFERROR(H309/H316,0)</f>
        <v>1</v>
      </c>
      <c r="J318" s="4"/>
      <c r="K318" s="5"/>
      <c r="L318" s="5"/>
      <c r="M318" s="67">
        <f>K316/K309</f>
        <v>0.97010863895605981</v>
      </c>
      <c r="N318" s="67">
        <f>IFERROR(L316/L309,1)</f>
        <v>1</v>
      </c>
    </row>
    <row r="319" spans="1:14" x14ac:dyDescent="0.25">
      <c r="A319"/>
      <c r="B319" s="13" t="s">
        <v>59</v>
      </c>
      <c r="C319" s="38" t="s">
        <v>11</v>
      </c>
      <c r="D319" s="98">
        <v>600</v>
      </c>
      <c r="E319" s="17">
        <v>0</v>
      </c>
      <c r="F319" s="98">
        <v>200</v>
      </c>
      <c r="G319" s="17">
        <v>0</v>
      </c>
      <c r="H319" s="98">
        <v>100</v>
      </c>
      <c r="J319" s="4">
        <f>SUM(D319:I319)</f>
        <v>900</v>
      </c>
      <c r="K319" s="5">
        <f>SUMPRODUCT(D300:I300,D319:I319)</f>
        <v>800</v>
      </c>
      <c r="L319" s="5">
        <f>SUMPRODUCT(D296:I296,D319:I319)</f>
        <v>100</v>
      </c>
      <c r="M319" s="21" t="s">
        <v>86</v>
      </c>
      <c r="N319" s="21" t="s">
        <v>125</v>
      </c>
    </row>
    <row r="320" spans="1:14" ht="15.75" thickBot="1" x14ac:dyDescent="0.3">
      <c r="A320"/>
      <c r="B320" s="16" t="s">
        <v>15</v>
      </c>
      <c r="C320" s="42"/>
      <c r="D320" s="10">
        <f>IFERROR(D309/D319,0)</f>
        <v>0.52857656249999996</v>
      </c>
      <c r="E320" s="10">
        <f>IFERROR(E309/E319,0)</f>
        <v>0</v>
      </c>
      <c r="F320" s="10">
        <f>IFERROR(F309/F319,0)</f>
        <v>0</v>
      </c>
      <c r="G320" s="10">
        <f>IFERROR(G309/G319,0)</f>
        <v>0</v>
      </c>
      <c r="H320" s="10">
        <f>IFERROR(H309/H319,0)</f>
        <v>0.99604999999999988</v>
      </c>
      <c r="J320" s="4"/>
      <c r="K320" s="74">
        <f>K319/K316</f>
        <v>0.49299816278072167</v>
      </c>
      <c r="L320" s="74">
        <f>IFERROR(L319/L316,0)</f>
        <v>1.0039656643742785</v>
      </c>
      <c r="M320" s="68">
        <f>MAX(MIN(K309,$A$2*K319)/K316,1)</f>
        <v>1</v>
      </c>
      <c r="N320" s="68">
        <f>IFERROR(MAX(MIN(L309,$A$2*L319)/L316,1),1)</f>
        <v>1</v>
      </c>
    </row>
    <row r="321" spans="1:14" ht="16.5" thickTop="1" thickBot="1" x14ac:dyDescent="0.3">
      <c r="A321"/>
      <c r="B321" s="15" t="s">
        <v>102</v>
      </c>
      <c r="C321" s="38" t="s">
        <v>11</v>
      </c>
      <c r="D321" s="18">
        <f>IF(D300=1,D309*$M318*$M320,D309)</f>
        <v>307.66601377856864</v>
      </c>
      <c r="E321" s="18">
        <f>IF(E300=1,E309*$M318*$M320,IF(AND(E298=1,E296=0),(E307/E317)+(E308/#REF!),E309))</f>
        <v>1007.0291911801033</v>
      </c>
      <c r="F321" s="18">
        <f>IF(F300=1,F309*$M318*$M320,IF(AND(F298=1,F296=0),(F307/F317)+(F308/#REF!),F309))</f>
        <v>0</v>
      </c>
      <c r="G321" s="18">
        <f>IF(G300=1,G309*$M318*$M320,IF(AND(G298=1,G296=0),(G307/G317)+(G308/#REF!),G309))</f>
        <v>308.02889504132816</v>
      </c>
      <c r="H321" s="18">
        <f>IF(H300=1,H309*$M318*$M320,IF(AND(H298=1,H296=0),(H307/H317)+(H308/#REF!),H309))</f>
        <v>99.60499999999999</v>
      </c>
      <c r="J321" s="55">
        <f>SUM(D321:I321)</f>
        <v>1722.3291000000004</v>
      </c>
      <c r="K321" s="47">
        <f>SUMPRODUCT(D300:I300,D321:I321)</f>
        <v>1622.7241000000004</v>
      </c>
      <c r="L321" s="47">
        <f>SUMPRODUCT(D296:I296,D321:I321)</f>
        <v>99.60499999999999</v>
      </c>
      <c r="M321" s="45" t="str">
        <f>IF(K319*$A$2&gt;K316,"Exhaust exception applies, ventilation up to "&amp;$A$2*100&amp;"% of exhaust flow allowed","")</f>
        <v/>
      </c>
      <c r="N321" s="21"/>
    </row>
    <row r="322" spans="1:14" ht="15.75" thickTop="1" x14ac:dyDescent="0.25">
      <c r="A322"/>
      <c r="B322" s="13" t="s">
        <v>65</v>
      </c>
      <c r="C322" s="38" t="s">
        <v>11</v>
      </c>
      <c r="D322" s="5">
        <f>D309-D321</f>
        <v>9.4799237214313621</v>
      </c>
      <c r="E322" s="5">
        <f>E309-E321</f>
        <v>31.028971319896641</v>
      </c>
      <c r="F322" s="5">
        <f>F309-F321</f>
        <v>0</v>
      </c>
      <c r="G322" s="5">
        <f>G309-G321</f>
        <v>9.4911049586718832</v>
      </c>
      <c r="H322" s="5">
        <f>H309-H321</f>
        <v>0</v>
      </c>
      <c r="J322" s="4">
        <f>J309-J321</f>
        <v>49.999999999999545</v>
      </c>
      <c r="K322" s="5"/>
      <c r="L322" s="5"/>
      <c r="M322" s="76" t="str">
        <f>IF(K319&gt;K316,"CHECK: "&amp;ROUND(K321/K319,3),"")</f>
        <v/>
      </c>
    </row>
    <row r="323" spans="1:14" x14ac:dyDescent="0.25">
      <c r="A323"/>
      <c r="B323" s="13"/>
      <c r="D323" s="5"/>
      <c r="E323" s="5"/>
      <c r="F323" s="5"/>
      <c r="G323" s="5"/>
      <c r="H323" s="5"/>
      <c r="J323" s="4"/>
      <c r="K323" s="5"/>
      <c r="L323" s="5"/>
    </row>
    <row r="324" spans="1:14" x14ac:dyDescent="0.25">
      <c r="A324"/>
      <c r="B324" s="51" t="s">
        <v>61</v>
      </c>
      <c r="C324" s="2"/>
      <c r="D324" s="52">
        <v>1</v>
      </c>
      <c r="E324" s="53">
        <f>$D324</f>
        <v>1</v>
      </c>
      <c r="F324" s="53">
        <f>$D324</f>
        <v>1</v>
      </c>
      <c r="G324" s="53">
        <f>$D324</f>
        <v>1</v>
      </c>
      <c r="H324" s="53">
        <f>$D324</f>
        <v>1</v>
      </c>
      <c r="N324" s="21"/>
    </row>
    <row r="325" spans="1:14" x14ac:dyDescent="0.25">
      <c r="A325"/>
      <c r="B325" s="13" t="s">
        <v>67</v>
      </c>
      <c r="C325" s="38" t="s">
        <v>11</v>
      </c>
      <c r="D325" s="5">
        <f>D309/D324</f>
        <v>317.1459375</v>
      </c>
      <c r="E325" s="5">
        <f>E309/E324</f>
        <v>1038.0581625</v>
      </c>
      <c r="F325" s="5">
        <f>F309/F324</f>
        <v>0</v>
      </c>
      <c r="G325" s="5">
        <f>G309/G324</f>
        <v>317.52000000000004</v>
      </c>
      <c r="H325" s="5">
        <f>H309/H324</f>
        <v>99.60499999999999</v>
      </c>
      <c r="J325" s="4">
        <f t="shared" ref="J325" si="246">SUM(D325:I325)</f>
        <v>1772.3290999999999</v>
      </c>
      <c r="K325" s="5">
        <f>SUMPRODUCT(D300:I300,D325:I325)</f>
        <v>1672.7240999999999</v>
      </c>
      <c r="L325" s="5">
        <f>SUMPRODUCT(D296:I296,D325:I325)</f>
        <v>99.60499999999999</v>
      </c>
    </row>
    <row r="326" spans="1:14" x14ac:dyDescent="0.25">
      <c r="A326"/>
      <c r="B326" s="59" t="s">
        <v>68</v>
      </c>
      <c r="C326" s="60"/>
      <c r="D326" s="66">
        <f>IF(D298=1,D307/D324/D301,D325/D301)</f>
        <v>0.19687499999999999</v>
      </c>
      <c r="E326" s="66">
        <f>IF(E298=1,E307/E324/E301,E325/E301)</f>
        <v>0.22499999999999998</v>
      </c>
      <c r="F326" s="66">
        <f>IF(F298=1,F307/F324/F301,F325/F301)</f>
        <v>0</v>
      </c>
      <c r="G326" s="66">
        <f>IF(G298=1,G307/G324/G301,G325/G301)</f>
        <v>0.26000655093350805</v>
      </c>
      <c r="H326" s="66">
        <f>IF(H298=1,H307/H324/H301,H325/H301)</f>
        <v>0.13749999999999998</v>
      </c>
      <c r="I326" s="61"/>
      <c r="J326" s="62">
        <f>SUMPRODUCT(D326:H326,D301:H301)</f>
        <v>1009.0409374999999</v>
      </c>
      <c r="K326" s="63">
        <f>SUMPRODUCT(D300:I300,D301:I301,D326:I326)</f>
        <v>909.43593749999991</v>
      </c>
      <c r="L326" s="63">
        <f>SUMPRODUCT(D296:I296,D301:I301,D326:I326)</f>
        <v>99.60499999999999</v>
      </c>
      <c r="M326" s="61"/>
    </row>
    <row r="327" spans="1:14" x14ac:dyDescent="0.25">
      <c r="A327"/>
      <c r="B327" s="64" t="s">
        <v>69</v>
      </c>
      <c r="C327" s="60"/>
      <c r="D327" s="66">
        <f>IF(D298=1,D305/D306,0)</f>
        <v>0</v>
      </c>
      <c r="E327" s="66">
        <f t="shared" ref="E327:I327" si="247">IF(E298=1,E305/E306,0)</f>
        <v>9.375</v>
      </c>
      <c r="F327" s="66">
        <f t="shared" si="247"/>
        <v>0</v>
      </c>
      <c r="G327" s="66">
        <f t="shared" si="247"/>
        <v>0</v>
      </c>
      <c r="H327" s="66">
        <f t="shared" si="247"/>
        <v>0</v>
      </c>
      <c r="I327" s="66">
        <f t="shared" si="247"/>
        <v>0</v>
      </c>
      <c r="J327" s="62">
        <f>SUMPRODUCT(D327:H327,D302:H302)</f>
        <v>625.03125</v>
      </c>
      <c r="K327" s="63">
        <f>SUMPRODUCT(D300:I300,D302:I302,D327:I327)</f>
        <v>625.03125</v>
      </c>
      <c r="L327" s="63">
        <f>SUMPRODUCT(D296:I296,D302:I302,D327:I327)</f>
        <v>0</v>
      </c>
      <c r="M327" s="61"/>
    </row>
    <row r="328" spans="1:14" x14ac:dyDescent="0.25">
      <c r="A328"/>
      <c r="B328" s="13" t="s">
        <v>66</v>
      </c>
      <c r="C328" s="38" t="s">
        <v>11</v>
      </c>
      <c r="D328" s="5">
        <f>D321/D324</f>
        <v>307.66601377856864</v>
      </c>
      <c r="E328" s="5">
        <f>E321/E324</f>
        <v>1007.0291911801033</v>
      </c>
      <c r="F328" s="5">
        <f>F321/F324</f>
        <v>0</v>
      </c>
      <c r="G328" s="5">
        <f>G321/G324</f>
        <v>308.02889504132816</v>
      </c>
      <c r="H328" s="5">
        <f>H321/H324</f>
        <v>99.60499999999999</v>
      </c>
      <c r="J328" s="4">
        <f t="shared" ref="J328" si="248">SUM(D328:I328)</f>
        <v>1722.3291000000004</v>
      </c>
      <c r="K328" s="5">
        <f>SUMPRODUCT(D300:I300,D328:I328)</f>
        <v>1622.7241000000004</v>
      </c>
      <c r="L328" s="5">
        <f>SUMPRODUCT(D296:I296,D328:I328)</f>
        <v>99.60499999999999</v>
      </c>
      <c r="M328" s="54"/>
    </row>
    <row r="329" spans="1:14" x14ac:dyDescent="0.25">
      <c r="A329"/>
      <c r="B329" s="59" t="s">
        <v>62</v>
      </c>
      <c r="C329" s="60"/>
      <c r="D329" s="66">
        <f>IF(D299=1,D311/D313/D324,D328/D301)</f>
        <v>0.19099013829447428</v>
      </c>
      <c r="E329" s="66">
        <f t="shared" ref="E329" si="249">IF(E299=1,E311/E313/E324,E328/E301)</f>
        <v>0.22499999999999998</v>
      </c>
      <c r="F329" s="66">
        <f t="shared" ref="F329" si="250">IF(F299=1,F311/F313/F324,F328/F301)</f>
        <v>0</v>
      </c>
      <c r="G329" s="66">
        <f t="shared" ref="G329" si="251">IF(G299=1,G311/G313/G324,G328/G301)</f>
        <v>0.25223460124576497</v>
      </c>
      <c r="H329" s="66">
        <f>IF(H299=1,H311/H313/H324,H328/H301)</f>
        <v>0.13749999999999998</v>
      </c>
      <c r="I329" s="61"/>
      <c r="J329" s="62">
        <f>SUMPRODUCT(D329:I329,D301:I301)</f>
        <v>990.06990881989691</v>
      </c>
      <c r="K329" s="63">
        <f>SUMPRODUCT(D300:I300,D301:I301,D329:I329)</f>
        <v>890.46490881989689</v>
      </c>
      <c r="L329" s="63">
        <f>SUMPRODUCT(D296:I296,D301:I301,D329:I329)</f>
        <v>99.60499999999999</v>
      </c>
      <c r="M329" s="61"/>
    </row>
    <row r="330" spans="1:14" x14ac:dyDescent="0.25">
      <c r="A330"/>
      <c r="B330" s="64" t="s">
        <v>63</v>
      </c>
      <c r="C330" s="60"/>
      <c r="D330" s="66">
        <f t="shared" ref="D330" si="252">IF(D299=1,IF(AND(D296=1,D297="Maximum"),D312*$N318*$N320,(D328-D329*D301)/D303),0)</f>
        <v>0</v>
      </c>
      <c r="E330" s="66">
        <f t="shared" ref="E330" si="253">IF(E299=1,IF(AND(E296=1,E297="Maximum"),E312*$N318*$N320,(E328-E329*E301)/E303),0)</f>
        <v>8.993890190604743</v>
      </c>
      <c r="F330" s="66">
        <f t="shared" ref="F330" si="254">IF(F299=1,IF(AND(F296=1,F297="Maximum"),F312*$N318*$N320,(F328-F329*F301)/F303),0)</f>
        <v>0</v>
      </c>
      <c r="G330" s="66">
        <f t="shared" ref="G330" si="255">IF(G299=1,IF(AND(G296=1,G297="Maximum"),G312*$N318*$N320,(G328-G329*G301)/G303),0)</f>
        <v>0</v>
      </c>
      <c r="H330" s="66">
        <f>IF(H299=1,IF(AND(H296=1,H297="Maximum"),H305*$N318*$N320/H313,(H328-H329*H301)/H303),0)</f>
        <v>0</v>
      </c>
      <c r="I330" s="61"/>
      <c r="J330" s="62">
        <f>SUMPRODUCT(D330:I330,D302:I302)</f>
        <v>599.62265900761827</v>
      </c>
      <c r="K330" s="63">
        <f>SUMPRODUCT(D300:I300,D302:I302,D330:I330)</f>
        <v>599.62265900761827</v>
      </c>
      <c r="L330" s="63">
        <f>SUMPRODUCT(D296:I296,D302:I302,D330:I330)</f>
        <v>0</v>
      </c>
      <c r="M330" s="61"/>
      <c r="N330" s="21"/>
    </row>
    <row r="331" spans="1:14" x14ac:dyDescent="0.25">
      <c r="B331" s="59" t="s">
        <v>186</v>
      </c>
      <c r="C331" s="110"/>
      <c r="D331" s="111">
        <f t="shared" ref="D331" si="256">IF(D297="Maximum",MAX(D329*D301,D330*D303),D329*D301+D330*D303)</f>
        <v>307.66601377856864</v>
      </c>
      <c r="E331" s="111">
        <f t="shared" ref="E331" si="257">IF(E297="Maximum",MAX(E329*E301,E330*E303),E329*E301+E330*E303)</f>
        <v>1007.0291911801033</v>
      </c>
      <c r="F331" s="111">
        <f t="shared" ref="F331" si="258">IF(F297="Maximum",MAX(F329*F301,F330*F303),F329*F301+F330*F303)</f>
        <v>0</v>
      </c>
      <c r="G331" s="111">
        <f t="shared" ref="G331" si="259">IF(G297="Maximum",MAX(G329*G301,G330*G303),G329*G301+G330*G303)</f>
        <v>308.02889504132821</v>
      </c>
      <c r="H331" s="111">
        <f t="shared" ref="H331" si="260">IF(H297="Maximum",MAX(H329*H301,H330*H303),H329*H301+H330*H303)</f>
        <v>99.60499999999999</v>
      </c>
    </row>
    <row r="332" spans="1:14" x14ac:dyDescent="0.25">
      <c r="A332"/>
      <c r="B332" s="15"/>
      <c r="C332" s="40"/>
      <c r="D332" s="9"/>
      <c r="E332" s="9"/>
      <c r="F332" s="9"/>
      <c r="G332" s="9"/>
      <c r="H332" s="9"/>
    </row>
    <row r="333" spans="1:14" ht="18.75" hidden="1" x14ac:dyDescent="0.3">
      <c r="A333" s="89" t="s">
        <v>120</v>
      </c>
      <c r="B333" s="90"/>
      <c r="C333" s="91"/>
      <c r="D333" s="92"/>
      <c r="E333" s="92"/>
      <c r="F333" s="92"/>
      <c r="G333" s="101"/>
      <c r="H333" s="101"/>
      <c r="I333" s="92"/>
      <c r="J333" s="93"/>
      <c r="K333" s="92"/>
      <c r="L333" s="92"/>
    </row>
    <row r="334" spans="1:14" hidden="1" x14ac:dyDescent="0.25">
      <c r="A334" s="9" t="s">
        <v>21</v>
      </c>
      <c r="B334" s="8" t="s">
        <v>121</v>
      </c>
      <c r="G334" s="8"/>
      <c r="H334" s="8"/>
    </row>
    <row r="335" spans="1:14" hidden="1" x14ac:dyDescent="0.25">
      <c r="A335" s="9" t="s">
        <v>18</v>
      </c>
      <c r="B335" s="20" t="s">
        <v>20</v>
      </c>
      <c r="D335" s="5"/>
      <c r="E335" s="5"/>
      <c r="F335" s="5"/>
      <c r="G335" s="5"/>
      <c r="H335" s="5"/>
      <c r="J335" s="4"/>
    </row>
    <row r="336" spans="1:14" hidden="1" x14ac:dyDescent="0.25">
      <c r="A336" s="9"/>
      <c r="B336" s="20"/>
      <c r="D336" s="5"/>
      <c r="E336" s="5"/>
      <c r="F336" s="5"/>
      <c r="G336" s="5"/>
      <c r="H336" s="5"/>
      <c r="J336" s="4"/>
    </row>
    <row r="337" spans="1:14" ht="24.75" hidden="1" x14ac:dyDescent="0.25">
      <c r="B337" s="13" t="s">
        <v>12</v>
      </c>
      <c r="D337" s="49" t="s">
        <v>82</v>
      </c>
      <c r="E337" s="49"/>
      <c r="F337" s="38"/>
      <c r="G337" s="38"/>
      <c r="H337" s="38"/>
      <c r="J337" s="116" t="s">
        <v>5</v>
      </c>
      <c r="K337" s="117"/>
      <c r="L337" s="102"/>
      <c r="M337" s="12"/>
      <c r="N337" s="25"/>
    </row>
    <row r="338" spans="1:14" ht="15.75" hidden="1" thickBot="1" x14ac:dyDescent="0.3">
      <c r="B338" s="32" t="s">
        <v>13</v>
      </c>
      <c r="C338" s="39"/>
      <c r="D338" s="33" t="s">
        <v>77</v>
      </c>
      <c r="E338" s="33" t="s">
        <v>78</v>
      </c>
      <c r="F338" s="33" t="s">
        <v>79</v>
      </c>
      <c r="G338" s="33" t="s">
        <v>80</v>
      </c>
      <c r="H338" s="33" t="s">
        <v>81</v>
      </c>
      <c r="J338" s="34" t="s">
        <v>16</v>
      </c>
      <c r="K338" s="35" t="s">
        <v>126</v>
      </c>
      <c r="L338" s="35" t="s">
        <v>122</v>
      </c>
      <c r="M338" s="35" t="s">
        <v>127</v>
      </c>
      <c r="N338" s="35" t="s">
        <v>128</v>
      </c>
    </row>
    <row r="339" spans="1:14" hidden="1" x14ac:dyDescent="0.25">
      <c r="B339" s="15" t="s">
        <v>49</v>
      </c>
      <c r="C339" s="40"/>
      <c r="D339" s="30">
        <v>0</v>
      </c>
      <c r="E339" s="30">
        <v>0</v>
      </c>
      <c r="F339" s="30">
        <v>0</v>
      </c>
      <c r="G339" s="30">
        <v>0</v>
      </c>
      <c r="H339" s="30">
        <v>0</v>
      </c>
      <c r="J339" s="46"/>
      <c r="K339" s="26"/>
      <c r="L339" s="26"/>
      <c r="M339" s="8"/>
      <c r="N339" s="21"/>
    </row>
    <row r="340" spans="1:14" hidden="1" x14ac:dyDescent="0.25">
      <c r="B340" s="15" t="s">
        <v>132</v>
      </c>
      <c r="C340" s="40"/>
      <c r="D340" s="30" t="s">
        <v>134</v>
      </c>
      <c r="E340" s="30" t="s">
        <v>134</v>
      </c>
      <c r="F340" s="30" t="s">
        <v>134</v>
      </c>
      <c r="G340" s="30" t="s">
        <v>134</v>
      </c>
      <c r="H340" s="30" t="s">
        <v>134</v>
      </c>
      <c r="J340" s="46"/>
      <c r="K340" s="26"/>
      <c r="L340" s="26"/>
      <c r="M340" s="8"/>
      <c r="N340" s="21"/>
    </row>
    <row r="341" spans="1:14" hidden="1" x14ac:dyDescent="0.25">
      <c r="B341" s="15" t="s">
        <v>184</v>
      </c>
      <c r="C341" s="40"/>
      <c r="D341" s="30">
        <v>0</v>
      </c>
      <c r="E341" s="30">
        <v>0</v>
      </c>
      <c r="F341" s="30">
        <v>0</v>
      </c>
      <c r="G341" s="30">
        <v>0</v>
      </c>
      <c r="H341" s="30">
        <v>0</v>
      </c>
      <c r="J341" s="46"/>
      <c r="K341" s="26"/>
      <c r="L341" s="26"/>
      <c r="M341" s="8"/>
      <c r="N341" s="21"/>
    </row>
    <row r="342" spans="1:14" hidden="1" x14ac:dyDescent="0.25">
      <c r="B342" s="15" t="s">
        <v>185</v>
      </c>
      <c r="C342" s="40"/>
      <c r="D342" s="30">
        <v>0</v>
      </c>
      <c r="E342" s="30">
        <v>0</v>
      </c>
      <c r="F342" s="30">
        <v>0</v>
      </c>
      <c r="G342" s="30">
        <v>0</v>
      </c>
      <c r="H342" s="30">
        <v>0</v>
      </c>
      <c r="J342" s="46"/>
      <c r="K342" s="26"/>
      <c r="L342" s="26"/>
      <c r="M342" s="8"/>
      <c r="N342" s="21"/>
    </row>
    <row r="343" spans="1:14" hidden="1" x14ac:dyDescent="0.25">
      <c r="B343" s="104" t="s">
        <v>129</v>
      </c>
      <c r="C343" s="44"/>
      <c r="D343" s="103">
        <f>IF(D339=1,0,1)</f>
        <v>1</v>
      </c>
      <c r="E343" s="103">
        <f>IF(E339=1,0,1)</f>
        <v>1</v>
      </c>
      <c r="F343" s="103">
        <f>IF(F339=1,0,1)</f>
        <v>1</v>
      </c>
      <c r="G343" s="103">
        <f>IF(G339=1,0,1)</f>
        <v>1</v>
      </c>
      <c r="H343" s="103">
        <f>IF(H339=1,0,1)</f>
        <v>1</v>
      </c>
      <c r="J343" s="46"/>
      <c r="K343" s="5"/>
      <c r="L343" s="5"/>
      <c r="N343" s="21"/>
    </row>
    <row r="344" spans="1:14" hidden="1" x14ac:dyDescent="0.25">
      <c r="B344" s="15" t="s">
        <v>72</v>
      </c>
      <c r="C344" s="38" t="s">
        <v>75</v>
      </c>
      <c r="D344" s="95">
        <v>1610.9</v>
      </c>
      <c r="E344" s="95">
        <v>1221.2</v>
      </c>
      <c r="F344" s="95">
        <v>724.4</v>
      </c>
      <c r="G344" s="95">
        <v>1221.2</v>
      </c>
      <c r="H344" s="95">
        <v>724.4</v>
      </c>
      <c r="J344" s="46"/>
      <c r="K344" s="5"/>
      <c r="L344" s="5"/>
      <c r="N344" s="21"/>
    </row>
    <row r="345" spans="1:14" hidden="1" x14ac:dyDescent="0.25">
      <c r="B345" s="15" t="s">
        <v>111</v>
      </c>
      <c r="C345" s="40" t="s">
        <v>112</v>
      </c>
      <c r="D345" s="50">
        <v>10</v>
      </c>
      <c r="E345" s="50">
        <v>10</v>
      </c>
      <c r="F345" s="50">
        <v>10</v>
      </c>
      <c r="G345" s="50">
        <v>10</v>
      </c>
      <c r="H345" s="50">
        <v>10</v>
      </c>
      <c r="J345" s="4"/>
      <c r="K345" s="5"/>
      <c r="L345" s="5"/>
      <c r="N345" s="21"/>
    </row>
    <row r="346" spans="1:14" hidden="1" x14ac:dyDescent="0.25">
      <c r="B346" s="14" t="s">
        <v>73</v>
      </c>
      <c r="C346" s="41" t="s">
        <v>74</v>
      </c>
      <c r="D346" s="77">
        <f>D344*D345/1000</f>
        <v>16.109000000000002</v>
      </c>
      <c r="E346" s="77">
        <f>E344*E345/1000</f>
        <v>12.212</v>
      </c>
      <c r="F346" s="77">
        <f>F344*F345/1000</f>
        <v>7.2439999999999998</v>
      </c>
      <c r="G346" s="77">
        <f>G344*G345/1000</f>
        <v>12.212</v>
      </c>
      <c r="H346" s="77">
        <f>H344*H345/1000</f>
        <v>7.2439999999999998</v>
      </c>
      <c r="J346" s="4"/>
      <c r="K346" s="5"/>
      <c r="L346" s="5"/>
      <c r="N346" s="21"/>
    </row>
    <row r="347" spans="1:14" hidden="1" x14ac:dyDescent="0.25">
      <c r="A347" s="118" t="s">
        <v>110</v>
      </c>
      <c r="B347" s="80" t="s">
        <v>87</v>
      </c>
      <c r="C347" s="38" t="s">
        <v>113</v>
      </c>
      <c r="D347" s="58">
        <f t="shared" ref="D347:H347" si="261">D354</f>
        <v>0.06</v>
      </c>
      <c r="E347" s="58">
        <f t="shared" si="261"/>
        <v>0.06</v>
      </c>
      <c r="F347" s="58">
        <f t="shared" si="261"/>
        <v>0.06</v>
      </c>
      <c r="G347" s="58">
        <f t="shared" si="261"/>
        <v>0.06</v>
      </c>
      <c r="H347" s="58">
        <f t="shared" si="261"/>
        <v>0.06</v>
      </c>
      <c r="J347" s="4"/>
      <c r="K347" s="5"/>
      <c r="L347" s="5"/>
      <c r="N347" s="21"/>
    </row>
    <row r="348" spans="1:14" hidden="1" x14ac:dyDescent="0.25">
      <c r="A348" s="118"/>
      <c r="B348" s="80" t="s">
        <v>88</v>
      </c>
      <c r="C348" s="38" t="s">
        <v>76</v>
      </c>
      <c r="D348" s="57">
        <f t="shared" ref="D348:H348" si="262">D355</f>
        <v>5</v>
      </c>
      <c r="E348" s="57">
        <f t="shared" si="262"/>
        <v>5</v>
      </c>
      <c r="F348" s="57">
        <f t="shared" si="262"/>
        <v>5</v>
      </c>
      <c r="G348" s="57">
        <f t="shared" si="262"/>
        <v>5</v>
      </c>
      <c r="H348" s="57">
        <f t="shared" si="262"/>
        <v>5</v>
      </c>
      <c r="J348" s="4"/>
      <c r="K348" s="5"/>
      <c r="L348" s="5"/>
      <c r="N348" s="21"/>
    </row>
    <row r="349" spans="1:14" hidden="1" x14ac:dyDescent="0.25">
      <c r="A349" s="118"/>
      <c r="B349" s="80" t="s">
        <v>60</v>
      </c>
      <c r="C349"/>
      <c r="D349" s="50">
        <v>0.8</v>
      </c>
      <c r="E349" s="50">
        <f>D349</f>
        <v>0.8</v>
      </c>
      <c r="F349" s="50">
        <f t="shared" ref="F349" si="263">E349</f>
        <v>0.8</v>
      </c>
      <c r="G349" s="50">
        <f t="shared" ref="G349" si="264">F349</f>
        <v>0.8</v>
      </c>
      <c r="H349" s="50">
        <f t="shared" ref="H349" si="265">G349</f>
        <v>0.8</v>
      </c>
      <c r="N349" s="21"/>
    </row>
    <row r="350" spans="1:14" hidden="1" x14ac:dyDescent="0.25">
      <c r="A350" s="118"/>
      <c r="B350" s="80" t="s">
        <v>31</v>
      </c>
      <c r="C350" s="38" t="s">
        <v>11</v>
      </c>
      <c r="D350" s="72">
        <f>D344*D347/D349</f>
        <v>120.8175</v>
      </c>
      <c r="E350" s="72">
        <f>E344*E347/E349</f>
        <v>91.59</v>
      </c>
      <c r="F350" s="72">
        <f>F344*F347/F349</f>
        <v>54.33</v>
      </c>
      <c r="G350" s="72">
        <f>G344*G347/G349</f>
        <v>91.59</v>
      </c>
      <c r="H350" s="72">
        <f>H344*H347/H349</f>
        <v>54.33</v>
      </c>
      <c r="J350" s="4">
        <f t="shared" ref="J350:J353" si="266">SUM(D350:I350)</f>
        <v>412.65749999999997</v>
      </c>
      <c r="K350" s="5">
        <f>SUMPRODUCT(D343:I343,D350:I350)</f>
        <v>412.65749999999997</v>
      </c>
      <c r="L350" s="5"/>
      <c r="N350" s="21"/>
    </row>
    <row r="351" spans="1:14" ht="15.75" hidden="1" thickBot="1" x14ac:dyDescent="0.3">
      <c r="A351" s="118"/>
      <c r="B351" s="86" t="s">
        <v>32</v>
      </c>
      <c r="C351" s="41" t="s">
        <v>11</v>
      </c>
      <c r="D351" s="87">
        <f>D346*D348/D349</f>
        <v>100.68125000000002</v>
      </c>
      <c r="E351" s="87">
        <f>E346*E348/E349</f>
        <v>76.325000000000003</v>
      </c>
      <c r="F351" s="87">
        <f>F346*F348/F349</f>
        <v>45.274999999999999</v>
      </c>
      <c r="G351" s="87">
        <f>G346*G348/G349</f>
        <v>76.325000000000003</v>
      </c>
      <c r="H351" s="87">
        <f>H346*H348/H349</f>
        <v>45.274999999999999</v>
      </c>
      <c r="J351" s="4">
        <f t="shared" si="266"/>
        <v>343.88125000000002</v>
      </c>
      <c r="K351" s="5">
        <f>SUMPRODUCT(D343:I343,D351:I351)</f>
        <v>343.88125000000002</v>
      </c>
      <c r="L351" s="5"/>
      <c r="N351" s="21"/>
    </row>
    <row r="352" spans="1:14" ht="16.5" hidden="1" thickTop="1" thickBot="1" x14ac:dyDescent="0.3">
      <c r="A352" s="118"/>
      <c r="B352" s="83" t="s">
        <v>64</v>
      </c>
      <c r="C352" s="38" t="s">
        <v>11</v>
      </c>
      <c r="D352" s="36">
        <v>0</v>
      </c>
      <c r="E352" s="36">
        <f>SUM(D350:E351)</f>
        <v>389.41374999999999</v>
      </c>
      <c r="F352" s="36">
        <f>SUM(F350:F351)</f>
        <v>99.60499999999999</v>
      </c>
      <c r="G352" s="36">
        <f t="shared" ref="G352:H352" si="267">SUM(G350:G351)</f>
        <v>167.91500000000002</v>
      </c>
      <c r="H352" s="36">
        <f t="shared" si="267"/>
        <v>99.60499999999999</v>
      </c>
      <c r="J352" s="55">
        <f t="shared" si="266"/>
        <v>756.53874999999994</v>
      </c>
      <c r="K352" s="47">
        <f>SUMPRODUCT(D343:I343,D352:I352)</f>
        <v>756.53874999999994</v>
      </c>
      <c r="L352" s="47">
        <f>SUMPRODUCT(D339:I339,D352:I352)</f>
        <v>0</v>
      </c>
      <c r="N352" s="21"/>
    </row>
    <row r="353" spans="1:14" ht="16.5" hidden="1" thickTop="1" thickBot="1" x14ac:dyDescent="0.3">
      <c r="A353" s="118"/>
      <c r="B353" s="82" t="s">
        <v>108</v>
      </c>
      <c r="C353" s="41" t="s">
        <v>11</v>
      </c>
      <c r="D353" s="75">
        <f>IF(D341=1,D350,D352)</f>
        <v>0</v>
      </c>
      <c r="E353" s="75">
        <f>IF(E341=1,E350,E352)</f>
        <v>389.41374999999999</v>
      </c>
      <c r="F353" s="75">
        <f>IF(F341=1,F350,F352)</f>
        <v>99.60499999999999</v>
      </c>
      <c r="G353" s="75">
        <f>IF(G341=1,G350,G352)</f>
        <v>167.91500000000002</v>
      </c>
      <c r="H353" s="75">
        <f>IF(H341=1,H350,H352)</f>
        <v>99.60499999999999</v>
      </c>
      <c r="J353" s="55">
        <f t="shared" si="266"/>
        <v>756.53874999999994</v>
      </c>
      <c r="K353" s="47">
        <f>SUMPRODUCT(D343:I343,D353:I353)</f>
        <v>756.53874999999994</v>
      </c>
      <c r="L353" s="47">
        <f>SUMPRODUCT(D339:I339,D353:I353)</f>
        <v>0</v>
      </c>
      <c r="N353" s="21"/>
    </row>
    <row r="354" spans="1:14" ht="15.75" hidden="1" thickTop="1" x14ac:dyDescent="0.25">
      <c r="A354" s="119" t="s">
        <v>109</v>
      </c>
      <c r="B354" s="78" t="s">
        <v>89</v>
      </c>
      <c r="C354" s="38" t="s">
        <v>113</v>
      </c>
      <c r="D354" s="58">
        <v>0.06</v>
      </c>
      <c r="E354" s="58">
        <v>0.06</v>
      </c>
      <c r="F354" s="58">
        <v>0.06</v>
      </c>
      <c r="G354" s="58">
        <v>0.06</v>
      </c>
      <c r="H354" s="58">
        <v>0.06</v>
      </c>
      <c r="J354" s="4"/>
      <c r="K354" s="5"/>
      <c r="L354" s="5"/>
      <c r="N354" s="21"/>
    </row>
    <row r="355" spans="1:14" hidden="1" x14ac:dyDescent="0.25">
      <c r="A355" s="119"/>
      <c r="B355" s="78" t="s">
        <v>90</v>
      </c>
      <c r="C355" s="38" t="s">
        <v>76</v>
      </c>
      <c r="D355" s="57">
        <v>5</v>
      </c>
      <c r="E355" s="57">
        <v>5</v>
      </c>
      <c r="F355" s="57">
        <v>5</v>
      </c>
      <c r="G355" s="57">
        <v>5</v>
      </c>
      <c r="H355" s="57">
        <v>5</v>
      </c>
      <c r="J355" s="4"/>
      <c r="K355" s="5"/>
      <c r="L355" s="5"/>
      <c r="N355" s="21"/>
    </row>
    <row r="356" spans="1:14" hidden="1" x14ac:dyDescent="0.25">
      <c r="A356" s="119"/>
      <c r="B356" s="78" t="s">
        <v>70</v>
      </c>
      <c r="C356"/>
      <c r="D356" s="73">
        <f>IF(AND(D349&gt;1,D339=0),1,D349)</f>
        <v>0.8</v>
      </c>
      <c r="E356" s="73">
        <f>IF(AND(E349&gt;1,E339=0),1,E349)</f>
        <v>0.8</v>
      </c>
      <c r="F356" s="73">
        <f>IF(AND(F349&gt;1,F339=0),1,F349)</f>
        <v>0.8</v>
      </c>
      <c r="G356" s="73">
        <f>IF(AND(G349&gt;1,G339=0),1,G349)</f>
        <v>0.8</v>
      </c>
      <c r="H356" s="73">
        <f>IF(AND(H349&gt;1,H339=0),1,H349)</f>
        <v>0.8</v>
      </c>
      <c r="N356" s="21"/>
    </row>
    <row r="357" spans="1:14" hidden="1" x14ac:dyDescent="0.25">
      <c r="A357" s="119"/>
      <c r="B357" s="79" t="s">
        <v>29</v>
      </c>
      <c r="C357" s="38" t="s">
        <v>11</v>
      </c>
      <c r="D357" s="72">
        <f>D344*D354/D356</f>
        <v>120.8175</v>
      </c>
      <c r="E357" s="72">
        <f>E344*E354/E356</f>
        <v>91.59</v>
      </c>
      <c r="F357" s="72">
        <f>F344*F354/F356</f>
        <v>54.33</v>
      </c>
      <c r="G357" s="72">
        <f>G344*G354/G356</f>
        <v>91.59</v>
      </c>
      <c r="H357" s="72">
        <f>H344*H354/H356</f>
        <v>54.33</v>
      </c>
      <c r="J357" s="4">
        <f t="shared" ref="J357:J359" si="268">SUM(D357:I357)</f>
        <v>412.65749999999997</v>
      </c>
      <c r="K357" s="5">
        <f>SUMPRODUCT(D343:I343,D357:I357)</f>
        <v>412.65749999999997</v>
      </c>
      <c r="L357" s="5"/>
      <c r="N357" s="21"/>
    </row>
    <row r="358" spans="1:14" ht="15.75" hidden="1" thickBot="1" x14ac:dyDescent="0.3">
      <c r="A358" s="119"/>
      <c r="B358" s="88" t="s">
        <v>30</v>
      </c>
      <c r="C358" s="41" t="s">
        <v>11</v>
      </c>
      <c r="D358" s="87">
        <f>D346*D355/D356</f>
        <v>100.68125000000002</v>
      </c>
      <c r="E358" s="87">
        <f>E346*E355/E356</f>
        <v>76.325000000000003</v>
      </c>
      <c r="F358" s="87">
        <f>F346*F355/F356</f>
        <v>45.274999999999999</v>
      </c>
      <c r="G358" s="87">
        <f>G346*G355/G356</f>
        <v>76.325000000000003</v>
      </c>
      <c r="H358" s="87">
        <f>H346*H355/H356</f>
        <v>45.274999999999999</v>
      </c>
      <c r="J358" s="4">
        <f t="shared" si="268"/>
        <v>343.88125000000002</v>
      </c>
      <c r="K358" s="5">
        <f>SUMPRODUCT(D343:I343,D358:I358)</f>
        <v>343.88125000000002</v>
      </c>
      <c r="L358" s="5"/>
      <c r="N358" s="21"/>
    </row>
    <row r="359" spans="1:14" ht="16.5" hidden="1" thickTop="1" thickBot="1" x14ac:dyDescent="0.3">
      <c r="A359" s="119"/>
      <c r="B359" s="84" t="s">
        <v>106</v>
      </c>
      <c r="C359" s="38" t="s">
        <v>11</v>
      </c>
      <c r="D359" s="85">
        <f t="shared" ref="D359" si="269">IF(AND(D339=1,D340="Maximum"),MAX(D357:D358),SUM(D357:D358))</f>
        <v>221.49875000000003</v>
      </c>
      <c r="E359" s="85">
        <f t="shared" ref="E359" si="270">IF(AND(E339=1,E340="Maximum"),MAX(E357:E358),SUM(E357:E358))</f>
        <v>167.91500000000002</v>
      </c>
      <c r="F359" s="85">
        <f t="shared" ref="F359" si="271">IF(AND(F339=1,F340="Maximum"),MAX(F357:F358),SUM(F357:F358))</f>
        <v>99.60499999999999</v>
      </c>
      <c r="G359" s="85">
        <f t="shared" ref="G359" si="272">IF(AND(G339=1,G340="Maximum"),MAX(G357:G358),SUM(G357:G358))</f>
        <v>167.91500000000002</v>
      </c>
      <c r="H359" s="85">
        <f t="shared" ref="H359" si="273">IF(AND(H339=1,H340="Maximum"),MAX(H357:H358),SUM(H357:H358))</f>
        <v>99.60499999999999</v>
      </c>
      <c r="J359" s="55">
        <f t="shared" si="268"/>
        <v>756.53875000000016</v>
      </c>
      <c r="K359" s="47">
        <f>SUMPRODUCT(D343:I343,D359:I359)</f>
        <v>756.53875000000016</v>
      </c>
      <c r="L359" s="47">
        <f>SUMPRODUCT(D339:I339,D359:I359)</f>
        <v>0</v>
      </c>
      <c r="N359" s="21"/>
    </row>
    <row r="360" spans="1:14" ht="16.5" hidden="1" thickTop="1" thickBot="1" x14ac:dyDescent="0.3">
      <c r="A360" s="119"/>
      <c r="B360" s="81" t="s">
        <v>107</v>
      </c>
      <c r="C360" s="41" t="s">
        <v>11</v>
      </c>
      <c r="D360" s="75">
        <f t="shared" ref="D360" si="274">IF(D342=1,D357,D359)</f>
        <v>221.49875000000003</v>
      </c>
      <c r="E360" s="75">
        <f t="shared" ref="E360" si="275">IF(E342=1,E357,E359)</f>
        <v>167.91500000000002</v>
      </c>
      <c r="F360" s="75">
        <f t="shared" ref="F360" si="276">IF(F342=1,F357,F359)</f>
        <v>99.60499999999999</v>
      </c>
      <c r="G360" s="75">
        <f t="shared" ref="G360" si="277">IF(G342=1,G357,G359)</f>
        <v>167.91500000000002</v>
      </c>
      <c r="H360" s="75">
        <f t="shared" ref="H360" si="278">IF(H342=1,H357,H359)</f>
        <v>99.60499999999999</v>
      </c>
      <c r="J360" s="55">
        <f t="shared" ref="J360" si="279">SUM(D360:I360)</f>
        <v>756.53875000000016</v>
      </c>
      <c r="K360" s="47">
        <f>SUMPRODUCT(D343:I343,D360:I360)</f>
        <v>756.53875000000016</v>
      </c>
      <c r="L360" s="47">
        <f>SUMPRODUCT(D339:I339,D360:I360)</f>
        <v>0</v>
      </c>
      <c r="M360" s="21" t="s">
        <v>123</v>
      </c>
      <c r="N360" s="21" t="s">
        <v>124</v>
      </c>
    </row>
    <row r="361" spans="1:14" ht="15.75" hidden="1" thickTop="1" x14ac:dyDescent="0.25">
      <c r="A361"/>
      <c r="B361" s="13" t="s">
        <v>58</v>
      </c>
      <c r="D361" s="1">
        <f>IFERROR(D352/D359,0)</f>
        <v>0</v>
      </c>
      <c r="E361" s="1">
        <f>IFERROR(E352/E359,0)</f>
        <v>2.3191123485096625</v>
      </c>
      <c r="F361" s="1">
        <f>IFERROR(F352/F359,0)</f>
        <v>1</v>
      </c>
      <c r="G361" s="1">
        <f>IFERROR(G352/G359,0)</f>
        <v>1</v>
      </c>
      <c r="H361" s="1">
        <f>IFERROR(H352/H359,0)</f>
        <v>1</v>
      </c>
      <c r="J361" s="4"/>
      <c r="K361" s="5"/>
      <c r="L361" s="5"/>
      <c r="M361" s="67">
        <f>K359/K352</f>
        <v>1.0000000000000002</v>
      </c>
      <c r="N361" s="67">
        <f>IFERROR(L359/L352,1)</f>
        <v>1</v>
      </c>
    </row>
    <row r="362" spans="1:14" hidden="1" x14ac:dyDescent="0.25">
      <c r="A362"/>
      <c r="B362" s="13" t="s">
        <v>59</v>
      </c>
      <c r="C362" s="38" t="s">
        <v>11</v>
      </c>
      <c r="D362" s="17">
        <v>200</v>
      </c>
      <c r="E362" s="17">
        <v>0</v>
      </c>
      <c r="F362" s="17">
        <v>0</v>
      </c>
      <c r="G362" s="17">
        <v>0</v>
      </c>
      <c r="H362" s="17">
        <v>0</v>
      </c>
      <c r="J362" s="4">
        <f>SUM(D362:I362)</f>
        <v>200</v>
      </c>
      <c r="K362" s="5">
        <f>SUMPRODUCT(D343:I343,D362:I362)</f>
        <v>200</v>
      </c>
      <c r="L362" s="5">
        <f>SUMPRODUCT(D339:I339,D362:I362)</f>
        <v>0</v>
      </c>
      <c r="M362" s="21" t="s">
        <v>86</v>
      </c>
      <c r="N362" s="21" t="s">
        <v>125</v>
      </c>
    </row>
    <row r="363" spans="1:14" ht="15.75" hidden="1" thickBot="1" x14ac:dyDescent="0.3">
      <c r="A363"/>
      <c r="B363" s="16" t="s">
        <v>15</v>
      </c>
      <c r="C363" s="42"/>
      <c r="D363" s="10">
        <f>IFERROR(D352/D362,0)</f>
        <v>0</v>
      </c>
      <c r="E363" s="10">
        <f>IFERROR(E352/E362,0)</f>
        <v>0</v>
      </c>
      <c r="F363" s="10">
        <f>IFERROR(F352/F362,0)</f>
        <v>0</v>
      </c>
      <c r="G363" s="10">
        <f>IFERROR(G352/G362,0)</f>
        <v>0</v>
      </c>
      <c r="H363" s="10">
        <f>IFERROR(H352/H362,0)</f>
        <v>0</v>
      </c>
      <c r="J363" s="4"/>
      <c r="K363" s="74">
        <f>K362/K359</f>
        <v>0.26436187174814241</v>
      </c>
      <c r="L363" s="74">
        <f>IFERROR(L362/L359,0)</f>
        <v>0</v>
      </c>
      <c r="M363" s="68">
        <f>MAX(MIN(K352,$A$2*K362)/K359,1)</f>
        <v>1</v>
      </c>
      <c r="N363" s="68">
        <f>IFERROR(MAX(MIN(L352,$A$2*L362)/L359,1),1)</f>
        <v>1</v>
      </c>
    </row>
    <row r="364" spans="1:14" ht="16.5" hidden="1" thickTop="1" thickBot="1" x14ac:dyDescent="0.3">
      <c r="A364"/>
      <c r="B364" s="15" t="s">
        <v>102</v>
      </c>
      <c r="C364" s="38" t="s">
        <v>11</v>
      </c>
      <c r="D364" s="18">
        <f>IF(D343=1,D352*$M361*$M363,D352)</f>
        <v>0</v>
      </c>
      <c r="E364" s="18">
        <f>IF(E343=1,E352*$M361*$M363,IF(AND(E341=1,E339=0),(E350/E360)+(E351/#REF!),E352))</f>
        <v>389.41375000000011</v>
      </c>
      <c r="F364" s="18">
        <f>IF(F343=1,F352*$M361*$M363,IF(AND(F341=1,F339=0),(F350/F360)+(F351/#REF!),F352))</f>
        <v>99.605000000000018</v>
      </c>
      <c r="G364" s="18">
        <f>IF(G343=1,G352*$M361*$M363,IF(AND(G341=1,G339=0),(G350/G360)+(G351/#REF!),G352))</f>
        <v>167.91500000000005</v>
      </c>
      <c r="H364" s="18">
        <f>IF(H343=1,H352*$M361*$M363,IF(AND(H341=1,H339=0),(H350/H360)+(H351/#REF!),H352))</f>
        <v>99.605000000000018</v>
      </c>
      <c r="J364" s="55">
        <f>SUM(D364:I364)</f>
        <v>756.53875000000016</v>
      </c>
      <c r="K364" s="47">
        <f>SUMPRODUCT(D343:I343,D364:I364)</f>
        <v>756.53875000000016</v>
      </c>
      <c r="L364" s="47">
        <f>SUMPRODUCT(D339:I339,D364:I364)</f>
        <v>0</v>
      </c>
      <c r="M364" s="45" t="str">
        <f>IF(K362*1.15&gt;K359,"Exhaust exception applies, ventilation up to "&amp;$A$2*100&amp;"% of exhaust flow allowed","")</f>
        <v/>
      </c>
      <c r="N364" s="21"/>
    </row>
    <row r="365" spans="1:14" ht="15.75" hidden="1" thickTop="1" x14ac:dyDescent="0.25">
      <c r="A365"/>
      <c r="B365" s="13" t="s">
        <v>65</v>
      </c>
      <c r="C365" s="38" t="s">
        <v>11</v>
      </c>
      <c r="D365" s="5">
        <f>D352-D364</f>
        <v>0</v>
      </c>
      <c r="E365" s="5">
        <f>E352-E364</f>
        <v>0</v>
      </c>
      <c r="F365" s="5">
        <f>F352-F364</f>
        <v>0</v>
      </c>
      <c r="G365" s="5">
        <f>G352-G364</f>
        <v>0</v>
      </c>
      <c r="H365" s="5">
        <f>H352-H364</f>
        <v>0</v>
      </c>
      <c r="J365" s="4">
        <f>J352-J364</f>
        <v>0</v>
      </c>
      <c r="K365" s="5"/>
      <c r="L365" s="5"/>
      <c r="M365" s="76" t="str">
        <f>IF(K362*1.15&gt;K359,"CHECK: "&amp;ROUND(K364/K362,2),"")</f>
        <v/>
      </c>
    </row>
    <row r="366" spans="1:14" hidden="1" x14ac:dyDescent="0.25">
      <c r="A366"/>
      <c r="B366" s="13"/>
      <c r="D366" s="5"/>
      <c r="E366" s="5"/>
      <c r="F366" s="5"/>
      <c r="G366" s="5"/>
      <c r="H366" s="5"/>
      <c r="J366" s="4"/>
      <c r="K366" s="5"/>
      <c r="L366" s="5"/>
    </row>
    <row r="367" spans="1:14" hidden="1" x14ac:dyDescent="0.25">
      <c r="A367"/>
      <c r="B367" s="51" t="s">
        <v>61</v>
      </c>
      <c r="C367" s="2"/>
      <c r="D367" s="52">
        <v>0.8</v>
      </c>
      <c r="E367" s="53">
        <f>$D367</f>
        <v>0.8</v>
      </c>
      <c r="F367" s="53">
        <f>$D367</f>
        <v>0.8</v>
      </c>
      <c r="G367" s="53">
        <f>$D367</f>
        <v>0.8</v>
      </c>
      <c r="H367" s="53">
        <f>$D367</f>
        <v>0.8</v>
      </c>
      <c r="N367" s="21"/>
    </row>
    <row r="368" spans="1:14" hidden="1" x14ac:dyDescent="0.25">
      <c r="A368"/>
      <c r="B368" s="13" t="s">
        <v>67</v>
      </c>
      <c r="C368" s="38" t="s">
        <v>11</v>
      </c>
      <c r="D368" s="5">
        <f>D352/D367</f>
        <v>0</v>
      </c>
      <c r="E368" s="5">
        <f>E352/E367</f>
        <v>486.76718749999998</v>
      </c>
      <c r="F368" s="5">
        <f>F352/F367</f>
        <v>124.50624999999998</v>
      </c>
      <c r="G368" s="5">
        <f>G352/G367</f>
        <v>209.89375000000001</v>
      </c>
      <c r="H368" s="5">
        <f>H352/H367</f>
        <v>124.50624999999998</v>
      </c>
      <c r="J368" s="4">
        <f t="shared" ref="J368" si="280">SUM(D368:I368)</f>
        <v>945.67343749999998</v>
      </c>
      <c r="K368" s="5">
        <f>SUMPRODUCT(D343:I343,D368:I368)</f>
        <v>945.67343749999998</v>
      </c>
      <c r="L368" s="5">
        <f>SUMPRODUCT(D339:I339,D368:I368)</f>
        <v>0</v>
      </c>
    </row>
    <row r="369" spans="1:14" hidden="1" x14ac:dyDescent="0.25">
      <c r="A369"/>
      <c r="B369" s="59" t="s">
        <v>68</v>
      </c>
      <c r="C369" s="60"/>
      <c r="D369" s="66">
        <f>IF(D341=1,D350/D367/D344,D368/D344)</f>
        <v>0</v>
      </c>
      <c r="E369" s="66">
        <f>IF(E341=1,E350/E367/E344,E368/E344)</f>
        <v>0.39859743490009825</v>
      </c>
      <c r="F369" s="66">
        <f>IF(F341=1,F350/F367/F344,F368/F344)</f>
        <v>0.17187499999999997</v>
      </c>
      <c r="G369" s="66">
        <f>IF(G341=1,G350/G367/G344,G368/G344)</f>
        <v>0.171875</v>
      </c>
      <c r="H369" s="66">
        <f>IF(H341=1,H350/H367/H344,H368/H344)</f>
        <v>0.17187499999999997</v>
      </c>
      <c r="I369" s="61"/>
      <c r="J369" s="62">
        <f>SUMPRODUCT(D369:H369,D344:H344)</f>
        <v>945.67343749999998</v>
      </c>
      <c r="K369" s="63">
        <f>SUMPRODUCT(D343:I343,D344:I344,D369:I369)</f>
        <v>945.67343749999998</v>
      </c>
      <c r="L369" s="63">
        <f>SUMPRODUCT(D339:I339,D344:I344,D369:I369)</f>
        <v>0</v>
      </c>
      <c r="M369" s="61"/>
    </row>
    <row r="370" spans="1:14" hidden="1" x14ac:dyDescent="0.25">
      <c r="A370"/>
      <c r="B370" s="64" t="s">
        <v>69</v>
      </c>
      <c r="C370" s="60"/>
      <c r="D370" s="66">
        <f>IF(D341=1,D348/D349,0)</f>
        <v>0</v>
      </c>
      <c r="E370" s="66">
        <f t="shared" ref="E370:I370" si="281">IF(E341=1,E348/E349,0)</f>
        <v>0</v>
      </c>
      <c r="F370" s="66">
        <f t="shared" si="281"/>
        <v>0</v>
      </c>
      <c r="G370" s="66">
        <f t="shared" si="281"/>
        <v>0</v>
      </c>
      <c r="H370" s="66">
        <f t="shared" si="281"/>
        <v>0</v>
      </c>
      <c r="I370" s="66">
        <f t="shared" si="281"/>
        <v>0</v>
      </c>
      <c r="J370" s="62">
        <f>SUMPRODUCT(D370:H370,D345:H345)</f>
        <v>0</v>
      </c>
      <c r="K370" s="63">
        <f>SUMPRODUCT(D343:I343,D345:I345,D370:I370)</f>
        <v>0</v>
      </c>
      <c r="L370" s="63">
        <f>SUMPRODUCT(D339:I339,D345:I345,D370:I370)</f>
        <v>0</v>
      </c>
      <c r="M370" s="61"/>
    </row>
    <row r="371" spans="1:14" hidden="1" x14ac:dyDescent="0.25">
      <c r="A371"/>
      <c r="B371" s="13" t="s">
        <v>66</v>
      </c>
      <c r="C371" s="38" t="s">
        <v>11</v>
      </c>
      <c r="D371" s="5">
        <f>D364/D367</f>
        <v>0</v>
      </c>
      <c r="E371" s="5">
        <f>E364/E367</f>
        <v>486.76718750000009</v>
      </c>
      <c r="F371" s="5">
        <f>F364/F367</f>
        <v>124.50625000000002</v>
      </c>
      <c r="G371" s="5">
        <f>G364/G367</f>
        <v>209.89375000000004</v>
      </c>
      <c r="H371" s="5">
        <f>H364/H367</f>
        <v>124.50625000000002</v>
      </c>
      <c r="J371" s="4">
        <f t="shared" ref="J371" si="282">SUM(D371:I371)</f>
        <v>945.6734375000002</v>
      </c>
      <c r="K371" s="5">
        <f>SUMPRODUCT(D343:I343,D371:I371)</f>
        <v>945.6734375000002</v>
      </c>
      <c r="L371" s="5">
        <f>SUMPRODUCT(D339:I339,D371:I371)</f>
        <v>0</v>
      </c>
      <c r="M371" s="54"/>
    </row>
    <row r="372" spans="1:14" hidden="1" x14ac:dyDescent="0.25">
      <c r="A372"/>
      <c r="B372" s="59" t="s">
        <v>62</v>
      </c>
      <c r="C372" s="60"/>
      <c r="D372" s="66">
        <f>IF(D342=1,D354/D356/D367,D371/D344)</f>
        <v>0</v>
      </c>
      <c r="E372" s="66">
        <f t="shared" ref="E372" si="283">IF(E342=1,E354/E356/E367,E371/E344)</f>
        <v>0.3985974349000983</v>
      </c>
      <c r="F372" s="66">
        <f t="shared" ref="F372" si="284">IF(F342=1,F354/F356/F367,F371/F344)</f>
        <v>0.17187500000000003</v>
      </c>
      <c r="G372" s="66">
        <f t="shared" ref="G372" si="285">IF(G342=1,G354/G356/G367,G371/G344)</f>
        <v>0.17187500000000003</v>
      </c>
      <c r="H372" s="66">
        <f>IF(H342=1,H354/H356/H367,H371/H344)</f>
        <v>0.17187500000000003</v>
      </c>
      <c r="I372" s="61"/>
      <c r="J372" s="62">
        <f>SUMPRODUCT(D372:I372,D344:I344)</f>
        <v>945.6734375000002</v>
      </c>
      <c r="K372" s="63">
        <f>SUMPRODUCT(D343:I343,D344:I344,D372:I372)</f>
        <v>945.6734375000002</v>
      </c>
      <c r="L372" s="63">
        <f>SUMPRODUCT(D339:I339,D344:I344,D372:I372)</f>
        <v>0</v>
      </c>
      <c r="M372" s="61"/>
    </row>
    <row r="373" spans="1:14" hidden="1" x14ac:dyDescent="0.25">
      <c r="A373"/>
      <c r="B373" s="64" t="s">
        <v>63</v>
      </c>
      <c r="C373" s="60"/>
      <c r="D373" s="66">
        <f t="shared" ref="D373" si="286">IF(D342=1,IF(AND(D339=1,D340="Maximum"),D355*$N361*$N363,(D371-D372*D344)/D346),0)</f>
        <v>0</v>
      </c>
      <c r="E373" s="66">
        <f t="shared" ref="E373" si="287">IF(E342=1,IF(AND(E339=1,E340="Maximum"),E355*$N361*$N363,(E371-E372*E344)/E346),0)</f>
        <v>0</v>
      </c>
      <c r="F373" s="66">
        <f t="shared" ref="F373" si="288">IF(F342=1,IF(AND(F339=1,F340="Maximum"),F355*$N361*$N363,(F371-F372*F344)/F346),0)</f>
        <v>0</v>
      </c>
      <c r="G373" s="66">
        <f t="shared" ref="G373" si="289">IF(G342=1,IF(AND(G339=1,G340="Maximum"),G355*$N361*$N363,(G371-G372*G344)/G346),0)</f>
        <v>0</v>
      </c>
      <c r="H373" s="66">
        <f>IF(H342=1,IF(AND(H339=1,H340="Maximum"),H348*$N361*$N363/H356,(H371-H372*H344)/H346),0)</f>
        <v>0</v>
      </c>
      <c r="I373" s="61"/>
      <c r="J373" s="62">
        <f>SUMPRODUCT(D373:I373,D345:I345)</f>
        <v>0</v>
      </c>
      <c r="K373" s="63">
        <f>SUMPRODUCT(D343:I343,D345:I345,D373:I373)</f>
        <v>0</v>
      </c>
      <c r="L373" s="63">
        <f>SUMPRODUCT(D339:I339,D345:I345,D373:I373)</f>
        <v>0</v>
      </c>
      <c r="M373" s="61"/>
      <c r="N373" s="21"/>
    </row>
    <row r="374" spans="1:14" hidden="1" x14ac:dyDescent="0.25">
      <c r="B374" s="59" t="s">
        <v>186</v>
      </c>
      <c r="C374" s="110"/>
      <c r="D374" s="111">
        <f t="shared" ref="D374" si="290">IF(D340="Maximum",MAX(D372*D344,D373*D346),D372*D344+D373*D346)</f>
        <v>0</v>
      </c>
      <c r="E374" s="111">
        <f t="shared" ref="E374" si="291">IF(E340="Maximum",MAX(E372*E344,E373*E346),E372*E344+E373*E346)</f>
        <v>486.76718750000009</v>
      </c>
      <c r="F374" s="111">
        <f t="shared" ref="F374" si="292">IF(F340="Maximum",MAX(F372*F344,F373*F346),F372*F344+F373*F346)</f>
        <v>124.50625000000002</v>
      </c>
      <c r="G374" s="111">
        <f t="shared" ref="G374" si="293">IF(G340="Maximum",MAX(G372*G344,G373*G346),G372*G344+G373*G346)</f>
        <v>209.89375000000004</v>
      </c>
      <c r="H374" s="111">
        <f t="shared" ref="H374" si="294">IF(H340="Maximum",MAX(H372*H344,H373*H346),H372*H344+H373*H346)</f>
        <v>124.50625000000002</v>
      </c>
    </row>
    <row r="375" spans="1:14" hidden="1" x14ac:dyDescent="0.25"/>
    <row r="376" spans="1:14" hidden="1" x14ac:dyDescent="0.25"/>
  </sheetData>
  <mergeCells count="25">
    <mergeCell ref="J294:K294"/>
    <mergeCell ref="J251:K251"/>
    <mergeCell ref="J182:K182"/>
    <mergeCell ref="J97:K97"/>
    <mergeCell ref="J54:K54"/>
    <mergeCell ref="A261:A267"/>
    <mergeCell ref="A268:A274"/>
    <mergeCell ref="J11:K11"/>
    <mergeCell ref="J208:K208"/>
    <mergeCell ref="J140:K140"/>
    <mergeCell ref="A225:A231"/>
    <mergeCell ref="A150:A156"/>
    <mergeCell ref="A157:A163"/>
    <mergeCell ref="A107:A113"/>
    <mergeCell ref="A114:A120"/>
    <mergeCell ref="A64:A70"/>
    <mergeCell ref="A71:A77"/>
    <mergeCell ref="A21:A27"/>
    <mergeCell ref="A28:A34"/>
    <mergeCell ref="A218:A224"/>
    <mergeCell ref="J337:K337"/>
    <mergeCell ref="A347:A353"/>
    <mergeCell ref="A354:A360"/>
    <mergeCell ref="A311:A317"/>
    <mergeCell ref="A304:A310"/>
  </mergeCells>
  <dataValidations disablePrompts="1" count="1">
    <dataValidation type="list" allowBlank="1" showInputMessage="1" showErrorMessage="1" sqref="D143:H143 D100:H100 D57:H57 D14:H14 D211:H211 D254:H254 D297:H297 D340:H340">
      <formula1>SpecMthd</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1:F45"/>
  <sheetViews>
    <sheetView workbookViewId="0">
      <selection activeCell="F13" sqref="F13"/>
    </sheetView>
  </sheetViews>
  <sheetFormatPr defaultRowHeight="15" x14ac:dyDescent="0.25"/>
  <cols>
    <col min="1" max="1" width="24.7109375" customWidth="1"/>
    <col min="3" max="3" width="21" customWidth="1"/>
    <col min="4" max="4" width="25.28515625" customWidth="1"/>
    <col min="5" max="5" width="34.5703125" customWidth="1"/>
    <col min="6" max="6" width="57.5703125" customWidth="1"/>
  </cols>
  <sheetData>
    <row r="11" spans="1:6" x14ac:dyDescent="0.25">
      <c r="C11" t="s">
        <v>135</v>
      </c>
      <c r="D11" t="s">
        <v>136</v>
      </c>
    </row>
    <row r="12" spans="1:6" x14ac:dyDescent="0.25">
      <c r="A12" t="s">
        <v>137</v>
      </c>
      <c r="B12" t="s">
        <v>138</v>
      </c>
      <c r="C12" s="8" t="s">
        <v>139</v>
      </c>
      <c r="D12" s="8"/>
      <c r="E12" s="8"/>
      <c r="F12" s="105" t="s">
        <v>182</v>
      </c>
    </row>
    <row r="13" spans="1:6" x14ac:dyDescent="0.25">
      <c r="C13" s="8" t="s">
        <v>140</v>
      </c>
      <c r="D13" s="8"/>
      <c r="E13" s="8"/>
    </row>
    <row r="14" spans="1:6" x14ac:dyDescent="0.25">
      <c r="C14" s="105" t="s">
        <v>141</v>
      </c>
      <c r="D14" s="8"/>
      <c r="E14" s="8"/>
    </row>
    <row r="15" spans="1:6" x14ac:dyDescent="0.25">
      <c r="C15" s="8"/>
      <c r="D15" s="8"/>
      <c r="E15" s="8"/>
    </row>
    <row r="16" spans="1:6" x14ac:dyDescent="0.25">
      <c r="C16" s="8"/>
      <c r="D16" s="8"/>
      <c r="E16" s="8"/>
    </row>
    <row r="17" spans="1:5" x14ac:dyDescent="0.25">
      <c r="C17" s="8"/>
      <c r="D17" s="8"/>
      <c r="E17" s="8"/>
    </row>
    <row r="18" spans="1:5" x14ac:dyDescent="0.25">
      <c r="A18" t="s">
        <v>142</v>
      </c>
      <c r="B18" t="s">
        <v>143</v>
      </c>
      <c r="C18" s="8" t="s">
        <v>144</v>
      </c>
      <c r="D18" s="8" t="s">
        <v>145</v>
      </c>
      <c r="E18" s="8" t="s">
        <v>146</v>
      </c>
    </row>
    <row r="19" spans="1:5" x14ac:dyDescent="0.25">
      <c r="C19" s="8" t="s">
        <v>147</v>
      </c>
      <c r="D19" s="8" t="s">
        <v>148</v>
      </c>
      <c r="E19" s="8" t="s">
        <v>149</v>
      </c>
    </row>
    <row r="20" spans="1:5" x14ac:dyDescent="0.25">
      <c r="C20" s="106" t="s">
        <v>150</v>
      </c>
      <c r="D20" s="8"/>
      <c r="E20" s="8" t="s">
        <v>151</v>
      </c>
    </row>
    <row r="21" spans="1:5" x14ac:dyDescent="0.25">
      <c r="C21" s="8"/>
      <c r="D21" s="8"/>
      <c r="E21" s="8"/>
    </row>
    <row r="22" spans="1:5" x14ac:dyDescent="0.25">
      <c r="A22" t="s">
        <v>152</v>
      </c>
      <c r="B22" t="s">
        <v>143</v>
      </c>
      <c r="C22" s="8" t="s">
        <v>153</v>
      </c>
      <c r="D22" s="123" t="s">
        <v>154</v>
      </c>
      <c r="E22" s="123"/>
    </row>
    <row r="23" spans="1:5" x14ac:dyDescent="0.25">
      <c r="C23" s="8" t="s">
        <v>155</v>
      </c>
      <c r="D23" s="123" t="s">
        <v>156</v>
      </c>
      <c r="E23" s="123"/>
    </row>
    <row r="24" spans="1:5" x14ac:dyDescent="0.25">
      <c r="C24" s="8" t="s">
        <v>157</v>
      </c>
      <c r="D24" s="123" t="s">
        <v>158</v>
      </c>
      <c r="E24" s="123"/>
    </row>
    <row r="25" spans="1:5" x14ac:dyDescent="0.25">
      <c r="C25" s="8"/>
      <c r="D25" s="8"/>
      <c r="E25" s="8"/>
    </row>
    <row r="26" spans="1:5" x14ac:dyDescent="0.25">
      <c r="A26" t="s">
        <v>159</v>
      </c>
      <c r="B26" t="s">
        <v>143</v>
      </c>
      <c r="C26" s="8" t="s">
        <v>160</v>
      </c>
      <c r="D26" s="8" t="s">
        <v>161</v>
      </c>
      <c r="E26" s="8" t="s">
        <v>162</v>
      </c>
    </row>
    <row r="27" spans="1:5" x14ac:dyDescent="0.25">
      <c r="A27" t="s">
        <v>163</v>
      </c>
      <c r="B27" t="s">
        <v>143</v>
      </c>
      <c r="C27" s="8" t="s">
        <v>164</v>
      </c>
      <c r="D27" s="8" t="s">
        <v>165</v>
      </c>
      <c r="E27" s="8" t="s">
        <v>166</v>
      </c>
    </row>
    <row r="28" spans="1:5" x14ac:dyDescent="0.25">
      <c r="C28" s="8"/>
      <c r="D28" s="8"/>
      <c r="E28" s="8"/>
    </row>
    <row r="29" spans="1:5" x14ac:dyDescent="0.25">
      <c r="C29" s="8"/>
      <c r="D29" s="8"/>
      <c r="E29" s="8"/>
    </row>
    <row r="30" spans="1:5" x14ac:dyDescent="0.25">
      <c r="A30" t="s">
        <v>167</v>
      </c>
      <c r="B30" t="s">
        <v>143</v>
      </c>
      <c r="C30" s="8" t="s">
        <v>168</v>
      </c>
      <c r="D30" s="123" t="s">
        <v>169</v>
      </c>
      <c r="E30" s="123"/>
    </row>
    <row r="31" spans="1:5" x14ac:dyDescent="0.25">
      <c r="C31" s="8" t="s">
        <v>170</v>
      </c>
      <c r="D31" s="123" t="s">
        <v>171</v>
      </c>
      <c r="E31" s="123"/>
    </row>
    <row r="34" spans="1:5" x14ac:dyDescent="0.25">
      <c r="A34" t="s">
        <v>172</v>
      </c>
      <c r="B34" t="s">
        <v>173</v>
      </c>
      <c r="D34" t="s">
        <v>174</v>
      </c>
      <c r="E34" t="s">
        <v>175</v>
      </c>
    </row>
    <row r="35" spans="1:5" x14ac:dyDescent="0.25">
      <c r="D35" t="s">
        <v>176</v>
      </c>
      <c r="E35" t="s">
        <v>177</v>
      </c>
    </row>
    <row r="37" spans="1:5" x14ac:dyDescent="0.25">
      <c r="B37" t="s">
        <v>143</v>
      </c>
      <c r="D37" t="s">
        <v>174</v>
      </c>
    </row>
    <row r="38" spans="1:5" x14ac:dyDescent="0.25">
      <c r="D38" t="s">
        <v>176</v>
      </c>
    </row>
    <row r="40" spans="1:5" x14ac:dyDescent="0.25">
      <c r="B40" t="s">
        <v>143</v>
      </c>
      <c r="D40" t="s">
        <v>178</v>
      </c>
    </row>
    <row r="43" spans="1:5" x14ac:dyDescent="0.25">
      <c r="C43" t="s">
        <v>179</v>
      </c>
    </row>
    <row r="44" spans="1:5" x14ac:dyDescent="0.25">
      <c r="C44" t="s">
        <v>180</v>
      </c>
    </row>
    <row r="45" spans="1:5" x14ac:dyDescent="0.25">
      <c r="C45" t="s">
        <v>181</v>
      </c>
    </row>
  </sheetData>
  <mergeCells count="5">
    <mergeCell ref="D22:E22"/>
    <mergeCell ref="D23:E23"/>
    <mergeCell ref="D24:E24"/>
    <mergeCell ref="D30:E30"/>
    <mergeCell ref="D31:E3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B7" sqref="B7"/>
    </sheetView>
  </sheetViews>
  <sheetFormatPr defaultRowHeight="15" x14ac:dyDescent="0.25"/>
  <cols>
    <col min="1" max="1" width="5.5703125" style="12" customWidth="1"/>
    <col min="2" max="2" width="79.28515625" style="12" customWidth="1"/>
    <col min="3" max="3" width="62.85546875" style="12" customWidth="1"/>
    <col min="4" max="16384" width="9.140625" style="12"/>
  </cols>
  <sheetData>
    <row r="1" spans="1:3" x14ac:dyDescent="0.25">
      <c r="A1" s="12" t="s">
        <v>91</v>
      </c>
    </row>
    <row r="2" spans="1:3" x14ac:dyDescent="0.25">
      <c r="B2" s="69">
        <v>360</v>
      </c>
      <c r="C2" s="13" t="s">
        <v>94</v>
      </c>
    </row>
    <row r="3" spans="1:3" ht="90" x14ac:dyDescent="0.25">
      <c r="A3" s="12" t="s">
        <v>99</v>
      </c>
      <c r="B3" s="24" t="s">
        <v>92</v>
      </c>
      <c r="C3" s="24" t="s">
        <v>93</v>
      </c>
    </row>
    <row r="4" spans="1:3" ht="135" x14ac:dyDescent="0.25">
      <c r="B4" s="24" t="s">
        <v>96</v>
      </c>
      <c r="C4" s="24" t="s">
        <v>95</v>
      </c>
    </row>
    <row r="5" spans="1:3" ht="60" x14ac:dyDescent="0.25">
      <c r="B5" s="24" t="s">
        <v>98</v>
      </c>
      <c r="C5" s="24" t="s">
        <v>97</v>
      </c>
    </row>
    <row r="6" spans="1:3" ht="30" x14ac:dyDescent="0.25">
      <c r="B6" s="70" t="s">
        <v>100</v>
      </c>
    </row>
    <row r="7" spans="1:3" ht="45" x14ac:dyDescent="0.25">
      <c r="B7" s="71" t="s">
        <v>101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Examples</vt:lpstr>
      <vt:lpstr>Property Outline</vt:lpstr>
      <vt:lpstr>Sheet1</vt:lpstr>
      <vt:lpstr>SpecMthd</vt:lpstr>
    </vt:vector>
  </TitlesOfParts>
  <Company>Windows User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Reddy</dc:creator>
  <cp:lastModifiedBy>David</cp:lastModifiedBy>
  <dcterms:created xsi:type="dcterms:W3CDTF">2015-08-05T21:57:12Z</dcterms:created>
  <dcterms:modified xsi:type="dcterms:W3CDTF">2015-11-14T21:57:41Z</dcterms:modified>
</cp:coreProperties>
</file>