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BECC\CBECC-COM\CBECC-Com_2022_OB360\Documentation\T24N\"/>
    </mc:Choice>
  </mc:AlternateContent>
  <xr:revisionPtr revIDLastSave="0" documentId="13_ncr:1_{AD8FE10D-6B24-41EA-8FAA-BDEB7324AB88}" xr6:coauthVersionLast="47" xr6:coauthVersionMax="47" xr10:uidLastSave="{00000000-0000-0000-0000-000000000000}"/>
  <bookViews>
    <workbookView xWindow="-120" yWindow="-120" windowWidth="29040" windowHeight="17640" firstSheet="2" activeTab="2" xr2:uid="{00000000-000D-0000-FFFF-FFFF00000000}"/>
  </bookViews>
  <sheets>
    <sheet name="Fan Static Pressure Adj_Backup" sheetId="3" state="hidden" r:id="rId1"/>
    <sheet name="Fan Power Ratios - SP_Backup" sheetId="1" state="hidden" r:id="rId2"/>
    <sheet name="Fan Static Pressure Adj" sheetId="5" r:id="rId3"/>
    <sheet name="PwrIdAdjTable" sheetId="8" r:id="rId4"/>
    <sheet name="Single-zone" sheetId="6" r:id="rId5"/>
    <sheet name="2019 Repor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5" l="1"/>
  <c r="AG23" i="5" l="1"/>
  <c r="AH23" i="5"/>
  <c r="AI23" i="5"/>
  <c r="AJ23" i="5"/>
  <c r="AK23" i="5"/>
  <c r="AK29" i="5"/>
  <c r="AJ29" i="5"/>
  <c r="AI29" i="5"/>
  <c r="AH29" i="5"/>
  <c r="AG29" i="5"/>
  <c r="AF29" i="5"/>
  <c r="AK28" i="5"/>
  <c r="AJ28" i="5"/>
  <c r="AI28" i="5"/>
  <c r="AH28" i="5"/>
  <c r="AG28" i="5"/>
  <c r="AF28" i="5"/>
  <c r="AK27" i="5"/>
  <c r="AJ27" i="5"/>
  <c r="AI27" i="5"/>
  <c r="AH27" i="5"/>
  <c r="AG27" i="5"/>
  <c r="AF27" i="5"/>
  <c r="AK26" i="5"/>
  <c r="AJ26" i="5"/>
  <c r="AI26" i="5"/>
  <c r="AH26" i="5"/>
  <c r="AG26" i="5"/>
  <c r="AF26" i="5"/>
  <c r="AK25" i="5"/>
  <c r="AJ25" i="5"/>
  <c r="AI25" i="5"/>
  <c r="AH25" i="5"/>
  <c r="AG25" i="5"/>
  <c r="AF25" i="5"/>
  <c r="AK24" i="5"/>
  <c r="AJ24" i="5"/>
  <c r="AI24" i="5"/>
  <c r="AH24" i="5"/>
  <c r="AG24" i="5"/>
  <c r="AF24" i="5"/>
  <c r="AF13" i="5"/>
  <c r="C8" i="7" l="1"/>
  <c r="B8" i="7"/>
  <c r="N66" i="5" l="1"/>
  <c r="N65" i="5"/>
  <c r="N64" i="5"/>
  <c r="AF23" i="5"/>
  <c r="T23" i="5"/>
  <c r="AH7" i="5" l="1"/>
  <c r="AI7" i="5"/>
  <c r="AJ7" i="5"/>
  <c r="AK7" i="5"/>
  <c r="AG7" i="5"/>
  <c r="AG8" i="5"/>
  <c r="AH8" i="5" s="1"/>
  <c r="AI8" i="5" s="1"/>
  <c r="AJ8" i="5" s="1"/>
  <c r="AK8" i="5" s="1"/>
  <c r="AF7" i="5"/>
  <c r="AF11" i="5" s="1"/>
  <c r="AF22" i="5" s="1"/>
  <c r="AA8" i="5"/>
  <c r="AB8" i="5" s="1"/>
  <c r="AC8" i="5" s="1"/>
  <c r="AA7" i="5"/>
  <c r="AA11" i="5" s="1"/>
  <c r="AB7" i="5"/>
  <c r="AC7" i="5"/>
  <c r="AD7" i="5"/>
  <c r="AE7" i="5"/>
  <c r="U8" i="5"/>
  <c r="U11" i="5" s="1"/>
  <c r="Z7" i="5"/>
  <c r="Z11" i="5" s="1"/>
  <c r="T11" i="5"/>
  <c r="T22" i="5" s="1"/>
  <c r="AK18" i="5"/>
  <c r="AJ18" i="5"/>
  <c r="AI18" i="5"/>
  <c r="AH18" i="5"/>
  <c r="AG18" i="5"/>
  <c r="AF18" i="5"/>
  <c r="AK17" i="5"/>
  <c r="AJ17" i="5"/>
  <c r="AI17" i="5"/>
  <c r="AH17" i="5"/>
  <c r="AG17" i="5"/>
  <c r="AF17" i="5"/>
  <c r="AK16" i="5"/>
  <c r="AJ16" i="5"/>
  <c r="AI16" i="5"/>
  <c r="AH16" i="5"/>
  <c r="AG16" i="5"/>
  <c r="AF16" i="5"/>
  <c r="AK15" i="5"/>
  <c r="AJ15" i="5"/>
  <c r="AI15" i="5"/>
  <c r="AH15" i="5"/>
  <c r="AG15" i="5"/>
  <c r="AF15" i="5"/>
  <c r="AK14" i="5"/>
  <c r="AJ14" i="5"/>
  <c r="AI14" i="5"/>
  <c r="AH14" i="5"/>
  <c r="AG14" i="5"/>
  <c r="AF14" i="5"/>
  <c r="AK13" i="5"/>
  <c r="AJ13" i="5"/>
  <c r="AI13" i="5"/>
  <c r="AH13" i="5"/>
  <c r="AG13" i="5"/>
  <c r="N11" i="6"/>
  <c r="N27" i="6" s="1"/>
  <c r="N31" i="6" s="1"/>
  <c r="N10" i="6"/>
  <c r="N18" i="6" s="1"/>
  <c r="N22" i="6" s="1"/>
  <c r="K27" i="6"/>
  <c r="K31" i="6" s="1"/>
  <c r="K32" i="6" s="1"/>
  <c r="L10" i="6"/>
  <c r="L15" i="6"/>
  <c r="L14" i="6"/>
  <c r="H18" i="6"/>
  <c r="H22" i="6" s="1"/>
  <c r="E27" i="6"/>
  <c r="H27" i="6"/>
  <c r="F15" i="6"/>
  <c r="F14" i="6"/>
  <c r="F11" i="6"/>
  <c r="F10" i="6"/>
  <c r="AK11" i="5" l="1"/>
  <c r="AK22" i="5" s="1"/>
  <c r="AJ11" i="5"/>
  <c r="AJ22" i="5" s="1"/>
  <c r="AH11" i="5"/>
  <c r="AH22" i="5" s="1"/>
  <c r="AI11" i="5"/>
  <c r="AI22" i="5" s="1"/>
  <c r="V8" i="5"/>
  <c r="AG11" i="5"/>
  <c r="AG22" i="5" s="1"/>
  <c r="AC11" i="5"/>
  <c r="AD8" i="5"/>
  <c r="AB11" i="5"/>
  <c r="H23" i="6"/>
  <c r="H24" i="6"/>
  <c r="H35" i="6" s="1"/>
  <c r="N3" i="6"/>
  <c r="N5" i="6" s="1"/>
  <c r="L11" i="6"/>
  <c r="N24" i="6"/>
  <c r="N23" i="6"/>
  <c r="N33" i="6"/>
  <c r="N32" i="6"/>
  <c r="E31" i="6"/>
  <c r="E32" i="6" s="1"/>
  <c r="H31" i="6"/>
  <c r="H33" i="6" s="1"/>
  <c r="H3" i="6"/>
  <c r="H5" i="6" s="1"/>
  <c r="W8" i="5" l="1"/>
  <c r="V11" i="5"/>
  <c r="AE8" i="5"/>
  <c r="AE11" i="5" s="1"/>
  <c r="AD11" i="5"/>
  <c r="N15" i="6"/>
  <c r="N14" i="6"/>
  <c r="N35" i="6"/>
  <c r="H15" i="6"/>
  <c r="H14" i="6"/>
  <c r="H32" i="6"/>
  <c r="H90" i="5"/>
  <c r="G90" i="5"/>
  <c r="F90" i="5"/>
  <c r="C90" i="5"/>
  <c r="B90" i="5"/>
  <c r="H53" i="5"/>
  <c r="G53" i="5"/>
  <c r="F53" i="5"/>
  <c r="E53" i="5"/>
  <c r="D53" i="5"/>
  <c r="C53" i="5"/>
  <c r="B53" i="5"/>
  <c r="J53" i="5" l="1"/>
  <c r="N90" i="5"/>
  <c r="X8" i="5"/>
  <c r="W11" i="5"/>
  <c r="N16" i="6"/>
  <c r="H16" i="6"/>
  <c r="P90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G72" i="5"/>
  <c r="H72" i="5"/>
  <c r="G70" i="5"/>
  <c r="H70" i="5"/>
  <c r="F70" i="5"/>
  <c r="D65" i="5"/>
  <c r="O65" i="5" s="1"/>
  <c r="E65" i="5"/>
  <c r="F65" i="5"/>
  <c r="D66" i="5"/>
  <c r="O66" i="5" s="1"/>
  <c r="E66" i="5"/>
  <c r="F66" i="5"/>
  <c r="E64" i="5"/>
  <c r="F64" i="5"/>
  <c r="E62" i="5"/>
  <c r="F62" i="5"/>
  <c r="G62" i="5"/>
  <c r="D62" i="5"/>
  <c r="T33" i="5"/>
  <c r="Y33" i="5"/>
  <c r="X33" i="5"/>
  <c r="W33" i="5"/>
  <c r="V33" i="5"/>
  <c r="U33" i="5"/>
  <c r="AC13" i="5"/>
  <c r="X13" i="5"/>
  <c r="B89" i="5"/>
  <c r="C89" i="5"/>
  <c r="Y8" i="5" l="1"/>
  <c r="Y11" i="5" s="1"/>
  <c r="X11" i="5"/>
  <c r="F35" i="5"/>
  <c r="AE29" i="5"/>
  <c r="AD29" i="5"/>
  <c r="AC29" i="5"/>
  <c r="AB29" i="5"/>
  <c r="AA29" i="5"/>
  <c r="Z29" i="5"/>
  <c r="S29" i="5" s="1"/>
  <c r="Y29" i="5"/>
  <c r="X29" i="5"/>
  <c r="W29" i="5"/>
  <c r="V29" i="5"/>
  <c r="U29" i="5"/>
  <c r="T29" i="5"/>
  <c r="K29" i="5"/>
  <c r="J29" i="5"/>
  <c r="I29" i="5"/>
  <c r="H29" i="5"/>
  <c r="G29" i="5"/>
  <c r="F29" i="5"/>
  <c r="E29" i="5"/>
  <c r="D29" i="5"/>
  <c r="C29" i="5"/>
  <c r="B29" i="5"/>
  <c r="B28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C28" i="5"/>
  <c r="D28" i="5"/>
  <c r="E28" i="5"/>
  <c r="F28" i="5"/>
  <c r="G28" i="5"/>
  <c r="H28" i="5"/>
  <c r="I28" i="5"/>
  <c r="J28" i="5"/>
  <c r="K28" i="5"/>
  <c r="T28" i="5"/>
  <c r="U28" i="5"/>
  <c r="V28" i="5"/>
  <c r="W28" i="5"/>
  <c r="X28" i="5"/>
  <c r="Y28" i="5"/>
  <c r="Z28" i="5"/>
  <c r="AA28" i="5"/>
  <c r="AB28" i="5"/>
  <c r="AC28" i="5"/>
  <c r="AD28" i="5"/>
  <c r="AE28" i="5"/>
  <c r="T27" i="5"/>
  <c r="T26" i="5"/>
  <c r="T25" i="5"/>
  <c r="T24" i="5"/>
  <c r="Z27" i="5"/>
  <c r="Z26" i="5"/>
  <c r="Z25" i="5"/>
  <c r="Z24" i="5"/>
  <c r="Z18" i="5"/>
  <c r="Z17" i="5"/>
  <c r="Z16" i="5"/>
  <c r="Z15" i="5"/>
  <c r="Z14" i="5"/>
  <c r="Z13" i="5"/>
  <c r="T18" i="5"/>
  <c r="T17" i="5"/>
  <c r="T16" i="5"/>
  <c r="T15" i="5"/>
  <c r="T14" i="5"/>
  <c r="T13" i="5"/>
  <c r="S28" i="5" l="1"/>
  <c r="L28" i="5"/>
  <c r="P28" i="5" s="1"/>
  <c r="L29" i="5"/>
  <c r="AA27" i="5"/>
  <c r="AA26" i="5"/>
  <c r="AA25" i="5"/>
  <c r="W13" i="5"/>
  <c r="O28" i="5" l="1"/>
  <c r="M28" i="5"/>
  <c r="N28" i="5"/>
  <c r="O29" i="5"/>
  <c r="P29" i="5"/>
  <c r="M29" i="5"/>
  <c r="N29" i="5"/>
  <c r="D64" i="5"/>
  <c r="O64" i="5" s="1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F72" i="5"/>
  <c r="C72" i="5"/>
  <c r="B72" i="5"/>
  <c r="B66" i="5"/>
  <c r="B65" i="5"/>
  <c r="B64" i="5"/>
  <c r="H52" i="5"/>
  <c r="P89" i="5" s="1"/>
  <c r="G52" i="5"/>
  <c r="F52" i="5"/>
  <c r="E52" i="5"/>
  <c r="D52" i="5"/>
  <c r="C52" i="5"/>
  <c r="H51" i="5"/>
  <c r="P88" i="5" s="1"/>
  <c r="G51" i="5"/>
  <c r="F51" i="5"/>
  <c r="E51" i="5"/>
  <c r="D51" i="5"/>
  <c r="C51" i="5"/>
  <c r="H50" i="5"/>
  <c r="P87" i="5" s="1"/>
  <c r="G50" i="5"/>
  <c r="F50" i="5"/>
  <c r="E50" i="5"/>
  <c r="D50" i="5"/>
  <c r="C50" i="5"/>
  <c r="H49" i="5"/>
  <c r="P86" i="5" s="1"/>
  <c r="G49" i="5"/>
  <c r="F49" i="5"/>
  <c r="E49" i="5"/>
  <c r="D49" i="5"/>
  <c r="C49" i="5"/>
  <c r="H48" i="5"/>
  <c r="P85" i="5" s="1"/>
  <c r="G48" i="5"/>
  <c r="F48" i="5"/>
  <c r="E48" i="5"/>
  <c r="D48" i="5"/>
  <c r="C48" i="5"/>
  <c r="H47" i="5"/>
  <c r="P84" i="5" s="1"/>
  <c r="G47" i="5"/>
  <c r="F47" i="5"/>
  <c r="E47" i="5"/>
  <c r="D47" i="5"/>
  <c r="C47" i="5"/>
  <c r="H46" i="5"/>
  <c r="P83" i="5" s="1"/>
  <c r="G46" i="5"/>
  <c r="F46" i="5"/>
  <c r="E46" i="5"/>
  <c r="D46" i="5"/>
  <c r="C46" i="5"/>
  <c r="H45" i="5"/>
  <c r="P82" i="5" s="1"/>
  <c r="G45" i="5"/>
  <c r="F45" i="5"/>
  <c r="E45" i="5"/>
  <c r="D45" i="5"/>
  <c r="C45" i="5"/>
  <c r="H44" i="5"/>
  <c r="P81" i="5" s="1"/>
  <c r="G44" i="5"/>
  <c r="F44" i="5"/>
  <c r="E44" i="5"/>
  <c r="D44" i="5"/>
  <c r="C44" i="5"/>
  <c r="H43" i="5"/>
  <c r="P80" i="5" s="1"/>
  <c r="G43" i="5"/>
  <c r="F43" i="5"/>
  <c r="E43" i="5"/>
  <c r="D43" i="5"/>
  <c r="C43" i="5"/>
  <c r="H42" i="5"/>
  <c r="P79" i="5" s="1"/>
  <c r="G42" i="5"/>
  <c r="F42" i="5"/>
  <c r="E42" i="5"/>
  <c r="D42" i="5"/>
  <c r="C42" i="5"/>
  <c r="H41" i="5"/>
  <c r="P78" i="5" s="1"/>
  <c r="G41" i="5"/>
  <c r="F41" i="5"/>
  <c r="E41" i="5"/>
  <c r="D41" i="5"/>
  <c r="C41" i="5"/>
  <c r="H40" i="5"/>
  <c r="P77" i="5" s="1"/>
  <c r="G40" i="5"/>
  <c r="F40" i="5"/>
  <c r="E40" i="5"/>
  <c r="D40" i="5"/>
  <c r="C40" i="5"/>
  <c r="H39" i="5"/>
  <c r="P76" i="5" s="1"/>
  <c r="G39" i="5"/>
  <c r="F39" i="5"/>
  <c r="E39" i="5"/>
  <c r="D39" i="5"/>
  <c r="C39" i="5"/>
  <c r="H38" i="5"/>
  <c r="P75" i="5" s="1"/>
  <c r="G38" i="5"/>
  <c r="F38" i="5"/>
  <c r="E38" i="5"/>
  <c r="D38" i="5"/>
  <c r="C38" i="5"/>
  <c r="H37" i="5"/>
  <c r="P74" i="5" s="1"/>
  <c r="G37" i="5"/>
  <c r="F37" i="5"/>
  <c r="E37" i="5"/>
  <c r="D37" i="5"/>
  <c r="C37" i="5"/>
  <c r="H36" i="5"/>
  <c r="P73" i="5" s="1"/>
  <c r="G36" i="5"/>
  <c r="F36" i="5"/>
  <c r="E36" i="5"/>
  <c r="D36" i="5"/>
  <c r="C36" i="5"/>
  <c r="H35" i="5"/>
  <c r="P72" i="5" s="1"/>
  <c r="G35" i="5"/>
  <c r="E35" i="5"/>
  <c r="D35" i="5"/>
  <c r="C35" i="5"/>
  <c r="AE27" i="5"/>
  <c r="AD27" i="5"/>
  <c r="AC27" i="5"/>
  <c r="AB27" i="5"/>
  <c r="S27" i="5" s="1"/>
  <c r="Y27" i="5"/>
  <c r="X27" i="5"/>
  <c r="W27" i="5"/>
  <c r="V27" i="5"/>
  <c r="U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Y26" i="5"/>
  <c r="X26" i="5"/>
  <c r="W26" i="5"/>
  <c r="V26" i="5"/>
  <c r="U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Y25" i="5"/>
  <c r="X25" i="5"/>
  <c r="W25" i="5"/>
  <c r="V25" i="5"/>
  <c r="U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Y24" i="5"/>
  <c r="X24" i="5"/>
  <c r="W24" i="5"/>
  <c r="V24" i="5"/>
  <c r="U24" i="5"/>
  <c r="K24" i="5"/>
  <c r="J24" i="5"/>
  <c r="I24" i="5"/>
  <c r="H24" i="5"/>
  <c r="G24" i="5"/>
  <c r="F24" i="5"/>
  <c r="E24" i="5"/>
  <c r="D24" i="5"/>
  <c r="C24" i="5"/>
  <c r="B24" i="5"/>
  <c r="AE18" i="5"/>
  <c r="AD18" i="5"/>
  <c r="AC18" i="5"/>
  <c r="AB18" i="5"/>
  <c r="AA18" i="5"/>
  <c r="Y18" i="5"/>
  <c r="X18" i="5"/>
  <c r="W18" i="5"/>
  <c r="V18" i="5"/>
  <c r="U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Y17" i="5"/>
  <c r="X17" i="5"/>
  <c r="W17" i="5"/>
  <c r="V17" i="5"/>
  <c r="U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Y16" i="5"/>
  <c r="X16" i="5"/>
  <c r="W16" i="5"/>
  <c r="V16" i="5"/>
  <c r="U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Y15" i="5"/>
  <c r="X15" i="5"/>
  <c r="W15" i="5"/>
  <c r="V15" i="5"/>
  <c r="U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Y14" i="5"/>
  <c r="X14" i="5"/>
  <c r="W14" i="5"/>
  <c r="V14" i="5"/>
  <c r="U14" i="5"/>
  <c r="K14" i="5"/>
  <c r="J14" i="5"/>
  <c r="I14" i="5"/>
  <c r="H14" i="5"/>
  <c r="G14" i="5"/>
  <c r="F14" i="5"/>
  <c r="E14" i="5"/>
  <c r="D14" i="5"/>
  <c r="C14" i="5"/>
  <c r="B14" i="5"/>
  <c r="AE13" i="5"/>
  <c r="AD13" i="5"/>
  <c r="AB13" i="5"/>
  <c r="AA13" i="5"/>
  <c r="Y13" i="5"/>
  <c r="V13" i="5"/>
  <c r="U13" i="5"/>
  <c r="K13" i="5"/>
  <c r="J13" i="5"/>
  <c r="I13" i="5"/>
  <c r="H13" i="5"/>
  <c r="G13" i="5"/>
  <c r="F13" i="5"/>
  <c r="E13" i="5"/>
  <c r="D13" i="5"/>
  <c r="C13" i="5"/>
  <c r="B13" i="5"/>
  <c r="AC28" i="3"/>
  <c r="AB28" i="3"/>
  <c r="AA28" i="3"/>
  <c r="Z28" i="3"/>
  <c r="Y28" i="3"/>
  <c r="X28" i="3"/>
  <c r="W28" i="3"/>
  <c r="V28" i="3"/>
  <c r="U28" i="3"/>
  <c r="T28" i="3"/>
  <c r="AC27" i="3"/>
  <c r="AB27" i="3"/>
  <c r="AA27" i="3"/>
  <c r="Z27" i="3"/>
  <c r="Y27" i="3"/>
  <c r="X27" i="3"/>
  <c r="W27" i="3"/>
  <c r="V27" i="3"/>
  <c r="U27" i="3"/>
  <c r="T27" i="3"/>
  <c r="AC26" i="3"/>
  <c r="AB26" i="3"/>
  <c r="AA26" i="3"/>
  <c r="Z26" i="3"/>
  <c r="Y26" i="3"/>
  <c r="X26" i="3"/>
  <c r="W26" i="3"/>
  <c r="V26" i="3"/>
  <c r="U26" i="3"/>
  <c r="T26" i="3"/>
  <c r="AC25" i="3"/>
  <c r="AB25" i="3"/>
  <c r="AA25" i="3"/>
  <c r="Z25" i="3"/>
  <c r="Y25" i="3"/>
  <c r="X25" i="3"/>
  <c r="W25" i="3"/>
  <c r="V25" i="3"/>
  <c r="U25" i="3"/>
  <c r="T25" i="3"/>
  <c r="AC24" i="3"/>
  <c r="AB24" i="3"/>
  <c r="AA24" i="3"/>
  <c r="Z24" i="3"/>
  <c r="Y24" i="3"/>
  <c r="X24" i="3"/>
  <c r="W24" i="3"/>
  <c r="V24" i="3"/>
  <c r="U24" i="3"/>
  <c r="T24" i="3"/>
  <c r="AC18" i="3"/>
  <c r="AB18" i="3"/>
  <c r="AA18" i="3"/>
  <c r="Z18" i="3"/>
  <c r="Y18" i="3"/>
  <c r="X18" i="3"/>
  <c r="W18" i="3"/>
  <c r="V18" i="3"/>
  <c r="U18" i="3"/>
  <c r="T18" i="3"/>
  <c r="AC17" i="3"/>
  <c r="AB17" i="3"/>
  <c r="AA17" i="3"/>
  <c r="Z17" i="3"/>
  <c r="Y17" i="3"/>
  <c r="X17" i="3"/>
  <c r="W17" i="3"/>
  <c r="V17" i="3"/>
  <c r="U17" i="3"/>
  <c r="T17" i="3"/>
  <c r="AC16" i="3"/>
  <c r="AB16" i="3"/>
  <c r="AA16" i="3"/>
  <c r="Z16" i="3"/>
  <c r="Y16" i="3"/>
  <c r="X16" i="3"/>
  <c r="W16" i="3"/>
  <c r="V16" i="3"/>
  <c r="U16" i="3"/>
  <c r="T16" i="3"/>
  <c r="AC15" i="3"/>
  <c r="AB15" i="3"/>
  <c r="AA15" i="3"/>
  <c r="Z15" i="3"/>
  <c r="Y15" i="3"/>
  <c r="X15" i="3"/>
  <c r="W15" i="3"/>
  <c r="V15" i="3"/>
  <c r="U15" i="3"/>
  <c r="T15" i="3"/>
  <c r="AC14" i="3"/>
  <c r="AB14" i="3"/>
  <c r="AA14" i="3"/>
  <c r="Z14" i="3"/>
  <c r="Y14" i="3"/>
  <c r="X14" i="3"/>
  <c r="W14" i="3"/>
  <c r="V14" i="3"/>
  <c r="U14" i="3"/>
  <c r="T14" i="3"/>
  <c r="AC13" i="3"/>
  <c r="AB13" i="3"/>
  <c r="AA13" i="3"/>
  <c r="Z13" i="3"/>
  <c r="Y13" i="3"/>
  <c r="X13" i="3"/>
  <c r="W13" i="3"/>
  <c r="V13" i="3"/>
  <c r="U13" i="3"/>
  <c r="T1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B69" i="3"/>
  <c r="B68" i="3"/>
  <c r="B67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C28" i="3"/>
  <c r="B28" i="3"/>
  <c r="C27" i="3"/>
  <c r="B27" i="3"/>
  <c r="C26" i="3"/>
  <c r="B26" i="3"/>
  <c r="C25" i="3"/>
  <c r="B25" i="3"/>
  <c r="C24" i="3"/>
  <c r="B24" i="3"/>
  <c r="C18" i="3"/>
  <c r="B18" i="3"/>
  <c r="C17" i="3"/>
  <c r="B17" i="3"/>
  <c r="C16" i="3"/>
  <c r="B16" i="3"/>
  <c r="C15" i="3"/>
  <c r="B15" i="3"/>
  <c r="C14" i="3"/>
  <c r="B14" i="3"/>
  <c r="C13" i="3"/>
  <c r="B13" i="3"/>
  <c r="Q64" i="5" l="1"/>
  <c r="Q65" i="5"/>
  <c r="Q66" i="5"/>
  <c r="S25" i="5"/>
  <c r="S26" i="5"/>
  <c r="S24" i="5"/>
  <c r="I39" i="5"/>
  <c r="S13" i="5"/>
  <c r="S15" i="5"/>
  <c r="S17" i="5"/>
  <c r="S14" i="5"/>
  <c r="S16" i="5"/>
  <c r="S18" i="5"/>
  <c r="S27" i="3"/>
  <c r="K53" i="5"/>
  <c r="U53" i="5" s="1"/>
  <c r="I53" i="5"/>
  <c r="W53" i="5" s="1"/>
  <c r="N72" i="5"/>
  <c r="G64" i="5"/>
  <c r="G65" i="5"/>
  <c r="G66" i="5"/>
  <c r="N89" i="5"/>
  <c r="J38" i="5"/>
  <c r="J42" i="5"/>
  <c r="J46" i="5"/>
  <c r="J37" i="5"/>
  <c r="J41" i="5"/>
  <c r="J45" i="5"/>
  <c r="J36" i="5"/>
  <c r="J40" i="5"/>
  <c r="J44" i="5"/>
  <c r="J52" i="5"/>
  <c r="I42" i="5"/>
  <c r="X42" i="5" s="1"/>
  <c r="K43" i="5"/>
  <c r="O43" i="5" s="1"/>
  <c r="I46" i="5"/>
  <c r="W46" i="5" s="1"/>
  <c r="K47" i="5"/>
  <c r="O47" i="5" s="1"/>
  <c r="J48" i="5"/>
  <c r="I50" i="5"/>
  <c r="I37" i="5"/>
  <c r="K38" i="5"/>
  <c r="O38" i="5" s="1"/>
  <c r="I41" i="5"/>
  <c r="K42" i="5"/>
  <c r="O42" i="5" s="1"/>
  <c r="I45" i="5"/>
  <c r="K46" i="5"/>
  <c r="O46" i="5" s="1"/>
  <c r="I49" i="5"/>
  <c r="K50" i="5"/>
  <c r="O50" i="5" s="1"/>
  <c r="K35" i="5"/>
  <c r="V35" i="5" s="1"/>
  <c r="K51" i="5"/>
  <c r="V51" i="5" s="1"/>
  <c r="J39" i="5"/>
  <c r="W39" i="5" s="1"/>
  <c r="J43" i="5"/>
  <c r="J47" i="5"/>
  <c r="J51" i="5"/>
  <c r="J35" i="5"/>
  <c r="I35" i="5"/>
  <c r="Y35" i="5" s="1"/>
  <c r="I36" i="5"/>
  <c r="Y36" i="5" s="1"/>
  <c r="I40" i="5"/>
  <c r="Y40" i="5" s="1"/>
  <c r="K41" i="5"/>
  <c r="O41" i="5" s="1"/>
  <c r="K45" i="5"/>
  <c r="O45" i="5" s="1"/>
  <c r="I48" i="5"/>
  <c r="Y48" i="5" s="1"/>
  <c r="K49" i="5"/>
  <c r="V49" i="5" s="1"/>
  <c r="I52" i="5"/>
  <c r="K39" i="5"/>
  <c r="O39" i="5" s="1"/>
  <c r="K37" i="5"/>
  <c r="O37" i="5" s="1"/>
  <c r="J50" i="5"/>
  <c r="J49" i="5"/>
  <c r="X49" i="5" s="1"/>
  <c r="I38" i="5"/>
  <c r="X38" i="5" s="1"/>
  <c r="I44" i="5"/>
  <c r="X44" i="5" s="1"/>
  <c r="K36" i="5"/>
  <c r="O36" i="5" s="1"/>
  <c r="K40" i="5"/>
  <c r="O40" i="5" s="1"/>
  <c r="I43" i="5"/>
  <c r="K44" i="5"/>
  <c r="O44" i="5" s="1"/>
  <c r="I47" i="5"/>
  <c r="K48" i="5"/>
  <c r="O48" i="5" s="1"/>
  <c r="I51" i="5"/>
  <c r="K52" i="5"/>
  <c r="V52" i="5" s="1"/>
  <c r="N78" i="5"/>
  <c r="N84" i="5"/>
  <c r="L18" i="5"/>
  <c r="O18" i="5" s="1"/>
  <c r="N76" i="5"/>
  <c r="N88" i="5"/>
  <c r="N77" i="5"/>
  <c r="L17" i="5"/>
  <c r="P17" i="5" s="1"/>
  <c r="N75" i="5"/>
  <c r="N85" i="5"/>
  <c r="L24" i="5"/>
  <c r="M24" i="5" s="1"/>
  <c r="N83" i="5"/>
  <c r="N74" i="5"/>
  <c r="N80" i="5"/>
  <c r="N82" i="5"/>
  <c r="N86" i="5"/>
  <c r="L16" i="5"/>
  <c r="O16" i="5" s="1"/>
  <c r="L14" i="5"/>
  <c r="P14" i="5" s="1"/>
  <c r="L27" i="5"/>
  <c r="P27" i="5" s="1"/>
  <c r="N73" i="5"/>
  <c r="L13" i="5"/>
  <c r="P13" i="5" s="1"/>
  <c r="L26" i="5"/>
  <c r="P26" i="5" s="1"/>
  <c r="N81" i="5"/>
  <c r="L15" i="5"/>
  <c r="P15" i="5" s="1"/>
  <c r="L25" i="5"/>
  <c r="M25" i="5" s="1"/>
  <c r="N87" i="5"/>
  <c r="N79" i="5"/>
  <c r="M44" i="1"/>
  <c r="L44" i="1"/>
  <c r="K44" i="1"/>
  <c r="J44" i="1"/>
  <c r="I44" i="1"/>
  <c r="H44" i="1"/>
  <c r="G44" i="1"/>
  <c r="F44" i="1"/>
  <c r="M43" i="1"/>
  <c r="L43" i="1"/>
  <c r="K43" i="1"/>
  <c r="J43" i="1"/>
  <c r="I43" i="1"/>
  <c r="H43" i="1"/>
  <c r="G43" i="1"/>
  <c r="F43" i="1"/>
  <c r="M42" i="1"/>
  <c r="L42" i="1"/>
  <c r="K42" i="1"/>
  <c r="J42" i="1"/>
  <c r="I42" i="1"/>
  <c r="H42" i="1"/>
  <c r="G42" i="1"/>
  <c r="F42" i="1"/>
  <c r="M41" i="1"/>
  <c r="L41" i="1"/>
  <c r="K41" i="1"/>
  <c r="J41" i="1"/>
  <c r="I41" i="1"/>
  <c r="H41" i="1"/>
  <c r="G41" i="1"/>
  <c r="F41" i="1"/>
  <c r="M40" i="1"/>
  <c r="L40" i="1"/>
  <c r="K40" i="1"/>
  <c r="J40" i="1"/>
  <c r="I40" i="1"/>
  <c r="H40" i="1"/>
  <c r="G40" i="1"/>
  <c r="F40" i="1"/>
  <c r="M39" i="1"/>
  <c r="L39" i="1"/>
  <c r="K39" i="1"/>
  <c r="J39" i="1"/>
  <c r="I39" i="1"/>
  <c r="H39" i="1"/>
  <c r="G39" i="1"/>
  <c r="F39" i="1"/>
  <c r="M38" i="1"/>
  <c r="L38" i="1"/>
  <c r="K38" i="1"/>
  <c r="J38" i="1"/>
  <c r="I38" i="1"/>
  <c r="H38" i="1"/>
  <c r="G38" i="1"/>
  <c r="F38" i="1"/>
  <c r="M37" i="1"/>
  <c r="L37" i="1"/>
  <c r="K37" i="1"/>
  <c r="J37" i="1"/>
  <c r="I37" i="1"/>
  <c r="H37" i="1"/>
  <c r="G37" i="1"/>
  <c r="F37" i="1"/>
  <c r="M36" i="1"/>
  <c r="L36" i="1"/>
  <c r="K36" i="1"/>
  <c r="J36" i="1"/>
  <c r="I36" i="1"/>
  <c r="H36" i="1"/>
  <c r="G36" i="1"/>
  <c r="F36" i="1"/>
  <c r="M35" i="1"/>
  <c r="L35" i="1"/>
  <c r="K35" i="1"/>
  <c r="J35" i="1"/>
  <c r="I35" i="1"/>
  <c r="H35" i="1"/>
  <c r="G35" i="1"/>
  <c r="F35" i="1"/>
  <c r="M34" i="1"/>
  <c r="L34" i="1"/>
  <c r="K34" i="1"/>
  <c r="J34" i="1"/>
  <c r="I34" i="1"/>
  <c r="H34" i="1"/>
  <c r="G34" i="1"/>
  <c r="F34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J34" i="3"/>
  <c r="J35" i="3"/>
  <c r="J36" i="3"/>
  <c r="J37" i="3"/>
  <c r="J38" i="3"/>
  <c r="J39" i="3"/>
  <c r="J40" i="3"/>
  <c r="J41" i="3"/>
  <c r="J42" i="3"/>
  <c r="J43" i="3"/>
  <c r="J44" i="3"/>
  <c r="J47" i="3"/>
  <c r="J51" i="3"/>
  <c r="F34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K26" i="3"/>
  <c r="J26" i="3"/>
  <c r="I26" i="3"/>
  <c r="H26" i="3"/>
  <c r="G26" i="3"/>
  <c r="F26" i="3"/>
  <c r="E26" i="3"/>
  <c r="D26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H51" i="3"/>
  <c r="K51" i="3" s="1"/>
  <c r="G51" i="3"/>
  <c r="F51" i="3"/>
  <c r="I51" i="3" s="1"/>
  <c r="H50" i="3"/>
  <c r="K50" i="3" s="1"/>
  <c r="G50" i="3"/>
  <c r="F50" i="3"/>
  <c r="H49" i="3"/>
  <c r="K49" i="3" s="1"/>
  <c r="G49" i="3"/>
  <c r="F49" i="3"/>
  <c r="H48" i="3"/>
  <c r="G48" i="3"/>
  <c r="J48" i="3" s="1"/>
  <c r="F48" i="3"/>
  <c r="H47" i="3"/>
  <c r="G47" i="3"/>
  <c r="F47" i="3"/>
  <c r="H46" i="3"/>
  <c r="G46" i="3"/>
  <c r="F46" i="3"/>
  <c r="H45" i="3"/>
  <c r="K45" i="3" s="1"/>
  <c r="G45" i="3"/>
  <c r="J45" i="3" s="1"/>
  <c r="F45" i="3"/>
  <c r="I45" i="3" s="1"/>
  <c r="H44" i="3"/>
  <c r="K44" i="3" s="1"/>
  <c r="G44" i="3"/>
  <c r="F44" i="3"/>
  <c r="H43" i="3"/>
  <c r="K43" i="3" s="1"/>
  <c r="G43" i="3"/>
  <c r="F43" i="3"/>
  <c r="H42" i="3"/>
  <c r="G42" i="3"/>
  <c r="F42" i="3"/>
  <c r="H41" i="3"/>
  <c r="G41" i="3"/>
  <c r="F41" i="3"/>
  <c r="H40" i="3"/>
  <c r="K40" i="3" s="1"/>
  <c r="G40" i="3"/>
  <c r="F40" i="3"/>
  <c r="H39" i="3"/>
  <c r="K39" i="3" s="1"/>
  <c r="G39" i="3"/>
  <c r="F39" i="3"/>
  <c r="I39" i="3" s="1"/>
  <c r="H38" i="3"/>
  <c r="K38" i="3" s="1"/>
  <c r="G38" i="3"/>
  <c r="F38" i="3"/>
  <c r="H37" i="3"/>
  <c r="K37" i="3" s="1"/>
  <c r="G37" i="3"/>
  <c r="F37" i="3"/>
  <c r="H36" i="3"/>
  <c r="K36" i="3" s="1"/>
  <c r="G36" i="3"/>
  <c r="F36" i="3"/>
  <c r="H35" i="3"/>
  <c r="K35" i="3" s="1"/>
  <c r="G35" i="3"/>
  <c r="F35" i="3"/>
  <c r="H34" i="3"/>
  <c r="K34" i="3" s="1"/>
  <c r="G34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K16" i="3"/>
  <c r="J16" i="3"/>
  <c r="I16" i="3"/>
  <c r="H16" i="3"/>
  <c r="G16" i="3"/>
  <c r="F16" i="3"/>
  <c r="E16" i="3"/>
  <c r="D16" i="3"/>
  <c r="K15" i="3"/>
  <c r="J15" i="3"/>
  <c r="I15" i="3"/>
  <c r="H15" i="3"/>
  <c r="G15" i="3"/>
  <c r="F15" i="3"/>
  <c r="E15" i="3"/>
  <c r="D15" i="3"/>
  <c r="K14" i="3"/>
  <c r="J14" i="3"/>
  <c r="I14" i="3"/>
  <c r="H14" i="3"/>
  <c r="G14" i="3"/>
  <c r="F14" i="3"/>
  <c r="E14" i="3"/>
  <c r="D14" i="3"/>
  <c r="K13" i="3"/>
  <c r="J13" i="3"/>
  <c r="I13" i="3"/>
  <c r="H13" i="3"/>
  <c r="G13" i="3"/>
  <c r="F13" i="3"/>
  <c r="E13" i="3"/>
  <c r="D13" i="3"/>
  <c r="Y45" i="5" l="1"/>
  <c r="W51" i="5"/>
  <c r="Y41" i="5"/>
  <c r="W37" i="5"/>
  <c r="Y43" i="5"/>
  <c r="X52" i="5"/>
  <c r="W47" i="5"/>
  <c r="W84" i="5" s="1"/>
  <c r="X39" i="5"/>
  <c r="X76" i="5" s="1"/>
  <c r="T40" i="5"/>
  <c r="V45" i="5"/>
  <c r="W36" i="5"/>
  <c r="Y38" i="5"/>
  <c r="W35" i="5"/>
  <c r="U40" i="5"/>
  <c r="U77" i="5" s="1"/>
  <c r="Y44" i="5"/>
  <c r="Y81" i="5" s="1"/>
  <c r="V42" i="5"/>
  <c r="V79" i="5" s="1"/>
  <c r="W50" i="5"/>
  <c r="T52" i="5"/>
  <c r="U36" i="5"/>
  <c r="U37" i="5"/>
  <c r="T42" i="5"/>
  <c r="W49" i="5"/>
  <c r="R49" i="5" s="1"/>
  <c r="U52" i="5"/>
  <c r="U89" i="5" s="1"/>
  <c r="V36" i="5"/>
  <c r="V37" i="5"/>
  <c r="V74" i="5" s="1"/>
  <c r="U42" i="5"/>
  <c r="Y51" i="5"/>
  <c r="W45" i="5"/>
  <c r="W48" i="5"/>
  <c r="R48" i="5" s="1"/>
  <c r="T43" i="5"/>
  <c r="U38" i="5"/>
  <c r="U75" i="5" s="1"/>
  <c r="X43" i="5"/>
  <c r="X80" i="5" s="1"/>
  <c r="X48" i="5"/>
  <c r="U43" i="5"/>
  <c r="X37" i="5"/>
  <c r="W43" i="5"/>
  <c r="V43" i="5"/>
  <c r="V80" i="5" s="1"/>
  <c r="X46" i="5"/>
  <c r="T45" i="5"/>
  <c r="T82" i="5" s="1"/>
  <c r="Y52" i="5"/>
  <c r="Y89" i="5" s="1"/>
  <c r="V48" i="5"/>
  <c r="V85" i="5" s="1"/>
  <c r="U41" i="5"/>
  <c r="U78" i="5" s="1"/>
  <c r="T35" i="5"/>
  <c r="T72" i="5" s="1"/>
  <c r="X36" i="5"/>
  <c r="V46" i="5"/>
  <c r="V83" i="5" s="1"/>
  <c r="Y37" i="5"/>
  <c r="Y74" i="5" s="1"/>
  <c r="T39" i="5"/>
  <c r="Y46" i="5"/>
  <c r="Y83" i="5" s="1"/>
  <c r="U39" i="5"/>
  <c r="U48" i="5"/>
  <c r="U85" i="5" s="1"/>
  <c r="T53" i="5"/>
  <c r="Y49" i="5"/>
  <c r="X47" i="5"/>
  <c r="X84" i="5" s="1"/>
  <c r="Y47" i="5"/>
  <c r="Y84" i="5" s="1"/>
  <c r="T36" i="5"/>
  <c r="V53" i="5"/>
  <c r="V90" i="5" s="1"/>
  <c r="V41" i="5"/>
  <c r="V78" i="5" s="1"/>
  <c r="U35" i="5"/>
  <c r="W38" i="5"/>
  <c r="T46" i="5"/>
  <c r="T83" i="5" s="1"/>
  <c r="W41" i="5"/>
  <c r="X51" i="5"/>
  <c r="X88" i="5" s="1"/>
  <c r="V40" i="5"/>
  <c r="V77" i="5" s="1"/>
  <c r="Y42" i="5"/>
  <c r="Y79" i="5" s="1"/>
  <c r="Y53" i="5"/>
  <c r="Y90" i="5" s="1"/>
  <c r="U45" i="5"/>
  <c r="U82" i="5" s="1"/>
  <c r="W40" i="5"/>
  <c r="V50" i="5"/>
  <c r="U46" i="5"/>
  <c r="U83" i="5" s="1"/>
  <c r="X41" i="5"/>
  <c r="X78" i="5" s="1"/>
  <c r="T51" i="5"/>
  <c r="V39" i="5"/>
  <c r="V76" i="5" s="1"/>
  <c r="T41" i="5"/>
  <c r="Q41" i="5" s="1"/>
  <c r="X50" i="5"/>
  <c r="X53" i="5"/>
  <c r="X90" i="5" s="1"/>
  <c r="T44" i="5"/>
  <c r="T81" i="5" s="1"/>
  <c r="W42" i="5"/>
  <c r="T49" i="5"/>
  <c r="X40" i="5"/>
  <c r="X77" i="5" s="1"/>
  <c r="T47" i="5"/>
  <c r="T50" i="5"/>
  <c r="Q50" i="5" s="1"/>
  <c r="U51" i="5"/>
  <c r="U88" i="5" s="1"/>
  <c r="X35" i="5"/>
  <c r="X72" i="5" s="1"/>
  <c r="U44" i="5"/>
  <c r="U81" i="5" s="1"/>
  <c r="Y39" i="5"/>
  <c r="Y76" i="5" s="1"/>
  <c r="U49" i="5"/>
  <c r="U86" i="5" s="1"/>
  <c r="W44" i="5"/>
  <c r="U47" i="5"/>
  <c r="U84" i="5" s="1"/>
  <c r="W52" i="5"/>
  <c r="U50" i="5"/>
  <c r="U87" i="5" s="1"/>
  <c r="X45" i="5"/>
  <c r="X82" i="5" s="1"/>
  <c r="V38" i="5"/>
  <c r="Y50" i="5"/>
  <c r="Y87" i="5" s="1"/>
  <c r="V72" i="5"/>
  <c r="T48" i="5"/>
  <c r="V44" i="5"/>
  <c r="V81" i="5" s="1"/>
  <c r="T37" i="5"/>
  <c r="Q37" i="5" s="1"/>
  <c r="V47" i="5"/>
  <c r="V84" i="5" s="1"/>
  <c r="T38" i="5"/>
  <c r="L87" i="5"/>
  <c r="L77" i="5"/>
  <c r="O77" i="5" s="1"/>
  <c r="AB77" i="5" s="1"/>
  <c r="L83" i="5"/>
  <c r="O83" i="5" s="1"/>
  <c r="AB83" i="5" s="1"/>
  <c r="L84" i="5"/>
  <c r="L75" i="5"/>
  <c r="L76" i="5"/>
  <c r="N53" i="5"/>
  <c r="K90" i="5" s="1"/>
  <c r="M53" i="5"/>
  <c r="J90" i="5" s="1"/>
  <c r="L53" i="5"/>
  <c r="I90" i="5" s="1"/>
  <c r="W90" i="5"/>
  <c r="O53" i="5"/>
  <c r="L90" i="5" s="1"/>
  <c r="O90" i="5" s="1"/>
  <c r="AB90" i="5" s="1"/>
  <c r="U90" i="5"/>
  <c r="X75" i="5"/>
  <c r="Y86" i="5"/>
  <c r="W72" i="5"/>
  <c r="Y72" i="5"/>
  <c r="Y85" i="5"/>
  <c r="Y73" i="5"/>
  <c r="W88" i="5"/>
  <c r="W82" i="5"/>
  <c r="X85" i="5"/>
  <c r="Y78" i="5"/>
  <c r="X74" i="5"/>
  <c r="X83" i="5"/>
  <c r="W87" i="5"/>
  <c r="Y77" i="5"/>
  <c r="Y80" i="5"/>
  <c r="X73" i="5"/>
  <c r="X79" i="5"/>
  <c r="X87" i="5"/>
  <c r="T80" i="5"/>
  <c r="X86" i="5"/>
  <c r="U80" i="5"/>
  <c r="Y88" i="5"/>
  <c r="V88" i="5"/>
  <c r="W73" i="5"/>
  <c r="O17" i="5"/>
  <c r="Y82" i="5"/>
  <c r="W74" i="5"/>
  <c r="W83" i="5"/>
  <c r="X81" i="5"/>
  <c r="W76" i="5"/>
  <c r="Y75" i="5"/>
  <c r="U72" i="5"/>
  <c r="W78" i="5"/>
  <c r="X89" i="5"/>
  <c r="V75" i="5"/>
  <c r="V87" i="5"/>
  <c r="U74" i="5"/>
  <c r="N43" i="5"/>
  <c r="L43" i="5"/>
  <c r="M43" i="5"/>
  <c r="T77" i="5"/>
  <c r="V73" i="5"/>
  <c r="T79" i="5"/>
  <c r="N45" i="5"/>
  <c r="M45" i="5"/>
  <c r="L45" i="5"/>
  <c r="N44" i="5"/>
  <c r="M44" i="5"/>
  <c r="L44" i="5"/>
  <c r="M40" i="5"/>
  <c r="L40" i="5"/>
  <c r="N40" i="5"/>
  <c r="M41" i="5"/>
  <c r="L41" i="5"/>
  <c r="N41" i="5"/>
  <c r="N39" i="5"/>
  <c r="M39" i="5"/>
  <c r="L39" i="5"/>
  <c r="N38" i="5"/>
  <c r="M38" i="5"/>
  <c r="L38" i="5"/>
  <c r="U76" i="5"/>
  <c r="N36" i="5"/>
  <c r="M36" i="5"/>
  <c r="L36" i="5"/>
  <c r="O52" i="5"/>
  <c r="L35" i="5"/>
  <c r="M35" i="5"/>
  <c r="N35" i="5"/>
  <c r="U73" i="5"/>
  <c r="N37" i="5"/>
  <c r="M37" i="5"/>
  <c r="L37" i="5"/>
  <c r="V82" i="5"/>
  <c r="N51" i="5"/>
  <c r="M51" i="5"/>
  <c r="L51" i="5"/>
  <c r="N52" i="5"/>
  <c r="M52" i="5"/>
  <c r="L52" i="5"/>
  <c r="V89" i="5"/>
  <c r="O51" i="5"/>
  <c r="L50" i="5"/>
  <c r="N50" i="5"/>
  <c r="M50" i="5"/>
  <c r="T78" i="5"/>
  <c r="N46" i="5"/>
  <c r="M46" i="5"/>
  <c r="L46" i="5"/>
  <c r="M17" i="5"/>
  <c r="O49" i="5"/>
  <c r="O35" i="5"/>
  <c r="M49" i="5"/>
  <c r="L49" i="5"/>
  <c r="N49" i="5"/>
  <c r="N17" i="5"/>
  <c r="N47" i="5"/>
  <c r="M47" i="5"/>
  <c r="L47" i="5"/>
  <c r="M48" i="5"/>
  <c r="L48" i="5"/>
  <c r="N48" i="5"/>
  <c r="T89" i="5"/>
  <c r="U79" i="5"/>
  <c r="V86" i="5"/>
  <c r="L42" i="5"/>
  <c r="M42" i="5"/>
  <c r="N42" i="5"/>
  <c r="N13" i="5"/>
  <c r="M18" i="5"/>
  <c r="P24" i="5"/>
  <c r="O24" i="5"/>
  <c r="N24" i="5"/>
  <c r="N26" i="5"/>
  <c r="M16" i="5"/>
  <c r="P18" i="5"/>
  <c r="N18" i="5"/>
  <c r="P25" i="5"/>
  <c r="N15" i="5"/>
  <c r="N16" i="5"/>
  <c r="N25" i="5"/>
  <c r="P16" i="5"/>
  <c r="L74" i="5"/>
  <c r="O14" i="5"/>
  <c r="M14" i="5"/>
  <c r="N14" i="5"/>
  <c r="L85" i="5"/>
  <c r="L82" i="5"/>
  <c r="L80" i="5"/>
  <c r="L78" i="5"/>
  <c r="O25" i="5"/>
  <c r="M15" i="5"/>
  <c r="O15" i="5"/>
  <c r="O13" i="5"/>
  <c r="M13" i="5"/>
  <c r="L79" i="5"/>
  <c r="L81" i="5"/>
  <c r="O27" i="5"/>
  <c r="M27" i="5"/>
  <c r="N27" i="5"/>
  <c r="L73" i="5"/>
  <c r="M26" i="5"/>
  <c r="O26" i="5"/>
  <c r="K46" i="3"/>
  <c r="L13" i="3"/>
  <c r="P13" i="3" s="1"/>
  <c r="L14" i="3"/>
  <c r="M14" i="3" s="1"/>
  <c r="L15" i="3"/>
  <c r="P15" i="3" s="1"/>
  <c r="L16" i="3"/>
  <c r="P16" i="3" s="1"/>
  <c r="I36" i="3"/>
  <c r="I41" i="3"/>
  <c r="I42" i="3"/>
  <c r="L28" i="3"/>
  <c r="P28" i="3" s="1"/>
  <c r="I40" i="3"/>
  <c r="I48" i="3"/>
  <c r="L25" i="3"/>
  <c r="O25" i="3" s="1"/>
  <c r="L26" i="3"/>
  <c r="P26" i="3" s="1"/>
  <c r="L27" i="3"/>
  <c r="M27" i="3" s="1"/>
  <c r="I35" i="3"/>
  <c r="I43" i="3"/>
  <c r="K42" i="3"/>
  <c r="I38" i="3"/>
  <c r="I46" i="3"/>
  <c r="J46" i="3"/>
  <c r="J49" i="3"/>
  <c r="I34" i="3"/>
  <c r="I47" i="3"/>
  <c r="I44" i="3"/>
  <c r="W44" i="3" s="1"/>
  <c r="L24" i="3"/>
  <c r="O24" i="3" s="1"/>
  <c r="L17" i="3"/>
  <c r="N17" i="3" s="1"/>
  <c r="L18" i="3"/>
  <c r="O18" i="3" s="1"/>
  <c r="K41" i="3"/>
  <c r="K47" i="3"/>
  <c r="J50" i="3"/>
  <c r="I50" i="3"/>
  <c r="I37" i="3"/>
  <c r="K48" i="3"/>
  <c r="I49" i="3"/>
  <c r="M73" i="1"/>
  <c r="M74" i="1"/>
  <c r="M72" i="1"/>
  <c r="R46" i="5" l="1"/>
  <c r="Q42" i="5"/>
  <c r="R37" i="5"/>
  <c r="W86" i="5"/>
  <c r="S37" i="5"/>
  <c r="W89" i="5"/>
  <c r="R89" i="5" s="1"/>
  <c r="AA89" i="5" s="1"/>
  <c r="R52" i="5"/>
  <c r="S50" i="5"/>
  <c r="T74" i="5"/>
  <c r="T84" i="5"/>
  <c r="Q47" i="5"/>
  <c r="Z47" i="5" s="1"/>
  <c r="R45" i="5"/>
  <c r="T75" i="5"/>
  <c r="Q38" i="5"/>
  <c r="Z38" i="5" s="1"/>
  <c r="W77" i="5"/>
  <c r="R40" i="5"/>
  <c r="R51" i="5"/>
  <c r="T87" i="5"/>
  <c r="T85" i="5"/>
  <c r="Q48" i="5"/>
  <c r="S48" i="5" s="1"/>
  <c r="W81" i="5"/>
  <c r="R44" i="5"/>
  <c r="T88" i="5"/>
  <c r="Q51" i="5"/>
  <c r="T73" i="5"/>
  <c r="Q36" i="5"/>
  <c r="Z36" i="5" s="1"/>
  <c r="T76" i="5"/>
  <c r="Q39" i="5"/>
  <c r="Z39" i="5" s="1"/>
  <c r="Q45" i="5"/>
  <c r="R53" i="5"/>
  <c r="AA53" i="5" s="1"/>
  <c r="Q52" i="5"/>
  <c r="Z52" i="5" s="1"/>
  <c r="R36" i="5"/>
  <c r="W79" i="5"/>
  <c r="R42" i="5"/>
  <c r="R41" i="5"/>
  <c r="S41" i="5" s="1"/>
  <c r="R50" i="5"/>
  <c r="AA50" i="5" s="1"/>
  <c r="W85" i="5"/>
  <c r="R85" i="5" s="1"/>
  <c r="AA85" i="5" s="1"/>
  <c r="Q44" i="5"/>
  <c r="Z44" i="5" s="1"/>
  <c r="Q46" i="5"/>
  <c r="S46" i="5" s="1"/>
  <c r="R39" i="5"/>
  <c r="Q40" i="5"/>
  <c r="S40" i="5" s="1"/>
  <c r="T86" i="5"/>
  <c r="Q49" i="5"/>
  <c r="S49" i="5" s="1"/>
  <c r="T90" i="5"/>
  <c r="S90" i="5" s="1"/>
  <c r="Q53" i="5"/>
  <c r="W75" i="5"/>
  <c r="R75" i="5" s="1"/>
  <c r="AA75" i="5" s="1"/>
  <c r="R38" i="5"/>
  <c r="AA38" i="5" s="1"/>
  <c r="R43" i="5"/>
  <c r="Q43" i="5"/>
  <c r="S43" i="5" s="1"/>
  <c r="R47" i="5"/>
  <c r="AA47" i="5" s="1"/>
  <c r="J83" i="5"/>
  <c r="J79" i="5"/>
  <c r="J85" i="5"/>
  <c r="J86" i="5"/>
  <c r="K83" i="5"/>
  <c r="I89" i="5"/>
  <c r="I74" i="5"/>
  <c r="J73" i="5"/>
  <c r="K76" i="5"/>
  <c r="L72" i="5"/>
  <c r="I64" i="5" s="1"/>
  <c r="O73" i="5" s="1"/>
  <c r="J89" i="5"/>
  <c r="J74" i="5"/>
  <c r="L89" i="5"/>
  <c r="O89" i="5" s="1"/>
  <c r="AB89" i="5" s="1"/>
  <c r="K73" i="5"/>
  <c r="J80" i="5"/>
  <c r="J84" i="5"/>
  <c r="J87" i="5"/>
  <c r="K89" i="5"/>
  <c r="K74" i="5"/>
  <c r="K77" i="5"/>
  <c r="I80" i="5"/>
  <c r="K87" i="5"/>
  <c r="I82" i="5"/>
  <c r="K80" i="5"/>
  <c r="K84" i="5"/>
  <c r="J88" i="5"/>
  <c r="J75" i="5"/>
  <c r="K78" i="5"/>
  <c r="J77" i="5"/>
  <c r="J82" i="5"/>
  <c r="L86" i="5"/>
  <c r="L88" i="5"/>
  <c r="K88" i="5"/>
  <c r="K72" i="5"/>
  <c r="K75" i="5"/>
  <c r="K82" i="5"/>
  <c r="K86" i="5"/>
  <c r="J81" i="5"/>
  <c r="K85" i="5"/>
  <c r="J72" i="5"/>
  <c r="J78" i="5"/>
  <c r="K79" i="5"/>
  <c r="J76" i="5"/>
  <c r="K81" i="5"/>
  <c r="R90" i="5"/>
  <c r="AA90" i="5" s="1"/>
  <c r="P53" i="5"/>
  <c r="M90" i="5" s="1"/>
  <c r="W80" i="5"/>
  <c r="R80" i="5" s="1"/>
  <c r="AA80" i="5" s="1"/>
  <c r="P38" i="5"/>
  <c r="M75" i="5" s="1"/>
  <c r="I75" i="5"/>
  <c r="Z50" i="5"/>
  <c r="Q35" i="5"/>
  <c r="Z37" i="5"/>
  <c r="Z51" i="5"/>
  <c r="Z41" i="5"/>
  <c r="Z42" i="5"/>
  <c r="Q77" i="5"/>
  <c r="Z77" i="5" s="1"/>
  <c r="I65" i="5"/>
  <c r="R82" i="5"/>
  <c r="AA82" i="5" s="1"/>
  <c r="P48" i="5"/>
  <c r="M85" i="5" s="1"/>
  <c r="I85" i="5"/>
  <c r="AA37" i="5"/>
  <c r="AA45" i="5"/>
  <c r="AA43" i="5"/>
  <c r="P45" i="5"/>
  <c r="M82" i="5" s="1"/>
  <c r="P43" i="5"/>
  <c r="M80" i="5" s="1"/>
  <c r="AA48" i="5"/>
  <c r="AA49" i="5"/>
  <c r="R74" i="5"/>
  <c r="AA74" i="5" s="1"/>
  <c r="R72" i="5"/>
  <c r="AA41" i="5"/>
  <c r="AA44" i="5"/>
  <c r="P52" i="5"/>
  <c r="M89" i="5" s="1"/>
  <c r="I78" i="5"/>
  <c r="P41" i="5"/>
  <c r="AA51" i="5"/>
  <c r="P51" i="5"/>
  <c r="M88" i="5" s="1"/>
  <c r="I88" i="5"/>
  <c r="I79" i="5"/>
  <c r="P42" i="5"/>
  <c r="M79" i="5" s="1"/>
  <c r="I87" i="5"/>
  <c r="P50" i="5"/>
  <c r="M87" i="5" s="1"/>
  <c r="P47" i="5"/>
  <c r="M84" i="5" s="1"/>
  <c r="I84" i="5"/>
  <c r="AA46" i="5"/>
  <c r="AA36" i="5"/>
  <c r="I81" i="5"/>
  <c r="P44" i="5"/>
  <c r="M81" i="5" s="1"/>
  <c r="I86" i="5"/>
  <c r="P49" i="5"/>
  <c r="M86" i="5" s="1"/>
  <c r="P39" i="5"/>
  <c r="M76" i="5" s="1"/>
  <c r="I76" i="5"/>
  <c r="P35" i="5"/>
  <c r="M72" i="5" s="1"/>
  <c r="I72" i="5"/>
  <c r="P37" i="5"/>
  <c r="M74" i="5" s="1"/>
  <c r="Q83" i="5"/>
  <c r="Z83" i="5" s="1"/>
  <c r="R76" i="5"/>
  <c r="AA76" i="5" s="1"/>
  <c r="I73" i="5"/>
  <c r="P36" i="5"/>
  <c r="M73" i="5" s="1"/>
  <c r="I83" i="5"/>
  <c r="P46" i="5"/>
  <c r="M83" i="5" s="1"/>
  <c r="AA40" i="5"/>
  <c r="R35" i="5"/>
  <c r="AA35" i="5" s="1"/>
  <c r="P40" i="5"/>
  <c r="M77" i="5" s="1"/>
  <c r="I77" i="5"/>
  <c r="AA42" i="5"/>
  <c r="AA39" i="5"/>
  <c r="N14" i="3"/>
  <c r="N16" i="3"/>
  <c r="N15" i="3"/>
  <c r="O13" i="3"/>
  <c r="M13" i="3"/>
  <c r="N13" i="3"/>
  <c r="M16" i="3"/>
  <c r="O16" i="3"/>
  <c r="P14" i="3"/>
  <c r="O14" i="3"/>
  <c r="P25" i="3"/>
  <c r="O15" i="3"/>
  <c r="M15" i="3"/>
  <c r="M28" i="3"/>
  <c r="O28" i="3"/>
  <c r="M25" i="3"/>
  <c r="P27" i="3"/>
  <c r="N25" i="3"/>
  <c r="O27" i="3"/>
  <c r="O26" i="3"/>
  <c r="N28" i="3"/>
  <c r="N27" i="3"/>
  <c r="P18" i="3"/>
  <c r="N26" i="3"/>
  <c r="P17" i="3"/>
  <c r="M26" i="3"/>
  <c r="N24" i="3"/>
  <c r="P24" i="3"/>
  <c r="O17" i="3"/>
  <c r="M18" i="3"/>
  <c r="M17" i="3"/>
  <c r="M24" i="3"/>
  <c r="N18" i="3"/>
  <c r="S21" i="1"/>
  <c r="S18" i="1"/>
  <c r="S15" i="1"/>
  <c r="S14" i="1"/>
  <c r="S13" i="1"/>
  <c r="S12" i="1"/>
  <c r="S11" i="1"/>
  <c r="P21" i="1"/>
  <c r="P18" i="1"/>
  <c r="P15" i="1"/>
  <c r="P14" i="1"/>
  <c r="P13" i="1"/>
  <c r="P12" i="1"/>
  <c r="P11" i="1"/>
  <c r="M21" i="1"/>
  <c r="M18" i="1"/>
  <c r="M15" i="1"/>
  <c r="M14" i="1"/>
  <c r="M13" i="1"/>
  <c r="M12" i="1"/>
  <c r="M11" i="1"/>
  <c r="K27" i="1"/>
  <c r="U27" i="1" s="1"/>
  <c r="K26" i="1"/>
  <c r="U26" i="1" s="1"/>
  <c r="K23" i="1"/>
  <c r="U23" i="1" s="1"/>
  <c r="K21" i="1"/>
  <c r="U21" i="1" s="1"/>
  <c r="K20" i="1"/>
  <c r="U20" i="1" s="1"/>
  <c r="K19" i="1"/>
  <c r="U19" i="1" s="1"/>
  <c r="K18" i="1"/>
  <c r="U18" i="1" s="1"/>
  <c r="K15" i="1"/>
  <c r="U15" i="1" s="1"/>
  <c r="I56" i="1" s="1"/>
  <c r="K14" i="1"/>
  <c r="U14" i="1" s="1"/>
  <c r="I55" i="1" s="1"/>
  <c r="K13" i="1"/>
  <c r="U13" i="1" s="1"/>
  <c r="I54" i="1" s="1"/>
  <c r="K12" i="1"/>
  <c r="U12" i="1" s="1"/>
  <c r="I53" i="1" s="1"/>
  <c r="K11" i="1"/>
  <c r="U11" i="1" s="1"/>
  <c r="I52" i="1" s="1"/>
  <c r="K17" i="1"/>
  <c r="U17" i="1" s="1"/>
  <c r="J25" i="1"/>
  <c r="M25" i="1" s="1"/>
  <c r="J24" i="1"/>
  <c r="P24" i="1" s="1"/>
  <c r="J21" i="1"/>
  <c r="J20" i="1"/>
  <c r="S20" i="1" s="1"/>
  <c r="J19" i="1"/>
  <c r="S19" i="1" s="1"/>
  <c r="J18" i="1"/>
  <c r="J15" i="1"/>
  <c r="J14" i="1"/>
  <c r="J13" i="1"/>
  <c r="J12" i="1"/>
  <c r="J11" i="1"/>
  <c r="J17" i="1"/>
  <c r="P17" i="1" s="1"/>
  <c r="I15" i="1"/>
  <c r="R15" i="1" s="1"/>
  <c r="I14" i="1"/>
  <c r="O14" i="1" s="1"/>
  <c r="I13" i="1"/>
  <c r="L13" i="1" s="1"/>
  <c r="I12" i="1"/>
  <c r="O12" i="1" s="1"/>
  <c r="I11" i="1"/>
  <c r="O11" i="1" s="1"/>
  <c r="I27" i="1"/>
  <c r="L27" i="1" s="1"/>
  <c r="I26" i="1"/>
  <c r="I25" i="1"/>
  <c r="R25" i="1" s="1"/>
  <c r="I21" i="1"/>
  <c r="O21" i="1" s="1"/>
  <c r="I20" i="1"/>
  <c r="R20" i="1" s="1"/>
  <c r="I19" i="1"/>
  <c r="I18" i="1"/>
  <c r="L18" i="1" s="1"/>
  <c r="I17" i="1"/>
  <c r="N34" i="1"/>
  <c r="AA72" i="5" l="1"/>
  <c r="Q90" i="5"/>
  <c r="Z90" i="5" s="1"/>
  <c r="Z49" i="5"/>
  <c r="S52" i="5"/>
  <c r="S53" i="5"/>
  <c r="S45" i="5"/>
  <c r="Z43" i="5"/>
  <c r="S42" i="5"/>
  <c r="Z48" i="5"/>
  <c r="Z46" i="5"/>
  <c r="Z53" i="5"/>
  <c r="Z35" i="5"/>
  <c r="AA52" i="5"/>
  <c r="S36" i="5"/>
  <c r="S51" i="5"/>
  <c r="Z45" i="5"/>
  <c r="S44" i="5"/>
  <c r="S38" i="5"/>
  <c r="S39" i="5"/>
  <c r="Z40" i="5"/>
  <c r="S47" i="5"/>
  <c r="I66" i="5"/>
  <c r="O84" i="5" s="1"/>
  <c r="O79" i="5"/>
  <c r="O80" i="5"/>
  <c r="M78" i="5"/>
  <c r="O78" i="5"/>
  <c r="O81" i="5"/>
  <c r="Q89" i="5"/>
  <c r="Z89" i="5" s="1"/>
  <c r="S89" i="5"/>
  <c r="R77" i="5"/>
  <c r="AA77" i="5" s="1"/>
  <c r="S77" i="5"/>
  <c r="R78" i="5"/>
  <c r="R88" i="5"/>
  <c r="AA88" i="5" s="1"/>
  <c r="R81" i="5"/>
  <c r="AA81" i="5" s="1"/>
  <c r="R73" i="5"/>
  <c r="AA73" i="5" s="1"/>
  <c r="R87" i="5"/>
  <c r="AA87" i="5" s="1"/>
  <c r="R86" i="5"/>
  <c r="AA86" i="5" s="1"/>
  <c r="R84" i="5"/>
  <c r="R79" i="5"/>
  <c r="AA79" i="5" s="1"/>
  <c r="R83" i="5"/>
  <c r="AA83" i="5" s="1"/>
  <c r="S83" i="5"/>
  <c r="O82" i="5"/>
  <c r="O74" i="5"/>
  <c r="O72" i="5"/>
  <c r="O76" i="5"/>
  <c r="O75" i="5"/>
  <c r="H66" i="5"/>
  <c r="J66" i="5" s="1"/>
  <c r="H64" i="5"/>
  <c r="J64" i="5" s="1"/>
  <c r="O37" i="1"/>
  <c r="Q37" i="1" s="1"/>
  <c r="I7" i="1"/>
  <c r="R17" i="1"/>
  <c r="O19" i="1"/>
  <c r="R19" i="1"/>
  <c r="T19" i="1" s="1"/>
  <c r="T20" i="1"/>
  <c r="M20" i="1"/>
  <c r="P20" i="1"/>
  <c r="H72" i="1"/>
  <c r="K54" i="1" s="1"/>
  <c r="M19" i="1"/>
  <c r="P19" i="1"/>
  <c r="M17" i="1"/>
  <c r="S17" i="1"/>
  <c r="L17" i="1"/>
  <c r="Q14" i="1"/>
  <c r="G55" i="1" s="1"/>
  <c r="R26" i="1"/>
  <c r="L26" i="1"/>
  <c r="S25" i="1"/>
  <c r="T25" i="1" s="1"/>
  <c r="O20" i="1"/>
  <c r="W14" i="1"/>
  <c r="L25" i="1"/>
  <c r="N25" i="1" s="1"/>
  <c r="R13" i="1"/>
  <c r="T13" i="1" s="1"/>
  <c r="H54" i="1" s="1"/>
  <c r="W15" i="1"/>
  <c r="T15" i="1"/>
  <c r="H56" i="1" s="1"/>
  <c r="L20" i="1"/>
  <c r="P25" i="1"/>
  <c r="L14" i="1"/>
  <c r="W13" i="1"/>
  <c r="W11" i="1"/>
  <c r="L15" i="1"/>
  <c r="N15" i="1" s="1"/>
  <c r="W12" i="1"/>
  <c r="Q12" i="1"/>
  <c r="G53" i="1" s="1"/>
  <c r="O25" i="1"/>
  <c r="O17" i="1"/>
  <c r="R14" i="1"/>
  <c r="T14" i="1" s="1"/>
  <c r="H55" i="1" s="1"/>
  <c r="Q21" i="1"/>
  <c r="O26" i="1"/>
  <c r="N18" i="1"/>
  <c r="Q11" i="1"/>
  <c r="G52" i="1" s="1"/>
  <c r="N13" i="1"/>
  <c r="L19" i="1"/>
  <c r="O13" i="1"/>
  <c r="Q13" i="1" s="1"/>
  <c r="G54" i="1" s="1"/>
  <c r="L12" i="1"/>
  <c r="M24" i="1"/>
  <c r="O18" i="1"/>
  <c r="O27" i="1"/>
  <c r="R11" i="1"/>
  <c r="R21" i="1"/>
  <c r="T21" i="1" s="1"/>
  <c r="R18" i="1"/>
  <c r="R27" i="1"/>
  <c r="L11" i="1"/>
  <c r="L21" i="1"/>
  <c r="N21" i="1" s="1"/>
  <c r="O15" i="1"/>
  <c r="Q15" i="1" s="1"/>
  <c r="G56" i="1" s="1"/>
  <c r="R12" i="1"/>
  <c r="T12" i="1" s="1"/>
  <c r="H53" i="1" s="1"/>
  <c r="S24" i="1"/>
  <c r="S13" i="3"/>
  <c r="S14" i="3"/>
  <c r="S15" i="3"/>
  <c r="S16" i="3"/>
  <c r="S17" i="3"/>
  <c r="S18" i="3"/>
  <c r="S24" i="3"/>
  <c r="S25" i="3"/>
  <c r="S26" i="3"/>
  <c r="S28" i="3"/>
  <c r="AA84" i="5" l="1"/>
  <c r="R66" i="5"/>
  <c r="R64" i="5"/>
  <c r="AA78" i="5"/>
  <c r="R65" i="5"/>
  <c r="O88" i="5"/>
  <c r="O85" i="5"/>
  <c r="O87" i="5"/>
  <c r="O86" i="5"/>
  <c r="H65" i="5"/>
  <c r="K65" i="5" s="1"/>
  <c r="Q78" i="5"/>
  <c r="Z78" i="5" s="1"/>
  <c r="S73" i="5"/>
  <c r="Q73" i="5"/>
  <c r="Z73" i="5" s="1"/>
  <c r="S84" i="5"/>
  <c r="K64" i="5"/>
  <c r="L64" i="5"/>
  <c r="M64" i="5"/>
  <c r="L66" i="5"/>
  <c r="K66" i="5"/>
  <c r="M66" i="5"/>
  <c r="S37" i="1"/>
  <c r="P37" i="1"/>
  <c r="R37" i="1"/>
  <c r="N20" i="1"/>
  <c r="R7" i="1"/>
  <c r="K53" i="1"/>
  <c r="K55" i="1"/>
  <c r="K56" i="1"/>
  <c r="K52" i="1"/>
  <c r="Q19" i="1"/>
  <c r="Q20" i="1"/>
  <c r="N19" i="1"/>
  <c r="T17" i="1"/>
  <c r="V17" i="1"/>
  <c r="Q17" i="1"/>
  <c r="V14" i="1"/>
  <c r="Q25" i="1"/>
  <c r="N14" i="1"/>
  <c r="F55" i="1" s="1"/>
  <c r="J55" i="1" s="1"/>
  <c r="V13" i="1"/>
  <c r="T11" i="1"/>
  <c r="H52" i="1" s="1"/>
  <c r="N11" i="1"/>
  <c r="V11" i="1"/>
  <c r="Q18" i="1"/>
  <c r="X15" i="1"/>
  <c r="F56" i="1"/>
  <c r="J56" i="1" s="1"/>
  <c r="T18" i="1"/>
  <c r="V15" i="1"/>
  <c r="V12" i="1"/>
  <c r="N12" i="1"/>
  <c r="F54" i="1"/>
  <c r="J54" i="1" s="1"/>
  <c r="X13" i="1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75" i="3"/>
  <c r="O51" i="3"/>
  <c r="G92" i="3" s="1"/>
  <c r="O48" i="3"/>
  <c r="G89" i="3" s="1"/>
  <c r="O44" i="3"/>
  <c r="G85" i="3" s="1"/>
  <c r="O43" i="3"/>
  <c r="G84" i="3" s="1"/>
  <c r="O40" i="3"/>
  <c r="G81" i="3" s="1"/>
  <c r="T39" i="3"/>
  <c r="T80" i="3" s="1"/>
  <c r="O36" i="3"/>
  <c r="G77" i="3" s="1"/>
  <c r="O35" i="3"/>
  <c r="G76" i="3" s="1"/>
  <c r="O34" i="3"/>
  <c r="G75" i="3" s="1"/>
  <c r="M51" i="3"/>
  <c r="M47" i="3"/>
  <c r="N42" i="3"/>
  <c r="N40" i="3"/>
  <c r="M38" i="3"/>
  <c r="M65" i="5" l="1"/>
  <c r="L65" i="5"/>
  <c r="J65" i="5"/>
  <c r="Q84" i="5"/>
  <c r="Z84" i="5" s="1"/>
  <c r="S78" i="5"/>
  <c r="Q79" i="5"/>
  <c r="Z79" i="5" s="1"/>
  <c r="S79" i="5"/>
  <c r="Q86" i="5"/>
  <c r="Z86" i="5" s="1"/>
  <c r="S86" i="5"/>
  <c r="Q75" i="5"/>
  <c r="Z75" i="5" s="1"/>
  <c r="S75" i="5"/>
  <c r="Q74" i="5"/>
  <c r="Z74" i="5" s="1"/>
  <c r="S74" i="5"/>
  <c r="Q76" i="5"/>
  <c r="Z76" i="5" s="1"/>
  <c r="S76" i="5"/>
  <c r="Q81" i="5"/>
  <c r="Z81" i="5" s="1"/>
  <c r="S81" i="5"/>
  <c r="Q72" i="5"/>
  <c r="Z72" i="5" s="1"/>
  <c r="S72" i="5"/>
  <c r="Q88" i="5"/>
  <c r="Z88" i="5" s="1"/>
  <c r="S88" i="5"/>
  <c r="Q82" i="5"/>
  <c r="Z82" i="5" s="1"/>
  <c r="S82" i="5"/>
  <c r="Q80" i="5"/>
  <c r="Z80" i="5" s="1"/>
  <c r="S80" i="5"/>
  <c r="Q85" i="5"/>
  <c r="Z85" i="5" s="1"/>
  <c r="S85" i="5"/>
  <c r="S66" i="5" s="1"/>
  <c r="Q87" i="5"/>
  <c r="Z87" i="5" s="1"/>
  <c r="S87" i="5"/>
  <c r="W46" i="3"/>
  <c r="W87" i="3" s="1"/>
  <c r="V50" i="3"/>
  <c r="V91" i="3" s="1"/>
  <c r="U44" i="3"/>
  <c r="U85" i="3" s="1"/>
  <c r="X36" i="3"/>
  <c r="X77" i="3" s="1"/>
  <c r="M36" i="3"/>
  <c r="E77" i="3" s="1"/>
  <c r="N36" i="3"/>
  <c r="F77" i="3" s="1"/>
  <c r="W49" i="3"/>
  <c r="W90" i="3" s="1"/>
  <c r="L47" i="3"/>
  <c r="D88" i="3" s="1"/>
  <c r="W45" i="3"/>
  <c r="W86" i="3" s="1"/>
  <c r="T38" i="3"/>
  <c r="T79" i="3" s="1"/>
  <c r="T43" i="3"/>
  <c r="T84" i="3" s="1"/>
  <c r="U45" i="3"/>
  <c r="U86" i="3" s="1"/>
  <c r="V37" i="3"/>
  <c r="V78" i="3" s="1"/>
  <c r="X40" i="3"/>
  <c r="X81" i="3" s="1"/>
  <c r="X45" i="3"/>
  <c r="X86" i="3" s="1"/>
  <c r="L46" i="3"/>
  <c r="V45" i="3"/>
  <c r="V86" i="3" s="1"/>
  <c r="T35" i="3"/>
  <c r="T76" i="3" s="1"/>
  <c r="T51" i="3"/>
  <c r="T92" i="3" s="1"/>
  <c r="M39" i="3"/>
  <c r="E80" i="3" s="1"/>
  <c r="T36" i="3"/>
  <c r="T77" i="3" s="1"/>
  <c r="U40" i="3"/>
  <c r="U81" i="3" s="1"/>
  <c r="T48" i="3"/>
  <c r="T89" i="3" s="1"/>
  <c r="X37" i="3"/>
  <c r="X78" i="3" s="1"/>
  <c r="L39" i="3"/>
  <c r="D80" i="3" s="1"/>
  <c r="T40" i="3"/>
  <c r="T81" i="3" s="1"/>
  <c r="W37" i="3"/>
  <c r="W78" i="3" s="1"/>
  <c r="N45" i="3"/>
  <c r="F86" i="3" s="1"/>
  <c r="U36" i="3"/>
  <c r="U77" i="3" s="1"/>
  <c r="T44" i="3"/>
  <c r="T85" i="3" s="1"/>
  <c r="U48" i="3"/>
  <c r="U89" i="3" s="1"/>
  <c r="X41" i="3"/>
  <c r="X82" i="3" s="1"/>
  <c r="O47" i="3"/>
  <c r="G88" i="3" s="1"/>
  <c r="U47" i="3"/>
  <c r="U88" i="3" s="1"/>
  <c r="N35" i="3"/>
  <c r="F76" i="3" s="1"/>
  <c r="X35" i="3"/>
  <c r="X76" i="3" s="1"/>
  <c r="W35" i="3"/>
  <c r="W76" i="3" s="1"/>
  <c r="M35" i="3"/>
  <c r="E76" i="3" s="1"/>
  <c r="V35" i="3"/>
  <c r="V76" i="3" s="1"/>
  <c r="L36" i="3"/>
  <c r="D77" i="3" s="1"/>
  <c r="W36" i="3"/>
  <c r="W77" i="3" s="1"/>
  <c r="V36" i="3"/>
  <c r="W38" i="3"/>
  <c r="W79" i="3" s="1"/>
  <c r="V41" i="3"/>
  <c r="V82" i="3" s="1"/>
  <c r="U41" i="3"/>
  <c r="U82" i="3" s="1"/>
  <c r="W42" i="3"/>
  <c r="W83" i="3" s="1"/>
  <c r="W50" i="3"/>
  <c r="W91" i="3" s="1"/>
  <c r="U49" i="3"/>
  <c r="U90" i="3" s="1"/>
  <c r="W41" i="3"/>
  <c r="W82" i="3" s="1"/>
  <c r="M49" i="3"/>
  <c r="E90" i="3" s="1"/>
  <c r="X49" i="3"/>
  <c r="X90" i="3" s="1"/>
  <c r="V46" i="3"/>
  <c r="V87" i="3" s="1"/>
  <c r="X46" i="3"/>
  <c r="X87" i="3" s="1"/>
  <c r="X43" i="3"/>
  <c r="X84" i="3" s="1"/>
  <c r="W43" i="3"/>
  <c r="W84" i="3" s="1"/>
  <c r="M43" i="3"/>
  <c r="E84" i="3" s="1"/>
  <c r="V43" i="3"/>
  <c r="V84" i="3" s="1"/>
  <c r="N51" i="3"/>
  <c r="F92" i="3" s="1"/>
  <c r="X51" i="3"/>
  <c r="X92" i="3" s="1"/>
  <c r="W51" i="3"/>
  <c r="W92" i="3" s="1"/>
  <c r="V51" i="3"/>
  <c r="V92" i="3" s="1"/>
  <c r="O41" i="3"/>
  <c r="G82" i="3" s="1"/>
  <c r="T41" i="3"/>
  <c r="T82" i="3" s="1"/>
  <c r="L44" i="3"/>
  <c r="D85" i="3" s="1"/>
  <c r="W85" i="3"/>
  <c r="M44" i="3"/>
  <c r="E85" i="3" s="1"/>
  <c r="V44" i="3"/>
  <c r="O50" i="3"/>
  <c r="G91" i="3" s="1"/>
  <c r="U50" i="3"/>
  <c r="U91" i="3" s="1"/>
  <c r="T50" i="3"/>
  <c r="T91" i="3" s="1"/>
  <c r="O37" i="3"/>
  <c r="G78" i="3" s="1"/>
  <c r="T37" i="3"/>
  <c r="T78" i="3" s="1"/>
  <c r="O39" i="3"/>
  <c r="G80" i="3" s="1"/>
  <c r="V49" i="3"/>
  <c r="V90" i="3" s="1"/>
  <c r="V38" i="3"/>
  <c r="V79" i="3" s="1"/>
  <c r="X38" i="3"/>
  <c r="X79" i="3" s="1"/>
  <c r="O49" i="3"/>
  <c r="G90" i="3" s="1"/>
  <c r="T49" i="3"/>
  <c r="T90" i="3" s="1"/>
  <c r="O42" i="3"/>
  <c r="G83" i="3" s="1"/>
  <c r="U42" i="3"/>
  <c r="U83" i="3" s="1"/>
  <c r="T42" i="3"/>
  <c r="T83" i="3" s="1"/>
  <c r="L51" i="3"/>
  <c r="D92" i="3" s="1"/>
  <c r="N39" i="3"/>
  <c r="F80" i="3" s="1"/>
  <c r="V39" i="3"/>
  <c r="X39" i="3"/>
  <c r="X80" i="3" s="1"/>
  <c r="W39" i="3"/>
  <c r="W80" i="3" s="1"/>
  <c r="N47" i="3"/>
  <c r="F88" i="3" s="1"/>
  <c r="V47" i="3"/>
  <c r="X47" i="3"/>
  <c r="X88" i="3" s="1"/>
  <c r="W47" i="3"/>
  <c r="W88" i="3" s="1"/>
  <c r="O45" i="3"/>
  <c r="G86" i="3" s="1"/>
  <c r="T45" i="3"/>
  <c r="T86" i="3" s="1"/>
  <c r="L43" i="3"/>
  <c r="U39" i="3"/>
  <c r="U80" i="3" s="1"/>
  <c r="V40" i="3"/>
  <c r="V81" i="3" s="1"/>
  <c r="W40" i="3"/>
  <c r="M40" i="3"/>
  <c r="E81" i="3" s="1"/>
  <c r="V48" i="3"/>
  <c r="V89" i="3" s="1"/>
  <c r="N48" i="3"/>
  <c r="F89" i="3" s="1"/>
  <c r="M48" i="3"/>
  <c r="E89" i="3" s="1"/>
  <c r="W48" i="3"/>
  <c r="O38" i="3"/>
  <c r="G79" i="3" s="1"/>
  <c r="U38" i="3"/>
  <c r="U79" i="3" s="1"/>
  <c r="O46" i="3"/>
  <c r="G87" i="3" s="1"/>
  <c r="U46" i="3"/>
  <c r="U87" i="3" s="1"/>
  <c r="T46" i="3"/>
  <c r="L35" i="3"/>
  <c r="D76" i="3" s="1"/>
  <c r="N44" i="3"/>
  <c r="F85" i="3" s="1"/>
  <c r="U37" i="3"/>
  <c r="U78" i="3" s="1"/>
  <c r="T47" i="3"/>
  <c r="T88" i="3" s="1"/>
  <c r="V42" i="3"/>
  <c r="V83" i="3" s="1"/>
  <c r="X44" i="3"/>
  <c r="X85" i="3" s="1"/>
  <c r="X48" i="3"/>
  <c r="X89" i="3" s="1"/>
  <c r="N50" i="3"/>
  <c r="F91" i="3" s="1"/>
  <c r="M46" i="3"/>
  <c r="E87" i="3" s="1"/>
  <c r="N37" i="3"/>
  <c r="F78" i="3" s="1"/>
  <c r="U35" i="3"/>
  <c r="U76" i="3" s="1"/>
  <c r="U43" i="3"/>
  <c r="U84" i="3" s="1"/>
  <c r="U51" i="3"/>
  <c r="U92" i="3" s="1"/>
  <c r="X42" i="3"/>
  <c r="X83" i="3" s="1"/>
  <c r="X50" i="3"/>
  <c r="X91" i="3" s="1"/>
  <c r="N46" i="3"/>
  <c r="F87" i="3" s="1"/>
  <c r="L38" i="3"/>
  <c r="D79" i="3" s="1"/>
  <c r="X14" i="1"/>
  <c r="O34" i="1"/>
  <c r="F53" i="1"/>
  <c r="J53" i="1" s="1"/>
  <c r="X12" i="1"/>
  <c r="X11" i="1"/>
  <c r="F52" i="1"/>
  <c r="U34" i="3"/>
  <c r="U75" i="3" s="1"/>
  <c r="V34" i="3"/>
  <c r="V75" i="3" s="1"/>
  <c r="T34" i="3"/>
  <c r="T75" i="3" s="1"/>
  <c r="X34" i="3"/>
  <c r="X75" i="3" s="1"/>
  <c r="W34" i="3"/>
  <c r="W75" i="3" s="1"/>
  <c r="L42" i="3"/>
  <c r="D83" i="3" s="1"/>
  <c r="L50" i="3"/>
  <c r="D91" i="3" s="1"/>
  <c r="M34" i="3"/>
  <c r="E75" i="3" s="1"/>
  <c r="L37" i="3"/>
  <c r="D78" i="3" s="1"/>
  <c r="M42" i="3"/>
  <c r="E83" i="3" s="1"/>
  <c r="L45" i="3"/>
  <c r="D86" i="3" s="1"/>
  <c r="M50" i="3"/>
  <c r="E91" i="3" s="1"/>
  <c r="N41" i="3"/>
  <c r="F82" i="3" s="1"/>
  <c r="N49" i="3"/>
  <c r="F90" i="3" s="1"/>
  <c r="L34" i="3"/>
  <c r="E88" i="3"/>
  <c r="N34" i="3"/>
  <c r="F75" i="3" s="1"/>
  <c r="M37" i="3"/>
  <c r="L40" i="3"/>
  <c r="D81" i="3" s="1"/>
  <c r="M45" i="3"/>
  <c r="E86" i="3" s="1"/>
  <c r="L48" i="3"/>
  <c r="D89" i="3" s="1"/>
  <c r="L41" i="3"/>
  <c r="D82" i="3" s="1"/>
  <c r="N43" i="3"/>
  <c r="F84" i="3" s="1"/>
  <c r="L49" i="3"/>
  <c r="D90" i="3" s="1"/>
  <c r="N38" i="3"/>
  <c r="F79" i="3" s="1"/>
  <c r="M41" i="3"/>
  <c r="F83" i="3"/>
  <c r="E92" i="3"/>
  <c r="F81" i="3"/>
  <c r="N35" i="1"/>
  <c r="S65" i="5" l="1"/>
  <c r="S64" i="5"/>
  <c r="I23" i="1"/>
  <c r="L23" i="1" s="1"/>
  <c r="I24" i="1"/>
  <c r="Q77" i="3"/>
  <c r="S36" i="3"/>
  <c r="K25" i="1"/>
  <c r="U25" i="1" s="1"/>
  <c r="I64" i="1" s="1"/>
  <c r="K24" i="1"/>
  <c r="U24" i="1" s="1"/>
  <c r="J27" i="1"/>
  <c r="J26" i="1"/>
  <c r="J23" i="1"/>
  <c r="R78" i="3"/>
  <c r="Q44" i="3"/>
  <c r="Q48" i="3"/>
  <c r="Q79" i="3"/>
  <c r="R86" i="3"/>
  <c r="P44" i="3"/>
  <c r="H85" i="3" s="1"/>
  <c r="Q36" i="3"/>
  <c r="R79" i="3"/>
  <c r="Q85" i="3"/>
  <c r="R87" i="3"/>
  <c r="Q45" i="3"/>
  <c r="S45" i="3"/>
  <c r="Q47" i="3"/>
  <c r="Q51" i="3"/>
  <c r="S40" i="3"/>
  <c r="Q37" i="3"/>
  <c r="S49" i="3"/>
  <c r="Q90" i="3"/>
  <c r="R38" i="3"/>
  <c r="S46" i="3"/>
  <c r="R41" i="3"/>
  <c r="R82" i="3"/>
  <c r="Q83" i="3"/>
  <c r="Q78" i="3"/>
  <c r="R43" i="3"/>
  <c r="R84" i="3"/>
  <c r="P49" i="3"/>
  <c r="H90" i="3" s="1"/>
  <c r="Q86" i="3"/>
  <c r="R50" i="3"/>
  <c r="R91" i="3"/>
  <c r="S44" i="3"/>
  <c r="Q38" i="3"/>
  <c r="R44" i="3"/>
  <c r="V85" i="3"/>
  <c r="R85" i="3" s="1"/>
  <c r="R51" i="3"/>
  <c r="R92" i="3"/>
  <c r="S41" i="3"/>
  <c r="Q82" i="3"/>
  <c r="Q92" i="3"/>
  <c r="Q39" i="3"/>
  <c r="S39" i="3"/>
  <c r="R76" i="3"/>
  <c r="Q40" i="3"/>
  <c r="V80" i="3"/>
  <c r="R80" i="3" s="1"/>
  <c r="R39" i="3"/>
  <c r="Q50" i="3"/>
  <c r="Q43" i="3"/>
  <c r="R45" i="3"/>
  <c r="S48" i="3"/>
  <c r="S43" i="3"/>
  <c r="S50" i="3"/>
  <c r="S38" i="3"/>
  <c r="R42" i="3"/>
  <c r="S83" i="3"/>
  <c r="S35" i="3"/>
  <c r="R48" i="3"/>
  <c r="W89" i="3"/>
  <c r="R89" i="3" s="1"/>
  <c r="Q49" i="3"/>
  <c r="R49" i="3"/>
  <c r="R90" i="3"/>
  <c r="R40" i="3"/>
  <c r="W81" i="3"/>
  <c r="R81" i="3" s="1"/>
  <c r="S51" i="3"/>
  <c r="S79" i="3"/>
  <c r="V88" i="3"/>
  <c r="R88" i="3" s="1"/>
  <c r="R47" i="3"/>
  <c r="R46" i="3"/>
  <c r="R36" i="3"/>
  <c r="V77" i="3"/>
  <c r="R77" i="3" s="1"/>
  <c r="Q35" i="3"/>
  <c r="R37" i="3"/>
  <c r="T87" i="3"/>
  <c r="Q87" i="3" s="1"/>
  <c r="Q46" i="3"/>
  <c r="Q42" i="3"/>
  <c r="S42" i="3"/>
  <c r="Q41" i="3"/>
  <c r="R35" i="3"/>
  <c r="S47" i="3"/>
  <c r="S37" i="3"/>
  <c r="S75" i="3"/>
  <c r="S34" i="3"/>
  <c r="P34" i="1"/>
  <c r="S34" i="1"/>
  <c r="Q34" i="1"/>
  <c r="R34" i="1"/>
  <c r="J52" i="1"/>
  <c r="G72" i="1" s="1"/>
  <c r="I72" i="1" s="1"/>
  <c r="R75" i="3"/>
  <c r="Q34" i="3"/>
  <c r="R34" i="3"/>
  <c r="P48" i="3"/>
  <c r="H89" i="3" s="1"/>
  <c r="P41" i="3"/>
  <c r="H82" i="3" s="1"/>
  <c r="E82" i="3"/>
  <c r="P34" i="3"/>
  <c r="H75" i="3" s="1"/>
  <c r="D75" i="3"/>
  <c r="P40" i="3"/>
  <c r="H81" i="3" s="1"/>
  <c r="P36" i="3"/>
  <c r="H77" i="3" s="1"/>
  <c r="P38" i="3"/>
  <c r="H79" i="3" s="1"/>
  <c r="E79" i="3"/>
  <c r="P46" i="3"/>
  <c r="H87" i="3" s="1"/>
  <c r="D87" i="3"/>
  <c r="P45" i="3"/>
  <c r="H86" i="3" s="1"/>
  <c r="P37" i="3"/>
  <c r="H78" i="3" s="1"/>
  <c r="E78" i="3"/>
  <c r="P50" i="3"/>
  <c r="H91" i="3" s="1"/>
  <c r="P35" i="3"/>
  <c r="H76" i="3" s="1"/>
  <c r="P43" i="3"/>
  <c r="H84" i="3" s="1"/>
  <c r="D84" i="3"/>
  <c r="P42" i="3"/>
  <c r="H83" i="3" s="1"/>
  <c r="P51" i="3"/>
  <c r="H92" i="3" s="1"/>
  <c r="P39" i="3"/>
  <c r="H80" i="3" s="1"/>
  <c r="P47" i="3"/>
  <c r="H88" i="3" s="1"/>
  <c r="N39" i="1"/>
  <c r="N38" i="1"/>
  <c r="N44" i="1"/>
  <c r="N43" i="1"/>
  <c r="N42" i="1"/>
  <c r="N41" i="1"/>
  <c r="N40" i="1"/>
  <c r="N37" i="1"/>
  <c r="N36" i="1"/>
  <c r="I66" i="1"/>
  <c r="I65" i="1"/>
  <c r="I62" i="1"/>
  <c r="I61" i="1"/>
  <c r="I60" i="1"/>
  <c r="I59" i="1"/>
  <c r="I58" i="1"/>
  <c r="I57" i="1"/>
  <c r="P64" i="5" l="1"/>
  <c r="T64" i="5" s="1"/>
  <c r="P66" i="5"/>
  <c r="W66" i="5" s="1"/>
  <c r="P65" i="5"/>
  <c r="W65" i="5" s="1"/>
  <c r="S78" i="3"/>
  <c r="O23" i="1"/>
  <c r="R23" i="1"/>
  <c r="L24" i="1"/>
  <c r="N24" i="1" s="1"/>
  <c r="O24" i="1"/>
  <c r="Q24" i="1" s="1"/>
  <c r="R24" i="1"/>
  <c r="T24" i="1" s="1"/>
  <c r="H73" i="1"/>
  <c r="K60" i="1" s="1"/>
  <c r="P23" i="1"/>
  <c r="S23" i="1"/>
  <c r="M23" i="1"/>
  <c r="N23" i="1" s="1"/>
  <c r="F62" i="1" s="1"/>
  <c r="S26" i="1"/>
  <c r="T26" i="1" s="1"/>
  <c r="M26" i="1"/>
  <c r="N26" i="1" s="1"/>
  <c r="P26" i="1"/>
  <c r="Q26" i="1" s="1"/>
  <c r="S27" i="1"/>
  <c r="T27" i="1" s="1"/>
  <c r="M27" i="1"/>
  <c r="N27" i="1" s="1"/>
  <c r="P27" i="1"/>
  <c r="Q27" i="1" s="1"/>
  <c r="O39" i="1"/>
  <c r="J69" i="3"/>
  <c r="S85" i="3"/>
  <c r="S87" i="3"/>
  <c r="R83" i="3"/>
  <c r="J68" i="3" s="1"/>
  <c r="S86" i="3"/>
  <c r="S92" i="3"/>
  <c r="J67" i="3"/>
  <c r="S76" i="3"/>
  <c r="Q76" i="3"/>
  <c r="S77" i="3"/>
  <c r="S84" i="3"/>
  <c r="Q84" i="3"/>
  <c r="S82" i="3"/>
  <c r="S90" i="3"/>
  <c r="S81" i="3"/>
  <c r="Q81" i="3"/>
  <c r="S89" i="3"/>
  <c r="Q89" i="3"/>
  <c r="S88" i="3"/>
  <c r="Q88" i="3"/>
  <c r="Q80" i="3"/>
  <c r="S80" i="3"/>
  <c r="S91" i="3"/>
  <c r="Q91" i="3"/>
  <c r="Q75" i="3"/>
  <c r="L72" i="1"/>
  <c r="J72" i="1"/>
  <c r="K72" i="1"/>
  <c r="G58" i="1"/>
  <c r="D68" i="3"/>
  <c r="D67" i="3"/>
  <c r="E67" i="3" s="1"/>
  <c r="D69" i="3"/>
  <c r="G60" i="1"/>
  <c r="H59" i="1"/>
  <c r="W18" i="1"/>
  <c r="H60" i="1"/>
  <c r="W21" i="1"/>
  <c r="H61" i="1"/>
  <c r="G61" i="1"/>
  <c r="H58" i="1"/>
  <c r="V21" i="1"/>
  <c r="H57" i="1"/>
  <c r="H64" i="1"/>
  <c r="W20" i="1"/>
  <c r="W19" i="1"/>
  <c r="G57" i="1"/>
  <c r="W17" i="1"/>
  <c r="I63" i="1"/>
  <c r="F59" i="1"/>
  <c r="Y65" i="5" l="1"/>
  <c r="Z65" i="5"/>
  <c r="V65" i="5"/>
  <c r="T65" i="5"/>
  <c r="U65" i="5"/>
  <c r="X65" i="5" s="1"/>
  <c r="V66" i="5"/>
  <c r="U66" i="5"/>
  <c r="X66" i="5" s="1"/>
  <c r="T66" i="5"/>
  <c r="Y66" i="5"/>
  <c r="Z66" i="5"/>
  <c r="W64" i="5"/>
  <c r="Z64" i="5" s="1"/>
  <c r="Y64" i="5"/>
  <c r="U64" i="5"/>
  <c r="X64" i="5" s="1"/>
  <c r="V64" i="5"/>
  <c r="Q23" i="1"/>
  <c r="G62" i="1" s="1"/>
  <c r="T23" i="1"/>
  <c r="K57" i="1"/>
  <c r="K58" i="1"/>
  <c r="H74" i="1"/>
  <c r="K61" i="1"/>
  <c r="K59" i="1"/>
  <c r="S39" i="1"/>
  <c r="R39" i="1"/>
  <c r="P39" i="1"/>
  <c r="Q39" i="1"/>
  <c r="I67" i="3"/>
  <c r="I69" i="3"/>
  <c r="K69" i="3"/>
  <c r="N74" i="1" s="1"/>
  <c r="K67" i="3"/>
  <c r="N72" i="1" s="1"/>
  <c r="O72" i="1" s="1"/>
  <c r="K68" i="3"/>
  <c r="N73" i="1" s="1"/>
  <c r="I68" i="3"/>
  <c r="V18" i="1"/>
  <c r="O35" i="1" s="1"/>
  <c r="W25" i="1"/>
  <c r="H68" i="3"/>
  <c r="G68" i="3"/>
  <c r="F68" i="3"/>
  <c r="E68" i="3"/>
  <c r="H67" i="3"/>
  <c r="G67" i="3"/>
  <c r="F67" i="3"/>
  <c r="G69" i="3"/>
  <c r="F69" i="3"/>
  <c r="E69" i="3"/>
  <c r="H69" i="3"/>
  <c r="V19" i="1"/>
  <c r="V26" i="1"/>
  <c r="N17" i="1"/>
  <c r="F57" i="1" s="1"/>
  <c r="W23" i="1"/>
  <c r="F58" i="1"/>
  <c r="J58" i="1" s="1"/>
  <c r="F61" i="1"/>
  <c r="J61" i="1" s="1"/>
  <c r="X20" i="1"/>
  <c r="F60" i="1"/>
  <c r="J60" i="1" s="1"/>
  <c r="V23" i="1"/>
  <c r="V20" i="1"/>
  <c r="G64" i="1"/>
  <c r="H63" i="1"/>
  <c r="F63" i="1"/>
  <c r="G65" i="1"/>
  <c r="H65" i="1"/>
  <c r="V25" i="1"/>
  <c r="W24" i="1"/>
  <c r="AB86" i="5" l="1"/>
  <c r="AB84" i="5"/>
  <c r="AB85" i="5"/>
  <c r="AB87" i="5"/>
  <c r="AB88" i="5"/>
  <c r="AB76" i="5"/>
  <c r="AB74" i="5"/>
  <c r="AB81" i="5"/>
  <c r="AB80" i="5"/>
  <c r="AB79" i="5"/>
  <c r="AB78" i="5"/>
  <c r="AB73" i="5"/>
  <c r="AB75" i="5"/>
  <c r="AB72" i="5"/>
  <c r="AB82" i="5"/>
  <c r="O42" i="1"/>
  <c r="R42" i="1" s="1"/>
  <c r="K66" i="1"/>
  <c r="K62" i="1"/>
  <c r="K64" i="1"/>
  <c r="K65" i="1"/>
  <c r="K63" i="1"/>
  <c r="P72" i="1"/>
  <c r="S72" i="1"/>
  <c r="Q72" i="1"/>
  <c r="X17" i="1"/>
  <c r="O36" i="1"/>
  <c r="J57" i="1"/>
  <c r="S35" i="1"/>
  <c r="P35" i="1"/>
  <c r="R35" i="1"/>
  <c r="Q35" i="1"/>
  <c r="W26" i="1"/>
  <c r="W27" i="1"/>
  <c r="F66" i="1"/>
  <c r="X18" i="1"/>
  <c r="X21" i="1"/>
  <c r="X24" i="1"/>
  <c r="G63" i="1"/>
  <c r="X23" i="1"/>
  <c r="H62" i="1"/>
  <c r="X25" i="1"/>
  <c r="F64" i="1"/>
  <c r="X19" i="1"/>
  <c r="G59" i="1"/>
  <c r="J59" i="1" s="1"/>
  <c r="V27" i="1"/>
  <c r="O44" i="1" s="1"/>
  <c r="G66" i="1"/>
  <c r="H66" i="1"/>
  <c r="V24" i="1"/>
  <c r="O41" i="1" s="1"/>
  <c r="AC66" i="5" l="1"/>
  <c r="AC64" i="5"/>
  <c r="AC65" i="5"/>
  <c r="P42" i="1"/>
  <c r="S42" i="1"/>
  <c r="Q42" i="1"/>
  <c r="O40" i="1"/>
  <c r="O43" i="1"/>
  <c r="R72" i="1"/>
  <c r="L55" i="1"/>
  <c r="L56" i="1"/>
  <c r="L52" i="1"/>
  <c r="L53" i="1"/>
  <c r="L54" i="1"/>
  <c r="O38" i="1"/>
  <c r="P38" i="1" s="1"/>
  <c r="S41" i="1"/>
  <c r="Q41" i="1"/>
  <c r="R41" i="1"/>
  <c r="P41" i="1"/>
  <c r="J62" i="1"/>
  <c r="J64" i="1"/>
  <c r="J63" i="1"/>
  <c r="G73" i="1"/>
  <c r="S44" i="1"/>
  <c r="R44" i="1"/>
  <c r="P44" i="1"/>
  <c r="Q44" i="1"/>
  <c r="S36" i="1"/>
  <c r="Q36" i="1"/>
  <c r="P36" i="1"/>
  <c r="R36" i="1"/>
  <c r="J66" i="1"/>
  <c r="X27" i="1"/>
  <c r="X26" i="1"/>
  <c r="F65" i="1"/>
  <c r="J65" i="1" s="1"/>
  <c r="P43" i="1" l="1"/>
  <c r="R43" i="1"/>
  <c r="S43" i="1"/>
  <c r="Q43" i="1"/>
  <c r="R40" i="1"/>
  <c r="S40" i="1"/>
  <c r="P40" i="1"/>
  <c r="Q40" i="1"/>
  <c r="Q38" i="1"/>
  <c r="S38" i="1"/>
  <c r="R38" i="1"/>
  <c r="J73" i="1"/>
  <c r="P73" i="1" s="1"/>
  <c r="L73" i="1"/>
  <c r="S73" i="1" s="1"/>
  <c r="K73" i="1"/>
  <c r="Q73" i="1" s="1"/>
  <c r="I73" i="1"/>
  <c r="O73" i="1" s="1"/>
  <c r="G74" i="1"/>
  <c r="I74" i="1" s="1"/>
  <c r="O74" i="1" s="1"/>
  <c r="L59" i="1" l="1"/>
  <c r="L57" i="1"/>
  <c r="L58" i="1"/>
  <c r="L60" i="1"/>
  <c r="L61" i="1"/>
  <c r="R73" i="1"/>
  <c r="L74" i="1"/>
  <c r="S74" i="1" s="1"/>
  <c r="K74" i="1"/>
  <c r="Q74" i="1" s="1"/>
  <c r="J74" i="1"/>
  <c r="P74" i="1" s="1"/>
  <c r="R74" i="1" l="1"/>
  <c r="L64" i="1"/>
  <c r="L65" i="1"/>
  <c r="L66" i="1"/>
  <c r="L62" i="1"/>
  <c r="L63" i="1"/>
</calcChain>
</file>

<file path=xl/sharedStrings.xml><?xml version="1.0" encoding="utf-8"?>
<sst xmlns="http://schemas.openxmlformats.org/spreadsheetml/2006/main" count="2307" uniqueCount="341">
  <si>
    <t>(cfm)</t>
  </si>
  <si>
    <t>Flows</t>
  </si>
  <si>
    <t>Systems</t>
  </si>
  <si>
    <t>ExhFlow</t>
  </si>
  <si>
    <t>PriZnToSysAirFlowRatio</t>
  </si>
  <si>
    <t>VentZnToSysAirFlowRatio</t>
  </si>
  <si>
    <t>ExhZnToSysAirFlowRatio</t>
  </si>
  <si>
    <t>Core_top Thermal Zone</t>
  </si>
  <si>
    <t>Perimeter_top_ZN_1 Thermal Zone</t>
  </si>
  <si>
    <t>Perimeter_top_ZN_2 Thermal Zone</t>
  </si>
  <si>
    <t>Perimeter_top_ZN_3 Thermal Zone</t>
  </si>
  <si>
    <t>Perimeter_top_ZN_4 Thermal Zone</t>
  </si>
  <si>
    <t>Core_TopZn_PTAC</t>
  </si>
  <si>
    <t>Perim_TopZn1_PTAC</t>
  </si>
  <si>
    <t>Perim_TopZn2_PTAC</t>
  </si>
  <si>
    <t>Perim_TopZn3_PTAC</t>
  </si>
  <si>
    <t>Perim_TopZn4_PTAC</t>
  </si>
  <si>
    <t>TopFlrDOAS</t>
  </si>
  <si>
    <t>Top SW Zones ExhSys</t>
  </si>
  <si>
    <t>Core_mid Thermal Zone</t>
  </si>
  <si>
    <t>Perimeter_mid_ZN_1 Thermal Zone</t>
  </si>
  <si>
    <t>Perimeter_mid_ZN_2 Thermal Zone</t>
  </si>
  <si>
    <t>Perimeter_mid_ZN_3 Thermal Zone</t>
  </si>
  <si>
    <t>Perimeter_mid_ZN_4 Thermal Zone</t>
  </si>
  <si>
    <t>Mid VAV-SW Zones</t>
  </si>
  <si>
    <t>Mid SE Zones ExhSys</t>
  </si>
  <si>
    <t>SupFanCap</t>
  </si>
  <si>
    <t>RetFanCap</t>
  </si>
  <si>
    <t>ReliefFanCap</t>
  </si>
  <si>
    <t>PriAirCondgSysDsgnFlow</t>
  </si>
  <si>
    <t>VentSysDsgnFlow</t>
  </si>
  <si>
    <t>DsgnExhFlow</t>
  </si>
  <si>
    <t>Ratios</t>
  </si>
  <si>
    <t>Zone Fan Pwrs</t>
  </si>
  <si>
    <t>SupFanPwr</t>
  </si>
  <si>
    <t>RetFanPwr</t>
  </si>
  <si>
    <t>ReliefFanPwr</t>
  </si>
  <si>
    <t>ExhFanPwr</t>
  </si>
  <si>
    <t>(frac.)</t>
  </si>
  <si>
    <t>(kW)</t>
  </si>
  <si>
    <t>PriAirCondgSysRef</t>
  </si>
  <si>
    <t>VentSysRef</t>
  </si>
  <si>
    <t>ExhSysRef</t>
  </si>
  <si>
    <t>Thermal Zone</t>
  </si>
  <si>
    <t>PROPOSED</t>
  </si>
  <si>
    <t>BASELINE</t>
  </si>
  <si>
    <t>TotPropFanPwr</t>
  </si>
  <si>
    <t>RetFanPwrRatio</t>
  </si>
  <si>
    <t>ReliefFanPwrRatio</t>
  </si>
  <si>
    <t>ExhFanPwrRatio</t>
  </si>
  <si>
    <t>SupFanPwrRatio</t>
  </si>
  <si>
    <t>PriSysPropSupFanPwr</t>
  </si>
  <si>
    <t>VentSysPropSupFanPwr</t>
  </si>
  <si>
    <t>TotPropSupFanPwr</t>
  </si>
  <si>
    <t>PriSysPropRetFanPwr</t>
  </si>
  <si>
    <t>VentSysPropRetFanPwr</t>
  </si>
  <si>
    <t>TotPropRetFanPwr</t>
  </si>
  <si>
    <t>PriSysPropReliefFanPwr</t>
  </si>
  <si>
    <t>VentSysPropReliefFanPwr</t>
  </si>
  <si>
    <t>TotPropReliefFanPwr</t>
  </si>
  <si>
    <t>PropExhFanPwr</t>
  </si>
  <si>
    <t>TotPriSysPropFanPwr</t>
  </si>
  <si>
    <t>TotVentSysPropFanPwr</t>
  </si>
  <si>
    <t>TotSysFanPwr</t>
  </si>
  <si>
    <t>TotPropSysFanPwr</t>
  </si>
  <si>
    <t>System Name</t>
  </si>
  <si>
    <t>BottomVAV</t>
  </si>
  <si>
    <t>PVAV</t>
  </si>
  <si>
    <t>Mid VAV NE_Core Zones</t>
  </si>
  <si>
    <t>Exhaust</t>
  </si>
  <si>
    <t>SZAC</t>
  </si>
  <si>
    <t>PTAC</t>
  </si>
  <si>
    <t>Core_bottom Thermal Zone</t>
  </si>
  <si>
    <t>Perimeter_bot_ZN_1 Thermal Zone</t>
  </si>
  <si>
    <t>Perimeter_bot_ZN_2 Thermal Zone</t>
  </si>
  <si>
    <t>Perimeter_bot_ZN_3 Thermal Zone</t>
  </si>
  <si>
    <t>Perimeter_bot_ZN_4 Thermal Zone</t>
  </si>
  <si>
    <t>FirstFloor_Plenum Thermal Zone</t>
  </si>
  <si>
    <t>MidFloor_Plenum Thermal Zone</t>
  </si>
  <si>
    <t>TopFloor_Plenum Thermal Zone</t>
  </si>
  <si>
    <t>NONE</t>
  </si>
  <si>
    <t>ExhFanCap</t>
  </si>
  <si>
    <t xml:space="preserve">ExhFiltersPDAdj          </t>
  </si>
  <si>
    <t xml:space="preserve">MERVGTE16PDAdj           </t>
  </si>
  <si>
    <t xml:space="preserve">GasPhaseAirCleanersPDAdj </t>
  </si>
  <si>
    <t xml:space="preserve">ExhFiltersDevFlow          </t>
  </si>
  <si>
    <t xml:space="preserve">MERVGTE16DevFlow           </t>
  </si>
  <si>
    <t xml:space="preserve">GasPhaseAirCleanersDevFlow </t>
  </si>
  <si>
    <t>Type</t>
  </si>
  <si>
    <t xml:space="preserve">ExhFiltersFanPwrAdj          </t>
  </si>
  <si>
    <t xml:space="preserve">MERVGTE16FanPwrAdj           </t>
  </si>
  <si>
    <t xml:space="preserve">GasPhaseAirCleanersFanPwrAdj </t>
  </si>
  <si>
    <t>(bhp)</t>
  </si>
  <si>
    <t>TotFanPwrAdj</t>
  </si>
  <si>
    <t>(frac)</t>
  </si>
  <si>
    <t>TotExhSysFanPwrAdj</t>
  </si>
  <si>
    <t>TotNonExhSysFanPwrAdj</t>
  </si>
  <si>
    <t>TotSysFanPwrAdj</t>
  </si>
  <si>
    <t>(BHP)</t>
  </si>
  <si>
    <t>TotExhFanPwrAdj</t>
  </si>
  <si>
    <t>TotNonExhFanPwrAdj</t>
  </si>
  <si>
    <t>ZnToSysExhFanPwrRatio</t>
  </si>
  <si>
    <t>BaseToPropDsgnFlowRat</t>
  </si>
  <si>
    <t>PriZnToSysFlowRat</t>
  </si>
  <si>
    <t>VentZnToSysFlowRat</t>
  </si>
  <si>
    <t>BaseFanBHPAllowance</t>
  </si>
  <si>
    <t>BaseFanBHPWithPressDropCredit</t>
  </si>
  <si>
    <t>MtrBHP</t>
  </si>
  <si>
    <t>Supply Fan</t>
  </si>
  <si>
    <t>Return Fan</t>
  </si>
  <si>
    <t>Relief Fan</t>
  </si>
  <si>
    <t>Exhaust Fan</t>
  </si>
  <si>
    <t>ExhFanMtrBHP</t>
  </si>
  <si>
    <t>Ret+Rel Fan</t>
  </si>
  <si>
    <t>Zone Fan Powers</t>
  </si>
  <si>
    <t>Input Values</t>
  </si>
  <si>
    <t>Intermediate Values</t>
  </si>
  <si>
    <t>Check Values</t>
  </si>
  <si>
    <t>Key:</t>
  </si>
  <si>
    <t>AirSystems</t>
  </si>
  <si>
    <t>Fan Capacity</t>
  </si>
  <si>
    <t>Fan Pwr (Design)</t>
  </si>
  <si>
    <t>Fan Pwr Ratio</t>
  </si>
  <si>
    <t>Fan Pwr Adj</t>
  </si>
  <si>
    <t>Supply Fan Capacity</t>
  </si>
  <si>
    <t>Return Fan Capacity</t>
  </si>
  <si>
    <t>Relief Fan Capacity</t>
  </si>
  <si>
    <t>Exhaust Fan Capacity</t>
  </si>
  <si>
    <t>Supply Fan Pwr</t>
  </si>
  <si>
    <t>Return Fan Pwr</t>
  </si>
  <si>
    <t>Relief Fan Pwr</t>
  </si>
  <si>
    <t>Exhaust Fan Pwr</t>
  </si>
  <si>
    <t>Total System Fan Pwr</t>
  </si>
  <si>
    <t>Supply Fan Pwr Ratio</t>
  </si>
  <si>
    <t>Return Fan Pwr Ratio</t>
  </si>
  <si>
    <t>Relief Fan Pwr Ratio</t>
  </si>
  <si>
    <t>Exhaust Fan Pwr Ratio</t>
  </si>
  <si>
    <t>Total Exhaust Fan Pwr Adj</t>
  </si>
  <si>
    <t>Total NonExhaust Fan Pwr Adj</t>
  </si>
  <si>
    <t>Total System Fan Pwr Adj</t>
  </si>
  <si>
    <t>DOASCV</t>
  </si>
  <si>
    <t>ZoneSystems</t>
  </si>
  <si>
    <t>Name</t>
  </si>
  <si>
    <t>Total Fan Pwr</t>
  </si>
  <si>
    <t>Total Fan Pwr Adj</t>
  </si>
  <si>
    <t>Fan Flow Ratio</t>
  </si>
  <si>
    <t>Fan Pwr</t>
  </si>
  <si>
    <t>Pri. HVAC Sys.</t>
  </si>
  <si>
    <t>Vent. Sys.</t>
  </si>
  <si>
    <t>Exhaust Sys.</t>
  </si>
  <si>
    <t>Floor Area</t>
  </si>
  <si>
    <t>Multiplier</t>
  </si>
  <si>
    <t>Pri. System Flow</t>
  </si>
  <si>
    <t>Ventilation System Flow</t>
  </si>
  <si>
    <t>Exhaust Flow</t>
  </si>
  <si>
    <t>Zn. Pri. Air Flow to Sys. Air Flow Ratio</t>
  </si>
  <si>
    <t>Zn. Vent. to Sys. Air Flow Ratio</t>
  </si>
  <si>
    <t>Zn. Exhaust to Sys. Air Flow Ratio</t>
  </si>
  <si>
    <t>Prop. Supply Fan Pwr.</t>
  </si>
  <si>
    <t>Prop. Return Fan Pwr.</t>
  </si>
  <si>
    <t>Prop. Relief Fan Pwr.</t>
  </si>
  <si>
    <t>Prop. Exhaust Fan Pwr.</t>
  </si>
  <si>
    <t>Total Prop. Fan Pwr</t>
  </si>
  <si>
    <t>Total Exhaust Fan Pwr. Adj</t>
  </si>
  <si>
    <t>Total NonExhaust Fan Pwr. Adj</t>
  </si>
  <si>
    <t>Total Fan Pwr. Adj</t>
  </si>
  <si>
    <t>(ft2)</t>
  </si>
  <si>
    <t>Tolerrance:</t>
  </si>
  <si>
    <t>Error</t>
  </si>
  <si>
    <t>Paste ap - FanPowerAdjustment -&gt;</t>
  </si>
  <si>
    <t>Paste ab - FanPowerAdjustment -&gt;</t>
  </si>
  <si>
    <t>BaseAirSys5</t>
  </si>
  <si>
    <t>BaseAirSys5-2</t>
  </si>
  <si>
    <t>BaseAirSys5-3</t>
  </si>
  <si>
    <t>Air Systems</t>
  </si>
  <si>
    <t>Zone Systems</t>
  </si>
  <si>
    <t>ExhFiltersPDAdj</t>
  </si>
  <si>
    <t>BiosftyCabPDAdj</t>
  </si>
  <si>
    <t xml:space="preserve">BiosftyCabDevFlow          </t>
  </si>
  <si>
    <t xml:space="preserve">BiosftyCabFanPwrAdj          </t>
  </si>
  <si>
    <t xml:space="preserve">FullyDuctedRetPDAdj         </t>
  </si>
  <si>
    <t xml:space="preserve">FullyDuctedRetDevFlow         </t>
  </si>
  <si>
    <t xml:space="preserve">FullyDuctedRetFanPwrAdj         </t>
  </si>
  <si>
    <t>Exhaust Filter Pressure Drop Adj</t>
  </si>
  <si>
    <t>Biosafety Cabinet Pressure Drop Adj</t>
  </si>
  <si>
    <t>Fully Ducted Return Pressure Drop Adj</t>
  </si>
  <si>
    <t>MERV16 Filter Pressure Drop Adj</t>
  </si>
  <si>
    <t>Air Cleaner Pressure Drop Adj</t>
  </si>
  <si>
    <t>Exhaust Filter Designed Flow</t>
  </si>
  <si>
    <t>Biosafety Designed Flow</t>
  </si>
  <si>
    <t>Fully Ducted Return Designed Flow</t>
  </si>
  <si>
    <t>MERV16 Filter Designed Flow</t>
  </si>
  <si>
    <t>Air Cleaner Designed Flow</t>
  </si>
  <si>
    <t>(in. w.c.)</t>
  </si>
  <si>
    <t>Exhaust Filter Fan Pwr Adj</t>
  </si>
  <si>
    <t>Biosafety Cabinet Fan Pwr Adj</t>
  </si>
  <si>
    <t>Fully Ducted Return Fan Pwr Adj</t>
  </si>
  <si>
    <t>MERV16 Fan Pwr Adj</t>
  </si>
  <si>
    <t>Air Cleaner Fan Pwr Adj</t>
  </si>
  <si>
    <t>Exhaust Fan Motor BHP</t>
  </si>
  <si>
    <t>FullyDuctedExhDevFlow</t>
  </si>
  <si>
    <t>FullyDuctedExhPwrAdj</t>
  </si>
  <si>
    <t>Fully Ducted Exhaust Pressure Drop Adj</t>
  </si>
  <si>
    <t>Fully Ducted Exhaust Pwr Adj</t>
  </si>
  <si>
    <t>Fully Ducted Exhaust Design Flow</t>
  </si>
  <si>
    <t>Exhaust Filter Design Flow</t>
  </si>
  <si>
    <t>Biosafety Design Flow</t>
  </si>
  <si>
    <t>Fully Ducted Return Design Flow</t>
  </si>
  <si>
    <t>MERV16 Filter Design Flow</t>
  </si>
  <si>
    <t>Air Cleaner Design Flow</t>
  </si>
  <si>
    <t>Restroom ExhSys</t>
  </si>
  <si>
    <t>CopyRoom ExhSys</t>
  </si>
  <si>
    <t>ZnToSysPropExhFanPwrRat</t>
  </si>
  <si>
    <t>BaseToPropDsgnSupFlowRat</t>
  </si>
  <si>
    <t>Exhaust Fan Check</t>
  </si>
  <si>
    <t>Supply fan Check</t>
  </si>
  <si>
    <t>ZnToSysPropExhFanFlowRat</t>
  </si>
  <si>
    <t>W/cfm</t>
  </si>
  <si>
    <t>Proposed</t>
  </si>
  <si>
    <t>Standard</t>
  </si>
  <si>
    <t>BHPAllow</t>
  </si>
  <si>
    <t>BHPAdj</t>
  </si>
  <si>
    <t>hp</t>
  </si>
  <si>
    <t>BHPAllow+Adj</t>
  </si>
  <si>
    <t>ExhFanMtrEff</t>
  </si>
  <si>
    <t>cfm</t>
  </si>
  <si>
    <t>ExhTotEff</t>
  </si>
  <si>
    <t>ExhTotStaticPress</t>
  </si>
  <si>
    <t>inH2O</t>
  </si>
  <si>
    <t>ExhFanPwrIdx</t>
  </si>
  <si>
    <t>bhp/1000cfm</t>
  </si>
  <si>
    <t>BHP</t>
  </si>
  <si>
    <t>MtrEff</t>
  </si>
  <si>
    <t>TotEff</t>
  </si>
  <si>
    <t>TotStaticPress</t>
  </si>
  <si>
    <t>FanPwrIdx</t>
  </si>
  <si>
    <t>Supply</t>
  </si>
  <si>
    <t>Lab, BldgExhFlow &gt; 10,000cfm, no exh filters</t>
  </si>
  <si>
    <t>Lab, BldgExhFlow &lt; 10,000cfm, no exh filters</t>
  </si>
  <si>
    <t>Mult</t>
  </si>
  <si>
    <t>;</t>
  </si>
  <si>
    <t>TABLE T24N_2022FanPwrIdxAdj</t>
  </si>
  <si>
    <t>Exhaust systems required by code to be fully ducted</t>
  </si>
  <si>
    <t>Return systems required by code to be fully ducted</t>
  </si>
  <si>
    <t>Exhaust filters, scrubbers, or other exhaust treatment (calculation required, see note)</t>
  </si>
  <si>
    <t>Particulate filtration credit: MERV 16 or greater and electronically enhanced filters</t>
  </si>
  <si>
    <t>Carbon and other gas-phase air cleaners (calculation required, see note)</t>
  </si>
  <si>
    <t>Biosafety cabinet (calculation required, see note)</t>
  </si>
  <si>
    <t>Energy Recovery (Enthalpy Recovery Ratio ≥ 0.60 and &lt;0.65)  </t>
  </si>
  <si>
    <t>Single Zone VAV Systems that are capable of turning down to 50% of full load airflow at a maximum of 30% design wattage</t>
  </si>
  <si>
    <t>SysType</t>
  </si>
  <si>
    <t>FlowCap</t>
  </si>
  <si>
    <t>FullyDuctedExh</t>
  </si>
  <si>
    <t>FullyDuctedRet</t>
  </si>
  <si>
    <t>ExhFilters</t>
  </si>
  <si>
    <t>MERVGTE16</t>
  </si>
  <si>
    <t>GasPhaseAirCleaners</t>
  </si>
  <si>
    <t>BiosftyCabExh</t>
  </si>
  <si>
    <t>ERV</t>
  </si>
  <si>
    <t>SZVAV</t>
  </si>
  <si>
    <t>MultiZoneVAV</t>
  </si>
  <si>
    <t>&lt;=5000</t>
  </si>
  <si>
    <t>&lt;=10000</t>
  </si>
  <si>
    <t>&gt;10000</t>
  </si>
  <si>
    <t>AllOther</t>
  </si>
  <si>
    <t>ENDTABLE</t>
  </si>
  <si>
    <t>TABLE T24N_2022BaseFanPwrIdx</t>
  </si>
  <si>
    <t>1 – SZAC (with furnace)</t>
  </si>
  <si>
    <t>3 – PSZ-HP (no furnace)</t>
  </si>
  <si>
    <t>3 – PSZ-AC (with furnace)</t>
  </si>
  <si>
    <t>5 – PVAV with reheat</t>
  </si>
  <si>
    <t>6 – VAV with reheat</t>
  </si>
  <si>
    <t>7 – SZ VAV (no furnace)</t>
  </si>
  <si>
    <t>7 – SZ VAV (with furnace)</t>
  </si>
  <si>
    <t>9 – Heating and Ventilation</t>
  </si>
  <si>
    <t>Sys1</t>
  </si>
  <si>
    <t>Sys4</t>
  </si>
  <si>
    <t>Sys3</t>
  </si>
  <si>
    <t>Sys5</t>
  </si>
  <si>
    <t>Sys6</t>
  </si>
  <si>
    <t>Sys7h</t>
  </si>
  <si>
    <t>Sys7a</t>
  </si>
  <si>
    <t>Sys9</t>
  </si>
  <si>
    <t>IsMultiZnVAV</t>
  </si>
  <si>
    <t>BiosftyCab</t>
  </si>
  <si>
    <t>DevFlow</t>
  </si>
  <si>
    <t>PDAdj</t>
  </si>
  <si>
    <t>PwrIdxAdj</t>
  </si>
  <si>
    <t>(W/cfm)</t>
  </si>
  <si>
    <t>MftEff</t>
  </si>
  <si>
    <t>String</t>
  </si>
  <si>
    <t>Float</t>
  </si>
  <si>
    <t>%.1f</t>
  </si>
  <si>
    <t>%.3f</t>
  </si>
  <si>
    <t>SupFanPwrRat</t>
  </si>
  <si>
    <t>RetFanPwrRat</t>
  </si>
  <si>
    <t>ReliefFanPwrRat</t>
  </si>
  <si>
    <t>ExhFanPwrRat</t>
  </si>
  <si>
    <t>%.0f</t>
  </si>
  <si>
    <t>FullyDuctedExhPDAdj</t>
  </si>
  <si>
    <t>BiosftyCabExhPDAdj</t>
  </si>
  <si>
    <t>FullyDuctedRetPDAdj</t>
  </si>
  <si>
    <t>MERVGTE16PDAdj</t>
  </si>
  <si>
    <t>GasPhaseAirCleanersPDAdj</t>
  </si>
  <si>
    <t>ExhFiltersDevFlow</t>
  </si>
  <si>
    <t>BiosftyCabExhDevFlow</t>
  </si>
  <si>
    <t>FullyDuctedRetDevFlow</t>
  </si>
  <si>
    <t>MERVGTE16DevFlow</t>
  </si>
  <si>
    <t>GasPhaseAirCleanersDevFlow</t>
  </si>
  <si>
    <t>%c%s%c</t>
  </si>
  <si>
    <t>%g</t>
  </si>
  <si>
    <t xml:space="preserve"> PriAirCondgSysRef</t>
  </si>
  <si>
    <t xml:space="preserve"> VentSysRef</t>
  </si>
  <si>
    <t xml:space="preserve"> ExhSysRef</t>
  </si>
  <si>
    <t xml:space="preserve"> FlrArea</t>
  </si>
  <si>
    <t xml:space="preserve"> Mult</t>
  </si>
  <si>
    <t xml:space="preserve"> PriAirCondgSysDsgnFlow</t>
  </si>
  <si>
    <t xml:space="preserve"> VentSysDsgnFlow</t>
  </si>
  <si>
    <t xml:space="preserve"> ExhFlow </t>
  </si>
  <si>
    <t>ExhZnToSysFlowRat</t>
  </si>
  <si>
    <t>ExhFiltersPwrAdj</t>
  </si>
  <si>
    <t>BiosftyCabExhPwrAdj</t>
  </si>
  <si>
    <t>FullyDuctedRetPwrAdj</t>
  </si>
  <si>
    <t>MERVGTE16PwrAdj</t>
  </si>
  <si>
    <t>GasPhaseAirCleanersPwrAdj</t>
  </si>
  <si>
    <t>ExhFanMtrBH</t>
  </si>
  <si>
    <t>Pri HVAC Sys</t>
  </si>
  <si>
    <t>Vent Sys</t>
  </si>
  <si>
    <t>Exhaust Sys</t>
  </si>
  <si>
    <t>Zone Pri-Air-Flow-to-Sys Flow Ratio</t>
  </si>
  <si>
    <t>Zone Vent-to-Sys-Air Flow Ratio</t>
  </si>
  <si>
    <t>Zone Exh-to-Sys Flow Ratio</t>
  </si>
  <si>
    <t>Prop Supply Fan Pwr</t>
  </si>
  <si>
    <t>Prop Return Fan Pwr</t>
  </si>
  <si>
    <t>Prop Relief Fan Pwr</t>
  </si>
  <si>
    <t>Prop Exhaust Fan Pwr</t>
  </si>
  <si>
    <t>Total Prop Fan Pwr</t>
  </si>
  <si>
    <t>(inH2O)</t>
  </si>
  <si>
    <t>BaseFanBHPWithPDCredits</t>
  </si>
  <si>
    <t>ExhFanMtrPwr</t>
  </si>
  <si>
    <t>New for 2022 -&gt;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</si>
</sst>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  <numFmt numFmtId="167" formatCode="_(* #,##0.0_);_(* \(#,##0.0\);_(* &quot;-&quot;??_);_(@_)"/>
    <numFmt numFmtId="168" formatCode="_(* #,##0.0000_);_(* \(#,##0.0000\);_(* &quot;-&quot;??_);_(@_)"/>
    <numFmt numFmtId="169" formatCode="0.0000"/>
  </numFmts>
  <fonts count="2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/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thin">
        <color indexed="64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  <xf numFmtId="43" fontId="5" fillId="0" borderId="0" applyFont="0" applyFill="0" applyBorder="0" applyAlignment="0" applyProtection="0"/>
    <xf numFmtId="0" fontId="6" fillId="8" borderId="33" applyNumberFormat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</cellStyleXfs>
  <cellXfs count="318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1" fillId="2" borderId="18" xfId="1" applyBorder="1"/>
    <xf numFmtId="0" fontId="1" fillId="2" borderId="20" xfId="1" applyBorder="1"/>
    <xf numFmtId="164" fontId="0" fillId="0" borderId="7" xfId="0" applyNumberFormat="1" applyBorder="1"/>
    <xf numFmtId="0" fontId="2" fillId="0" borderId="0" xfId="0" applyFont="1"/>
    <xf numFmtId="0" fontId="1" fillId="2" borderId="1" xfId="1" applyBorder="1"/>
    <xf numFmtId="0" fontId="0" fillId="0" borderId="11" xfId="0" applyFill="1" applyBorder="1"/>
    <xf numFmtId="0" fontId="1" fillId="2" borderId="21" xfId="1" applyBorder="1"/>
    <xf numFmtId="0" fontId="1" fillId="2" borderId="22" xfId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1" fillId="2" borderId="26" xfId="1" applyBorder="1"/>
    <xf numFmtId="0" fontId="2" fillId="0" borderId="2" xfId="0" applyFont="1" applyBorder="1" applyAlignment="1"/>
    <xf numFmtId="0" fontId="2" fillId="0" borderId="3" xfId="0" applyFont="1" applyBorder="1" applyAlignment="1"/>
    <xf numFmtId="164" fontId="0" fillId="0" borderId="0" xfId="0" applyNumberFormat="1" applyFill="1" applyBorder="1"/>
    <xf numFmtId="164" fontId="0" fillId="0" borderId="8" xfId="0" applyNumberFormat="1" applyFill="1" applyBorder="1"/>
    <xf numFmtId="164" fontId="0" fillId="0" borderId="6" xfId="0" applyNumberFormat="1" applyFill="1" applyBorder="1"/>
    <xf numFmtId="164" fontId="0" fillId="0" borderId="9" xfId="0" applyNumberFormat="1" applyFill="1" applyBorder="1"/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4" fontId="3" fillId="3" borderId="1" xfId="2" applyNumberFormat="1"/>
    <xf numFmtId="164" fontId="3" fillId="3" borderId="27" xfId="2" applyNumberFormat="1" applyBorder="1"/>
    <xf numFmtId="164" fontId="0" fillId="0" borderId="0" xfId="0" applyNumberFormat="1"/>
    <xf numFmtId="0" fontId="0" fillId="0" borderId="11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13" xfId="0" applyBorder="1" applyAlignment="1">
      <alignment textRotation="90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Fill="1" applyBorder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7" borderId="0" xfId="0" applyFont="1" applyFill="1"/>
    <xf numFmtId="0" fontId="0" fillId="7" borderId="0" xfId="0" applyFill="1"/>
    <xf numFmtId="0" fontId="0" fillId="0" borderId="17" xfId="0" applyFill="1" applyBorder="1"/>
    <xf numFmtId="0" fontId="0" fillId="0" borderId="12" xfId="0" applyFill="1" applyBorder="1"/>
    <xf numFmtId="0" fontId="0" fillId="6" borderId="2" xfId="0" applyFill="1" applyBorder="1" applyAlignment="1">
      <alignment horizontal="center" textRotation="90"/>
    </xf>
    <xf numFmtId="0" fontId="0" fillId="6" borderId="3" xfId="0" applyFill="1" applyBorder="1" applyAlignment="1">
      <alignment horizontal="center" textRotation="90"/>
    </xf>
    <xf numFmtId="0" fontId="0" fillId="5" borderId="3" xfId="0" applyFill="1" applyBorder="1" applyAlignment="1">
      <alignment horizontal="center" textRotation="90"/>
    </xf>
    <xf numFmtId="0" fontId="0" fillId="0" borderId="16" xfId="0" applyFill="1" applyBorder="1" applyAlignment="1">
      <alignment horizontal="center" textRotation="90"/>
    </xf>
    <xf numFmtId="0" fontId="0" fillId="5" borderId="4" xfId="0" applyFill="1" applyBorder="1" applyAlignment="1">
      <alignment horizontal="center" textRotation="90"/>
    </xf>
    <xf numFmtId="0" fontId="0" fillId="0" borderId="16" xfId="0" applyBorder="1" applyAlignment="1">
      <alignment wrapText="1"/>
    </xf>
    <xf numFmtId="0" fontId="1" fillId="2" borderId="28" xfId="1" applyBorder="1"/>
    <xf numFmtId="0" fontId="1" fillId="2" borderId="29" xfId="1" applyBorder="1"/>
    <xf numFmtId="0" fontId="0" fillId="0" borderId="16" xfId="0" applyFill="1" applyBorder="1" applyAlignment="1">
      <alignment wrapText="1"/>
    </xf>
    <xf numFmtId="0" fontId="1" fillId="2" borderId="30" xfId="1" applyBorder="1"/>
    <xf numFmtId="0" fontId="0" fillId="4" borderId="3" xfId="0" applyFill="1" applyBorder="1" applyAlignment="1">
      <alignment horizontal="center" textRotation="90"/>
    </xf>
    <xf numFmtId="0" fontId="0" fillId="7" borderId="3" xfId="0" applyFill="1" applyBorder="1" applyAlignment="1">
      <alignment horizontal="center" textRotation="90"/>
    </xf>
    <xf numFmtId="0" fontId="0" fillId="0" borderId="0" xfId="0" applyFill="1" applyBorder="1"/>
    <xf numFmtId="0" fontId="0" fillId="0" borderId="32" xfId="0" applyBorder="1"/>
    <xf numFmtId="165" fontId="1" fillId="2" borderId="31" xfId="3" applyNumberFormat="1" applyFont="1" applyFill="1" applyBorder="1"/>
    <xf numFmtId="165" fontId="1" fillId="2" borderId="14" xfId="3" applyNumberFormat="1" applyFont="1" applyFill="1" applyBorder="1"/>
    <xf numFmtId="165" fontId="1" fillId="2" borderId="19" xfId="3" applyNumberFormat="1" applyFont="1" applyFill="1" applyBorder="1"/>
    <xf numFmtId="165" fontId="1" fillId="2" borderId="25" xfId="3" applyNumberFormat="1" applyFont="1" applyFill="1" applyBorder="1"/>
    <xf numFmtId="165" fontId="1" fillId="2" borderId="26" xfId="3" applyNumberFormat="1" applyFont="1" applyFill="1" applyBorder="1"/>
    <xf numFmtId="165" fontId="1" fillId="2" borderId="18" xfId="3" applyNumberFormat="1" applyFont="1" applyFill="1" applyBorder="1"/>
    <xf numFmtId="165" fontId="1" fillId="2" borderId="1" xfId="3" applyNumberFormat="1" applyFont="1" applyFill="1" applyBorder="1"/>
    <xf numFmtId="165" fontId="1" fillId="2" borderId="20" xfId="3" applyNumberFormat="1" applyFont="1" applyFill="1" applyBorder="1"/>
    <xf numFmtId="165" fontId="0" fillId="0" borderId="0" xfId="3" applyNumberFormat="1" applyFont="1"/>
    <xf numFmtId="165" fontId="0" fillId="0" borderId="3" xfId="3" applyNumberFormat="1" applyFont="1" applyBorder="1"/>
    <xf numFmtId="165" fontId="0" fillId="0" borderId="0" xfId="3" applyNumberFormat="1" applyFont="1" applyBorder="1"/>
    <xf numFmtId="165" fontId="0" fillId="0" borderId="12" xfId="3" applyNumberFormat="1" applyFont="1" applyBorder="1"/>
    <xf numFmtId="166" fontId="1" fillId="2" borderId="1" xfId="3" applyNumberFormat="1" applyFont="1" applyFill="1" applyBorder="1"/>
    <xf numFmtId="166" fontId="1" fillId="2" borderId="20" xfId="3" applyNumberFormat="1" applyFont="1" applyFill="1" applyBorder="1"/>
    <xf numFmtId="0" fontId="1" fillId="2" borderId="27" xfId="1" applyBorder="1"/>
    <xf numFmtId="164" fontId="3" fillId="3" borderId="1" xfId="2" applyNumberFormat="1" applyAlignment="1">
      <alignment horizontal="right"/>
    </xf>
    <xf numFmtId="0" fontId="3" fillId="3" borderId="1" xfId="2" applyAlignment="1">
      <alignment horizontal="right"/>
    </xf>
    <xf numFmtId="164" fontId="3" fillId="3" borderId="22" xfId="2" applyNumberFormat="1" applyBorder="1" applyAlignment="1">
      <alignment horizontal="right"/>
    </xf>
    <xf numFmtId="164" fontId="3" fillId="3" borderId="1" xfId="2" applyNumberFormat="1" applyBorder="1"/>
    <xf numFmtId="164" fontId="3" fillId="3" borderId="20" xfId="2" applyNumberFormat="1" applyBorder="1"/>
    <xf numFmtId="164" fontId="3" fillId="3" borderId="22" xfId="2" applyNumberFormat="1" applyBorder="1"/>
    <xf numFmtId="164" fontId="3" fillId="3" borderId="23" xfId="2" applyNumberFormat="1" applyBorder="1"/>
    <xf numFmtId="164" fontId="6" fillId="9" borderId="39" xfId="4" applyNumberFormat="1" applyFill="1" applyBorder="1"/>
    <xf numFmtId="164" fontId="6" fillId="9" borderId="40" xfId="4" applyNumberFormat="1" applyFill="1" applyBorder="1"/>
    <xf numFmtId="164" fontId="6" fillId="9" borderId="34" xfId="4" applyNumberFormat="1" applyFill="1" applyBorder="1"/>
    <xf numFmtId="164" fontId="6" fillId="9" borderId="33" xfId="4" applyNumberFormat="1" applyFill="1" applyBorder="1"/>
    <xf numFmtId="164" fontId="6" fillId="9" borderId="35" xfId="4" applyNumberFormat="1" applyFill="1" applyBorder="1"/>
    <xf numFmtId="164" fontId="6" fillId="9" borderId="36" xfId="4" applyNumberFormat="1" applyFill="1" applyBorder="1"/>
    <xf numFmtId="164" fontId="6" fillId="9" borderId="37" xfId="4" applyNumberFormat="1" applyFill="1" applyBorder="1"/>
    <xf numFmtId="164" fontId="6" fillId="9" borderId="38" xfId="4" applyNumberFormat="1" applyFill="1" applyBorder="1"/>
    <xf numFmtId="0" fontId="2" fillId="0" borderId="15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7" xfId="0" applyFont="1" applyBorder="1"/>
    <xf numFmtId="164" fontId="6" fillId="9" borderId="41" xfId="4" applyNumberFormat="1" applyFill="1" applyBorder="1"/>
    <xf numFmtId="164" fontId="6" fillId="9" borderId="42" xfId="4" applyNumberFormat="1" applyFill="1" applyBorder="1"/>
    <xf numFmtId="164" fontId="6" fillId="9" borderId="43" xfId="4" applyNumberFormat="1" applyFill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Fill="1" applyBorder="1"/>
    <xf numFmtId="0" fontId="2" fillId="0" borderId="0" xfId="0" applyFont="1" applyFill="1" applyBorder="1"/>
    <xf numFmtId="0" fontId="2" fillId="0" borderId="6" xfId="0" applyFont="1" applyFill="1" applyBorder="1"/>
    <xf numFmtId="0" fontId="7" fillId="2" borderId="1" xfId="1" applyFont="1"/>
    <xf numFmtId="0" fontId="3" fillId="3" borderId="1" xfId="2" applyFont="1"/>
    <xf numFmtId="0" fontId="6" fillId="9" borderId="33" xfId="4" applyFont="1" applyFill="1"/>
    <xf numFmtId="0" fontId="0" fillId="0" borderId="2" xfId="0" applyFill="1" applyBorder="1" applyAlignment="1">
      <alignment wrapText="1"/>
    </xf>
    <xf numFmtId="1" fontId="1" fillId="2" borderId="18" xfId="1" applyNumberFormat="1" applyBorder="1"/>
    <xf numFmtId="1" fontId="1" fillId="2" borderId="1" xfId="1" applyNumberFormat="1" applyBorder="1"/>
    <xf numFmtId="1" fontId="1" fillId="2" borderId="20" xfId="1" applyNumberFormat="1" applyBorder="1"/>
    <xf numFmtId="1" fontId="1" fillId="2" borderId="1" xfId="1" applyNumberFormat="1"/>
    <xf numFmtId="164" fontId="1" fillId="2" borderId="18" xfId="1" applyNumberFormat="1" applyBorder="1"/>
    <xf numFmtId="164" fontId="1" fillId="2" borderId="1" xfId="1" applyNumberFormat="1" applyBorder="1"/>
    <xf numFmtId="166" fontId="3" fillId="3" borderId="1" xfId="3" applyNumberFormat="1" applyFont="1" applyFill="1" applyBorder="1"/>
    <xf numFmtId="43" fontId="3" fillId="3" borderId="1" xfId="3" applyNumberFormat="1" applyFont="1" applyFill="1" applyBorder="1"/>
    <xf numFmtId="0" fontId="6" fillId="9" borderId="45" xfId="4" applyFont="1" applyFill="1" applyBorder="1"/>
    <xf numFmtId="0" fontId="10" fillId="12" borderId="44" xfId="6" applyFont="1" applyFill="1" applyBorder="1"/>
    <xf numFmtId="0" fontId="11" fillId="10" borderId="0" xfId="5" applyFont="1"/>
    <xf numFmtId="9" fontId="11" fillId="10" borderId="0" xfId="5" applyNumberFormat="1" applyFont="1" applyAlignment="1">
      <alignment horizontal="left"/>
    </xf>
    <xf numFmtId="0" fontId="0" fillId="13" borderId="0" xfId="0" applyFill="1"/>
    <xf numFmtId="0" fontId="12" fillId="0" borderId="0" xfId="0" applyFont="1" applyAlignment="1">
      <alignment horizontal="right"/>
    </xf>
    <xf numFmtId="165" fontId="1" fillId="2" borderId="46" xfId="3" applyNumberFormat="1" applyFont="1" applyFill="1" applyBorder="1"/>
    <xf numFmtId="166" fontId="1" fillId="2" borderId="47" xfId="3" applyNumberFormat="1" applyFont="1" applyFill="1" applyBorder="1"/>
    <xf numFmtId="165" fontId="1" fillId="2" borderId="47" xfId="3" applyNumberFormat="1" applyFont="1" applyFill="1" applyBorder="1"/>
    <xf numFmtId="164" fontId="3" fillId="3" borderId="47" xfId="2" applyNumberFormat="1" applyBorder="1"/>
    <xf numFmtId="165" fontId="1" fillId="2" borderId="48" xfId="3" applyNumberFormat="1" applyFont="1" applyFill="1" applyBorder="1"/>
    <xf numFmtId="166" fontId="1" fillId="2" borderId="49" xfId="3" applyNumberFormat="1" applyFont="1" applyFill="1" applyBorder="1"/>
    <xf numFmtId="165" fontId="1" fillId="2" borderId="49" xfId="3" applyNumberFormat="1" applyFont="1" applyFill="1" applyBorder="1"/>
    <xf numFmtId="164" fontId="3" fillId="3" borderId="49" xfId="2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3" xfId="0" applyNumberFormat="1" applyFill="1" applyBorder="1"/>
    <xf numFmtId="164" fontId="0" fillId="0" borderId="4" xfId="0" applyNumberFormat="1" applyFill="1" applyBorder="1"/>
    <xf numFmtId="164" fontId="3" fillId="3" borderId="25" xfId="2" applyNumberFormat="1" applyBorder="1"/>
    <xf numFmtId="164" fontId="3" fillId="3" borderId="50" xfId="2" applyNumberFormat="1" applyBorder="1"/>
    <xf numFmtId="164" fontId="3" fillId="3" borderId="26" xfId="2" applyNumberFormat="1" applyBorder="1"/>
    <xf numFmtId="164" fontId="3" fillId="3" borderId="20" xfId="2" applyNumberFormat="1" applyBorder="1" applyAlignment="1">
      <alignment horizontal="right"/>
    </xf>
    <xf numFmtId="0" fontId="3" fillId="3" borderId="20" xfId="2" applyBorder="1" applyAlignment="1">
      <alignment horizontal="right"/>
    </xf>
    <xf numFmtId="166" fontId="3" fillId="3" borderId="18" xfId="3" applyNumberFormat="1" applyFont="1" applyFill="1" applyBorder="1"/>
    <xf numFmtId="0" fontId="14" fillId="0" borderId="0" xfId="0" applyFont="1"/>
    <xf numFmtId="166" fontId="3" fillId="3" borderId="20" xfId="3" applyNumberFormat="1" applyFont="1" applyFill="1" applyBorder="1"/>
    <xf numFmtId="0" fontId="0" fillId="0" borderId="0" xfId="0" applyFill="1"/>
    <xf numFmtId="0" fontId="12" fillId="0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13" borderId="0" xfId="0" applyFont="1" applyFill="1" applyAlignment="1"/>
    <xf numFmtId="0" fontId="2" fillId="13" borderId="0" xfId="0" applyFont="1" applyFill="1"/>
    <xf numFmtId="0" fontId="0" fillId="0" borderId="4" xfId="0" applyFill="1" applyBorder="1" applyAlignment="1">
      <alignment horizontal="center" textRotation="90"/>
    </xf>
    <xf numFmtId="166" fontId="3" fillId="3" borderId="22" xfId="3" applyNumberFormat="1" applyFont="1" applyFill="1" applyBorder="1"/>
    <xf numFmtId="166" fontId="3" fillId="3" borderId="23" xfId="3" applyNumberFormat="1" applyFont="1" applyFill="1" applyBorder="1"/>
    <xf numFmtId="166" fontId="3" fillId="3" borderId="21" xfId="3" applyNumberFormat="1" applyFont="1" applyFill="1" applyBorder="1"/>
    <xf numFmtId="164" fontId="3" fillId="3" borderId="51" xfId="2" applyNumberFormat="1" applyBorder="1"/>
    <xf numFmtId="0" fontId="0" fillId="7" borderId="2" xfId="0" applyFill="1" applyBorder="1" applyAlignment="1">
      <alignment horizontal="center" textRotation="90"/>
    </xf>
    <xf numFmtId="0" fontId="0" fillId="0" borderId="13" xfId="0" applyFill="1" applyBorder="1"/>
    <xf numFmtId="0" fontId="13" fillId="6" borderId="3" xfId="0" applyFont="1" applyFill="1" applyBorder="1" applyAlignment="1">
      <alignment horizontal="center" textRotation="90"/>
    </xf>
    <xf numFmtId="0" fontId="13" fillId="5" borderId="3" xfId="0" applyFont="1" applyFill="1" applyBorder="1" applyAlignment="1">
      <alignment horizontal="center" textRotation="90"/>
    </xf>
    <xf numFmtId="167" fontId="1" fillId="2" borderId="25" xfId="3" applyNumberFormat="1" applyFont="1" applyFill="1" applyBorder="1"/>
    <xf numFmtId="167" fontId="1" fillId="2" borderId="1" xfId="3" applyNumberFormat="1" applyFont="1" applyFill="1" applyBorder="1"/>
    <xf numFmtId="167" fontId="1" fillId="2" borderId="50" xfId="3" applyNumberFormat="1" applyFont="1" applyFill="1" applyBorder="1"/>
    <xf numFmtId="167" fontId="1" fillId="2" borderId="26" xfId="3" applyNumberFormat="1" applyFont="1" applyFill="1" applyBorder="1"/>
    <xf numFmtId="167" fontId="1" fillId="2" borderId="20" xfId="3" applyNumberFormat="1" applyFont="1" applyFill="1" applyBorder="1"/>
    <xf numFmtId="167" fontId="1" fillId="2" borderId="27" xfId="3" applyNumberFormat="1" applyFont="1" applyFill="1" applyBorder="1"/>
    <xf numFmtId="165" fontId="1" fillId="2" borderId="50" xfId="3" applyNumberFormat="1" applyFont="1" applyFill="1" applyBorder="1"/>
    <xf numFmtId="165" fontId="1" fillId="2" borderId="27" xfId="3" applyNumberFormat="1" applyFont="1" applyFill="1" applyBorder="1"/>
    <xf numFmtId="0" fontId="2" fillId="0" borderId="8" xfId="0" applyFont="1" applyBorder="1" applyAlignment="1"/>
    <xf numFmtId="0" fontId="1" fillId="2" borderId="47" xfId="1" applyBorder="1"/>
    <xf numFmtId="0" fontId="1" fillId="2" borderId="55" xfId="1" applyBorder="1"/>
    <xf numFmtId="167" fontId="1" fillId="2" borderId="47" xfId="3" applyNumberFormat="1" applyFont="1" applyFill="1" applyBorder="1"/>
    <xf numFmtId="167" fontId="1" fillId="2" borderId="56" xfId="3" applyNumberFormat="1" applyFont="1" applyFill="1" applyBorder="1"/>
    <xf numFmtId="165" fontId="1" fillId="2" borderId="56" xfId="3" applyNumberFormat="1" applyFont="1" applyFill="1" applyBorder="1"/>
    <xf numFmtId="166" fontId="1" fillId="2" borderId="18" xfId="3" applyNumberFormat="1" applyFont="1" applyFill="1" applyBorder="1"/>
    <xf numFmtId="166" fontId="1" fillId="2" borderId="21" xfId="3" applyNumberFormat="1" applyFont="1" applyFill="1" applyBorder="1"/>
    <xf numFmtId="166" fontId="1" fillId="2" borderId="22" xfId="3" applyNumberFormat="1" applyFont="1" applyFill="1" applyBorder="1"/>
    <xf numFmtId="166" fontId="1" fillId="2" borderId="55" xfId="3" applyNumberFormat="1" applyFont="1" applyFill="1" applyBorder="1"/>
    <xf numFmtId="166" fontId="17" fillId="3" borderId="1" xfId="3" applyNumberFormat="1" applyFont="1" applyFill="1" applyBorder="1"/>
    <xf numFmtId="166" fontId="17" fillId="3" borderId="22" xfId="3" applyNumberFormat="1" applyFont="1" applyFill="1" applyBorder="1"/>
    <xf numFmtId="166" fontId="17" fillId="3" borderId="25" xfId="3" applyNumberFormat="1" applyFont="1" applyFill="1" applyBorder="1"/>
    <xf numFmtId="43" fontId="17" fillId="3" borderId="1" xfId="3" applyFont="1" applyFill="1" applyBorder="1"/>
    <xf numFmtId="166" fontId="17" fillId="3" borderId="50" xfId="3" applyNumberFormat="1" applyFont="1" applyFill="1" applyBorder="1"/>
    <xf numFmtId="166" fontId="17" fillId="3" borderId="47" xfId="3" applyNumberFormat="1" applyFont="1" applyFill="1" applyBorder="1"/>
    <xf numFmtId="166" fontId="17" fillId="3" borderId="55" xfId="3" applyNumberFormat="1" applyFont="1" applyFill="1" applyBorder="1"/>
    <xf numFmtId="166" fontId="17" fillId="3" borderId="46" xfId="3" applyNumberFormat="1" applyFont="1" applyFill="1" applyBorder="1"/>
    <xf numFmtId="166" fontId="17" fillId="3" borderId="56" xfId="3" applyNumberFormat="1" applyFont="1" applyFill="1" applyBorder="1"/>
    <xf numFmtId="166" fontId="17" fillId="3" borderId="18" xfId="3" applyNumberFormat="1" applyFont="1" applyFill="1" applyBorder="1"/>
    <xf numFmtId="166" fontId="17" fillId="3" borderId="21" xfId="3" applyNumberFormat="1" applyFont="1" applyFill="1" applyBorder="1"/>
    <xf numFmtId="43" fontId="17" fillId="3" borderId="1" xfId="3" applyNumberFormat="1" applyFont="1" applyFill="1" applyBorder="1"/>
    <xf numFmtId="164" fontId="17" fillId="3" borderId="50" xfId="2" applyNumberFormat="1" applyFont="1" applyBorder="1"/>
    <xf numFmtId="165" fontId="1" fillId="2" borderId="22" xfId="3" applyNumberFormat="1" applyFont="1" applyFill="1" applyBorder="1"/>
    <xf numFmtId="165" fontId="1" fillId="2" borderId="23" xfId="3" applyNumberFormat="1" applyFont="1" applyFill="1" applyBorder="1"/>
    <xf numFmtId="165" fontId="1" fillId="2" borderId="21" xfId="3" applyNumberFormat="1" applyFont="1" applyFill="1" applyBorder="1"/>
    <xf numFmtId="165" fontId="1" fillId="2" borderId="55" xfId="3" applyNumberFormat="1" applyFont="1" applyFill="1" applyBorder="1"/>
    <xf numFmtId="166" fontId="18" fillId="9" borderId="54" xfId="3" applyNumberFormat="1" applyFont="1" applyFill="1" applyBorder="1"/>
    <xf numFmtId="168" fontId="17" fillId="3" borderId="1" xfId="3" applyNumberFormat="1" applyFont="1" applyFill="1" applyBorder="1"/>
    <xf numFmtId="168" fontId="17" fillId="3" borderId="22" xfId="3" applyNumberFormat="1" applyFont="1" applyFill="1" applyBorder="1"/>
    <xf numFmtId="168" fontId="17" fillId="3" borderId="25" xfId="3" applyNumberFormat="1" applyFont="1" applyFill="1" applyBorder="1"/>
    <xf numFmtId="168" fontId="1" fillId="2" borderId="1" xfId="1" applyNumberFormat="1" applyFont="1"/>
    <xf numFmtId="168" fontId="17" fillId="3" borderId="47" xfId="3" applyNumberFormat="1" applyFont="1" applyFill="1" applyBorder="1"/>
    <xf numFmtId="168" fontId="17" fillId="3" borderId="55" xfId="3" applyNumberFormat="1" applyFont="1" applyFill="1" applyBorder="1"/>
    <xf numFmtId="168" fontId="17" fillId="3" borderId="46" xfId="3" applyNumberFormat="1" applyFont="1" applyFill="1" applyBorder="1"/>
    <xf numFmtId="168" fontId="1" fillId="2" borderId="47" xfId="1" applyNumberFormat="1" applyFont="1" applyBorder="1"/>
    <xf numFmtId="0" fontId="10" fillId="15" borderId="44" xfId="6" applyFont="1" applyFill="1" applyBorder="1"/>
    <xf numFmtId="168" fontId="17" fillId="3" borderId="1" xfId="2" applyNumberFormat="1" applyFont="1"/>
    <xf numFmtId="168" fontId="17" fillId="3" borderId="25" xfId="2" applyNumberFormat="1" applyFont="1" applyBorder="1"/>
    <xf numFmtId="168" fontId="17" fillId="3" borderId="47" xfId="2" applyNumberFormat="1" applyFont="1" applyBorder="1"/>
    <xf numFmtId="165" fontId="1" fillId="2" borderId="1" xfId="1" applyNumberFormat="1"/>
    <xf numFmtId="0" fontId="0" fillId="0" borderId="0" xfId="0" applyAlignment="1">
      <alignment textRotation="90"/>
    </xf>
    <xf numFmtId="0" fontId="19" fillId="0" borderId="3" xfId="0" applyFont="1" applyFill="1" applyBorder="1" applyAlignment="1">
      <alignment horizontal="center" textRotation="90" wrapText="1"/>
    </xf>
    <xf numFmtId="0" fontId="19" fillId="0" borderId="2" xfId="0" applyFont="1" applyFill="1" applyBorder="1" applyAlignment="1">
      <alignment horizontal="center" textRotation="90" wrapText="1"/>
    </xf>
    <xf numFmtId="0" fontId="19" fillId="7" borderId="3" xfId="0" applyFont="1" applyFill="1" applyBorder="1" applyAlignment="1">
      <alignment horizontal="center" textRotation="90"/>
    </xf>
    <xf numFmtId="0" fontId="19" fillId="4" borderId="3" xfId="0" applyFont="1" applyFill="1" applyBorder="1" applyAlignment="1">
      <alignment horizontal="center" textRotation="90"/>
    </xf>
    <xf numFmtId="0" fontId="19" fillId="0" borderId="4" xfId="0" applyFont="1" applyFill="1" applyBorder="1" applyAlignment="1">
      <alignment horizontal="center" textRotation="90"/>
    </xf>
    <xf numFmtId="0" fontId="19" fillId="6" borderId="2" xfId="0" applyFont="1" applyFill="1" applyBorder="1" applyAlignment="1">
      <alignment horizontal="center" textRotation="90"/>
    </xf>
    <xf numFmtId="0" fontId="19" fillId="6" borderId="3" xfId="0" applyFont="1" applyFill="1" applyBorder="1" applyAlignment="1">
      <alignment horizontal="center" textRotation="90"/>
    </xf>
    <xf numFmtId="0" fontId="20" fillId="6" borderId="3" xfId="0" applyFont="1" applyFill="1" applyBorder="1" applyAlignment="1">
      <alignment horizontal="center" textRotation="90"/>
    </xf>
    <xf numFmtId="0" fontId="20" fillId="5" borderId="3" xfId="0" applyFont="1" applyFill="1" applyBorder="1" applyAlignment="1">
      <alignment horizontal="center" textRotation="90"/>
    </xf>
    <xf numFmtId="0" fontId="19" fillId="5" borderId="3" xfId="0" applyFont="1" applyFill="1" applyBorder="1" applyAlignment="1">
      <alignment horizontal="center" textRotation="90"/>
    </xf>
    <xf numFmtId="0" fontId="19" fillId="7" borderId="2" xfId="0" applyFont="1" applyFill="1" applyBorder="1" applyAlignment="1">
      <alignment horizontal="center" textRotation="90"/>
    </xf>
    <xf numFmtId="0" fontId="21" fillId="0" borderId="4" xfId="0" applyFont="1" applyBorder="1" applyAlignment="1">
      <alignment horizontal="center" textRotation="90" wrapText="1"/>
    </xf>
    <xf numFmtId="0" fontId="19" fillId="0" borderId="0" xfId="0" applyFont="1" applyAlignment="1">
      <alignment textRotation="90"/>
    </xf>
    <xf numFmtId="166" fontId="0" fillId="0" borderId="0" xfId="0" applyNumberFormat="1"/>
    <xf numFmtId="169" fontId="0" fillId="0" borderId="0" xfId="0" applyNumberForma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17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65" fontId="0" fillId="0" borderId="11" xfId="3" applyNumberFormat="1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12" xfId="0" applyFont="1" applyFill="1" applyBorder="1" applyAlignment="1">
      <alignment horizontal="center"/>
    </xf>
    <xf numFmtId="0" fontId="15" fillId="14" borderId="1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/>
    <xf numFmtId="165" fontId="17" fillId="3" borderId="1" xfId="3" applyNumberFormat="1" applyFont="1" applyFill="1" applyBorder="1"/>
    <xf numFmtId="168" fontId="0" fillId="0" borderId="0" xfId="3" applyNumberFormat="1" applyFont="1"/>
    <xf numFmtId="167" fontId="0" fillId="0" borderId="0" xfId="3" applyNumberFormat="1" applyFont="1"/>
    <xf numFmtId="0" fontId="0" fillId="0" borderId="0" xfId="0" applyAlignment="1">
      <alignment horizontal="right"/>
    </xf>
    <xf numFmtId="168" fontId="1" fillId="2" borderId="1" xfId="1" applyNumberFormat="1"/>
    <xf numFmtId="0" fontId="13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16" fillId="0" borderId="0" xfId="0" applyFont="1"/>
    <xf numFmtId="0" fontId="16" fillId="13" borderId="0" xfId="0" applyFont="1" applyFill="1"/>
    <xf numFmtId="0" fontId="16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19" fillId="7" borderId="0" xfId="0" applyFont="1" applyFill="1" applyBorder="1" applyAlignment="1">
      <alignment horizontal="left" wrapText="1"/>
    </xf>
    <xf numFmtId="0" fontId="19" fillId="4" borderId="0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6" fontId="1" fillId="2" borderId="50" xfId="3" applyNumberFormat="1" applyFont="1" applyFill="1" applyBorder="1"/>
    <xf numFmtId="166" fontId="1" fillId="2" borderId="56" xfId="3" applyNumberFormat="1" applyFont="1" applyFill="1" applyBorder="1"/>
    <xf numFmtId="0" fontId="19" fillId="0" borderId="2" xfId="0" applyFont="1" applyBorder="1" applyAlignment="1">
      <alignment textRotation="90"/>
    </xf>
    <xf numFmtId="0" fontId="19" fillId="0" borderId="4" xfId="0" applyFont="1" applyBorder="1" applyAlignment="1">
      <alignment textRotation="90"/>
    </xf>
    <xf numFmtId="0" fontId="19" fillId="0" borderId="3" xfId="0" applyFont="1" applyBorder="1" applyAlignment="1">
      <alignment textRotation="90"/>
    </xf>
    <xf numFmtId="0" fontId="19" fillId="0" borderId="0" xfId="0" applyFont="1" applyFill="1" applyAlignment="1">
      <alignment textRotation="90"/>
    </xf>
    <xf numFmtId="0" fontId="25" fillId="14" borderId="12" xfId="0" applyFont="1" applyFill="1" applyBorder="1" applyAlignment="1">
      <alignment horizontal="center"/>
    </xf>
    <xf numFmtId="166" fontId="25" fillId="3" borderId="1" xfId="2" applyNumberFormat="1" applyFont="1"/>
    <xf numFmtId="165" fontId="1" fillId="2" borderId="18" xfId="1" applyNumberFormat="1" applyBorder="1"/>
    <xf numFmtId="165" fontId="17" fillId="3" borderId="18" xfId="3" applyNumberFormat="1" applyFont="1" applyFill="1" applyBorder="1"/>
    <xf numFmtId="165" fontId="19" fillId="0" borderId="59" xfId="3" applyNumberFormat="1" applyFont="1" applyBorder="1" applyAlignment="1">
      <alignment horizontal="center" textRotation="90" wrapText="1"/>
    </xf>
    <xf numFmtId="165" fontId="19" fillId="0" borderId="60" xfId="3" applyNumberFormat="1" applyFont="1" applyBorder="1" applyAlignment="1">
      <alignment horizontal="center" textRotation="90" wrapText="1"/>
    </xf>
    <xf numFmtId="0" fontId="19" fillId="0" borderId="60" xfId="0" applyFont="1" applyBorder="1" applyAlignment="1">
      <alignment horizontal="center" textRotation="90" wrapText="1"/>
    </xf>
    <xf numFmtId="0" fontId="19" fillId="0" borderId="60" xfId="0" applyFont="1" applyFill="1" applyBorder="1" applyAlignment="1">
      <alignment horizontal="center" textRotation="90" wrapText="1"/>
    </xf>
    <xf numFmtId="0" fontId="19" fillId="0" borderId="61" xfId="0" applyFont="1" applyFill="1" applyBorder="1" applyAlignment="1">
      <alignment horizontal="center" textRotation="90" wrapText="1"/>
    </xf>
    <xf numFmtId="0" fontId="19" fillId="0" borderId="2" xfId="0" applyFont="1" applyBorder="1" applyAlignment="1">
      <alignment textRotation="90" wrapText="1"/>
    </xf>
    <xf numFmtId="0" fontId="19" fillId="0" borderId="3" xfId="0" applyFont="1" applyBorder="1" applyAlignment="1">
      <alignment textRotation="90" wrapText="1"/>
    </xf>
    <xf numFmtId="0" fontId="19" fillId="0" borderId="3" xfId="0" applyFont="1" applyFill="1" applyBorder="1" applyAlignment="1">
      <alignment textRotation="90" wrapText="1"/>
    </xf>
    <xf numFmtId="0" fontId="19" fillId="0" borderId="3" xfId="0" applyFont="1" applyFill="1" applyBorder="1" applyAlignment="1">
      <alignment horizontal="center" textRotation="90"/>
    </xf>
    <xf numFmtId="0" fontId="19" fillId="5" borderId="4" xfId="0" applyFont="1" applyFill="1" applyBorder="1" applyAlignment="1">
      <alignment horizontal="center" textRotation="90"/>
    </xf>
    <xf numFmtId="0" fontId="19" fillId="0" borderId="0" xfId="0" applyFont="1" applyBorder="1" applyAlignment="1">
      <alignment textRotation="90"/>
    </xf>
    <xf numFmtId="0" fontId="20" fillId="0" borderId="4" xfId="0" applyFont="1" applyFill="1" applyBorder="1" applyAlignment="1">
      <alignment horizontal="center" textRotation="90"/>
    </xf>
    <xf numFmtId="165" fontId="19" fillId="0" borderId="0" xfId="3" applyNumberFormat="1" applyFont="1" applyBorder="1" applyAlignment="1">
      <alignment textRotation="90" wrapText="1"/>
    </xf>
    <xf numFmtId="0" fontId="21" fillId="0" borderId="2" xfId="0" applyFont="1" applyBorder="1" applyAlignment="1">
      <alignment textRotation="90" wrapText="1"/>
    </xf>
    <xf numFmtId="0" fontId="21" fillId="0" borderId="3" xfId="0" applyFont="1" applyBorder="1" applyAlignment="1">
      <alignment textRotation="90" wrapText="1"/>
    </xf>
    <xf numFmtId="0" fontId="21" fillId="0" borderId="4" xfId="0" applyFont="1" applyBorder="1" applyAlignment="1">
      <alignment textRotation="90" wrapText="1"/>
    </xf>
    <xf numFmtId="0" fontId="22" fillId="14" borderId="2" xfId="0" applyFont="1" applyFill="1" applyBorder="1" applyAlignment="1">
      <alignment textRotation="90" wrapText="1"/>
    </xf>
    <xf numFmtId="0" fontId="22" fillId="14" borderId="3" xfId="0" applyFont="1" applyFill="1" applyBorder="1" applyAlignment="1">
      <alignment textRotation="90" wrapText="1"/>
    </xf>
    <xf numFmtId="0" fontId="22" fillId="14" borderId="4" xfId="0" applyFont="1" applyFill="1" applyBorder="1" applyAlignment="1">
      <alignment textRotation="90" wrapText="1"/>
    </xf>
    <xf numFmtId="0" fontId="24" fillId="14" borderId="3" xfId="0" applyFont="1" applyFill="1" applyBorder="1" applyAlignment="1">
      <alignment textRotation="90" wrapText="1"/>
    </xf>
    <xf numFmtId="166" fontId="18" fillId="9" borderId="52" xfId="3" applyNumberFormat="1" applyFont="1" applyFill="1" applyBorder="1"/>
    <xf numFmtId="166" fontId="18" fillId="9" borderId="53" xfId="3" applyNumberFormat="1" applyFont="1" applyFill="1" applyBorder="1"/>
    <xf numFmtId="166" fontId="18" fillId="9" borderId="57" xfId="3" applyNumberFormat="1" applyFont="1" applyFill="1" applyBorder="1"/>
    <xf numFmtId="166" fontId="18" fillId="9" borderId="45" xfId="3" applyNumberFormat="1" applyFont="1" applyFill="1" applyBorder="1"/>
    <xf numFmtId="166" fontId="18" fillId="9" borderId="58" xfId="3" applyNumberFormat="1" applyFont="1" applyFill="1" applyBorder="1"/>
    <xf numFmtId="166" fontId="17" fillId="3" borderId="1" xfId="2" applyNumberFormat="1" applyFont="1"/>
    <xf numFmtId="0" fontId="26" fillId="0" borderId="0" xfId="0" applyFont="1"/>
    <xf numFmtId="0" fontId="16" fillId="0" borderId="13" xfId="0" applyFont="1" applyFill="1" applyBorder="1" applyAlignment="1">
      <alignment horizontal="center"/>
    </xf>
  </cellXfs>
  <cellStyles count="7">
    <cellStyle name="Bad" xfId="6" builtinId="27"/>
    <cellStyle name="Calculation" xfId="2" builtinId="22"/>
    <cellStyle name="Check Cell" xfId="4" builtinId="23"/>
    <cellStyle name="Comma" xfId="3" builtinId="3"/>
    <cellStyle name="Good" xfId="5" builtinId="26"/>
    <cellStyle name="Input" xfId="1" builtinId="20"/>
    <cellStyle name="Normal" xfId="0" builtinId="0"/>
  </cellStyles>
  <dxfs count="6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 patternType="solid">
          <bgColor rgb="FFFFCCCC"/>
        </patternFill>
      </fill>
    </dxf>
    <dxf>
      <font>
        <b val="0"/>
        <i val="0"/>
        <color rgb="FFC00000"/>
      </font>
      <fill>
        <patternFill patternType="solid">
          <bgColor rgb="FFFFCCCC"/>
        </patternFill>
      </fill>
    </dxf>
    <dxf>
      <font>
        <b val="0"/>
        <i val="0"/>
        <color rgb="FFC00000"/>
      </font>
      <fill>
        <patternFill patternType="solid"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 patternType="solid">
          <bgColor rgb="FFFFCCCC"/>
        </patternFill>
      </fill>
    </dxf>
    <dxf>
      <font>
        <b val="0"/>
        <i val="0"/>
        <color rgb="FFC00000"/>
      </font>
      <fill>
        <patternFill patternType="solid">
          <bgColor rgb="FFFFCCCC"/>
        </patternFill>
      </fill>
    </dxf>
    <dxf>
      <font>
        <b val="0"/>
        <i val="0"/>
        <color rgb="FFC00000"/>
      </font>
      <fill>
        <patternFill patternType="solid"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C00000"/>
      </font>
      <fill>
        <patternFill patternType="solid">
          <bgColor rgb="FFFFCCCC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FF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3"/>
  <sheetViews>
    <sheetView showGridLines="0" topLeftCell="A55" zoomScale="55" zoomScaleNormal="55" workbookViewId="0">
      <pane xSplit="2" topLeftCell="C1" activePane="topRight" state="frozen"/>
      <selection pane="topRight" activeCell="M68" sqref="M68"/>
    </sheetView>
  </sheetViews>
  <sheetFormatPr defaultRowHeight="15" x14ac:dyDescent="0.25"/>
  <cols>
    <col min="1" max="1" width="14.85546875" bestFit="1" customWidth="1"/>
    <col min="2" max="2" width="35.28515625" bestFit="1" customWidth="1"/>
    <col min="3" max="3" width="27.7109375" bestFit="1" customWidth="1"/>
    <col min="4" max="16" width="15.7109375" customWidth="1"/>
    <col min="17" max="19" width="10.7109375" customWidth="1"/>
    <col min="20" max="33" width="8.28515625" customWidth="1"/>
    <col min="34" max="36" width="7.85546875" customWidth="1"/>
    <col min="37" max="60" width="13.140625" customWidth="1"/>
  </cols>
  <sheetData>
    <row r="1" spans="1:64" x14ac:dyDescent="0.25">
      <c r="B1" s="24" t="s">
        <v>118</v>
      </c>
    </row>
    <row r="2" spans="1:64" x14ac:dyDescent="0.25">
      <c r="B2" s="123" t="s">
        <v>115</v>
      </c>
    </row>
    <row r="3" spans="1:64" ht="15.75" thickBot="1" x14ac:dyDescent="0.3">
      <c r="B3" s="124" t="s">
        <v>116</v>
      </c>
    </row>
    <row r="4" spans="1:64" ht="15.75" thickTop="1" x14ac:dyDescent="0.25">
      <c r="B4" s="135" t="s">
        <v>117</v>
      </c>
    </row>
    <row r="5" spans="1:64" x14ac:dyDescent="0.25">
      <c r="B5" s="136" t="s">
        <v>168</v>
      </c>
    </row>
    <row r="7" spans="1:64" x14ac:dyDescent="0.25">
      <c r="A7" s="137" t="s">
        <v>167</v>
      </c>
      <c r="B7" s="138">
        <v>0.01</v>
      </c>
    </row>
    <row r="9" spans="1:64" ht="28.5" x14ac:dyDescent="0.45">
      <c r="B9" s="58" t="s">
        <v>44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J9" s="140" t="s">
        <v>169</v>
      </c>
      <c r="AK9" s="165" t="s">
        <v>119</v>
      </c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  <c r="BB9" s="163"/>
    </row>
    <row r="10" spans="1:64" ht="31.5" x14ac:dyDescent="0.35">
      <c r="B10" s="159" t="s">
        <v>174</v>
      </c>
      <c r="AJ10" s="2"/>
      <c r="AK10" s="164"/>
      <c r="AL10" s="164"/>
      <c r="AM10" s="164" t="s">
        <v>120</v>
      </c>
      <c r="AN10" s="164"/>
      <c r="AO10" s="164"/>
      <c r="AP10" s="164"/>
      <c r="AQ10" s="164" t="s">
        <v>121</v>
      </c>
      <c r="AR10" s="164"/>
      <c r="AS10" s="164"/>
      <c r="AT10" s="164"/>
      <c r="AU10" s="164"/>
      <c r="AV10" s="163" t="s">
        <v>122</v>
      </c>
      <c r="AW10" s="163"/>
      <c r="AX10" s="163"/>
      <c r="AY10" s="163"/>
      <c r="AZ10" s="163" t="s">
        <v>123</v>
      </c>
      <c r="BA10" s="163"/>
      <c r="BB10" s="163"/>
    </row>
    <row r="11" spans="1:64" ht="149.25" x14ac:dyDescent="0.25">
      <c r="A11" s="2"/>
      <c r="B11" s="52" t="s">
        <v>65</v>
      </c>
      <c r="C11" s="53" t="s">
        <v>88</v>
      </c>
      <c r="D11" s="53" t="s">
        <v>26</v>
      </c>
      <c r="E11" s="53" t="s">
        <v>27</v>
      </c>
      <c r="F11" s="53" t="s">
        <v>28</v>
      </c>
      <c r="G11" s="53" t="s">
        <v>81</v>
      </c>
      <c r="H11" s="53" t="s">
        <v>34</v>
      </c>
      <c r="I11" s="53" t="s">
        <v>35</v>
      </c>
      <c r="J11" s="53" t="s">
        <v>36</v>
      </c>
      <c r="K11" s="53" t="s">
        <v>37</v>
      </c>
      <c r="L11" s="52" t="s">
        <v>63</v>
      </c>
      <c r="M11" s="53" t="s">
        <v>50</v>
      </c>
      <c r="N11" s="53" t="s">
        <v>47</v>
      </c>
      <c r="O11" s="53" t="s">
        <v>48</v>
      </c>
      <c r="P11" s="53" t="s">
        <v>49</v>
      </c>
      <c r="Q11" s="172"/>
      <c r="R11" s="72"/>
      <c r="S11" s="167" t="s">
        <v>97</v>
      </c>
      <c r="T11" s="62" t="s">
        <v>176</v>
      </c>
      <c r="U11" s="174" t="s">
        <v>177</v>
      </c>
      <c r="V11" s="175" t="s">
        <v>180</v>
      </c>
      <c r="W11" s="64" t="s">
        <v>83</v>
      </c>
      <c r="X11" s="66" t="s">
        <v>84</v>
      </c>
      <c r="Y11" s="62" t="s">
        <v>85</v>
      </c>
      <c r="Z11" s="174" t="s">
        <v>178</v>
      </c>
      <c r="AA11" s="175" t="s">
        <v>181</v>
      </c>
      <c r="AB11" s="64" t="s">
        <v>86</v>
      </c>
      <c r="AC11" s="66" t="s">
        <v>87</v>
      </c>
      <c r="AD11" s="2"/>
      <c r="AK11" s="163" t="s">
        <v>65</v>
      </c>
      <c r="AL11" s="163" t="s">
        <v>88</v>
      </c>
      <c r="AM11" s="163" t="s">
        <v>124</v>
      </c>
      <c r="AN11" s="163" t="s">
        <v>125</v>
      </c>
      <c r="AO11" s="163" t="s">
        <v>126</v>
      </c>
      <c r="AP11" s="163" t="s">
        <v>127</v>
      </c>
      <c r="AQ11" s="163" t="s">
        <v>128</v>
      </c>
      <c r="AR11" s="163" t="s">
        <v>129</v>
      </c>
      <c r="AS11" s="163" t="s">
        <v>130</v>
      </c>
      <c r="AT11" s="163" t="s">
        <v>131</v>
      </c>
      <c r="AU11" s="163" t="s">
        <v>132</v>
      </c>
      <c r="AV11" s="163" t="s">
        <v>133</v>
      </c>
      <c r="AW11" s="163" t="s">
        <v>134</v>
      </c>
      <c r="AX11" s="163" t="s">
        <v>135</v>
      </c>
      <c r="AY11" s="163" t="s">
        <v>136</v>
      </c>
      <c r="AZ11" s="163" t="s">
        <v>137</v>
      </c>
      <c r="BA11" s="163" t="s">
        <v>138</v>
      </c>
      <c r="BB11" s="163" t="s">
        <v>139</v>
      </c>
      <c r="BC11" t="s">
        <v>183</v>
      </c>
      <c r="BD11" t="s">
        <v>184</v>
      </c>
      <c r="BE11" t="s">
        <v>185</v>
      </c>
      <c r="BF11" t="s">
        <v>186</v>
      </c>
      <c r="BG11" t="s">
        <v>187</v>
      </c>
      <c r="BH11" t="s">
        <v>188</v>
      </c>
      <c r="BI11" t="s">
        <v>189</v>
      </c>
      <c r="BJ11" t="s">
        <v>190</v>
      </c>
      <c r="BK11" t="s">
        <v>191</v>
      </c>
      <c r="BL11" t="s">
        <v>192</v>
      </c>
    </row>
    <row r="12" spans="1:64" ht="15.75" thickBot="1" x14ac:dyDescent="0.3">
      <c r="A12" s="2"/>
      <c r="B12" s="11"/>
      <c r="C12" s="12"/>
      <c r="D12" s="12" t="s">
        <v>0</v>
      </c>
      <c r="E12" s="12" t="s">
        <v>0</v>
      </c>
      <c r="F12" s="12" t="s">
        <v>0</v>
      </c>
      <c r="G12" s="12" t="s">
        <v>0</v>
      </c>
      <c r="H12" s="12" t="s">
        <v>39</v>
      </c>
      <c r="I12" s="12" t="s">
        <v>39</v>
      </c>
      <c r="J12" s="12" t="s">
        <v>39</v>
      </c>
      <c r="K12" s="12" t="s">
        <v>39</v>
      </c>
      <c r="L12" s="11" t="s">
        <v>39</v>
      </c>
      <c r="M12" s="12" t="s">
        <v>38</v>
      </c>
      <c r="N12" s="12" t="s">
        <v>38</v>
      </c>
      <c r="O12" s="12" t="s">
        <v>38</v>
      </c>
      <c r="P12" s="12" t="s">
        <v>38</v>
      </c>
      <c r="Q12" s="26"/>
      <c r="R12" s="61"/>
      <c r="S12" s="173"/>
      <c r="T12" s="49"/>
      <c r="U12" s="50"/>
      <c r="V12" s="50"/>
      <c r="W12" s="50"/>
      <c r="X12" s="51"/>
      <c r="Y12" s="49"/>
      <c r="Z12" s="50"/>
      <c r="AA12" s="50"/>
      <c r="AB12" s="50"/>
      <c r="AC12" s="51"/>
      <c r="AM12" t="s">
        <v>0</v>
      </c>
      <c r="AN12" t="s">
        <v>0</v>
      </c>
      <c r="AO12" t="s">
        <v>0</v>
      </c>
      <c r="AP12" t="s">
        <v>0</v>
      </c>
      <c r="AQ12" t="s">
        <v>39</v>
      </c>
      <c r="AR12" t="s">
        <v>39</v>
      </c>
      <c r="AS12" t="s">
        <v>39</v>
      </c>
      <c r="AT12" t="s">
        <v>39</v>
      </c>
      <c r="AU12" t="s">
        <v>39</v>
      </c>
      <c r="AV12" t="s">
        <v>38</v>
      </c>
      <c r="AW12" t="s">
        <v>38</v>
      </c>
      <c r="AX12" t="s">
        <v>38</v>
      </c>
      <c r="AY12" t="s">
        <v>38</v>
      </c>
      <c r="AZ12" t="s">
        <v>92</v>
      </c>
      <c r="BA12" t="s">
        <v>92</v>
      </c>
      <c r="BB12" t="s">
        <v>92</v>
      </c>
      <c r="BC12" t="s">
        <v>193</v>
      </c>
      <c r="BD12" t="s">
        <v>193</v>
      </c>
      <c r="BE12" t="s">
        <v>193</v>
      </c>
      <c r="BF12" t="s">
        <v>193</v>
      </c>
      <c r="BG12" t="s">
        <v>193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</row>
    <row r="13" spans="1:64" ht="15.75" thickTop="1" x14ac:dyDescent="0.25">
      <c r="A13" s="2"/>
      <c r="B13" s="1" t="str">
        <f t="shared" ref="B13:K18" si="0">AK13</f>
        <v>BottomVAV</v>
      </c>
      <c r="C13" s="2" t="str">
        <f t="shared" si="0"/>
        <v>PVAV</v>
      </c>
      <c r="D13" s="127">
        <f t="shared" si="0"/>
        <v>17875.900000000001</v>
      </c>
      <c r="E13" s="130">
        <f t="shared" si="0"/>
        <v>0</v>
      </c>
      <c r="F13" s="127">
        <f t="shared" si="0"/>
        <v>16982.099999999999</v>
      </c>
      <c r="G13" s="127">
        <f t="shared" si="0"/>
        <v>0</v>
      </c>
      <c r="H13" s="21">
        <f t="shared" si="0"/>
        <v>15.789</v>
      </c>
      <c r="I13" s="131">
        <f t="shared" si="0"/>
        <v>0</v>
      </c>
      <c r="J13" s="21">
        <f t="shared" si="0"/>
        <v>4.3520000000000003</v>
      </c>
      <c r="K13" s="27">
        <f t="shared" si="0"/>
        <v>0</v>
      </c>
      <c r="L13" s="134">
        <f t="shared" ref="L13:L28" si="1">ROUND(SUM(H13:K13),3)</f>
        <v>20.140999999999998</v>
      </c>
      <c r="M13" s="133">
        <f t="shared" ref="M13:M28" si="2">ROUND(H13/$L13,3)</f>
        <v>0.78400000000000003</v>
      </c>
      <c r="N13" s="133">
        <f t="shared" ref="N13:N28" si="3">ROUND(I13/$L13,3)</f>
        <v>0</v>
      </c>
      <c r="O13" s="133">
        <f t="shared" ref="O13:O28" si="4">ROUND(J13/$L13,3)</f>
        <v>0.216</v>
      </c>
      <c r="P13" s="168">
        <f t="shared" ref="P13:P28" si="5">ROUND(K13/$L13,3)</f>
        <v>0</v>
      </c>
      <c r="Q13" s="31"/>
      <c r="R13" s="25"/>
      <c r="S13" s="154">
        <f t="shared" ref="S13:S18" si="6">SUMPRODUCT(T13:X13,Y13:AC13)/4131</f>
        <v>7.2481723553618984</v>
      </c>
      <c r="T13" s="176">
        <f>BC13</f>
        <v>0</v>
      </c>
      <c r="U13" s="177">
        <f t="shared" ref="U13:U18" si="7">BD13</f>
        <v>0</v>
      </c>
      <c r="V13" s="177">
        <f t="shared" ref="V13:V18" si="8">BE13</f>
        <v>0.5</v>
      </c>
      <c r="W13" s="177">
        <f t="shared" ref="W13:W18" si="9">BF13</f>
        <v>1.2</v>
      </c>
      <c r="X13" s="178">
        <f t="shared" ref="X13:X18" si="10">BG13</f>
        <v>0</v>
      </c>
      <c r="Y13" s="79">
        <f t="shared" ref="Y13:Y18" si="11">BH13</f>
        <v>0</v>
      </c>
      <c r="Z13" s="82">
        <f t="shared" ref="Z13:Z18" si="12">BI13</f>
        <v>0</v>
      </c>
      <c r="AA13" s="82">
        <f t="shared" ref="AA13:AA18" si="13">BJ13</f>
        <v>16982</v>
      </c>
      <c r="AB13" s="82">
        <f t="shared" ref="AB13:AB18" si="14">BK13</f>
        <v>17876</v>
      </c>
      <c r="AC13" s="182">
        <f t="shared" ref="AC13:AC18" si="15">BL13</f>
        <v>0</v>
      </c>
      <c r="AK13" t="s">
        <v>66</v>
      </c>
      <c r="AL13" t="s">
        <v>67</v>
      </c>
      <c r="AM13">
        <v>17875.900000000001</v>
      </c>
      <c r="AN13">
        <v>0</v>
      </c>
      <c r="AO13">
        <v>16982.099999999999</v>
      </c>
      <c r="AP13">
        <v>0</v>
      </c>
      <c r="AQ13">
        <v>15.789</v>
      </c>
      <c r="AR13">
        <v>0</v>
      </c>
      <c r="AS13">
        <v>4.3520000000000003</v>
      </c>
      <c r="AT13">
        <v>0</v>
      </c>
      <c r="AU13">
        <v>20.140999999999998</v>
      </c>
      <c r="AV13">
        <v>0.78400000000000003</v>
      </c>
      <c r="AW13">
        <v>0</v>
      </c>
      <c r="AX13">
        <v>0.216</v>
      </c>
      <c r="AY13">
        <v>0</v>
      </c>
      <c r="AZ13">
        <v>0</v>
      </c>
      <c r="BA13">
        <v>7.2590000000000003</v>
      </c>
      <c r="BB13">
        <v>7.2590000000000003</v>
      </c>
      <c r="BC13">
        <v>0</v>
      </c>
      <c r="BD13">
        <v>0</v>
      </c>
      <c r="BE13">
        <v>0.5</v>
      </c>
      <c r="BF13">
        <v>1.2</v>
      </c>
      <c r="BG13">
        <v>0</v>
      </c>
      <c r="BH13">
        <v>0</v>
      </c>
      <c r="BI13">
        <v>0</v>
      </c>
      <c r="BJ13">
        <v>16982</v>
      </c>
      <c r="BK13">
        <v>17876</v>
      </c>
      <c r="BL13">
        <v>0</v>
      </c>
    </row>
    <row r="14" spans="1:64" x14ac:dyDescent="0.25">
      <c r="A14" s="2"/>
      <c r="B14" s="1" t="str">
        <f t="shared" si="0"/>
        <v>Mid VAV-SW Zones</v>
      </c>
      <c r="C14" s="2" t="str">
        <f t="shared" si="0"/>
        <v>PVAV</v>
      </c>
      <c r="D14" s="128">
        <f t="shared" si="0"/>
        <v>3644.6</v>
      </c>
      <c r="E14" s="128">
        <f t="shared" si="0"/>
        <v>2962.3</v>
      </c>
      <c r="F14" s="128">
        <f t="shared" si="0"/>
        <v>0</v>
      </c>
      <c r="G14" s="128">
        <f t="shared" si="0"/>
        <v>0</v>
      </c>
      <c r="H14" s="132">
        <f t="shared" si="0"/>
        <v>3.3450000000000002</v>
      </c>
      <c r="I14" s="132">
        <f t="shared" si="0"/>
        <v>1.006</v>
      </c>
      <c r="J14" s="25">
        <f t="shared" si="0"/>
        <v>0</v>
      </c>
      <c r="K14" s="28">
        <f t="shared" si="0"/>
        <v>0</v>
      </c>
      <c r="L14" s="133">
        <f t="shared" si="1"/>
        <v>4.351</v>
      </c>
      <c r="M14" s="133">
        <f t="shared" si="2"/>
        <v>0.76900000000000002</v>
      </c>
      <c r="N14" s="133">
        <f t="shared" si="3"/>
        <v>0.23100000000000001</v>
      </c>
      <c r="O14" s="133">
        <f t="shared" si="4"/>
        <v>0</v>
      </c>
      <c r="P14" s="168">
        <f t="shared" si="5"/>
        <v>0</v>
      </c>
      <c r="Q14" s="31"/>
      <c r="R14" s="25"/>
      <c r="S14" s="154">
        <f t="shared" si="6"/>
        <v>1.0588235294117647</v>
      </c>
      <c r="T14" s="176">
        <f t="shared" ref="T14:T18" si="16">BC14</f>
        <v>0</v>
      </c>
      <c r="U14" s="177">
        <f t="shared" si="7"/>
        <v>0</v>
      </c>
      <c r="V14" s="177">
        <f t="shared" si="8"/>
        <v>0</v>
      </c>
      <c r="W14" s="177">
        <f t="shared" si="9"/>
        <v>1.2</v>
      </c>
      <c r="X14" s="178">
        <f t="shared" si="10"/>
        <v>0</v>
      </c>
      <c r="Y14" s="79">
        <f t="shared" si="11"/>
        <v>0</v>
      </c>
      <c r="Z14" s="82">
        <f t="shared" si="12"/>
        <v>0</v>
      </c>
      <c r="AA14" s="82">
        <f t="shared" si="13"/>
        <v>0</v>
      </c>
      <c r="AB14" s="82">
        <f t="shared" si="14"/>
        <v>3645</v>
      </c>
      <c r="AC14" s="182">
        <f t="shared" si="15"/>
        <v>0</v>
      </c>
      <c r="AK14" t="s">
        <v>24</v>
      </c>
      <c r="AL14" t="s">
        <v>67</v>
      </c>
      <c r="AM14">
        <v>3644.6</v>
      </c>
      <c r="AN14">
        <v>2962.3</v>
      </c>
      <c r="AO14">
        <v>0</v>
      </c>
      <c r="AP14">
        <v>0</v>
      </c>
      <c r="AQ14">
        <v>3.3450000000000002</v>
      </c>
      <c r="AR14">
        <v>1.006</v>
      </c>
      <c r="AS14">
        <v>0</v>
      </c>
      <c r="AT14">
        <v>0</v>
      </c>
      <c r="AU14">
        <v>4.351</v>
      </c>
      <c r="AV14">
        <v>0.76900000000000002</v>
      </c>
      <c r="AW14">
        <v>0.23100000000000001</v>
      </c>
      <c r="AX14">
        <v>0</v>
      </c>
      <c r="AY14">
        <v>0</v>
      </c>
      <c r="AZ14">
        <v>0</v>
      </c>
      <c r="BA14">
        <v>1.06</v>
      </c>
      <c r="BB14">
        <v>1.06</v>
      </c>
      <c r="BC14">
        <v>0</v>
      </c>
      <c r="BD14">
        <v>0</v>
      </c>
      <c r="BE14">
        <v>0</v>
      </c>
      <c r="BF14">
        <v>1.2</v>
      </c>
      <c r="BG14">
        <v>0</v>
      </c>
      <c r="BH14">
        <v>0</v>
      </c>
      <c r="BI14">
        <v>0</v>
      </c>
      <c r="BJ14">
        <v>0</v>
      </c>
      <c r="BK14">
        <v>3645</v>
      </c>
      <c r="BL14">
        <v>0</v>
      </c>
    </row>
    <row r="15" spans="1:64" x14ac:dyDescent="0.25">
      <c r="A15" s="2"/>
      <c r="B15" s="1" t="str">
        <f t="shared" si="0"/>
        <v>Mid VAV NE_Core Zones</v>
      </c>
      <c r="C15" s="2" t="str">
        <f t="shared" si="0"/>
        <v>PVAV</v>
      </c>
      <c r="D15" s="128">
        <f t="shared" si="0"/>
        <v>14231.4</v>
      </c>
      <c r="E15" s="128">
        <f t="shared" si="0"/>
        <v>0</v>
      </c>
      <c r="F15" s="128">
        <f t="shared" si="0"/>
        <v>13119.8</v>
      </c>
      <c r="G15" s="128">
        <f t="shared" si="0"/>
        <v>0</v>
      </c>
      <c r="H15" s="25">
        <f t="shared" si="0"/>
        <v>12.57</v>
      </c>
      <c r="I15" s="25">
        <f t="shared" si="0"/>
        <v>0</v>
      </c>
      <c r="J15" s="132">
        <f t="shared" si="0"/>
        <v>3.4449999999999998</v>
      </c>
      <c r="K15" s="28">
        <f t="shared" si="0"/>
        <v>0</v>
      </c>
      <c r="L15" s="133">
        <f t="shared" si="1"/>
        <v>16.015000000000001</v>
      </c>
      <c r="M15" s="133">
        <f t="shared" si="2"/>
        <v>0.78500000000000003</v>
      </c>
      <c r="N15" s="133">
        <f t="shared" si="3"/>
        <v>0</v>
      </c>
      <c r="O15" s="133">
        <f t="shared" si="4"/>
        <v>0.215</v>
      </c>
      <c r="P15" s="168">
        <f t="shared" si="5"/>
        <v>0</v>
      </c>
      <c r="Q15" s="31"/>
      <c r="R15" s="25"/>
      <c r="S15" s="154">
        <f t="shared" si="6"/>
        <v>4.1339143064633266</v>
      </c>
      <c r="T15" s="176">
        <f t="shared" si="16"/>
        <v>0</v>
      </c>
      <c r="U15" s="177">
        <f t="shared" si="7"/>
        <v>0</v>
      </c>
      <c r="V15" s="177">
        <f t="shared" si="8"/>
        <v>0</v>
      </c>
      <c r="W15" s="177">
        <f t="shared" si="9"/>
        <v>0</v>
      </c>
      <c r="X15" s="178">
        <f t="shared" si="10"/>
        <v>1.2</v>
      </c>
      <c r="Y15" s="79">
        <f t="shared" si="11"/>
        <v>0</v>
      </c>
      <c r="Z15" s="82">
        <f t="shared" si="12"/>
        <v>0</v>
      </c>
      <c r="AA15" s="82">
        <f t="shared" si="13"/>
        <v>0</v>
      </c>
      <c r="AB15" s="82">
        <f t="shared" si="14"/>
        <v>0</v>
      </c>
      <c r="AC15" s="182">
        <f t="shared" si="15"/>
        <v>14231</v>
      </c>
      <c r="AK15" t="s">
        <v>68</v>
      </c>
      <c r="AL15" t="s">
        <v>67</v>
      </c>
      <c r="AM15">
        <v>14231.4</v>
      </c>
      <c r="AN15">
        <v>0</v>
      </c>
      <c r="AO15">
        <v>13119.8</v>
      </c>
      <c r="AP15">
        <v>0</v>
      </c>
      <c r="AQ15">
        <v>12.57</v>
      </c>
      <c r="AR15">
        <v>0</v>
      </c>
      <c r="AS15">
        <v>3.4449999999999998</v>
      </c>
      <c r="AT15">
        <v>0</v>
      </c>
      <c r="AU15">
        <v>16.015000000000001</v>
      </c>
      <c r="AV15">
        <v>0.78500000000000003</v>
      </c>
      <c r="AW15">
        <v>0</v>
      </c>
      <c r="AX15">
        <v>0.215</v>
      </c>
      <c r="AY15">
        <v>0</v>
      </c>
      <c r="AZ15">
        <v>0</v>
      </c>
      <c r="BA15">
        <v>4.1399999999999997</v>
      </c>
      <c r="BB15">
        <v>4.1399999999999997</v>
      </c>
      <c r="BC15">
        <v>0</v>
      </c>
      <c r="BD15">
        <v>0</v>
      </c>
      <c r="BE15">
        <v>0</v>
      </c>
      <c r="BF15">
        <v>0</v>
      </c>
      <c r="BG15">
        <v>1.2</v>
      </c>
      <c r="BH15">
        <v>0</v>
      </c>
      <c r="BI15">
        <v>0</v>
      </c>
      <c r="BJ15">
        <v>0</v>
      </c>
      <c r="BK15">
        <v>0</v>
      </c>
      <c r="BL15">
        <v>14231</v>
      </c>
    </row>
    <row r="16" spans="1:64" x14ac:dyDescent="0.25">
      <c r="A16" s="2"/>
      <c r="B16" s="1" t="str">
        <f t="shared" si="0"/>
        <v>Mid SE Zones ExhSys</v>
      </c>
      <c r="C16" s="2" t="str">
        <f t="shared" si="0"/>
        <v>Exhaust</v>
      </c>
      <c r="D16" s="128">
        <f t="shared" si="0"/>
        <v>0</v>
      </c>
      <c r="E16" s="128">
        <f t="shared" si="0"/>
        <v>0</v>
      </c>
      <c r="F16" s="128">
        <f t="shared" si="0"/>
        <v>0</v>
      </c>
      <c r="G16" s="128">
        <f t="shared" si="0"/>
        <v>900</v>
      </c>
      <c r="H16" s="25">
        <f t="shared" si="0"/>
        <v>0</v>
      </c>
      <c r="I16" s="25">
        <f t="shared" si="0"/>
        <v>0</v>
      </c>
      <c r="J16" s="25">
        <f t="shared" si="0"/>
        <v>0</v>
      </c>
      <c r="K16" s="28">
        <f t="shared" si="0"/>
        <v>0.82499999999999996</v>
      </c>
      <c r="L16" s="133">
        <f t="shared" si="1"/>
        <v>0.82499999999999996</v>
      </c>
      <c r="M16" s="133">
        <f t="shared" si="2"/>
        <v>0</v>
      </c>
      <c r="N16" s="133">
        <f t="shared" si="3"/>
        <v>0</v>
      </c>
      <c r="O16" s="133">
        <f t="shared" si="4"/>
        <v>0</v>
      </c>
      <c r="P16" s="168">
        <f t="shared" si="5"/>
        <v>1</v>
      </c>
      <c r="Q16" s="31"/>
      <c r="R16" s="25"/>
      <c r="S16" s="154">
        <f t="shared" si="6"/>
        <v>0.22875816993464052</v>
      </c>
      <c r="T16" s="176">
        <f t="shared" si="16"/>
        <v>0.5</v>
      </c>
      <c r="U16" s="177">
        <f t="shared" si="7"/>
        <v>1.1000000000000001</v>
      </c>
      <c r="V16" s="177">
        <f t="shared" si="8"/>
        <v>0</v>
      </c>
      <c r="W16" s="177">
        <f t="shared" si="9"/>
        <v>0</v>
      </c>
      <c r="X16" s="178">
        <f t="shared" si="10"/>
        <v>0</v>
      </c>
      <c r="Y16" s="79">
        <f t="shared" si="11"/>
        <v>900</v>
      </c>
      <c r="Z16" s="82">
        <f t="shared" si="12"/>
        <v>450</v>
      </c>
      <c r="AA16" s="82">
        <f t="shared" si="13"/>
        <v>0</v>
      </c>
      <c r="AB16" s="82">
        <f t="shared" si="14"/>
        <v>0</v>
      </c>
      <c r="AC16" s="182">
        <f t="shared" si="15"/>
        <v>0</v>
      </c>
      <c r="AK16" t="s">
        <v>25</v>
      </c>
      <c r="AL16" t="s">
        <v>69</v>
      </c>
      <c r="AM16">
        <v>0</v>
      </c>
      <c r="AN16">
        <v>0</v>
      </c>
      <c r="AO16">
        <v>0</v>
      </c>
      <c r="AP16">
        <v>900</v>
      </c>
      <c r="AQ16">
        <v>0</v>
      </c>
      <c r="AR16">
        <v>0</v>
      </c>
      <c r="AS16">
        <v>0</v>
      </c>
      <c r="AT16">
        <v>0.82499999999999996</v>
      </c>
      <c r="AU16">
        <v>0.82499999999999996</v>
      </c>
      <c r="AV16">
        <v>0</v>
      </c>
      <c r="AW16">
        <v>0</v>
      </c>
      <c r="AX16">
        <v>0</v>
      </c>
      <c r="AY16">
        <v>1</v>
      </c>
      <c r="AZ16">
        <v>0.22900000000000001</v>
      </c>
      <c r="BA16">
        <v>0</v>
      </c>
      <c r="BB16">
        <v>0</v>
      </c>
      <c r="BC16">
        <v>0.5</v>
      </c>
      <c r="BD16">
        <v>1.1000000000000001</v>
      </c>
      <c r="BE16">
        <v>0</v>
      </c>
      <c r="BF16">
        <v>0</v>
      </c>
      <c r="BG16">
        <v>0</v>
      </c>
      <c r="BH16">
        <v>900</v>
      </c>
      <c r="BI16">
        <v>450</v>
      </c>
      <c r="BJ16">
        <v>0</v>
      </c>
      <c r="BK16">
        <v>0</v>
      </c>
      <c r="BL16">
        <v>0</v>
      </c>
    </row>
    <row r="17" spans="1:64" x14ac:dyDescent="0.25">
      <c r="A17" s="2"/>
      <c r="B17" s="1" t="str">
        <f t="shared" si="0"/>
        <v>TopFlrDOAS</v>
      </c>
      <c r="C17" s="2" t="str">
        <f t="shared" si="0"/>
        <v>DOASCV</v>
      </c>
      <c r="D17" s="128">
        <f t="shared" si="0"/>
        <v>1565</v>
      </c>
      <c r="E17" s="128">
        <f t="shared" si="0"/>
        <v>0</v>
      </c>
      <c r="F17" s="128">
        <f t="shared" si="0"/>
        <v>0</v>
      </c>
      <c r="G17" s="128">
        <f t="shared" si="0"/>
        <v>0</v>
      </c>
      <c r="H17" s="25">
        <f t="shared" si="0"/>
        <v>1.486</v>
      </c>
      <c r="I17" s="25">
        <f t="shared" si="0"/>
        <v>0</v>
      </c>
      <c r="J17" s="25">
        <f t="shared" si="0"/>
        <v>0</v>
      </c>
      <c r="K17" s="28">
        <f t="shared" si="0"/>
        <v>0</v>
      </c>
      <c r="L17" s="133">
        <f t="shared" si="1"/>
        <v>1.486</v>
      </c>
      <c r="M17" s="133">
        <f t="shared" si="2"/>
        <v>1</v>
      </c>
      <c r="N17" s="133">
        <f t="shared" si="3"/>
        <v>0</v>
      </c>
      <c r="O17" s="133">
        <f t="shared" si="4"/>
        <v>0</v>
      </c>
      <c r="P17" s="168">
        <f t="shared" si="5"/>
        <v>0</v>
      </c>
      <c r="Q17" s="31"/>
      <c r="R17" s="25"/>
      <c r="S17" s="154">
        <f t="shared" si="6"/>
        <v>0</v>
      </c>
      <c r="T17" s="176">
        <f t="shared" si="16"/>
        <v>0</v>
      </c>
      <c r="U17" s="177">
        <f t="shared" si="7"/>
        <v>0</v>
      </c>
      <c r="V17" s="177">
        <f t="shared" si="8"/>
        <v>0</v>
      </c>
      <c r="W17" s="177">
        <f t="shared" si="9"/>
        <v>0</v>
      </c>
      <c r="X17" s="178">
        <f t="shared" si="10"/>
        <v>0</v>
      </c>
      <c r="Y17" s="79">
        <f t="shared" si="11"/>
        <v>0</v>
      </c>
      <c r="Z17" s="82">
        <f t="shared" si="12"/>
        <v>0</v>
      </c>
      <c r="AA17" s="82">
        <f t="shared" si="13"/>
        <v>0</v>
      </c>
      <c r="AB17" s="82">
        <f t="shared" si="14"/>
        <v>0</v>
      </c>
      <c r="AC17" s="182">
        <f t="shared" si="15"/>
        <v>0</v>
      </c>
      <c r="AK17" t="s">
        <v>17</v>
      </c>
      <c r="AL17" t="s">
        <v>140</v>
      </c>
      <c r="AM17">
        <v>1565</v>
      </c>
      <c r="AN17">
        <v>0</v>
      </c>
      <c r="AO17">
        <v>0</v>
      </c>
      <c r="AP17">
        <v>0</v>
      </c>
      <c r="AQ17">
        <v>1.486</v>
      </c>
      <c r="AR17">
        <v>0</v>
      </c>
      <c r="AS17">
        <v>0</v>
      </c>
      <c r="AT17">
        <v>0</v>
      </c>
      <c r="AU17">
        <v>1.486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5">
      <c r="A18" s="2"/>
      <c r="B18" s="4" t="str">
        <f t="shared" si="0"/>
        <v>Top SW Zones ExhSys</v>
      </c>
      <c r="C18" s="5" t="str">
        <f t="shared" si="0"/>
        <v>Exhaust</v>
      </c>
      <c r="D18" s="129">
        <f t="shared" si="0"/>
        <v>0</v>
      </c>
      <c r="E18" s="129">
        <f t="shared" si="0"/>
        <v>0</v>
      </c>
      <c r="F18" s="129">
        <f t="shared" si="0"/>
        <v>0</v>
      </c>
      <c r="G18" s="129">
        <f t="shared" si="0"/>
        <v>400</v>
      </c>
      <c r="H18" s="22">
        <f t="shared" si="0"/>
        <v>0</v>
      </c>
      <c r="I18" s="22">
        <f t="shared" si="0"/>
        <v>0</v>
      </c>
      <c r="J18" s="22">
        <f t="shared" si="0"/>
        <v>0</v>
      </c>
      <c r="K18" s="29">
        <f t="shared" si="0"/>
        <v>0.36599999999999999</v>
      </c>
      <c r="L18" s="160">
        <f t="shared" si="1"/>
        <v>0.36599999999999999</v>
      </c>
      <c r="M18" s="160">
        <f t="shared" si="2"/>
        <v>0</v>
      </c>
      <c r="N18" s="160">
        <f t="shared" si="3"/>
        <v>0</v>
      </c>
      <c r="O18" s="160">
        <f t="shared" si="4"/>
        <v>0</v>
      </c>
      <c r="P18" s="169">
        <f t="shared" si="5"/>
        <v>1</v>
      </c>
      <c r="Q18" s="32"/>
      <c r="R18" s="22"/>
      <c r="S18" s="47">
        <f t="shared" si="6"/>
        <v>0</v>
      </c>
      <c r="T18" s="179">
        <f t="shared" si="16"/>
        <v>0</v>
      </c>
      <c r="U18" s="180">
        <f t="shared" si="7"/>
        <v>0</v>
      </c>
      <c r="V18" s="180">
        <f t="shared" si="8"/>
        <v>0</v>
      </c>
      <c r="W18" s="180">
        <f t="shared" si="9"/>
        <v>0</v>
      </c>
      <c r="X18" s="181">
        <f t="shared" si="10"/>
        <v>0</v>
      </c>
      <c r="Y18" s="80">
        <f t="shared" si="11"/>
        <v>0</v>
      </c>
      <c r="Z18" s="83">
        <f t="shared" si="12"/>
        <v>0</v>
      </c>
      <c r="AA18" s="83">
        <f t="shared" si="13"/>
        <v>0</v>
      </c>
      <c r="AB18" s="83">
        <f t="shared" si="14"/>
        <v>0</v>
      </c>
      <c r="AC18" s="183">
        <f t="shared" si="15"/>
        <v>0</v>
      </c>
      <c r="AK18" t="s">
        <v>18</v>
      </c>
      <c r="AL18" t="s">
        <v>69</v>
      </c>
      <c r="AM18">
        <v>0</v>
      </c>
      <c r="AN18">
        <v>0</v>
      </c>
      <c r="AO18">
        <v>0</v>
      </c>
      <c r="AP18">
        <v>400</v>
      </c>
      <c r="AQ18">
        <v>0</v>
      </c>
      <c r="AR18">
        <v>0</v>
      </c>
      <c r="AS18">
        <v>0</v>
      </c>
      <c r="AT18">
        <v>0.36599999999999999</v>
      </c>
      <c r="AU18">
        <v>0.36599999999999999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25">
      <c r="A19" s="2"/>
    </row>
    <row r="20" spans="1:64" x14ac:dyDescent="0.25">
      <c r="A20" s="2"/>
      <c r="AK20" s="24" t="s">
        <v>141</v>
      </c>
    </row>
    <row r="21" spans="1:64" ht="31.5" x14ac:dyDescent="0.35">
      <c r="A21" s="2"/>
      <c r="B21" s="159" t="s">
        <v>175</v>
      </c>
      <c r="AK21" s="163"/>
      <c r="AL21" s="163"/>
      <c r="AM21" s="163" t="s">
        <v>120</v>
      </c>
      <c r="AN21" s="163"/>
      <c r="AO21" s="163"/>
      <c r="AP21" s="163"/>
      <c r="AQ21" s="163" t="s">
        <v>121</v>
      </c>
      <c r="AR21" s="163"/>
      <c r="AS21" s="163"/>
      <c r="AT21" s="163"/>
      <c r="AU21" s="163"/>
      <c r="AV21" s="163" t="s">
        <v>122</v>
      </c>
      <c r="AW21" s="163"/>
      <c r="AX21" s="163"/>
      <c r="AY21" s="163"/>
      <c r="AZ21" s="163" t="s">
        <v>123</v>
      </c>
      <c r="BA21" s="163"/>
      <c r="BB21" s="163"/>
    </row>
    <row r="22" spans="1:64" ht="149.25" x14ac:dyDescent="0.25">
      <c r="A22" s="2"/>
      <c r="B22" s="52" t="s">
        <v>65</v>
      </c>
      <c r="C22" s="53" t="s">
        <v>88</v>
      </c>
      <c r="D22" s="53" t="s">
        <v>26</v>
      </c>
      <c r="E22" s="53" t="s">
        <v>27</v>
      </c>
      <c r="F22" s="53" t="s">
        <v>28</v>
      </c>
      <c r="G22" s="53" t="s">
        <v>81</v>
      </c>
      <c r="H22" s="53" t="s">
        <v>34</v>
      </c>
      <c r="I22" s="53" t="s">
        <v>35</v>
      </c>
      <c r="J22" s="53" t="s">
        <v>36</v>
      </c>
      <c r="K22" s="53" t="s">
        <v>37</v>
      </c>
      <c r="L22" s="52" t="s">
        <v>63</v>
      </c>
      <c r="M22" s="53" t="s">
        <v>50</v>
      </c>
      <c r="N22" s="53" t="s">
        <v>47</v>
      </c>
      <c r="O22" s="53" t="s">
        <v>48</v>
      </c>
      <c r="P22" s="53" t="s">
        <v>49</v>
      </c>
      <c r="Q22" s="172"/>
      <c r="R22" s="72"/>
      <c r="S22" s="167" t="s">
        <v>97</v>
      </c>
      <c r="T22" s="62" t="s">
        <v>82</v>
      </c>
      <c r="U22" s="174" t="s">
        <v>177</v>
      </c>
      <c r="V22" s="175" t="s">
        <v>180</v>
      </c>
      <c r="W22" s="64" t="s">
        <v>83</v>
      </c>
      <c r="X22" s="66" t="s">
        <v>84</v>
      </c>
      <c r="Y22" s="62" t="s">
        <v>85</v>
      </c>
      <c r="Z22" s="174" t="s">
        <v>178</v>
      </c>
      <c r="AA22" s="175" t="s">
        <v>181</v>
      </c>
      <c r="AB22" s="64" t="s">
        <v>86</v>
      </c>
      <c r="AC22" s="66" t="s">
        <v>87</v>
      </c>
      <c r="AK22" s="163" t="s">
        <v>65</v>
      </c>
      <c r="AL22" s="163" t="s">
        <v>88</v>
      </c>
      <c r="AM22" s="163" t="s">
        <v>124</v>
      </c>
      <c r="AN22" s="163" t="s">
        <v>125</v>
      </c>
      <c r="AO22" s="163" t="s">
        <v>126</v>
      </c>
      <c r="AP22" s="163" t="s">
        <v>127</v>
      </c>
      <c r="AQ22" s="163" t="s">
        <v>128</v>
      </c>
      <c r="AR22" s="163" t="s">
        <v>129</v>
      </c>
      <c r="AS22" s="163" t="s">
        <v>130</v>
      </c>
      <c r="AT22" s="163" t="s">
        <v>131</v>
      </c>
      <c r="AU22" s="163" t="s">
        <v>132</v>
      </c>
      <c r="AV22" s="163" t="s">
        <v>133</v>
      </c>
      <c r="AW22" s="163" t="s">
        <v>134</v>
      </c>
      <c r="AX22" s="163" t="s">
        <v>135</v>
      </c>
      <c r="AY22" s="163" t="s">
        <v>136</v>
      </c>
      <c r="AZ22" s="163" t="s">
        <v>137</v>
      </c>
      <c r="BA22" s="163" t="s">
        <v>138</v>
      </c>
      <c r="BB22" s="163" t="s">
        <v>139</v>
      </c>
      <c r="BC22" t="s">
        <v>183</v>
      </c>
      <c r="BD22" t="s">
        <v>184</v>
      </c>
      <c r="BE22" t="s">
        <v>185</v>
      </c>
      <c r="BF22" t="s">
        <v>186</v>
      </c>
      <c r="BG22" t="s">
        <v>187</v>
      </c>
      <c r="BH22" t="s">
        <v>188</v>
      </c>
      <c r="BI22" t="s">
        <v>189</v>
      </c>
      <c r="BJ22" t="s">
        <v>190</v>
      </c>
      <c r="BK22" t="s">
        <v>191</v>
      </c>
      <c r="BL22" t="s">
        <v>192</v>
      </c>
    </row>
    <row r="23" spans="1:64" ht="15.75" thickBot="1" x14ac:dyDescent="0.3">
      <c r="A23" s="2"/>
      <c r="B23" s="11"/>
      <c r="C23" s="12"/>
      <c r="D23" s="12" t="s">
        <v>0</v>
      </c>
      <c r="E23" s="12" t="s">
        <v>0</v>
      </c>
      <c r="F23" s="12" t="s">
        <v>0</v>
      </c>
      <c r="G23" s="12" t="s">
        <v>0</v>
      </c>
      <c r="H23" s="12" t="s">
        <v>39</v>
      </c>
      <c r="I23" s="12" t="s">
        <v>39</v>
      </c>
      <c r="J23" s="12" t="s">
        <v>39</v>
      </c>
      <c r="K23" s="12" t="s">
        <v>39</v>
      </c>
      <c r="L23" s="11" t="s">
        <v>39</v>
      </c>
      <c r="M23" s="12" t="s">
        <v>38</v>
      </c>
      <c r="N23" s="12" t="s">
        <v>38</v>
      </c>
      <c r="O23" s="12" t="s">
        <v>38</v>
      </c>
      <c r="P23" s="12" t="s">
        <v>38</v>
      </c>
      <c r="Q23" s="26"/>
      <c r="R23" s="61"/>
      <c r="S23" s="173"/>
      <c r="T23" s="49"/>
      <c r="U23" s="50"/>
      <c r="V23" s="50"/>
      <c r="W23" s="50"/>
      <c r="X23" s="51"/>
      <c r="Y23" s="49"/>
      <c r="Z23" s="50"/>
      <c r="AA23" s="50"/>
      <c r="AB23" s="50"/>
      <c r="AC23" s="51"/>
      <c r="AM23" t="s">
        <v>0</v>
      </c>
      <c r="AN23" t="s">
        <v>0</v>
      </c>
      <c r="AO23" t="s">
        <v>0</v>
      </c>
      <c r="AP23" t="s">
        <v>0</v>
      </c>
      <c r="AQ23" t="s">
        <v>39</v>
      </c>
      <c r="AR23" t="s">
        <v>39</v>
      </c>
      <c r="AS23" t="s">
        <v>39</v>
      </c>
      <c r="AT23" t="s">
        <v>39</v>
      </c>
      <c r="AU23" t="s">
        <v>39</v>
      </c>
      <c r="AV23" t="s">
        <v>38</v>
      </c>
      <c r="AW23" t="s">
        <v>38</v>
      </c>
      <c r="AX23" t="s">
        <v>38</v>
      </c>
      <c r="AY23" t="s">
        <v>38</v>
      </c>
      <c r="AZ23" t="s">
        <v>92</v>
      </c>
      <c r="BA23" t="s">
        <v>92</v>
      </c>
      <c r="BB23" t="s">
        <v>92</v>
      </c>
      <c r="BC23" t="s">
        <v>193</v>
      </c>
      <c r="BD23" t="s">
        <v>193</v>
      </c>
      <c r="BE23" t="s">
        <v>193</v>
      </c>
      <c r="BF23" t="s">
        <v>193</v>
      </c>
      <c r="BG23" t="s">
        <v>193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</row>
    <row r="24" spans="1:64" ht="15.75" thickTop="1" x14ac:dyDescent="0.25">
      <c r="B24" s="1" t="str">
        <f t="shared" ref="B24:K28" si="17">AK24</f>
        <v>Perim_TopZn1_PTAC</v>
      </c>
      <c r="C24" s="2" t="str">
        <f t="shared" si="17"/>
        <v>PTAC</v>
      </c>
      <c r="D24" s="127">
        <f t="shared" si="17"/>
        <v>2000</v>
      </c>
      <c r="E24" s="127">
        <f t="shared" si="17"/>
        <v>0</v>
      </c>
      <c r="F24" s="127">
        <f t="shared" si="17"/>
        <v>0</v>
      </c>
      <c r="G24" s="127">
        <f t="shared" si="17"/>
        <v>0</v>
      </c>
      <c r="H24" s="21">
        <f t="shared" si="17"/>
        <v>0.7</v>
      </c>
      <c r="I24" s="21">
        <f t="shared" si="17"/>
        <v>0</v>
      </c>
      <c r="J24" s="21">
        <f t="shared" si="17"/>
        <v>0</v>
      </c>
      <c r="K24" s="27">
        <f t="shared" si="17"/>
        <v>0</v>
      </c>
      <c r="L24" s="158">
        <f t="shared" si="1"/>
        <v>0.7</v>
      </c>
      <c r="M24" s="158">
        <f t="shared" si="2"/>
        <v>1</v>
      </c>
      <c r="N24" s="158">
        <f t="shared" si="3"/>
        <v>0</v>
      </c>
      <c r="O24" s="158">
        <f t="shared" si="4"/>
        <v>0</v>
      </c>
      <c r="P24" s="170">
        <f t="shared" si="5"/>
        <v>0</v>
      </c>
      <c r="Q24" s="30"/>
      <c r="R24" s="21"/>
      <c r="S24" s="171">
        <f>SUMPRODUCT(T24:X24,Y24:AC24)/4131</f>
        <v>0</v>
      </c>
      <c r="T24" s="176">
        <f t="shared" ref="T24:T28" si="18">BC24</f>
        <v>0</v>
      </c>
      <c r="U24" s="177">
        <f t="shared" ref="U24:U28" si="19">BD24</f>
        <v>0</v>
      </c>
      <c r="V24" s="177">
        <f t="shared" ref="V24:V28" si="20">BE24</f>
        <v>0</v>
      </c>
      <c r="W24" s="177">
        <f t="shared" ref="W24:W28" si="21">BF24</f>
        <v>0</v>
      </c>
      <c r="X24" s="178">
        <f t="shared" ref="X24:X28" si="22">BG24</f>
        <v>0</v>
      </c>
      <c r="Y24" s="79">
        <f t="shared" ref="Y24:Y28" si="23">BH24</f>
        <v>0</v>
      </c>
      <c r="Z24" s="82">
        <f t="shared" ref="Z24:Z28" si="24">BI24</f>
        <v>0</v>
      </c>
      <c r="AA24" s="82">
        <f t="shared" ref="AA24:AA28" si="25">BJ24</f>
        <v>0</v>
      </c>
      <c r="AB24" s="82">
        <f t="shared" ref="AB24:AB28" si="26">BK24</f>
        <v>0</v>
      </c>
      <c r="AC24" s="182">
        <f t="shared" ref="AC24:AC28" si="27">BL24</f>
        <v>0</v>
      </c>
      <c r="AK24" t="s">
        <v>13</v>
      </c>
      <c r="AL24" t="s">
        <v>71</v>
      </c>
      <c r="AM24">
        <v>2000</v>
      </c>
      <c r="AN24">
        <v>0</v>
      </c>
      <c r="AO24">
        <v>0</v>
      </c>
      <c r="AP24">
        <v>0</v>
      </c>
      <c r="AQ24">
        <v>0.7</v>
      </c>
      <c r="AR24">
        <v>0</v>
      </c>
      <c r="AS24">
        <v>0</v>
      </c>
      <c r="AT24">
        <v>0</v>
      </c>
      <c r="AU24">
        <v>0.7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5">
      <c r="B25" s="1" t="str">
        <f t="shared" si="17"/>
        <v>Perim_TopZn2_PTAC</v>
      </c>
      <c r="C25" s="2" t="str">
        <f t="shared" si="17"/>
        <v>PTAC</v>
      </c>
      <c r="D25" s="128">
        <f t="shared" si="17"/>
        <v>2000</v>
      </c>
      <c r="E25" s="128">
        <f t="shared" si="17"/>
        <v>0</v>
      </c>
      <c r="F25" s="128">
        <f t="shared" si="17"/>
        <v>0</v>
      </c>
      <c r="G25" s="128">
        <f t="shared" si="17"/>
        <v>0</v>
      </c>
      <c r="H25" s="25">
        <f t="shared" si="17"/>
        <v>0.7</v>
      </c>
      <c r="I25" s="25">
        <f t="shared" si="17"/>
        <v>0</v>
      </c>
      <c r="J25" s="25">
        <f t="shared" si="17"/>
        <v>0</v>
      </c>
      <c r="K25" s="28">
        <f t="shared" si="17"/>
        <v>0</v>
      </c>
      <c r="L25" s="133">
        <f t="shared" si="1"/>
        <v>0.7</v>
      </c>
      <c r="M25" s="133">
        <f t="shared" si="2"/>
        <v>1</v>
      </c>
      <c r="N25" s="133">
        <f t="shared" si="3"/>
        <v>0</v>
      </c>
      <c r="O25" s="133">
        <f t="shared" si="4"/>
        <v>0</v>
      </c>
      <c r="P25" s="168">
        <f t="shared" si="5"/>
        <v>0</v>
      </c>
      <c r="Q25" s="31"/>
      <c r="R25" s="25"/>
      <c r="S25" s="154">
        <f>SUMPRODUCT(T25:X25,Y25:AC25)/4131</f>
        <v>0</v>
      </c>
      <c r="T25" s="176">
        <f t="shared" si="18"/>
        <v>0</v>
      </c>
      <c r="U25" s="177">
        <f t="shared" si="19"/>
        <v>0</v>
      </c>
      <c r="V25" s="177">
        <f t="shared" si="20"/>
        <v>0</v>
      </c>
      <c r="W25" s="177">
        <f t="shared" si="21"/>
        <v>0</v>
      </c>
      <c r="X25" s="178">
        <f t="shared" si="22"/>
        <v>0</v>
      </c>
      <c r="Y25" s="79">
        <f t="shared" si="23"/>
        <v>0</v>
      </c>
      <c r="Z25" s="82">
        <f t="shared" si="24"/>
        <v>0</v>
      </c>
      <c r="AA25" s="82">
        <f t="shared" si="25"/>
        <v>0</v>
      </c>
      <c r="AB25" s="82">
        <f t="shared" si="26"/>
        <v>0</v>
      </c>
      <c r="AC25" s="182">
        <f t="shared" si="27"/>
        <v>0</v>
      </c>
      <c r="AK25" t="s">
        <v>14</v>
      </c>
      <c r="AL25" t="s">
        <v>71</v>
      </c>
      <c r="AM25">
        <v>2000</v>
      </c>
      <c r="AN25">
        <v>0</v>
      </c>
      <c r="AO25">
        <v>0</v>
      </c>
      <c r="AP25">
        <v>0</v>
      </c>
      <c r="AQ25">
        <v>0.7</v>
      </c>
      <c r="AR25">
        <v>0</v>
      </c>
      <c r="AS25">
        <v>0</v>
      </c>
      <c r="AT25">
        <v>0</v>
      </c>
      <c r="AU25">
        <v>0.7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5">
      <c r="B26" s="1" t="str">
        <f t="shared" si="17"/>
        <v>Perim_TopZn3_PTAC</v>
      </c>
      <c r="C26" s="2" t="str">
        <f t="shared" si="17"/>
        <v>PTAC</v>
      </c>
      <c r="D26" s="128">
        <f t="shared" si="17"/>
        <v>2000</v>
      </c>
      <c r="E26" s="128">
        <f t="shared" si="17"/>
        <v>0</v>
      </c>
      <c r="F26" s="128">
        <f t="shared" si="17"/>
        <v>0</v>
      </c>
      <c r="G26" s="128">
        <f t="shared" si="17"/>
        <v>0</v>
      </c>
      <c r="H26" s="25">
        <f t="shared" si="17"/>
        <v>0.7</v>
      </c>
      <c r="I26" s="25">
        <f t="shared" si="17"/>
        <v>0</v>
      </c>
      <c r="J26" s="25">
        <f t="shared" si="17"/>
        <v>0</v>
      </c>
      <c r="K26" s="28">
        <f t="shared" si="17"/>
        <v>0</v>
      </c>
      <c r="L26" s="133">
        <f t="shared" si="1"/>
        <v>0.7</v>
      </c>
      <c r="M26" s="133">
        <f t="shared" si="2"/>
        <v>1</v>
      </c>
      <c r="N26" s="133">
        <f t="shared" si="3"/>
        <v>0</v>
      </c>
      <c r="O26" s="133">
        <f t="shared" si="4"/>
        <v>0</v>
      </c>
      <c r="P26" s="168">
        <f t="shared" si="5"/>
        <v>0</v>
      </c>
      <c r="Q26" s="31"/>
      <c r="R26" s="25"/>
      <c r="S26" s="154">
        <f>SUMPRODUCT(T26:X26,Y26:AC26)/4131</f>
        <v>0</v>
      </c>
      <c r="T26" s="176">
        <f t="shared" si="18"/>
        <v>0</v>
      </c>
      <c r="U26" s="177">
        <f t="shared" si="19"/>
        <v>0</v>
      </c>
      <c r="V26" s="177">
        <f t="shared" si="20"/>
        <v>0</v>
      </c>
      <c r="W26" s="177">
        <f t="shared" si="21"/>
        <v>0</v>
      </c>
      <c r="X26" s="178">
        <f t="shared" si="22"/>
        <v>0</v>
      </c>
      <c r="Y26" s="79">
        <f t="shared" si="23"/>
        <v>0</v>
      </c>
      <c r="Z26" s="82">
        <f t="shared" si="24"/>
        <v>0</v>
      </c>
      <c r="AA26" s="82">
        <f t="shared" si="25"/>
        <v>0</v>
      </c>
      <c r="AB26" s="82">
        <f t="shared" si="26"/>
        <v>0</v>
      </c>
      <c r="AC26" s="182">
        <f t="shared" si="27"/>
        <v>0</v>
      </c>
      <c r="AK26" t="s">
        <v>15</v>
      </c>
      <c r="AL26" t="s">
        <v>71</v>
      </c>
      <c r="AM26">
        <v>2000</v>
      </c>
      <c r="AN26">
        <v>0</v>
      </c>
      <c r="AO26">
        <v>0</v>
      </c>
      <c r="AP26">
        <v>0</v>
      </c>
      <c r="AQ26">
        <v>0.7</v>
      </c>
      <c r="AR26">
        <v>0</v>
      </c>
      <c r="AS26">
        <v>0</v>
      </c>
      <c r="AT26">
        <v>0</v>
      </c>
      <c r="AU26">
        <v>0.7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5">
      <c r="B27" s="1" t="str">
        <f t="shared" si="17"/>
        <v>Perim_TopZn4_PTAC</v>
      </c>
      <c r="C27" s="2" t="str">
        <f t="shared" si="17"/>
        <v>PTAC</v>
      </c>
      <c r="D27" s="128">
        <f t="shared" si="17"/>
        <v>2000</v>
      </c>
      <c r="E27" s="128">
        <f t="shared" si="17"/>
        <v>0</v>
      </c>
      <c r="F27" s="128">
        <f t="shared" si="17"/>
        <v>0</v>
      </c>
      <c r="G27" s="128">
        <f t="shared" si="17"/>
        <v>0</v>
      </c>
      <c r="H27" s="25">
        <f t="shared" si="17"/>
        <v>0.7</v>
      </c>
      <c r="I27" s="25">
        <f t="shared" si="17"/>
        <v>0</v>
      </c>
      <c r="J27" s="25">
        <f t="shared" si="17"/>
        <v>0</v>
      </c>
      <c r="K27" s="28">
        <f t="shared" si="17"/>
        <v>0</v>
      </c>
      <c r="L27" s="133">
        <f t="shared" si="1"/>
        <v>0.7</v>
      </c>
      <c r="M27" s="133">
        <f t="shared" si="2"/>
        <v>1</v>
      </c>
      <c r="N27" s="133">
        <f t="shared" si="3"/>
        <v>0</v>
      </c>
      <c r="O27" s="133">
        <f t="shared" si="4"/>
        <v>0</v>
      </c>
      <c r="P27" s="168">
        <f t="shared" si="5"/>
        <v>0</v>
      </c>
      <c r="Q27" s="31"/>
      <c r="R27" s="25"/>
      <c r="S27" s="154">
        <f>SUMPRODUCT(T27:X27,Y27:AC27)/4131</f>
        <v>0</v>
      </c>
      <c r="T27" s="176">
        <f t="shared" si="18"/>
        <v>0</v>
      </c>
      <c r="U27" s="177">
        <f t="shared" si="19"/>
        <v>0</v>
      </c>
      <c r="V27" s="177">
        <f t="shared" si="20"/>
        <v>0</v>
      </c>
      <c r="W27" s="177">
        <f t="shared" si="21"/>
        <v>0</v>
      </c>
      <c r="X27" s="178">
        <f t="shared" si="22"/>
        <v>0</v>
      </c>
      <c r="Y27" s="79">
        <f t="shared" si="23"/>
        <v>0</v>
      </c>
      <c r="Z27" s="82">
        <f t="shared" si="24"/>
        <v>0</v>
      </c>
      <c r="AA27" s="82">
        <f t="shared" si="25"/>
        <v>0</v>
      </c>
      <c r="AB27" s="82">
        <f t="shared" si="26"/>
        <v>0</v>
      </c>
      <c r="AC27" s="182">
        <f t="shared" si="27"/>
        <v>0</v>
      </c>
      <c r="AD27" s="48"/>
      <c r="AK27" t="s">
        <v>16</v>
      </c>
      <c r="AL27" t="s">
        <v>71</v>
      </c>
      <c r="AM27">
        <v>2000</v>
      </c>
      <c r="AN27">
        <v>0</v>
      </c>
      <c r="AO27">
        <v>0</v>
      </c>
      <c r="AP27">
        <v>0</v>
      </c>
      <c r="AQ27">
        <v>0.7</v>
      </c>
      <c r="AR27">
        <v>0</v>
      </c>
      <c r="AS27">
        <v>0</v>
      </c>
      <c r="AT27">
        <v>0</v>
      </c>
      <c r="AU27">
        <v>0.7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5">
      <c r="B28" s="4" t="str">
        <f t="shared" si="17"/>
        <v>Core_TopZn_PTAC</v>
      </c>
      <c r="C28" s="5" t="str">
        <f t="shared" si="17"/>
        <v>PTAC</v>
      </c>
      <c r="D28" s="129">
        <f t="shared" si="17"/>
        <v>3000</v>
      </c>
      <c r="E28" s="129">
        <f t="shared" si="17"/>
        <v>0</v>
      </c>
      <c r="F28" s="129">
        <f t="shared" si="17"/>
        <v>0</v>
      </c>
      <c r="G28" s="129">
        <f t="shared" si="17"/>
        <v>0</v>
      </c>
      <c r="H28" s="22">
        <f t="shared" si="17"/>
        <v>1.05</v>
      </c>
      <c r="I28" s="22">
        <f t="shared" si="17"/>
        <v>0</v>
      </c>
      <c r="J28" s="22">
        <f t="shared" si="17"/>
        <v>0</v>
      </c>
      <c r="K28" s="29">
        <f t="shared" si="17"/>
        <v>0</v>
      </c>
      <c r="L28" s="160">
        <f t="shared" si="1"/>
        <v>1.05</v>
      </c>
      <c r="M28" s="160">
        <f t="shared" si="2"/>
        <v>1</v>
      </c>
      <c r="N28" s="160">
        <f t="shared" si="3"/>
        <v>0</v>
      </c>
      <c r="O28" s="160">
        <f t="shared" si="4"/>
        <v>0</v>
      </c>
      <c r="P28" s="169">
        <f t="shared" si="5"/>
        <v>0</v>
      </c>
      <c r="Q28" s="32"/>
      <c r="R28" s="22"/>
      <c r="S28" s="47">
        <f>SUMPRODUCT(T28:X28,Y28:AC28)/4131</f>
        <v>0</v>
      </c>
      <c r="T28" s="176">
        <f t="shared" si="18"/>
        <v>0</v>
      </c>
      <c r="U28" s="177">
        <f t="shared" si="19"/>
        <v>0</v>
      </c>
      <c r="V28" s="177">
        <f t="shared" si="20"/>
        <v>0</v>
      </c>
      <c r="W28" s="177">
        <f t="shared" si="21"/>
        <v>0</v>
      </c>
      <c r="X28" s="178">
        <f t="shared" si="22"/>
        <v>0</v>
      </c>
      <c r="Y28" s="79">
        <f t="shared" si="23"/>
        <v>0</v>
      </c>
      <c r="Z28" s="82">
        <f t="shared" si="24"/>
        <v>0</v>
      </c>
      <c r="AA28" s="82">
        <f t="shared" si="25"/>
        <v>0</v>
      </c>
      <c r="AB28" s="82">
        <f t="shared" si="26"/>
        <v>0</v>
      </c>
      <c r="AC28" s="182">
        <f t="shared" si="27"/>
        <v>0</v>
      </c>
      <c r="AK28" t="s">
        <v>12</v>
      </c>
      <c r="AL28" t="s">
        <v>71</v>
      </c>
      <c r="AM28">
        <v>3000</v>
      </c>
      <c r="AN28">
        <v>0</v>
      </c>
      <c r="AO28">
        <v>0</v>
      </c>
      <c r="AP28">
        <v>0</v>
      </c>
      <c r="AQ28">
        <v>1.05</v>
      </c>
      <c r="AR28">
        <v>0</v>
      </c>
      <c r="AS28">
        <v>0</v>
      </c>
      <c r="AT28">
        <v>0</v>
      </c>
      <c r="AU28">
        <v>1.05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5">
      <c r="R29" s="2"/>
      <c r="Y29" s="2"/>
      <c r="AE29" s="48"/>
    </row>
    <row r="30" spans="1:64" x14ac:dyDescent="0.25">
      <c r="R30" s="2"/>
      <c r="Y30" s="2"/>
      <c r="AE30" s="48"/>
      <c r="AK30" s="24" t="s">
        <v>43</v>
      </c>
    </row>
    <row r="31" spans="1:64" ht="30" x14ac:dyDescent="0.25">
      <c r="I31" s="48"/>
      <c r="AK31" s="163"/>
      <c r="AL31" s="163"/>
      <c r="AM31" s="163"/>
      <c r="AN31" s="163"/>
      <c r="AO31" s="163"/>
      <c r="AP31" s="163"/>
      <c r="AQ31" s="163" t="s">
        <v>120</v>
      </c>
      <c r="AR31" s="163"/>
      <c r="AS31" s="163"/>
      <c r="AT31" s="163" t="s">
        <v>145</v>
      </c>
      <c r="AU31" s="163"/>
      <c r="AV31" s="163"/>
      <c r="AW31" s="163" t="s">
        <v>146</v>
      </c>
      <c r="AX31" s="163"/>
      <c r="AY31" s="163"/>
      <c r="AZ31" s="163"/>
      <c r="BA31" s="163"/>
      <c r="BB31" s="163" t="s">
        <v>123</v>
      </c>
      <c r="BC31" s="163"/>
      <c r="BD31" s="163"/>
    </row>
    <row r="32" spans="1:64" ht="159.75" x14ac:dyDescent="0.25">
      <c r="B32" s="15" t="s">
        <v>43</v>
      </c>
      <c r="C32" s="16" t="s">
        <v>40</v>
      </c>
      <c r="D32" s="16" t="s">
        <v>41</v>
      </c>
      <c r="E32" s="10" t="s">
        <v>42</v>
      </c>
      <c r="F32" s="52" t="s">
        <v>29</v>
      </c>
      <c r="G32" s="53" t="s">
        <v>30</v>
      </c>
      <c r="H32" s="54" t="s">
        <v>31</v>
      </c>
      <c r="I32" s="52" t="s">
        <v>4</v>
      </c>
      <c r="J32" s="53" t="s">
        <v>5</v>
      </c>
      <c r="K32" s="54" t="s">
        <v>6</v>
      </c>
      <c r="L32" s="52" t="s">
        <v>53</v>
      </c>
      <c r="M32" s="53" t="s">
        <v>56</v>
      </c>
      <c r="N32" s="53" t="s">
        <v>59</v>
      </c>
      <c r="O32" s="55" t="s">
        <v>60</v>
      </c>
      <c r="P32" s="55" t="s">
        <v>46</v>
      </c>
      <c r="Q32" s="172" t="s">
        <v>99</v>
      </c>
      <c r="R32" s="72" t="s">
        <v>100</v>
      </c>
      <c r="S32" s="167" t="s">
        <v>93</v>
      </c>
      <c r="T32" s="63" t="s">
        <v>89</v>
      </c>
      <c r="U32" s="174" t="s">
        <v>179</v>
      </c>
      <c r="V32" s="175" t="s">
        <v>182</v>
      </c>
      <c r="W32" s="64" t="s">
        <v>90</v>
      </c>
      <c r="X32" s="66" t="s">
        <v>91</v>
      </c>
      <c r="AK32" s="163" t="s">
        <v>142</v>
      </c>
      <c r="AL32" s="163" t="s">
        <v>147</v>
      </c>
      <c r="AM32" s="163" t="s">
        <v>148</v>
      </c>
      <c r="AN32" s="163" t="s">
        <v>149</v>
      </c>
      <c r="AO32" s="163" t="s">
        <v>150</v>
      </c>
      <c r="AP32" s="163" t="s">
        <v>151</v>
      </c>
      <c r="AQ32" s="163" t="s">
        <v>152</v>
      </c>
      <c r="AR32" s="163" t="s">
        <v>153</v>
      </c>
      <c r="AS32" s="163" t="s">
        <v>154</v>
      </c>
      <c r="AT32" s="163" t="s">
        <v>155</v>
      </c>
      <c r="AU32" s="163" t="s">
        <v>156</v>
      </c>
      <c r="AV32" s="163" t="s">
        <v>157</v>
      </c>
      <c r="AW32" s="163" t="s">
        <v>158</v>
      </c>
      <c r="AX32" s="163" t="s">
        <v>159</v>
      </c>
      <c r="AY32" s="163" t="s">
        <v>160</v>
      </c>
      <c r="AZ32" s="163" t="s">
        <v>161</v>
      </c>
      <c r="BA32" s="163" t="s">
        <v>162</v>
      </c>
      <c r="BB32" s="163" t="s">
        <v>163</v>
      </c>
      <c r="BC32" s="163" t="s">
        <v>164</v>
      </c>
      <c r="BD32" s="163" t="s">
        <v>165</v>
      </c>
      <c r="BE32" t="s">
        <v>194</v>
      </c>
      <c r="BF32" t="s">
        <v>195</v>
      </c>
      <c r="BG32" t="s">
        <v>196</v>
      </c>
      <c r="BH32" t="s">
        <v>197</v>
      </c>
      <c r="BI32" t="s">
        <v>198</v>
      </c>
    </row>
    <row r="33" spans="2:61" ht="15.75" thickBot="1" x14ac:dyDescent="0.3">
      <c r="B33" s="11"/>
      <c r="C33" s="12"/>
      <c r="D33" s="12"/>
      <c r="E33" s="13"/>
      <c r="F33" s="11" t="s">
        <v>0</v>
      </c>
      <c r="G33" s="12" t="s">
        <v>0</v>
      </c>
      <c r="H33" s="13" t="s">
        <v>0</v>
      </c>
      <c r="I33" s="11" t="s">
        <v>38</v>
      </c>
      <c r="J33" s="12" t="s">
        <v>38</v>
      </c>
      <c r="K33" s="13" t="s">
        <v>38</v>
      </c>
      <c r="L33" s="11" t="s">
        <v>39</v>
      </c>
      <c r="M33" s="12" t="s">
        <v>39</v>
      </c>
      <c r="N33" s="12" t="s">
        <v>39</v>
      </c>
      <c r="O33" s="12" t="s">
        <v>39</v>
      </c>
      <c r="P33" s="12" t="s">
        <v>39</v>
      </c>
      <c r="Q33" s="26" t="s">
        <v>92</v>
      </c>
      <c r="R33" s="61" t="s">
        <v>92</v>
      </c>
      <c r="S33" s="173" t="s">
        <v>92</v>
      </c>
      <c r="T33" s="61" t="s">
        <v>92</v>
      </c>
      <c r="U33" s="61" t="s">
        <v>92</v>
      </c>
      <c r="V33" s="61" t="s">
        <v>92</v>
      </c>
      <c r="W33" s="61" t="s">
        <v>92</v>
      </c>
      <c r="X33" s="173" t="s">
        <v>92</v>
      </c>
      <c r="AO33" t="s">
        <v>166</v>
      </c>
      <c r="AQ33" t="s">
        <v>0</v>
      </c>
      <c r="AR33" t="s">
        <v>0</v>
      </c>
      <c r="AS33" t="s">
        <v>0</v>
      </c>
      <c r="AT33" t="s">
        <v>38</v>
      </c>
      <c r="AU33" t="s">
        <v>38</v>
      </c>
      <c r="AV33" t="s">
        <v>38</v>
      </c>
      <c r="AW33" t="s">
        <v>39</v>
      </c>
      <c r="AX33" t="s">
        <v>39</v>
      </c>
      <c r="AY33" t="s">
        <v>39</v>
      </c>
      <c r="AZ33" t="s">
        <v>39</v>
      </c>
      <c r="BA33" t="s">
        <v>39</v>
      </c>
      <c r="BB33" t="s">
        <v>92</v>
      </c>
      <c r="BC33" t="s">
        <v>92</v>
      </c>
      <c r="BD33" t="s">
        <v>92</v>
      </c>
      <c r="BE33" t="s">
        <v>92</v>
      </c>
      <c r="BF33" t="s">
        <v>92</v>
      </c>
      <c r="BG33" t="s">
        <v>92</v>
      </c>
      <c r="BH33" t="s">
        <v>92</v>
      </c>
      <c r="BI33" t="s">
        <v>92</v>
      </c>
    </row>
    <row r="34" spans="2:61" ht="15.75" thickTop="1" x14ac:dyDescent="0.25">
      <c r="B34" s="1" t="str">
        <f t="shared" ref="B34:B51" si="28">AK34</f>
        <v>Core_bottom Thermal Zone</v>
      </c>
      <c r="C34" s="2" t="str">
        <f t="shared" ref="C34:C51" si="29">AL34</f>
        <v>BottomVAV</v>
      </c>
      <c r="D34" s="2" t="str">
        <f t="shared" ref="D34:D51" si="30">AM34</f>
        <v>BottomVAV</v>
      </c>
      <c r="E34" s="3" t="str">
        <f t="shared" ref="E34:E51" si="31">AN34</f>
        <v>NONE</v>
      </c>
      <c r="F34" s="14">
        <f t="shared" ref="F34:F51" si="32">AQ34</f>
        <v>10586.7</v>
      </c>
      <c r="G34" s="14">
        <f t="shared" ref="G34:G51" si="33">AR34</f>
        <v>10586.7</v>
      </c>
      <c r="H34" s="14">
        <f t="shared" ref="H34:H51" si="34">AS34</f>
        <v>0</v>
      </c>
      <c r="I34" s="46">
        <f t="shared" ref="I34:I51" si="35">IFERROR(F34/SUMIFS($D$13:$D$28,$B$13:$B$28,C34),0)</f>
        <v>0.59223311833250358</v>
      </c>
      <c r="J34" s="46">
        <f t="shared" ref="J34:J51" si="36">IF($C34=$D34,0,IFERROR(G34/SUMIFS($D$13:$D$28,$B$13:$B$28,D34),0))</f>
        <v>0</v>
      </c>
      <c r="K34" s="46">
        <f t="shared" ref="K34:K51" si="37">IFERROR(H34/SUMIFS($G$13:$G$28,$B$13:$B$28,E34),0)</f>
        <v>0</v>
      </c>
      <c r="L34" s="46">
        <f t="shared" ref="L34:L51" si="38">$I34*SUMIFS($H$13:$H$28,$B$13:$B$28,$C34)+IF($C34=$D34,0,$J34*SUMIFS($H$13:$H$28,$B$13:$B$28,$D34))</f>
        <v>9.3507687053518982</v>
      </c>
      <c r="M34" s="46">
        <f t="shared" ref="M34:M51" si="39">$I34*SUMIFS($I$13:$I$28,$B$13:$B$28,$C34)+IF($C34=$D34,0,$J34*SUMIFS($I$13:$I$28,$B$13:$B$28,$D34))</f>
        <v>0</v>
      </c>
      <c r="N34" s="46">
        <f t="shared" ref="N34:N51" si="40">$I34*SUMIFS($J$13:$J$28,$B$13:$B$28,$C34)+IF($C34=$D34,0,$J34*SUMIFS($J$13:$J$28,$B$13:$B$28,$D34))</f>
        <v>2.5773985309830558</v>
      </c>
      <c r="O34" s="46">
        <f t="shared" ref="O34:O51" si="41">$K34*SUMIFS($K$13:$K$28,$B$13:$B$28,$E34)</f>
        <v>0</v>
      </c>
      <c r="P34" s="96">
        <f>SUM(L34:O34)</f>
        <v>11.928167236334954</v>
      </c>
      <c r="Q34" s="153">
        <f t="shared" ref="Q34:Q51" si="42">SUM(T34:U34)</f>
        <v>0</v>
      </c>
      <c r="R34" s="94">
        <f t="shared" ref="R34:R51" si="43">SUM(V34:X34)</f>
        <v>4.2926077162274243</v>
      </c>
      <c r="S34" s="133">
        <f t="shared" ref="S34:S51" si="44">SUM(T34:U34,V34:X34)</f>
        <v>4.2926077162274243</v>
      </c>
      <c r="T34" s="94">
        <f t="shared" ref="T34:T51" si="45">SUMIFS(T$13:T$28,$B$13:$B$28,$E34)*SUMIFS(Y$13:Y$28,$B$13:$B$28,$E34)*$K34/4131</f>
        <v>0</v>
      </c>
      <c r="U34" s="94">
        <f t="shared" ref="U34:U51" si="46">SUMIFS(U$13:U$28,$B$13:$B$28,$E34)*SUMIFS(Z$13:Z$28,$B$13:$B$28,$E34)*$K34/4131</f>
        <v>0</v>
      </c>
      <c r="V34" s="94">
        <f t="shared" ref="V34:V51" si="47">((SUMIFS(V$13:V$28,$B$13:$B$28,$C34)*SUMIFS(AA$13:AA$28,$B$13:$B$28,$C34)*$I34)+(SUMIFS(V$13:V$28,$B$13:$B$28,$D34)*SUMIFS(AA$13:AA$28,$B$13:$B$28,$D34)*$J34))/4131</f>
        <v>1.217296395003943</v>
      </c>
      <c r="W34" s="94">
        <f t="shared" ref="W34:W51" si="48">((SUMIFS(W$13:W$28,$B$13:$B$28,$C34)*SUMIFS(AB$13:AB$28,$B$13:$B$28,$C34)*$I34)+(SUMIFS(W$13:W$28,$B$13:$B$28,$D34)*SUMIFS(AB$13:AB$28,$B$13:$B$28,$D34)*$J34))/4131</f>
        <v>3.0753113212234813</v>
      </c>
      <c r="X34" s="154">
        <f t="shared" ref="X34:X51" si="49">((SUMIFS(X$13:X$28,$B$13:$B$28,$C34)*SUMIFS(AC$13:AC$28,$B$13:$B$28,$C34)*$I34)+(SUMIFS(X$13:X$28,$B$13:$B$28,$D34)*SUMIFS(AC$13:AC$28,$B$13:$B$28,$D34)*$J34))/4131</f>
        <v>0</v>
      </c>
      <c r="AK34" t="s">
        <v>72</v>
      </c>
      <c r="AL34" t="s">
        <v>66</v>
      </c>
      <c r="AM34" t="s">
        <v>66</v>
      </c>
      <c r="AN34" t="s">
        <v>80</v>
      </c>
      <c r="AO34">
        <v>10586.7</v>
      </c>
      <c r="AP34">
        <v>1</v>
      </c>
      <c r="AQ34">
        <v>10586.7</v>
      </c>
      <c r="AR34">
        <v>10586.7</v>
      </c>
      <c r="AS34">
        <v>0</v>
      </c>
      <c r="AT34">
        <v>0.59199999999999997</v>
      </c>
      <c r="AU34">
        <v>0</v>
      </c>
      <c r="AV34">
        <v>0</v>
      </c>
      <c r="AW34">
        <v>9.3510000000000009</v>
      </c>
      <c r="AX34">
        <v>0</v>
      </c>
      <c r="AY34">
        <v>2.577</v>
      </c>
      <c r="AZ34">
        <v>0</v>
      </c>
      <c r="BA34">
        <v>11.928000000000001</v>
      </c>
      <c r="BB34">
        <v>0</v>
      </c>
      <c r="BC34">
        <v>4.2990000000000004</v>
      </c>
      <c r="BD34">
        <v>4.2990000000000004</v>
      </c>
      <c r="BE34">
        <v>0</v>
      </c>
      <c r="BF34">
        <v>0</v>
      </c>
      <c r="BG34">
        <v>1.2190000000000001</v>
      </c>
      <c r="BH34">
        <v>3.08</v>
      </c>
      <c r="BI34">
        <v>0</v>
      </c>
    </row>
    <row r="35" spans="2:61" x14ac:dyDescent="0.25">
      <c r="B35" s="1" t="str">
        <f t="shared" si="28"/>
        <v>Perimeter_bot_ZN_1 Thermal Zone</v>
      </c>
      <c r="C35" s="2" t="str">
        <f t="shared" si="29"/>
        <v>BottomVAV</v>
      </c>
      <c r="D35" s="2" t="str">
        <f t="shared" si="30"/>
        <v>BottomVAV</v>
      </c>
      <c r="E35" s="3" t="str">
        <f t="shared" si="31"/>
        <v>NONE</v>
      </c>
      <c r="F35" s="14">
        <f t="shared" si="32"/>
        <v>2231.8000000000002</v>
      </c>
      <c r="G35" s="14">
        <f t="shared" si="33"/>
        <v>2231.8000000000002</v>
      </c>
      <c r="H35" s="14">
        <f t="shared" si="34"/>
        <v>0</v>
      </c>
      <c r="I35" s="46">
        <f t="shared" si="35"/>
        <v>0.12484965791932154</v>
      </c>
      <c r="J35" s="46">
        <f t="shared" si="36"/>
        <v>0</v>
      </c>
      <c r="K35" s="46">
        <f t="shared" si="37"/>
        <v>0</v>
      </c>
      <c r="L35" s="46">
        <f t="shared" si="38"/>
        <v>1.9712512488881677</v>
      </c>
      <c r="M35" s="46">
        <f t="shared" si="39"/>
        <v>0</v>
      </c>
      <c r="N35" s="46">
        <f t="shared" si="40"/>
        <v>0.5433457112648874</v>
      </c>
      <c r="O35" s="46">
        <f t="shared" si="41"/>
        <v>0</v>
      </c>
      <c r="P35" s="96">
        <f t="shared" ref="P35:P51" si="50">SUM(L35:O35)</f>
        <v>2.5145969601530549</v>
      </c>
      <c r="Q35" s="153">
        <f t="shared" si="42"/>
        <v>0</v>
      </c>
      <c r="R35" s="94">
        <f t="shared" si="43"/>
        <v>0.90493183910721608</v>
      </c>
      <c r="S35" s="133">
        <f t="shared" si="44"/>
        <v>0.90493183910721608</v>
      </c>
      <c r="T35" s="94">
        <f t="shared" si="45"/>
        <v>0</v>
      </c>
      <c r="U35" s="94">
        <f t="shared" si="46"/>
        <v>0</v>
      </c>
      <c r="V35" s="94">
        <f t="shared" si="47"/>
        <v>0.25662029663349289</v>
      </c>
      <c r="W35" s="94">
        <f t="shared" si="48"/>
        <v>0.64831154247372313</v>
      </c>
      <c r="X35" s="154">
        <f t="shared" si="49"/>
        <v>0</v>
      </c>
      <c r="AK35" t="s">
        <v>73</v>
      </c>
      <c r="AL35" t="s">
        <v>66</v>
      </c>
      <c r="AM35" t="s">
        <v>66</v>
      </c>
      <c r="AN35" t="s">
        <v>80</v>
      </c>
      <c r="AO35">
        <v>2231.8000000000002</v>
      </c>
      <c r="AP35">
        <v>1</v>
      </c>
      <c r="AQ35">
        <v>2231.8000000000002</v>
      </c>
      <c r="AR35">
        <v>2231.8000000000002</v>
      </c>
      <c r="AS35">
        <v>0</v>
      </c>
      <c r="AT35">
        <v>0.125</v>
      </c>
      <c r="AU35">
        <v>0</v>
      </c>
      <c r="AV35">
        <v>0</v>
      </c>
      <c r="AW35">
        <v>1.9710000000000001</v>
      </c>
      <c r="AX35">
        <v>0</v>
      </c>
      <c r="AY35">
        <v>0.54300000000000004</v>
      </c>
      <c r="AZ35">
        <v>0</v>
      </c>
      <c r="BA35">
        <v>2.5150000000000001</v>
      </c>
      <c r="BB35">
        <v>0</v>
      </c>
      <c r="BC35">
        <v>0.90600000000000003</v>
      </c>
      <c r="BD35">
        <v>0.90600000000000003</v>
      </c>
      <c r="BE35">
        <v>0</v>
      </c>
      <c r="BF35">
        <v>0</v>
      </c>
      <c r="BG35">
        <v>0.25700000000000001</v>
      </c>
      <c r="BH35">
        <v>0.64900000000000002</v>
      </c>
      <c r="BI35">
        <v>0</v>
      </c>
    </row>
    <row r="36" spans="2:61" x14ac:dyDescent="0.25">
      <c r="B36" s="1" t="str">
        <f t="shared" si="28"/>
        <v>Perimeter_bot_ZN_2 Thermal Zone</v>
      </c>
      <c r="C36" s="2" t="str">
        <f t="shared" si="29"/>
        <v>BottomVAV</v>
      </c>
      <c r="D36" s="2" t="str">
        <f t="shared" si="30"/>
        <v>BottomVAV</v>
      </c>
      <c r="E36" s="3" t="str">
        <f t="shared" si="31"/>
        <v>NONE</v>
      </c>
      <c r="F36" s="14">
        <f t="shared" si="32"/>
        <v>1412.9</v>
      </c>
      <c r="G36" s="14">
        <f t="shared" si="33"/>
        <v>1412.9</v>
      </c>
      <c r="H36" s="14">
        <f t="shared" si="34"/>
        <v>0</v>
      </c>
      <c r="I36" s="46">
        <f t="shared" si="35"/>
        <v>7.9039377038358907E-2</v>
      </c>
      <c r="J36" s="46">
        <f t="shared" si="36"/>
        <v>0</v>
      </c>
      <c r="K36" s="46">
        <f t="shared" si="37"/>
        <v>0</v>
      </c>
      <c r="L36" s="46">
        <f t="shared" si="38"/>
        <v>1.2479527240586488</v>
      </c>
      <c r="M36" s="46">
        <f t="shared" si="39"/>
        <v>0</v>
      </c>
      <c r="N36" s="46">
        <f t="shared" si="40"/>
        <v>0.343979368870938</v>
      </c>
      <c r="O36" s="46">
        <f t="shared" si="41"/>
        <v>0</v>
      </c>
      <c r="P36" s="96">
        <f t="shared" si="50"/>
        <v>1.5919320929295868</v>
      </c>
      <c r="Q36" s="153">
        <f t="shared" si="42"/>
        <v>0</v>
      </c>
      <c r="R36" s="94">
        <f t="shared" si="43"/>
        <v>0.57289102763445898</v>
      </c>
      <c r="S36" s="133">
        <f t="shared" si="44"/>
        <v>0.57289102763445898</v>
      </c>
      <c r="T36" s="94">
        <f t="shared" si="45"/>
        <v>0</v>
      </c>
      <c r="U36" s="94">
        <f t="shared" si="46"/>
        <v>0</v>
      </c>
      <c r="V36" s="94">
        <f t="shared" si="47"/>
        <v>0.16246026396337582</v>
      </c>
      <c r="W36" s="94">
        <f t="shared" si="48"/>
        <v>0.41043076367108317</v>
      </c>
      <c r="X36" s="154">
        <f t="shared" si="49"/>
        <v>0</v>
      </c>
      <c r="AK36" t="s">
        <v>74</v>
      </c>
      <c r="AL36" t="s">
        <v>66</v>
      </c>
      <c r="AM36" t="s">
        <v>66</v>
      </c>
      <c r="AN36" t="s">
        <v>80</v>
      </c>
      <c r="AO36">
        <v>1412.9</v>
      </c>
      <c r="AP36">
        <v>1</v>
      </c>
      <c r="AQ36">
        <v>1412.9</v>
      </c>
      <c r="AR36">
        <v>1412.9</v>
      </c>
      <c r="AS36">
        <v>0</v>
      </c>
      <c r="AT36">
        <v>7.9000000000000001E-2</v>
      </c>
      <c r="AU36">
        <v>0</v>
      </c>
      <c r="AV36">
        <v>0</v>
      </c>
      <c r="AW36">
        <v>1.248</v>
      </c>
      <c r="AX36">
        <v>0</v>
      </c>
      <c r="AY36">
        <v>0.34399999999999997</v>
      </c>
      <c r="AZ36">
        <v>0</v>
      </c>
      <c r="BA36">
        <v>1.5920000000000001</v>
      </c>
      <c r="BB36">
        <v>0</v>
      </c>
      <c r="BC36">
        <v>0.57399999999999995</v>
      </c>
      <c r="BD36">
        <v>0.57399999999999995</v>
      </c>
      <c r="BE36">
        <v>0</v>
      </c>
      <c r="BF36">
        <v>0</v>
      </c>
      <c r="BG36">
        <v>0.16300000000000001</v>
      </c>
      <c r="BH36">
        <v>0.41099999999999998</v>
      </c>
      <c r="BI36">
        <v>0</v>
      </c>
    </row>
    <row r="37" spans="2:61" x14ac:dyDescent="0.25">
      <c r="B37" s="1" t="str">
        <f t="shared" si="28"/>
        <v>Perimeter_bot_ZN_3 Thermal Zone</v>
      </c>
      <c r="C37" s="2" t="str">
        <f t="shared" si="29"/>
        <v>BottomVAV</v>
      </c>
      <c r="D37" s="2" t="str">
        <f t="shared" si="30"/>
        <v>BottomVAV</v>
      </c>
      <c r="E37" s="3" t="str">
        <f t="shared" si="31"/>
        <v>NONE</v>
      </c>
      <c r="F37" s="14">
        <f t="shared" si="32"/>
        <v>2231.8000000000002</v>
      </c>
      <c r="G37" s="14">
        <f t="shared" si="33"/>
        <v>2231.8000000000002</v>
      </c>
      <c r="H37" s="14">
        <f t="shared" si="34"/>
        <v>0</v>
      </c>
      <c r="I37" s="46">
        <f t="shared" si="35"/>
        <v>0.12484965791932154</v>
      </c>
      <c r="J37" s="46">
        <f t="shared" si="36"/>
        <v>0</v>
      </c>
      <c r="K37" s="46">
        <f t="shared" si="37"/>
        <v>0</v>
      </c>
      <c r="L37" s="46">
        <f t="shared" si="38"/>
        <v>1.9712512488881677</v>
      </c>
      <c r="M37" s="46">
        <f t="shared" si="39"/>
        <v>0</v>
      </c>
      <c r="N37" s="46">
        <f t="shared" si="40"/>
        <v>0.5433457112648874</v>
      </c>
      <c r="O37" s="46">
        <f t="shared" si="41"/>
        <v>0</v>
      </c>
      <c r="P37" s="96">
        <f t="shared" si="50"/>
        <v>2.5145969601530549</v>
      </c>
      <c r="Q37" s="153">
        <f t="shared" si="42"/>
        <v>0</v>
      </c>
      <c r="R37" s="94">
        <f t="shared" si="43"/>
        <v>0.90493183910721608</v>
      </c>
      <c r="S37" s="133">
        <f t="shared" si="44"/>
        <v>0.90493183910721608</v>
      </c>
      <c r="T37" s="94">
        <f t="shared" si="45"/>
        <v>0</v>
      </c>
      <c r="U37" s="94">
        <f t="shared" si="46"/>
        <v>0</v>
      </c>
      <c r="V37" s="94">
        <f t="shared" si="47"/>
        <v>0.25662029663349289</v>
      </c>
      <c r="W37" s="94">
        <f t="shared" si="48"/>
        <v>0.64831154247372313</v>
      </c>
      <c r="X37" s="154">
        <f t="shared" si="49"/>
        <v>0</v>
      </c>
      <c r="AK37" t="s">
        <v>75</v>
      </c>
      <c r="AL37" t="s">
        <v>66</v>
      </c>
      <c r="AM37" t="s">
        <v>66</v>
      </c>
      <c r="AN37" t="s">
        <v>80</v>
      </c>
      <c r="AO37">
        <v>2231.8000000000002</v>
      </c>
      <c r="AP37">
        <v>1</v>
      </c>
      <c r="AQ37">
        <v>2231.8000000000002</v>
      </c>
      <c r="AR37">
        <v>2231.8000000000002</v>
      </c>
      <c r="AS37">
        <v>0</v>
      </c>
      <c r="AT37">
        <v>0.125</v>
      </c>
      <c r="AU37">
        <v>0</v>
      </c>
      <c r="AV37">
        <v>0</v>
      </c>
      <c r="AW37">
        <v>1.9710000000000001</v>
      </c>
      <c r="AX37">
        <v>0</v>
      </c>
      <c r="AY37">
        <v>0.54300000000000004</v>
      </c>
      <c r="AZ37">
        <v>0</v>
      </c>
      <c r="BA37">
        <v>2.5150000000000001</v>
      </c>
      <c r="BB37">
        <v>0</v>
      </c>
      <c r="BC37">
        <v>0.90600000000000003</v>
      </c>
      <c r="BD37">
        <v>0.90600000000000003</v>
      </c>
      <c r="BE37">
        <v>0</v>
      </c>
      <c r="BF37">
        <v>0</v>
      </c>
      <c r="BG37">
        <v>0.25700000000000001</v>
      </c>
      <c r="BH37">
        <v>0.64900000000000002</v>
      </c>
      <c r="BI37">
        <v>0</v>
      </c>
    </row>
    <row r="38" spans="2:61" x14ac:dyDescent="0.25">
      <c r="B38" s="1" t="str">
        <f t="shared" si="28"/>
        <v>Perimeter_bot_ZN_4 Thermal Zone</v>
      </c>
      <c r="C38" s="2" t="str">
        <f t="shared" si="29"/>
        <v>BottomVAV</v>
      </c>
      <c r="D38" s="2" t="str">
        <f t="shared" si="30"/>
        <v>BottomVAV</v>
      </c>
      <c r="E38" s="3" t="str">
        <f t="shared" si="31"/>
        <v>NONE</v>
      </c>
      <c r="F38" s="14">
        <f t="shared" si="32"/>
        <v>1412.8</v>
      </c>
      <c r="G38" s="14">
        <f t="shared" si="33"/>
        <v>1412.8</v>
      </c>
      <c r="H38" s="14">
        <f t="shared" si="34"/>
        <v>0</v>
      </c>
      <c r="I38" s="46">
        <f t="shared" si="35"/>
        <v>7.9033782914426684E-2</v>
      </c>
      <c r="J38" s="46">
        <f t="shared" si="36"/>
        <v>0</v>
      </c>
      <c r="K38" s="46">
        <f t="shared" si="37"/>
        <v>0</v>
      </c>
      <c r="L38" s="46">
        <f t="shared" si="38"/>
        <v>1.2478643984358828</v>
      </c>
      <c r="M38" s="46">
        <f t="shared" si="39"/>
        <v>0</v>
      </c>
      <c r="N38" s="46">
        <f t="shared" si="40"/>
        <v>0.34395502324358496</v>
      </c>
      <c r="O38" s="46">
        <f t="shared" si="41"/>
        <v>0</v>
      </c>
      <c r="P38" s="96">
        <f t="shared" si="50"/>
        <v>1.5918194216794679</v>
      </c>
      <c r="Q38" s="153">
        <f t="shared" si="42"/>
        <v>0</v>
      </c>
      <c r="R38" s="94">
        <f t="shared" si="43"/>
        <v>0.57285048046002096</v>
      </c>
      <c r="S38" s="133">
        <f t="shared" si="44"/>
        <v>0.57285048046002096</v>
      </c>
      <c r="T38" s="94">
        <f t="shared" si="45"/>
        <v>0</v>
      </c>
      <c r="U38" s="94">
        <f t="shared" si="46"/>
        <v>0</v>
      </c>
      <c r="V38" s="94">
        <f t="shared" si="47"/>
        <v>0.16244876560793925</v>
      </c>
      <c r="W38" s="94">
        <f t="shared" si="48"/>
        <v>0.41040171485208177</v>
      </c>
      <c r="X38" s="154">
        <f t="shared" si="49"/>
        <v>0</v>
      </c>
      <c r="AK38" t="s">
        <v>76</v>
      </c>
      <c r="AL38" t="s">
        <v>66</v>
      </c>
      <c r="AM38" t="s">
        <v>66</v>
      </c>
      <c r="AN38" t="s">
        <v>80</v>
      </c>
      <c r="AO38">
        <v>1412.8</v>
      </c>
      <c r="AP38">
        <v>1</v>
      </c>
      <c r="AQ38">
        <v>1412.8</v>
      </c>
      <c r="AR38">
        <v>1412.8</v>
      </c>
      <c r="AS38">
        <v>0</v>
      </c>
      <c r="AT38">
        <v>7.9000000000000001E-2</v>
      </c>
      <c r="AU38">
        <v>0</v>
      </c>
      <c r="AV38">
        <v>0</v>
      </c>
      <c r="AW38">
        <v>1.248</v>
      </c>
      <c r="AX38">
        <v>0</v>
      </c>
      <c r="AY38">
        <v>0.34399999999999997</v>
      </c>
      <c r="AZ38">
        <v>0</v>
      </c>
      <c r="BA38">
        <v>1.5920000000000001</v>
      </c>
      <c r="BB38">
        <v>0</v>
      </c>
      <c r="BC38">
        <v>0.57399999999999995</v>
      </c>
      <c r="BD38">
        <v>0.57399999999999995</v>
      </c>
      <c r="BE38">
        <v>0</v>
      </c>
      <c r="BF38">
        <v>0</v>
      </c>
      <c r="BG38">
        <v>0.16300000000000001</v>
      </c>
      <c r="BH38">
        <v>0.41099999999999998</v>
      </c>
      <c r="BI38">
        <v>0</v>
      </c>
    </row>
    <row r="39" spans="2:61" x14ac:dyDescent="0.25">
      <c r="B39" s="4" t="str">
        <f t="shared" si="28"/>
        <v>FirstFloor_Plenum Thermal Zone</v>
      </c>
      <c r="C39" s="5" t="str">
        <f t="shared" si="29"/>
        <v>NONE</v>
      </c>
      <c r="D39" s="5" t="str">
        <f t="shared" si="30"/>
        <v>NONE</v>
      </c>
      <c r="E39" s="6" t="str">
        <f t="shared" si="31"/>
        <v>NONE</v>
      </c>
      <c r="F39" s="32">
        <f t="shared" si="32"/>
        <v>0</v>
      </c>
      <c r="G39" s="22">
        <f t="shared" si="33"/>
        <v>0</v>
      </c>
      <c r="H39" s="90">
        <f t="shared" si="34"/>
        <v>0</v>
      </c>
      <c r="I39" s="46">
        <f t="shared" si="35"/>
        <v>0</v>
      </c>
      <c r="J39" s="46">
        <f t="shared" si="36"/>
        <v>0</v>
      </c>
      <c r="K39" s="46">
        <f t="shared" si="37"/>
        <v>0</v>
      </c>
      <c r="L39" s="46">
        <f t="shared" si="38"/>
        <v>0</v>
      </c>
      <c r="M39" s="46">
        <f t="shared" si="39"/>
        <v>0</v>
      </c>
      <c r="N39" s="46">
        <f t="shared" si="40"/>
        <v>0</v>
      </c>
      <c r="O39" s="46">
        <f t="shared" si="41"/>
        <v>0</v>
      </c>
      <c r="P39" s="96">
        <f t="shared" si="50"/>
        <v>0</v>
      </c>
      <c r="Q39" s="153">
        <f t="shared" si="42"/>
        <v>0</v>
      </c>
      <c r="R39" s="94">
        <f t="shared" si="43"/>
        <v>0</v>
      </c>
      <c r="S39" s="133">
        <f t="shared" si="44"/>
        <v>0</v>
      </c>
      <c r="T39" s="94">
        <f t="shared" si="45"/>
        <v>0</v>
      </c>
      <c r="U39" s="94">
        <f t="shared" si="46"/>
        <v>0</v>
      </c>
      <c r="V39" s="94">
        <f t="shared" si="47"/>
        <v>0</v>
      </c>
      <c r="W39" s="94">
        <f t="shared" si="48"/>
        <v>0</v>
      </c>
      <c r="X39" s="154">
        <f t="shared" si="49"/>
        <v>0</v>
      </c>
      <c r="AK39" t="s">
        <v>77</v>
      </c>
      <c r="AL39" t="s">
        <v>80</v>
      </c>
      <c r="AM39" t="s">
        <v>80</v>
      </c>
      <c r="AN39" t="s">
        <v>80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2:61" x14ac:dyDescent="0.25">
      <c r="B40" s="15" t="str">
        <f t="shared" si="28"/>
        <v>Core_mid Thermal Zone</v>
      </c>
      <c r="C40" s="16" t="str">
        <f t="shared" si="29"/>
        <v>Mid VAV NE_Core Zones</v>
      </c>
      <c r="D40" s="16" t="str">
        <f t="shared" si="30"/>
        <v>Mid VAV NE_Core Zones</v>
      </c>
      <c r="E40" s="10" t="str">
        <f t="shared" si="31"/>
        <v>NONE</v>
      </c>
      <c r="F40" s="21">
        <f t="shared" si="32"/>
        <v>10586.7</v>
      </c>
      <c r="G40" s="21">
        <f t="shared" si="33"/>
        <v>10586.7</v>
      </c>
      <c r="H40" s="21">
        <f t="shared" si="34"/>
        <v>0</v>
      </c>
      <c r="I40" s="46">
        <f t="shared" si="35"/>
        <v>0.74389729752519085</v>
      </c>
      <c r="J40" s="46">
        <f t="shared" si="36"/>
        <v>0</v>
      </c>
      <c r="K40" s="46">
        <f t="shared" si="37"/>
        <v>0</v>
      </c>
      <c r="L40" s="46">
        <f t="shared" si="38"/>
        <v>9.350789029891649</v>
      </c>
      <c r="M40" s="46">
        <f t="shared" si="39"/>
        <v>0</v>
      </c>
      <c r="N40" s="46">
        <f t="shared" si="40"/>
        <v>2.5627261899742821</v>
      </c>
      <c r="O40" s="46">
        <f t="shared" si="41"/>
        <v>0</v>
      </c>
      <c r="P40" s="96">
        <f t="shared" si="50"/>
        <v>11.913515219865932</v>
      </c>
      <c r="Q40" s="153">
        <f t="shared" si="42"/>
        <v>0</v>
      </c>
      <c r="R40" s="94">
        <f t="shared" si="43"/>
        <v>3.0752076807787918</v>
      </c>
      <c r="S40" s="133">
        <f t="shared" si="44"/>
        <v>3.0752076807787918</v>
      </c>
      <c r="T40" s="94">
        <f t="shared" si="45"/>
        <v>0</v>
      </c>
      <c r="U40" s="94">
        <f t="shared" si="46"/>
        <v>0</v>
      </c>
      <c r="V40" s="94">
        <f t="shared" si="47"/>
        <v>0</v>
      </c>
      <c r="W40" s="94">
        <f t="shared" si="48"/>
        <v>0</v>
      </c>
      <c r="X40" s="154">
        <f t="shared" si="49"/>
        <v>3.0752076807787918</v>
      </c>
      <c r="AK40" t="s">
        <v>19</v>
      </c>
      <c r="AL40" t="s">
        <v>68</v>
      </c>
      <c r="AM40" t="s">
        <v>68</v>
      </c>
      <c r="AN40" t="s">
        <v>80</v>
      </c>
      <c r="AO40">
        <v>10586.7</v>
      </c>
      <c r="AP40">
        <v>1</v>
      </c>
      <c r="AQ40">
        <v>10586.7</v>
      </c>
      <c r="AR40">
        <v>10586.7</v>
      </c>
      <c r="AS40">
        <v>0</v>
      </c>
      <c r="AT40">
        <v>0.74399999999999999</v>
      </c>
      <c r="AU40">
        <v>0</v>
      </c>
      <c r="AV40">
        <v>0</v>
      </c>
      <c r="AW40">
        <v>9.3510000000000009</v>
      </c>
      <c r="AX40">
        <v>0</v>
      </c>
      <c r="AY40">
        <v>2.5630000000000002</v>
      </c>
      <c r="AZ40">
        <v>0</v>
      </c>
      <c r="BA40">
        <v>11.913</v>
      </c>
      <c r="BB40">
        <v>0</v>
      </c>
      <c r="BC40">
        <v>3.08</v>
      </c>
      <c r="BD40">
        <v>3.08</v>
      </c>
      <c r="BE40">
        <v>0</v>
      </c>
      <c r="BF40">
        <v>0</v>
      </c>
      <c r="BG40">
        <v>0</v>
      </c>
      <c r="BH40">
        <v>0</v>
      </c>
      <c r="BI40">
        <v>3.08</v>
      </c>
    </row>
    <row r="41" spans="2:61" x14ac:dyDescent="0.25">
      <c r="B41" s="1" t="str">
        <f t="shared" si="28"/>
        <v>Perimeter_mid_ZN_1 Thermal Zone</v>
      </c>
      <c r="C41" s="2" t="str">
        <f t="shared" si="29"/>
        <v>Mid VAV-SW Zones</v>
      </c>
      <c r="D41" s="2" t="str">
        <f t="shared" si="30"/>
        <v>Mid VAV-SW Zones</v>
      </c>
      <c r="E41" s="3" t="str">
        <f t="shared" si="31"/>
        <v>Mid SE Zones ExhSys</v>
      </c>
      <c r="F41" s="14">
        <f t="shared" si="32"/>
        <v>2231.8000000000002</v>
      </c>
      <c r="G41" s="14">
        <f t="shared" si="33"/>
        <v>2231.8000000000002</v>
      </c>
      <c r="H41" s="14">
        <f t="shared" si="34"/>
        <v>500</v>
      </c>
      <c r="I41" s="46">
        <f t="shared" si="35"/>
        <v>0.61235800910936733</v>
      </c>
      <c r="J41" s="46">
        <f t="shared" si="36"/>
        <v>0</v>
      </c>
      <c r="K41" s="46">
        <f t="shared" si="37"/>
        <v>0.55555555555555558</v>
      </c>
      <c r="L41" s="46">
        <f t="shared" si="38"/>
        <v>2.0483375404708339</v>
      </c>
      <c r="M41" s="46">
        <f t="shared" si="39"/>
        <v>0.61603215716402349</v>
      </c>
      <c r="N41" s="46">
        <f t="shared" si="40"/>
        <v>0</v>
      </c>
      <c r="O41" s="46">
        <f t="shared" si="41"/>
        <v>0.45833333333333331</v>
      </c>
      <c r="P41" s="96">
        <f t="shared" si="50"/>
        <v>3.1227030309681907</v>
      </c>
      <c r="Q41" s="153">
        <f t="shared" si="42"/>
        <v>0.12708787218591142</v>
      </c>
      <c r="R41" s="94">
        <f t="shared" si="43"/>
        <v>0.64837906846874183</v>
      </c>
      <c r="S41" s="133">
        <f t="shared" si="44"/>
        <v>0.77546694065465327</v>
      </c>
      <c r="T41" s="94">
        <f t="shared" si="45"/>
        <v>6.0518034374243523E-2</v>
      </c>
      <c r="U41" s="94">
        <f t="shared" si="46"/>
        <v>6.6569837811667892E-2</v>
      </c>
      <c r="V41" s="94">
        <f t="shared" si="47"/>
        <v>0</v>
      </c>
      <c r="W41" s="94">
        <f t="shared" si="48"/>
        <v>0.64837906846874183</v>
      </c>
      <c r="X41" s="154">
        <f t="shared" si="49"/>
        <v>0</v>
      </c>
      <c r="AK41" t="s">
        <v>20</v>
      </c>
      <c r="AL41" t="s">
        <v>24</v>
      </c>
      <c r="AM41" t="s">
        <v>24</v>
      </c>
      <c r="AN41" t="s">
        <v>25</v>
      </c>
      <c r="AO41">
        <v>2231.8000000000002</v>
      </c>
      <c r="AP41">
        <v>1</v>
      </c>
      <c r="AQ41">
        <v>2231.8000000000002</v>
      </c>
      <c r="AR41">
        <v>2231.8000000000002</v>
      </c>
      <c r="AS41">
        <v>500</v>
      </c>
      <c r="AT41">
        <v>0.61199999999999999</v>
      </c>
      <c r="AU41">
        <v>0</v>
      </c>
      <c r="AV41">
        <v>0.55600000000000005</v>
      </c>
      <c r="AW41">
        <v>2.048</v>
      </c>
      <c r="AX41">
        <v>0.61599999999999999</v>
      </c>
      <c r="AY41">
        <v>0</v>
      </c>
      <c r="AZ41">
        <v>0.45800000000000002</v>
      </c>
      <c r="BA41">
        <v>3.1219999999999999</v>
      </c>
      <c r="BB41">
        <v>0.127</v>
      </c>
      <c r="BC41">
        <v>0.64900000000000002</v>
      </c>
      <c r="BD41">
        <v>0.77700000000000002</v>
      </c>
      <c r="BE41">
        <v>6.0999999999999999E-2</v>
      </c>
      <c r="BF41">
        <v>6.7000000000000004E-2</v>
      </c>
      <c r="BG41">
        <v>0</v>
      </c>
      <c r="BH41">
        <v>0.64900000000000002</v>
      </c>
      <c r="BI41">
        <v>0</v>
      </c>
    </row>
    <row r="42" spans="2:61" x14ac:dyDescent="0.25">
      <c r="B42" s="1" t="str">
        <f t="shared" si="28"/>
        <v>Perimeter_mid_ZN_2 Thermal Zone</v>
      </c>
      <c r="C42" s="2" t="str">
        <f t="shared" si="29"/>
        <v>Mid VAV NE_Core Zones</v>
      </c>
      <c r="D42" s="2" t="str">
        <f t="shared" si="30"/>
        <v>Mid VAV NE_Core Zones</v>
      </c>
      <c r="E42" s="3" t="str">
        <f t="shared" si="31"/>
        <v>Mid SE Zones ExhSys</v>
      </c>
      <c r="F42" s="14">
        <f t="shared" si="32"/>
        <v>1412.9</v>
      </c>
      <c r="G42" s="14">
        <f t="shared" si="33"/>
        <v>1412.9</v>
      </c>
      <c r="H42" s="14">
        <f t="shared" si="34"/>
        <v>400</v>
      </c>
      <c r="I42" s="46">
        <f t="shared" si="35"/>
        <v>9.9280464325365053E-2</v>
      </c>
      <c r="J42" s="46">
        <f t="shared" si="36"/>
        <v>0</v>
      </c>
      <c r="K42" s="46">
        <f t="shared" si="37"/>
        <v>0.44444444444444442</v>
      </c>
      <c r="L42" s="46">
        <f t="shared" si="38"/>
        <v>1.2479554365698386</v>
      </c>
      <c r="M42" s="46">
        <f t="shared" si="39"/>
        <v>0</v>
      </c>
      <c r="N42" s="46">
        <f t="shared" si="40"/>
        <v>0.34202119960088262</v>
      </c>
      <c r="O42" s="46">
        <f t="shared" si="41"/>
        <v>0.36666666666666664</v>
      </c>
      <c r="P42" s="96">
        <f t="shared" si="50"/>
        <v>1.956643302837388</v>
      </c>
      <c r="Q42" s="153">
        <f t="shared" si="42"/>
        <v>0.10167029774872913</v>
      </c>
      <c r="R42" s="94">
        <f t="shared" si="43"/>
        <v>0.41041693182694849</v>
      </c>
      <c r="S42" s="133">
        <f t="shared" si="44"/>
        <v>0.51208722957567765</v>
      </c>
      <c r="T42" s="94">
        <f t="shared" si="45"/>
        <v>4.841442749939482E-2</v>
      </c>
      <c r="U42" s="94">
        <f t="shared" si="46"/>
        <v>5.32558702493343E-2</v>
      </c>
      <c r="V42" s="94">
        <f t="shared" si="47"/>
        <v>0</v>
      </c>
      <c r="W42" s="94">
        <f t="shared" si="48"/>
        <v>0</v>
      </c>
      <c r="X42" s="154">
        <f t="shared" si="49"/>
        <v>0.41041693182694849</v>
      </c>
      <c r="AK42" t="s">
        <v>21</v>
      </c>
      <c r="AL42" t="s">
        <v>68</v>
      </c>
      <c r="AM42" t="s">
        <v>68</v>
      </c>
      <c r="AN42" t="s">
        <v>25</v>
      </c>
      <c r="AO42">
        <v>1412.9</v>
      </c>
      <c r="AP42">
        <v>1</v>
      </c>
      <c r="AQ42">
        <v>1412.9</v>
      </c>
      <c r="AR42">
        <v>1412.9</v>
      </c>
      <c r="AS42">
        <v>400</v>
      </c>
      <c r="AT42">
        <v>9.9000000000000005E-2</v>
      </c>
      <c r="AU42">
        <v>0</v>
      </c>
      <c r="AV42">
        <v>0.44400000000000001</v>
      </c>
      <c r="AW42">
        <v>1.248</v>
      </c>
      <c r="AX42">
        <v>0</v>
      </c>
      <c r="AY42">
        <v>0.34200000000000003</v>
      </c>
      <c r="AZ42">
        <v>0.36599999999999999</v>
      </c>
      <c r="BA42">
        <v>1.956</v>
      </c>
      <c r="BB42">
        <v>0.10199999999999999</v>
      </c>
      <c r="BC42">
        <v>0.41099999999999998</v>
      </c>
      <c r="BD42">
        <v>0.51300000000000001</v>
      </c>
      <c r="BE42">
        <v>4.8000000000000001E-2</v>
      </c>
      <c r="BF42">
        <v>5.2999999999999999E-2</v>
      </c>
      <c r="BG42">
        <v>0</v>
      </c>
      <c r="BH42">
        <v>0</v>
      </c>
      <c r="BI42">
        <v>0.41099999999999998</v>
      </c>
    </row>
    <row r="43" spans="2:61" x14ac:dyDescent="0.25">
      <c r="B43" s="1" t="str">
        <f t="shared" si="28"/>
        <v>Perimeter_mid_ZN_3 Thermal Zone</v>
      </c>
      <c r="C43" s="2" t="str">
        <f t="shared" si="29"/>
        <v>Mid VAV NE_Core Zones</v>
      </c>
      <c r="D43" s="2" t="str">
        <f t="shared" si="30"/>
        <v>Mid VAV NE_Core Zones</v>
      </c>
      <c r="E43" s="3" t="str">
        <f t="shared" si="31"/>
        <v>NONE</v>
      </c>
      <c r="F43" s="14">
        <f t="shared" si="32"/>
        <v>2231.8000000000002</v>
      </c>
      <c r="G43" s="14">
        <f t="shared" si="33"/>
        <v>2231.8000000000002</v>
      </c>
      <c r="H43" s="14">
        <f t="shared" si="34"/>
        <v>0</v>
      </c>
      <c r="I43" s="46">
        <f t="shared" si="35"/>
        <v>0.15682223814944421</v>
      </c>
      <c r="J43" s="46">
        <f t="shared" si="36"/>
        <v>0</v>
      </c>
      <c r="K43" s="46">
        <f t="shared" si="37"/>
        <v>0</v>
      </c>
      <c r="L43" s="46">
        <f t="shared" si="38"/>
        <v>1.9712555335385138</v>
      </c>
      <c r="M43" s="46">
        <f t="shared" si="39"/>
        <v>0</v>
      </c>
      <c r="N43" s="46">
        <f t="shared" si="40"/>
        <v>0.5402526104248353</v>
      </c>
      <c r="O43" s="46">
        <f t="shared" si="41"/>
        <v>0</v>
      </c>
      <c r="P43" s="96">
        <f t="shared" si="50"/>
        <v>2.5115081439633489</v>
      </c>
      <c r="Q43" s="153">
        <f t="shared" si="42"/>
        <v>0</v>
      </c>
      <c r="R43" s="94">
        <f t="shared" si="43"/>
        <v>0.64828969385758628</v>
      </c>
      <c r="S43" s="133">
        <f t="shared" si="44"/>
        <v>0.64828969385758628</v>
      </c>
      <c r="T43" s="94">
        <f t="shared" si="45"/>
        <v>0</v>
      </c>
      <c r="U43" s="94">
        <f t="shared" si="46"/>
        <v>0</v>
      </c>
      <c r="V43" s="94">
        <f t="shared" si="47"/>
        <v>0</v>
      </c>
      <c r="W43" s="94">
        <f t="shared" si="48"/>
        <v>0</v>
      </c>
      <c r="X43" s="154">
        <f t="shared" si="49"/>
        <v>0.64828969385758628</v>
      </c>
      <c r="AK43" t="s">
        <v>22</v>
      </c>
      <c r="AL43" t="s">
        <v>68</v>
      </c>
      <c r="AM43" t="s">
        <v>68</v>
      </c>
      <c r="AN43" t="s">
        <v>80</v>
      </c>
      <c r="AO43">
        <v>2231.8000000000002</v>
      </c>
      <c r="AP43">
        <v>1</v>
      </c>
      <c r="AQ43">
        <v>2231.8000000000002</v>
      </c>
      <c r="AR43">
        <v>2231.8000000000002</v>
      </c>
      <c r="AS43">
        <v>0</v>
      </c>
      <c r="AT43">
        <v>0.157</v>
      </c>
      <c r="AU43">
        <v>0</v>
      </c>
      <c r="AV43">
        <v>0</v>
      </c>
      <c r="AW43">
        <v>1.9710000000000001</v>
      </c>
      <c r="AX43">
        <v>0</v>
      </c>
      <c r="AY43">
        <v>0.54</v>
      </c>
      <c r="AZ43">
        <v>0</v>
      </c>
      <c r="BA43">
        <v>2.5110000000000001</v>
      </c>
      <c r="BB43">
        <v>0</v>
      </c>
      <c r="BC43">
        <v>0.64900000000000002</v>
      </c>
      <c r="BD43">
        <v>0.64900000000000002</v>
      </c>
      <c r="BE43">
        <v>0</v>
      </c>
      <c r="BF43">
        <v>0</v>
      </c>
      <c r="BG43">
        <v>0</v>
      </c>
      <c r="BH43">
        <v>0</v>
      </c>
      <c r="BI43">
        <v>0.64900000000000002</v>
      </c>
    </row>
    <row r="44" spans="2:61" x14ac:dyDescent="0.25">
      <c r="B44" s="1" t="str">
        <f t="shared" si="28"/>
        <v>Perimeter_mid_ZN_4 Thermal Zone</v>
      </c>
      <c r="C44" s="2" t="str">
        <f t="shared" si="29"/>
        <v>Mid VAV-SW Zones</v>
      </c>
      <c r="D44" s="2" t="str">
        <f t="shared" si="30"/>
        <v>Mid VAV-SW Zones</v>
      </c>
      <c r="E44" s="3" t="str">
        <f t="shared" si="31"/>
        <v>NONE</v>
      </c>
      <c r="F44" s="14">
        <f t="shared" si="32"/>
        <v>1412.8</v>
      </c>
      <c r="G44" s="14">
        <f t="shared" si="33"/>
        <v>1412.8</v>
      </c>
      <c r="H44" s="14">
        <f t="shared" si="34"/>
        <v>0</v>
      </c>
      <c r="I44" s="46">
        <f t="shared" si="35"/>
        <v>0.38764199089063273</v>
      </c>
      <c r="J44" s="46">
        <f t="shared" si="36"/>
        <v>0</v>
      </c>
      <c r="K44" s="46">
        <f t="shared" si="37"/>
        <v>0</v>
      </c>
      <c r="L44" s="46">
        <f t="shared" si="38"/>
        <v>1.2966624595291665</v>
      </c>
      <c r="M44" s="46">
        <f t="shared" si="39"/>
        <v>0.38996784283597652</v>
      </c>
      <c r="N44" s="46">
        <f t="shared" si="40"/>
        <v>0</v>
      </c>
      <c r="O44" s="46">
        <f t="shared" si="41"/>
        <v>0</v>
      </c>
      <c r="P44" s="96">
        <f t="shared" si="50"/>
        <v>1.686630302365143</v>
      </c>
      <c r="Q44" s="153">
        <f t="shared" si="42"/>
        <v>0</v>
      </c>
      <c r="R44" s="94">
        <f t="shared" si="43"/>
        <v>0.41044446094302289</v>
      </c>
      <c r="S44" s="133">
        <f t="shared" si="44"/>
        <v>0.41044446094302289</v>
      </c>
      <c r="T44" s="94">
        <f t="shared" si="45"/>
        <v>0</v>
      </c>
      <c r="U44" s="94">
        <f t="shared" si="46"/>
        <v>0</v>
      </c>
      <c r="V44" s="94">
        <f t="shared" si="47"/>
        <v>0</v>
      </c>
      <c r="W44" s="94">
        <f t="shared" si="48"/>
        <v>0.41044446094302289</v>
      </c>
      <c r="X44" s="154">
        <f t="shared" si="49"/>
        <v>0</v>
      </c>
      <c r="AK44" t="s">
        <v>23</v>
      </c>
      <c r="AL44" t="s">
        <v>24</v>
      </c>
      <c r="AM44" t="s">
        <v>24</v>
      </c>
      <c r="AN44" t="s">
        <v>80</v>
      </c>
      <c r="AO44">
        <v>1412.8</v>
      </c>
      <c r="AP44">
        <v>1</v>
      </c>
      <c r="AQ44">
        <v>1412.8</v>
      </c>
      <c r="AR44">
        <v>1412.8</v>
      </c>
      <c r="AS44">
        <v>0</v>
      </c>
      <c r="AT44">
        <v>0.38800000000000001</v>
      </c>
      <c r="AU44">
        <v>0</v>
      </c>
      <c r="AV44">
        <v>0</v>
      </c>
      <c r="AW44">
        <v>1.2969999999999999</v>
      </c>
      <c r="AX44">
        <v>0.39</v>
      </c>
      <c r="AY44">
        <v>0</v>
      </c>
      <c r="AZ44">
        <v>0</v>
      </c>
      <c r="BA44">
        <v>1.6870000000000001</v>
      </c>
      <c r="BB44">
        <v>0</v>
      </c>
      <c r="BC44">
        <v>0.41099999999999998</v>
      </c>
      <c r="BD44">
        <v>0.41099999999999998</v>
      </c>
      <c r="BE44">
        <v>0</v>
      </c>
      <c r="BF44">
        <v>0</v>
      </c>
      <c r="BG44">
        <v>0</v>
      </c>
      <c r="BH44">
        <v>0.41099999999999998</v>
      </c>
      <c r="BI44">
        <v>0</v>
      </c>
    </row>
    <row r="45" spans="2:61" x14ac:dyDescent="0.25">
      <c r="B45" s="4" t="str">
        <f t="shared" si="28"/>
        <v>MidFloor_Plenum Thermal Zone</v>
      </c>
      <c r="C45" s="5" t="str">
        <f t="shared" si="29"/>
        <v>NONE</v>
      </c>
      <c r="D45" s="5" t="str">
        <f t="shared" si="30"/>
        <v>NONE</v>
      </c>
      <c r="E45" s="6" t="str">
        <f t="shared" si="31"/>
        <v>NONE</v>
      </c>
      <c r="F45" s="32">
        <f t="shared" si="32"/>
        <v>0</v>
      </c>
      <c r="G45" s="22">
        <f t="shared" si="33"/>
        <v>0</v>
      </c>
      <c r="H45" s="90">
        <f t="shared" si="34"/>
        <v>0</v>
      </c>
      <c r="I45" s="46">
        <f t="shared" si="35"/>
        <v>0</v>
      </c>
      <c r="J45" s="46">
        <f t="shared" si="36"/>
        <v>0</v>
      </c>
      <c r="K45" s="46">
        <f t="shared" si="37"/>
        <v>0</v>
      </c>
      <c r="L45" s="46">
        <f t="shared" si="38"/>
        <v>0</v>
      </c>
      <c r="M45" s="46">
        <f t="shared" si="39"/>
        <v>0</v>
      </c>
      <c r="N45" s="46">
        <f t="shared" si="40"/>
        <v>0</v>
      </c>
      <c r="O45" s="46">
        <f t="shared" si="41"/>
        <v>0</v>
      </c>
      <c r="P45" s="96">
        <f t="shared" si="50"/>
        <v>0</v>
      </c>
      <c r="Q45" s="153">
        <f t="shared" si="42"/>
        <v>0</v>
      </c>
      <c r="R45" s="94">
        <f t="shared" si="43"/>
        <v>0</v>
      </c>
      <c r="S45" s="133">
        <f t="shared" si="44"/>
        <v>0</v>
      </c>
      <c r="T45" s="94">
        <f t="shared" si="45"/>
        <v>0</v>
      </c>
      <c r="U45" s="94">
        <f t="shared" si="46"/>
        <v>0</v>
      </c>
      <c r="V45" s="94">
        <f t="shared" si="47"/>
        <v>0</v>
      </c>
      <c r="W45" s="94">
        <f t="shared" si="48"/>
        <v>0</v>
      </c>
      <c r="X45" s="154">
        <f t="shared" si="49"/>
        <v>0</v>
      </c>
      <c r="AK45" t="s">
        <v>78</v>
      </c>
      <c r="AL45" t="s">
        <v>80</v>
      </c>
      <c r="AM45" t="s">
        <v>80</v>
      </c>
      <c r="AN45" t="s">
        <v>80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2:61" x14ac:dyDescent="0.25">
      <c r="B46" s="15" t="str">
        <f t="shared" si="28"/>
        <v>Core_top Thermal Zone</v>
      </c>
      <c r="C46" s="16" t="str">
        <f t="shared" si="29"/>
        <v>Core_TopZn_PTAC</v>
      </c>
      <c r="D46" s="16" t="str">
        <f t="shared" si="30"/>
        <v>TopFlrDOAS</v>
      </c>
      <c r="E46" s="10" t="str">
        <f t="shared" si="31"/>
        <v>NONE</v>
      </c>
      <c r="F46" s="21">
        <f t="shared" si="32"/>
        <v>3000</v>
      </c>
      <c r="G46" s="21">
        <f t="shared" si="33"/>
        <v>1165</v>
      </c>
      <c r="H46" s="21">
        <f t="shared" si="34"/>
        <v>0</v>
      </c>
      <c r="I46" s="46">
        <f t="shared" si="35"/>
        <v>1</v>
      </c>
      <c r="J46" s="46">
        <f t="shared" si="36"/>
        <v>0.74440894568690097</v>
      </c>
      <c r="K46" s="46">
        <f t="shared" si="37"/>
        <v>0</v>
      </c>
      <c r="L46" s="46">
        <f t="shared" si="38"/>
        <v>2.1561916932907348</v>
      </c>
      <c r="M46" s="46">
        <f t="shared" si="39"/>
        <v>0</v>
      </c>
      <c r="N46" s="46">
        <f t="shared" si="40"/>
        <v>0</v>
      </c>
      <c r="O46" s="46">
        <f t="shared" si="41"/>
        <v>0</v>
      </c>
      <c r="P46" s="96">
        <f t="shared" si="50"/>
        <v>2.1561916932907348</v>
      </c>
      <c r="Q46" s="153">
        <f t="shared" si="42"/>
        <v>0</v>
      </c>
      <c r="R46" s="94">
        <f t="shared" si="43"/>
        <v>0</v>
      </c>
      <c r="S46" s="133">
        <f t="shared" si="44"/>
        <v>0</v>
      </c>
      <c r="T46" s="94">
        <f t="shared" si="45"/>
        <v>0</v>
      </c>
      <c r="U46" s="94">
        <f t="shared" si="46"/>
        <v>0</v>
      </c>
      <c r="V46" s="94">
        <f t="shared" si="47"/>
        <v>0</v>
      </c>
      <c r="W46" s="94">
        <f t="shared" si="48"/>
        <v>0</v>
      </c>
      <c r="X46" s="154">
        <f t="shared" si="49"/>
        <v>0</v>
      </c>
      <c r="AK46" t="s">
        <v>7</v>
      </c>
      <c r="AL46" t="s">
        <v>12</v>
      </c>
      <c r="AM46" t="s">
        <v>17</v>
      </c>
      <c r="AN46" t="s">
        <v>80</v>
      </c>
      <c r="AO46">
        <v>10586.7</v>
      </c>
      <c r="AP46">
        <v>1</v>
      </c>
      <c r="AQ46">
        <v>3000</v>
      </c>
      <c r="AR46">
        <v>1165</v>
      </c>
      <c r="AS46">
        <v>0</v>
      </c>
      <c r="AT46">
        <v>1</v>
      </c>
      <c r="AU46">
        <v>0.74399999999999999</v>
      </c>
      <c r="AV46">
        <v>0</v>
      </c>
      <c r="AW46">
        <v>2.1560000000000001</v>
      </c>
      <c r="AX46">
        <v>0</v>
      </c>
      <c r="AY46">
        <v>0</v>
      </c>
      <c r="AZ46">
        <v>0</v>
      </c>
      <c r="BA46">
        <v>2.1560000000000001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2:61" x14ac:dyDescent="0.25">
      <c r="B47" s="1" t="str">
        <f t="shared" si="28"/>
        <v>Perimeter_top_ZN_1 Thermal Zone</v>
      </c>
      <c r="C47" s="2" t="str">
        <f t="shared" si="29"/>
        <v>Perim_TopZn1_PTAC</v>
      </c>
      <c r="D47" s="2" t="str">
        <f t="shared" si="30"/>
        <v>Perim_TopZn1_PTAC</v>
      </c>
      <c r="E47" s="3" t="str">
        <f t="shared" si="31"/>
        <v>Top SW Zones ExhSys</v>
      </c>
      <c r="F47" s="14">
        <f t="shared" si="32"/>
        <v>2000</v>
      </c>
      <c r="G47" s="14">
        <f t="shared" si="33"/>
        <v>2000</v>
      </c>
      <c r="H47" s="14">
        <f t="shared" si="34"/>
        <v>245</v>
      </c>
      <c r="I47" s="46">
        <f t="shared" si="35"/>
        <v>1</v>
      </c>
      <c r="J47" s="46">
        <f t="shared" si="36"/>
        <v>0</v>
      </c>
      <c r="K47" s="46">
        <f t="shared" si="37"/>
        <v>0.61250000000000004</v>
      </c>
      <c r="L47" s="46">
        <f t="shared" si="38"/>
        <v>0.7</v>
      </c>
      <c r="M47" s="46">
        <f t="shared" si="39"/>
        <v>0</v>
      </c>
      <c r="N47" s="46">
        <f t="shared" si="40"/>
        <v>0</v>
      </c>
      <c r="O47" s="46">
        <f t="shared" si="41"/>
        <v>0.22417500000000001</v>
      </c>
      <c r="P47" s="96">
        <f t="shared" si="50"/>
        <v>0.92417499999999997</v>
      </c>
      <c r="Q47" s="153">
        <f t="shared" si="42"/>
        <v>0</v>
      </c>
      <c r="R47" s="94">
        <f t="shared" si="43"/>
        <v>0</v>
      </c>
      <c r="S47" s="133">
        <f t="shared" si="44"/>
        <v>0</v>
      </c>
      <c r="T47" s="94">
        <f t="shared" si="45"/>
        <v>0</v>
      </c>
      <c r="U47" s="94">
        <f t="shared" si="46"/>
        <v>0</v>
      </c>
      <c r="V47" s="94">
        <f t="shared" si="47"/>
        <v>0</v>
      </c>
      <c r="W47" s="94">
        <f t="shared" si="48"/>
        <v>0</v>
      </c>
      <c r="X47" s="154">
        <f t="shared" si="49"/>
        <v>0</v>
      </c>
      <c r="AK47" t="s">
        <v>8</v>
      </c>
      <c r="AL47" t="s">
        <v>13</v>
      </c>
      <c r="AM47" t="s">
        <v>13</v>
      </c>
      <c r="AN47" t="s">
        <v>18</v>
      </c>
      <c r="AO47">
        <v>2231.8000000000002</v>
      </c>
      <c r="AP47">
        <v>1</v>
      </c>
      <c r="AQ47">
        <v>2000</v>
      </c>
      <c r="AR47">
        <v>2000</v>
      </c>
      <c r="AS47">
        <v>245</v>
      </c>
      <c r="AT47">
        <v>1</v>
      </c>
      <c r="AU47">
        <v>0</v>
      </c>
      <c r="AV47">
        <v>0.61299999999999999</v>
      </c>
      <c r="AW47">
        <v>0.7</v>
      </c>
      <c r="AX47">
        <v>0</v>
      </c>
      <c r="AY47">
        <v>0</v>
      </c>
      <c r="AZ47">
        <v>0.224</v>
      </c>
      <c r="BA47">
        <v>0.92400000000000004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</row>
    <row r="48" spans="2:61" x14ac:dyDescent="0.25">
      <c r="B48" s="1" t="str">
        <f t="shared" si="28"/>
        <v>Perimeter_top_ZN_2 Thermal Zone</v>
      </c>
      <c r="C48" s="2" t="str">
        <f t="shared" si="29"/>
        <v>Perim_TopZn2_PTAC</v>
      </c>
      <c r="D48" s="2" t="str">
        <f t="shared" si="30"/>
        <v>Perim_TopZn2_PTAC</v>
      </c>
      <c r="E48" s="3" t="str">
        <f t="shared" si="31"/>
        <v>Top SW Zones ExhSys</v>
      </c>
      <c r="F48" s="14">
        <f t="shared" si="32"/>
        <v>2000</v>
      </c>
      <c r="G48" s="14">
        <f t="shared" si="33"/>
        <v>2000</v>
      </c>
      <c r="H48" s="14">
        <f t="shared" si="34"/>
        <v>155</v>
      </c>
      <c r="I48" s="46">
        <f t="shared" si="35"/>
        <v>1</v>
      </c>
      <c r="J48" s="46">
        <f t="shared" si="36"/>
        <v>0</v>
      </c>
      <c r="K48" s="46">
        <f t="shared" si="37"/>
        <v>0.38750000000000001</v>
      </c>
      <c r="L48" s="46">
        <f t="shared" si="38"/>
        <v>0.7</v>
      </c>
      <c r="M48" s="46">
        <f t="shared" si="39"/>
        <v>0</v>
      </c>
      <c r="N48" s="46">
        <f t="shared" si="40"/>
        <v>0</v>
      </c>
      <c r="O48" s="46">
        <f t="shared" si="41"/>
        <v>0.14182500000000001</v>
      </c>
      <c r="P48" s="96">
        <f t="shared" si="50"/>
        <v>0.84182499999999993</v>
      </c>
      <c r="Q48" s="153">
        <f t="shared" si="42"/>
        <v>0</v>
      </c>
      <c r="R48" s="94">
        <f t="shared" si="43"/>
        <v>0</v>
      </c>
      <c r="S48" s="133">
        <f t="shared" si="44"/>
        <v>0</v>
      </c>
      <c r="T48" s="94">
        <f t="shared" si="45"/>
        <v>0</v>
      </c>
      <c r="U48" s="94">
        <f t="shared" si="46"/>
        <v>0</v>
      </c>
      <c r="V48" s="94">
        <f t="shared" si="47"/>
        <v>0</v>
      </c>
      <c r="W48" s="94">
        <f t="shared" si="48"/>
        <v>0</v>
      </c>
      <c r="X48" s="154">
        <f t="shared" si="49"/>
        <v>0</v>
      </c>
      <c r="AK48" t="s">
        <v>9</v>
      </c>
      <c r="AL48" t="s">
        <v>14</v>
      </c>
      <c r="AM48" t="s">
        <v>14</v>
      </c>
      <c r="AN48" t="s">
        <v>18</v>
      </c>
      <c r="AO48">
        <v>1412.9</v>
      </c>
      <c r="AP48">
        <v>1</v>
      </c>
      <c r="AQ48">
        <v>2000</v>
      </c>
      <c r="AR48">
        <v>2000</v>
      </c>
      <c r="AS48">
        <v>155</v>
      </c>
      <c r="AT48">
        <v>1</v>
      </c>
      <c r="AU48">
        <v>0</v>
      </c>
      <c r="AV48">
        <v>0.38800000000000001</v>
      </c>
      <c r="AW48">
        <v>0.7</v>
      </c>
      <c r="AX48">
        <v>0</v>
      </c>
      <c r="AY48">
        <v>0</v>
      </c>
      <c r="AZ48">
        <v>0.14199999999999999</v>
      </c>
      <c r="BA48">
        <v>0.84199999999999997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2:61" x14ac:dyDescent="0.25">
      <c r="B49" s="1" t="str">
        <f t="shared" si="28"/>
        <v>Perimeter_top_ZN_3 Thermal Zone</v>
      </c>
      <c r="C49" s="2" t="str">
        <f t="shared" si="29"/>
        <v>Perim_TopZn3_PTAC</v>
      </c>
      <c r="D49" s="2" t="str">
        <f t="shared" si="30"/>
        <v>TopFlrDOAS</v>
      </c>
      <c r="E49" s="3" t="str">
        <f t="shared" si="31"/>
        <v>NONE</v>
      </c>
      <c r="F49" s="14">
        <f t="shared" si="32"/>
        <v>2000</v>
      </c>
      <c r="G49" s="14">
        <f t="shared" si="33"/>
        <v>245</v>
      </c>
      <c r="H49" s="14">
        <f t="shared" si="34"/>
        <v>0</v>
      </c>
      <c r="I49" s="46">
        <f t="shared" si="35"/>
        <v>1</v>
      </c>
      <c r="J49" s="46">
        <f t="shared" si="36"/>
        <v>0.15654952076677317</v>
      </c>
      <c r="K49" s="46">
        <f t="shared" si="37"/>
        <v>0</v>
      </c>
      <c r="L49" s="46">
        <f t="shared" si="38"/>
        <v>0.93263258785942482</v>
      </c>
      <c r="M49" s="46">
        <f t="shared" si="39"/>
        <v>0</v>
      </c>
      <c r="N49" s="46">
        <f t="shared" si="40"/>
        <v>0</v>
      </c>
      <c r="O49" s="46">
        <f t="shared" si="41"/>
        <v>0</v>
      </c>
      <c r="P49" s="96">
        <f t="shared" si="50"/>
        <v>0.93263258785942482</v>
      </c>
      <c r="Q49" s="153">
        <f t="shared" si="42"/>
        <v>0</v>
      </c>
      <c r="R49" s="94">
        <f t="shared" si="43"/>
        <v>0</v>
      </c>
      <c r="S49" s="133">
        <f t="shared" si="44"/>
        <v>0</v>
      </c>
      <c r="T49" s="94">
        <f t="shared" si="45"/>
        <v>0</v>
      </c>
      <c r="U49" s="94">
        <f t="shared" si="46"/>
        <v>0</v>
      </c>
      <c r="V49" s="94">
        <f t="shared" si="47"/>
        <v>0</v>
      </c>
      <c r="W49" s="94">
        <f t="shared" si="48"/>
        <v>0</v>
      </c>
      <c r="X49" s="154">
        <f t="shared" si="49"/>
        <v>0</v>
      </c>
      <c r="AK49" t="s">
        <v>10</v>
      </c>
      <c r="AL49" t="s">
        <v>15</v>
      </c>
      <c r="AM49" t="s">
        <v>17</v>
      </c>
      <c r="AN49" t="s">
        <v>80</v>
      </c>
      <c r="AO49">
        <v>2231.8000000000002</v>
      </c>
      <c r="AP49">
        <v>1</v>
      </c>
      <c r="AQ49">
        <v>2000</v>
      </c>
      <c r="AR49">
        <v>245</v>
      </c>
      <c r="AS49">
        <v>0</v>
      </c>
      <c r="AT49">
        <v>1</v>
      </c>
      <c r="AU49">
        <v>0.157</v>
      </c>
      <c r="AV49">
        <v>0</v>
      </c>
      <c r="AW49">
        <v>0.93300000000000005</v>
      </c>
      <c r="AX49">
        <v>0</v>
      </c>
      <c r="AY49">
        <v>0</v>
      </c>
      <c r="AZ49">
        <v>0</v>
      </c>
      <c r="BA49">
        <v>0.93300000000000005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2:61" x14ac:dyDescent="0.25">
      <c r="B50" s="1" t="str">
        <f t="shared" si="28"/>
        <v>Perimeter_top_ZN_4 Thermal Zone</v>
      </c>
      <c r="C50" s="2" t="str">
        <f t="shared" si="29"/>
        <v>Perim_TopZn4_PTAC</v>
      </c>
      <c r="D50" s="2" t="str">
        <f t="shared" si="30"/>
        <v>TopFlrDOAS</v>
      </c>
      <c r="E50" s="3" t="str">
        <f t="shared" si="31"/>
        <v>NONE</v>
      </c>
      <c r="F50" s="14">
        <f t="shared" si="32"/>
        <v>2000</v>
      </c>
      <c r="G50" s="14">
        <f t="shared" si="33"/>
        <v>155</v>
      </c>
      <c r="H50" s="14">
        <f t="shared" si="34"/>
        <v>0</v>
      </c>
      <c r="I50" s="46">
        <f t="shared" si="35"/>
        <v>1</v>
      </c>
      <c r="J50" s="46">
        <f t="shared" si="36"/>
        <v>9.9041533546325874E-2</v>
      </c>
      <c r="K50" s="46">
        <f t="shared" si="37"/>
        <v>0</v>
      </c>
      <c r="L50" s="46">
        <f t="shared" si="38"/>
        <v>0.84717571884984022</v>
      </c>
      <c r="M50" s="46">
        <f t="shared" si="39"/>
        <v>0</v>
      </c>
      <c r="N50" s="46">
        <f t="shared" si="40"/>
        <v>0</v>
      </c>
      <c r="O50" s="46">
        <f t="shared" si="41"/>
        <v>0</v>
      </c>
      <c r="P50" s="96">
        <f t="shared" si="50"/>
        <v>0.84717571884984022</v>
      </c>
      <c r="Q50" s="153">
        <f t="shared" si="42"/>
        <v>0</v>
      </c>
      <c r="R50" s="94">
        <f t="shared" si="43"/>
        <v>0</v>
      </c>
      <c r="S50" s="133">
        <f t="shared" si="44"/>
        <v>0</v>
      </c>
      <c r="T50" s="94">
        <f t="shared" si="45"/>
        <v>0</v>
      </c>
      <c r="U50" s="94">
        <f t="shared" si="46"/>
        <v>0</v>
      </c>
      <c r="V50" s="94">
        <f t="shared" si="47"/>
        <v>0</v>
      </c>
      <c r="W50" s="94">
        <f t="shared" si="48"/>
        <v>0</v>
      </c>
      <c r="X50" s="154">
        <f t="shared" si="49"/>
        <v>0</v>
      </c>
      <c r="AK50" t="s">
        <v>11</v>
      </c>
      <c r="AL50" t="s">
        <v>16</v>
      </c>
      <c r="AM50" t="s">
        <v>17</v>
      </c>
      <c r="AN50" t="s">
        <v>80</v>
      </c>
      <c r="AO50">
        <v>1412.8</v>
      </c>
      <c r="AP50">
        <v>1</v>
      </c>
      <c r="AQ50">
        <v>2000</v>
      </c>
      <c r="AR50">
        <v>155</v>
      </c>
      <c r="AS50">
        <v>0</v>
      </c>
      <c r="AT50">
        <v>1</v>
      </c>
      <c r="AU50">
        <v>9.9000000000000005E-2</v>
      </c>
      <c r="AV50">
        <v>0</v>
      </c>
      <c r="AW50">
        <v>0.84699999999999998</v>
      </c>
      <c r="AX50">
        <v>0</v>
      </c>
      <c r="AY50">
        <v>0</v>
      </c>
      <c r="AZ50">
        <v>0</v>
      </c>
      <c r="BA50">
        <v>0.84699999999999998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2:61" x14ac:dyDescent="0.25">
      <c r="B51" s="4" t="str">
        <f t="shared" si="28"/>
        <v>TopFloor_Plenum Thermal Zone</v>
      </c>
      <c r="C51" s="5" t="str">
        <f t="shared" si="29"/>
        <v>NONE</v>
      </c>
      <c r="D51" s="5" t="str">
        <f t="shared" si="30"/>
        <v>NONE</v>
      </c>
      <c r="E51" s="6" t="str">
        <f t="shared" si="31"/>
        <v>NONE</v>
      </c>
      <c r="F51" s="14">
        <f t="shared" si="32"/>
        <v>0</v>
      </c>
      <c r="G51" s="14">
        <f t="shared" si="33"/>
        <v>0</v>
      </c>
      <c r="H51" s="14">
        <f t="shared" si="34"/>
        <v>0</v>
      </c>
      <c r="I51" s="46">
        <f t="shared" si="35"/>
        <v>0</v>
      </c>
      <c r="J51" s="46">
        <f t="shared" si="36"/>
        <v>0</v>
      </c>
      <c r="K51" s="46">
        <f t="shared" si="37"/>
        <v>0</v>
      </c>
      <c r="L51" s="46">
        <f t="shared" si="38"/>
        <v>0</v>
      </c>
      <c r="M51" s="46">
        <f t="shared" si="39"/>
        <v>0</v>
      </c>
      <c r="N51" s="46">
        <f t="shared" si="40"/>
        <v>0</v>
      </c>
      <c r="O51" s="46">
        <f t="shared" si="41"/>
        <v>0</v>
      </c>
      <c r="P51" s="96">
        <f t="shared" si="50"/>
        <v>0</v>
      </c>
      <c r="Q51" s="155">
        <f t="shared" si="42"/>
        <v>0</v>
      </c>
      <c r="R51" s="95">
        <f t="shared" si="43"/>
        <v>0</v>
      </c>
      <c r="S51" s="160">
        <f t="shared" si="44"/>
        <v>0</v>
      </c>
      <c r="T51" s="95">
        <f t="shared" si="45"/>
        <v>0</v>
      </c>
      <c r="U51" s="95">
        <f t="shared" si="46"/>
        <v>0</v>
      </c>
      <c r="V51" s="95">
        <f t="shared" si="47"/>
        <v>0</v>
      </c>
      <c r="W51" s="95">
        <f t="shared" si="48"/>
        <v>0</v>
      </c>
      <c r="X51" s="47">
        <f t="shared" si="49"/>
        <v>0</v>
      </c>
      <c r="AK51" t="s">
        <v>79</v>
      </c>
      <c r="AL51" t="s">
        <v>80</v>
      </c>
      <c r="AM51" t="s">
        <v>80</v>
      </c>
      <c r="AN51" t="s">
        <v>80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61" spans="2:61" x14ac:dyDescent="0.25">
      <c r="S61" s="48"/>
    </row>
    <row r="63" spans="2:61" ht="28.5" x14ac:dyDescent="0.45">
      <c r="B63" s="56" t="s">
        <v>45</v>
      </c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161"/>
      <c r="AG63" s="161"/>
      <c r="AH63" s="161"/>
      <c r="AI63" s="161"/>
      <c r="AJ63" s="162" t="s">
        <v>170</v>
      </c>
      <c r="AK63" s="166" t="s">
        <v>119</v>
      </c>
    </row>
    <row r="64" spans="2:61" ht="30" x14ac:dyDescent="0.25">
      <c r="AF64" s="161"/>
      <c r="AG64" s="161"/>
      <c r="AH64" s="161"/>
      <c r="AI64" s="161"/>
      <c r="AJ64" s="161"/>
      <c r="AK64" s="163"/>
      <c r="AL64" s="163"/>
      <c r="AM64" s="163" t="s">
        <v>120</v>
      </c>
      <c r="AN64" s="163"/>
      <c r="AO64" s="163"/>
      <c r="AP64" s="163"/>
      <c r="AQ64" s="163" t="s">
        <v>121</v>
      </c>
      <c r="AR64" s="163"/>
      <c r="AS64" s="163"/>
      <c r="AT64" s="163"/>
      <c r="AU64" s="163"/>
      <c r="AV64" s="163" t="s">
        <v>122</v>
      </c>
      <c r="AW64" s="163"/>
      <c r="AX64" s="163"/>
      <c r="AY64" s="163"/>
      <c r="AZ64" s="163" t="s">
        <v>123</v>
      </c>
      <c r="BA64" s="163"/>
      <c r="BB64" s="163"/>
    </row>
    <row r="65" spans="2:64" ht="45" x14ac:dyDescent="0.25">
      <c r="B65" s="15" t="s">
        <v>65</v>
      </c>
      <c r="C65" s="16" t="s">
        <v>88</v>
      </c>
      <c r="D65" s="15" t="s">
        <v>64</v>
      </c>
      <c r="E65" s="16" t="s">
        <v>50</v>
      </c>
      <c r="F65" s="16" t="s">
        <v>47</v>
      </c>
      <c r="G65" s="16" t="s">
        <v>48</v>
      </c>
      <c r="H65" s="16" t="s">
        <v>49</v>
      </c>
      <c r="I65" s="117" t="s">
        <v>95</v>
      </c>
      <c r="J65" s="118" t="s">
        <v>96</v>
      </c>
      <c r="K65" s="119" t="s">
        <v>97</v>
      </c>
      <c r="AF65" s="161"/>
      <c r="AG65" s="161"/>
      <c r="AH65" s="161"/>
      <c r="AI65" s="161"/>
      <c r="AJ65" s="161"/>
      <c r="AK65" s="163" t="s">
        <v>65</v>
      </c>
      <c r="AL65" s="163" t="s">
        <v>88</v>
      </c>
      <c r="AM65" s="163" t="s">
        <v>124</v>
      </c>
      <c r="AN65" s="163" t="s">
        <v>125</v>
      </c>
      <c r="AO65" s="163" t="s">
        <v>126</v>
      </c>
      <c r="AP65" s="163" t="s">
        <v>127</v>
      </c>
      <c r="AQ65" s="163" t="s">
        <v>128</v>
      </c>
      <c r="AR65" s="163" t="s">
        <v>129</v>
      </c>
      <c r="AS65" s="163" t="s">
        <v>130</v>
      </c>
      <c r="AT65" s="163" t="s">
        <v>131</v>
      </c>
      <c r="AU65" s="163" t="s">
        <v>132</v>
      </c>
      <c r="AV65" s="163" t="s">
        <v>133</v>
      </c>
      <c r="AW65" s="163" t="s">
        <v>134</v>
      </c>
      <c r="AX65" s="163" t="s">
        <v>135</v>
      </c>
      <c r="AY65" s="163" t="s">
        <v>136</v>
      </c>
      <c r="AZ65" s="163" t="s">
        <v>137</v>
      </c>
      <c r="BA65" s="163" t="s">
        <v>138</v>
      </c>
      <c r="BB65" s="163" t="s">
        <v>139</v>
      </c>
      <c r="BC65" t="s">
        <v>183</v>
      </c>
      <c r="BD65" t="s">
        <v>184</v>
      </c>
      <c r="BE65" t="s">
        <v>185</v>
      </c>
      <c r="BF65" t="s">
        <v>186</v>
      </c>
      <c r="BG65" t="s">
        <v>187</v>
      </c>
      <c r="BH65" t="s">
        <v>188</v>
      </c>
      <c r="BI65" t="s">
        <v>189</v>
      </c>
      <c r="BJ65" t="s">
        <v>190</v>
      </c>
      <c r="BK65" t="s">
        <v>191</v>
      </c>
      <c r="BL65" t="s">
        <v>192</v>
      </c>
    </row>
    <row r="66" spans="2:64" ht="15.75" thickBot="1" x14ac:dyDescent="0.3">
      <c r="B66" s="11"/>
      <c r="C66" s="12"/>
      <c r="D66" s="11" t="s">
        <v>39</v>
      </c>
      <c r="E66" s="12" t="s">
        <v>38</v>
      </c>
      <c r="F66" s="12" t="s">
        <v>38</v>
      </c>
      <c r="G66" s="12" t="s">
        <v>38</v>
      </c>
      <c r="H66" s="12" t="s">
        <v>38</v>
      </c>
      <c r="I66" s="120" t="s">
        <v>98</v>
      </c>
      <c r="J66" s="121" t="s">
        <v>98</v>
      </c>
      <c r="K66" s="122" t="s">
        <v>98</v>
      </c>
      <c r="AM66" t="s">
        <v>0</v>
      </c>
      <c r="AN66" t="s">
        <v>0</v>
      </c>
      <c r="AO66" t="s">
        <v>0</v>
      </c>
      <c r="AP66" t="s">
        <v>0</v>
      </c>
      <c r="AQ66" t="s">
        <v>39</v>
      </c>
      <c r="AR66" t="s">
        <v>39</v>
      </c>
      <c r="AS66" t="s">
        <v>39</v>
      </c>
      <c r="AT66" t="s">
        <v>39</v>
      </c>
      <c r="AU66" t="s">
        <v>39</v>
      </c>
      <c r="AV66" t="s">
        <v>38</v>
      </c>
      <c r="AW66" t="s">
        <v>38</v>
      </c>
      <c r="AX66" t="s">
        <v>38</v>
      </c>
      <c r="AY66" t="s">
        <v>38</v>
      </c>
      <c r="AZ66" t="s">
        <v>92</v>
      </c>
      <c r="BA66" t="s">
        <v>92</v>
      </c>
      <c r="BB66" t="s">
        <v>92</v>
      </c>
      <c r="BC66" t="s">
        <v>193</v>
      </c>
      <c r="BD66" t="s">
        <v>193</v>
      </c>
      <c r="BE66" t="s">
        <v>193</v>
      </c>
      <c r="BF66" t="s">
        <v>193</v>
      </c>
      <c r="BG66" t="s">
        <v>193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</row>
    <row r="67" spans="2:64" ht="16.5" thickTop="1" thickBot="1" x14ac:dyDescent="0.3">
      <c r="B67" s="1" t="str">
        <f>AK67</f>
        <v>BaseAirSys5</v>
      </c>
      <c r="C67" s="2"/>
      <c r="D67" s="46">
        <f>SUMIFS(H$75:H$92,$C$75:$C$92,$B67)</f>
        <v>20.14111267125012</v>
      </c>
      <c r="E67" s="46">
        <f t="shared" ref="E67:H69" si="51">SUMIFS(D$75:D$92,$C$75:$C$92,$B67)/$D67</f>
        <v>0.7839233404498287</v>
      </c>
      <c r="F67" s="46">
        <f t="shared" si="51"/>
        <v>0</v>
      </c>
      <c r="G67" s="46">
        <f t="shared" si="51"/>
        <v>0.2160766595501713</v>
      </c>
      <c r="H67" s="46">
        <f t="shared" si="51"/>
        <v>0</v>
      </c>
      <c r="I67" s="114">
        <f>SUMIFS($Q$75:$Q$92,$C$75:$C$92,$B67)</f>
        <v>0</v>
      </c>
      <c r="J67" s="115">
        <f>SUMIFS($R$75:$R$92,$C$75:$C$92,$B67)</f>
        <v>5.7677139222817528</v>
      </c>
      <c r="K67" s="116">
        <f>SUMIFS($S$75:$S$92,$C$75:$C$92,$B67)</f>
        <v>5.7677139222817528</v>
      </c>
      <c r="AK67" t="s">
        <v>171</v>
      </c>
      <c r="AL67" t="s">
        <v>67</v>
      </c>
      <c r="AM67">
        <v>14224.8</v>
      </c>
      <c r="AN67">
        <v>0</v>
      </c>
      <c r="AO67">
        <v>0</v>
      </c>
      <c r="AP67">
        <v>0</v>
      </c>
      <c r="AQ67">
        <v>17.195</v>
      </c>
      <c r="AR67">
        <v>0</v>
      </c>
      <c r="AS67">
        <v>3.5</v>
      </c>
      <c r="AT67">
        <v>0</v>
      </c>
      <c r="AU67">
        <v>20.140999999999998</v>
      </c>
      <c r="AV67">
        <v>0.78400000000000003</v>
      </c>
      <c r="AW67">
        <v>0</v>
      </c>
      <c r="AX67">
        <v>0.216</v>
      </c>
      <c r="AY67">
        <v>0</v>
      </c>
      <c r="AZ67">
        <v>0</v>
      </c>
      <c r="BA67">
        <v>5.7770000000000001</v>
      </c>
      <c r="BB67">
        <v>5.7770000000000001</v>
      </c>
      <c r="BC67">
        <v>-99996</v>
      </c>
      <c r="BD67">
        <v>-99996</v>
      </c>
      <c r="BE67">
        <v>-99996</v>
      </c>
      <c r="BF67">
        <v>-99996</v>
      </c>
      <c r="BG67">
        <v>-99996</v>
      </c>
      <c r="BH67">
        <v>-99996</v>
      </c>
      <c r="BI67">
        <v>-99996</v>
      </c>
      <c r="BJ67">
        <v>-99996</v>
      </c>
      <c r="BK67">
        <v>-99996</v>
      </c>
      <c r="BL67">
        <v>-99996</v>
      </c>
    </row>
    <row r="68" spans="2:64" ht="16.5" thickTop="1" thickBot="1" x14ac:dyDescent="0.3">
      <c r="B68" s="1" t="str">
        <f t="shared" ref="B68:B69" si="52">AK68</f>
        <v>BaseAirSys5-2</v>
      </c>
      <c r="C68" s="2"/>
      <c r="D68" s="46">
        <f>SUMIFS($H$75:$H$92,$C$75:$C$92,$B68)</f>
        <v>21.190999999999999</v>
      </c>
      <c r="E68" s="46">
        <f t="shared" si="51"/>
        <v>0.7510263791232128</v>
      </c>
      <c r="F68" s="46">
        <f t="shared" si="51"/>
        <v>4.7472983813883256E-2</v>
      </c>
      <c r="G68" s="46">
        <f t="shared" si="51"/>
        <v>0.16256901514794017</v>
      </c>
      <c r="H68" s="46">
        <f t="shared" si="51"/>
        <v>3.8931621914963903E-2</v>
      </c>
      <c r="I68" s="100">
        <f>SUMIFS($Q$75:$Q$92,$C$75:$C$92,$B68)</f>
        <v>0.22875816993464054</v>
      </c>
      <c r="J68" s="101">
        <f>SUMIFS($R$75:$R$92,$C$75:$C$92,$B68)</f>
        <v>4.1442121064503459</v>
      </c>
      <c r="K68" s="102">
        <f>SUMIFS($S$75:$S$92,$C$75:$C$92,$B68)</f>
        <v>4.3729702763849865</v>
      </c>
      <c r="AK68" t="s">
        <v>172</v>
      </c>
      <c r="AL68" t="s">
        <v>67</v>
      </c>
      <c r="AM68">
        <v>14266.4</v>
      </c>
      <c r="AN68">
        <v>0</v>
      </c>
      <c r="AO68">
        <v>0</v>
      </c>
      <c r="AP68">
        <v>0</v>
      </c>
      <c r="AQ68">
        <v>15.928000000000001</v>
      </c>
      <c r="AR68">
        <v>0</v>
      </c>
      <c r="AS68">
        <v>3.2749999999999999</v>
      </c>
      <c r="AT68">
        <v>0</v>
      </c>
      <c r="AU68">
        <v>21.19</v>
      </c>
      <c r="AV68">
        <v>0.751</v>
      </c>
      <c r="AW68">
        <v>4.7E-2</v>
      </c>
      <c r="AX68">
        <v>0.16300000000000001</v>
      </c>
      <c r="AY68">
        <v>3.9E-2</v>
      </c>
      <c r="AZ68">
        <v>0.22900000000000001</v>
      </c>
      <c r="BA68">
        <v>4.1509999999999998</v>
      </c>
      <c r="BB68">
        <v>4.1509999999999998</v>
      </c>
      <c r="BC68">
        <v>-99996</v>
      </c>
      <c r="BD68">
        <v>-99996</v>
      </c>
      <c r="BE68">
        <v>-99996</v>
      </c>
      <c r="BF68">
        <v>-99996</v>
      </c>
      <c r="BG68">
        <v>-99996</v>
      </c>
      <c r="BH68">
        <v>-99996</v>
      </c>
      <c r="BI68">
        <v>-99996</v>
      </c>
      <c r="BJ68">
        <v>-99996</v>
      </c>
      <c r="BK68">
        <v>-99996</v>
      </c>
      <c r="BL68">
        <v>-99996</v>
      </c>
    </row>
    <row r="69" spans="2:64" ht="15.75" thickTop="1" x14ac:dyDescent="0.25">
      <c r="B69" s="4" t="str">
        <f t="shared" si="52"/>
        <v>BaseAirSys5-3</v>
      </c>
      <c r="C69" s="5"/>
      <c r="D69" s="46">
        <f>SUMIFS($H$75:$H$92,$C$75:$C$92,$B69)</f>
        <v>5.702</v>
      </c>
      <c r="E69" s="46">
        <f t="shared" si="51"/>
        <v>0.93581199579095065</v>
      </c>
      <c r="F69" s="46">
        <f t="shared" si="51"/>
        <v>0</v>
      </c>
      <c r="G69" s="46">
        <f t="shared" si="51"/>
        <v>0</v>
      </c>
      <c r="H69" s="46">
        <f t="shared" si="51"/>
        <v>6.4188004209049451E-2</v>
      </c>
      <c r="I69" s="103">
        <f>SUMIFS($Q$75:$Q$92,$C$75:$C$92,$B69)</f>
        <v>0</v>
      </c>
      <c r="J69" s="104">
        <f>SUMIFS($R$75:$R$92,$C$75:$C$92,$B69)</f>
        <v>0</v>
      </c>
      <c r="K69" s="105">
        <f>SUMIFS($S$75:$S$92,$C$75:$C$92,$B69)</f>
        <v>0</v>
      </c>
      <c r="AK69" t="s">
        <v>173</v>
      </c>
      <c r="AL69" t="s">
        <v>67</v>
      </c>
      <c r="AM69">
        <v>14697.7</v>
      </c>
      <c r="AN69">
        <v>0</v>
      </c>
      <c r="AO69">
        <v>0</v>
      </c>
      <c r="AP69">
        <v>0</v>
      </c>
      <c r="AQ69">
        <v>12.981999999999999</v>
      </c>
      <c r="AR69">
        <v>0</v>
      </c>
      <c r="AS69">
        <v>3.5190000000000001</v>
      </c>
      <c r="AT69">
        <v>0</v>
      </c>
      <c r="AU69">
        <v>5.7030000000000003</v>
      </c>
      <c r="AV69">
        <v>0.93600000000000005</v>
      </c>
      <c r="AW69">
        <v>0</v>
      </c>
      <c r="AX69">
        <v>0</v>
      </c>
      <c r="AY69">
        <v>6.4000000000000001E-2</v>
      </c>
      <c r="AZ69">
        <v>0</v>
      </c>
      <c r="BA69">
        <v>0</v>
      </c>
      <c r="BB69">
        <v>0</v>
      </c>
      <c r="BC69">
        <v>-99996</v>
      </c>
      <c r="BD69">
        <v>-99996</v>
      </c>
      <c r="BE69">
        <v>-99996</v>
      </c>
      <c r="BF69">
        <v>-99996</v>
      </c>
      <c r="BG69">
        <v>-99996</v>
      </c>
      <c r="BH69">
        <v>-99996</v>
      </c>
      <c r="BI69">
        <v>-99996</v>
      </c>
      <c r="BJ69">
        <v>-99996</v>
      </c>
      <c r="BK69">
        <v>-99996</v>
      </c>
      <c r="BL69">
        <v>-99996</v>
      </c>
    </row>
    <row r="70" spans="2:64" x14ac:dyDescent="0.25">
      <c r="K70" s="48"/>
    </row>
    <row r="71" spans="2:64" x14ac:dyDescent="0.25">
      <c r="AK71" s="24" t="s">
        <v>43</v>
      </c>
    </row>
    <row r="72" spans="2:64" ht="30" x14ac:dyDescent="0.25">
      <c r="AK72" s="163"/>
      <c r="AL72" s="163"/>
      <c r="AM72" s="163"/>
      <c r="AN72" s="163"/>
      <c r="AO72" s="163"/>
      <c r="AP72" s="163"/>
      <c r="AQ72" s="163" t="s">
        <v>120</v>
      </c>
      <c r="AR72" s="163"/>
      <c r="AS72" s="163"/>
      <c r="AT72" s="163" t="s">
        <v>145</v>
      </c>
      <c r="AU72" s="163"/>
      <c r="AV72" s="163"/>
      <c r="AW72" s="163" t="s">
        <v>146</v>
      </c>
      <c r="AX72" s="163"/>
      <c r="AY72" s="163"/>
      <c r="AZ72" s="163"/>
      <c r="BA72" s="163"/>
      <c r="BB72" s="163" t="s">
        <v>123</v>
      </c>
      <c r="BC72" s="163"/>
      <c r="BD72" s="163"/>
    </row>
    <row r="73" spans="2:64" ht="159.75" x14ac:dyDescent="0.25">
      <c r="B73" s="15" t="s">
        <v>43</v>
      </c>
      <c r="C73" s="10" t="s">
        <v>40</v>
      </c>
      <c r="D73" s="52" t="s">
        <v>53</v>
      </c>
      <c r="E73" s="53" t="s">
        <v>56</v>
      </c>
      <c r="F73" s="53" t="s">
        <v>59</v>
      </c>
      <c r="G73" s="55" t="s">
        <v>60</v>
      </c>
      <c r="H73" s="55" t="s">
        <v>46</v>
      </c>
      <c r="I73" s="67" t="s">
        <v>29</v>
      </c>
      <c r="J73" s="70" t="s">
        <v>102</v>
      </c>
      <c r="K73" s="126"/>
      <c r="L73" s="126"/>
      <c r="M73" s="126"/>
      <c r="N73" s="126"/>
      <c r="O73" s="126"/>
      <c r="P73" s="126"/>
      <c r="Q73" s="73" t="s">
        <v>99</v>
      </c>
      <c r="R73" s="72" t="s">
        <v>100</v>
      </c>
      <c r="S73" s="65" t="s">
        <v>93</v>
      </c>
      <c r="T73" s="63" t="s">
        <v>89</v>
      </c>
      <c r="U73" s="174" t="s">
        <v>179</v>
      </c>
      <c r="V73" s="175" t="s">
        <v>182</v>
      </c>
      <c r="W73" s="64" t="s">
        <v>90</v>
      </c>
      <c r="X73" s="64" t="s">
        <v>91</v>
      </c>
      <c r="AK73" s="163" t="s">
        <v>142</v>
      </c>
      <c r="AL73" s="163" t="s">
        <v>147</v>
      </c>
      <c r="AM73" s="163" t="s">
        <v>148</v>
      </c>
      <c r="AN73" s="163" t="s">
        <v>149</v>
      </c>
      <c r="AO73" s="163" t="s">
        <v>150</v>
      </c>
      <c r="AP73" s="163" t="s">
        <v>151</v>
      </c>
      <c r="AQ73" s="163" t="s">
        <v>152</v>
      </c>
      <c r="AR73" s="163" t="s">
        <v>153</v>
      </c>
      <c r="AS73" s="163" t="s">
        <v>154</v>
      </c>
      <c r="AT73" s="163" t="s">
        <v>155</v>
      </c>
      <c r="AU73" s="163" t="s">
        <v>156</v>
      </c>
      <c r="AV73" s="163" t="s">
        <v>157</v>
      </c>
      <c r="AW73" s="163" t="s">
        <v>158</v>
      </c>
      <c r="AX73" s="163" t="s">
        <v>159</v>
      </c>
      <c r="AY73" s="163" t="s">
        <v>160</v>
      </c>
      <c r="AZ73" s="163" t="s">
        <v>161</v>
      </c>
      <c r="BA73" s="163" t="s">
        <v>162</v>
      </c>
      <c r="BB73" s="163" t="s">
        <v>163</v>
      </c>
      <c r="BC73" s="163" t="s">
        <v>164</v>
      </c>
      <c r="BD73" s="163" t="s">
        <v>165</v>
      </c>
      <c r="BE73" t="s">
        <v>194</v>
      </c>
      <c r="BF73" t="s">
        <v>195</v>
      </c>
      <c r="BG73" t="s">
        <v>196</v>
      </c>
      <c r="BH73" t="s">
        <v>197</v>
      </c>
      <c r="BI73" t="s">
        <v>198</v>
      </c>
    </row>
    <row r="74" spans="2:64" ht="15.75" thickBot="1" x14ac:dyDescent="0.3">
      <c r="B74" s="11"/>
      <c r="C74" s="13"/>
      <c r="D74" s="11" t="s">
        <v>39</v>
      </c>
      <c r="E74" s="12" t="s">
        <v>39</v>
      </c>
      <c r="F74" s="12" t="s">
        <v>39</v>
      </c>
      <c r="G74" s="12" t="s">
        <v>39</v>
      </c>
      <c r="H74" s="12" t="s">
        <v>39</v>
      </c>
      <c r="I74" s="60" t="s">
        <v>0</v>
      </c>
      <c r="J74" s="60" t="s">
        <v>94</v>
      </c>
      <c r="K74" s="26"/>
      <c r="L74" s="26"/>
      <c r="M74" s="26"/>
      <c r="N74" s="26"/>
      <c r="O74" s="26"/>
      <c r="P74" s="26"/>
      <c r="Q74" s="12" t="s">
        <v>92</v>
      </c>
      <c r="R74" s="12" t="s">
        <v>92</v>
      </c>
      <c r="S74" s="20" t="s">
        <v>92</v>
      </c>
      <c r="T74" s="12" t="s">
        <v>92</v>
      </c>
      <c r="U74" s="12" t="s">
        <v>92</v>
      </c>
      <c r="V74" s="12" t="s">
        <v>92</v>
      </c>
      <c r="W74" s="12" t="s">
        <v>92</v>
      </c>
      <c r="X74" s="12" t="s">
        <v>92</v>
      </c>
      <c r="AO74" t="s">
        <v>166</v>
      </c>
      <c r="AQ74" t="s">
        <v>0</v>
      </c>
      <c r="AR74" t="s">
        <v>0</v>
      </c>
      <c r="AS74" t="s">
        <v>0</v>
      </c>
      <c r="AT74" t="s">
        <v>38</v>
      </c>
      <c r="AU74" t="s">
        <v>38</v>
      </c>
      <c r="AV74" t="s">
        <v>38</v>
      </c>
      <c r="AW74" t="s">
        <v>39</v>
      </c>
      <c r="AX74" t="s">
        <v>39</v>
      </c>
      <c r="AY74" t="s">
        <v>39</v>
      </c>
      <c r="AZ74" t="s">
        <v>39</v>
      </c>
      <c r="BA74" t="s">
        <v>39</v>
      </c>
      <c r="BB74" t="s">
        <v>92</v>
      </c>
      <c r="BC74" t="s">
        <v>92</v>
      </c>
      <c r="BD74" t="s">
        <v>92</v>
      </c>
      <c r="BE74" t="s">
        <v>92</v>
      </c>
      <c r="BF74" t="s">
        <v>92</v>
      </c>
      <c r="BG74" t="s">
        <v>92</v>
      </c>
      <c r="BH74" t="s">
        <v>92</v>
      </c>
      <c r="BI74" t="s">
        <v>92</v>
      </c>
    </row>
    <row r="75" spans="2:64" ht="15.75" thickTop="1" x14ac:dyDescent="0.25">
      <c r="B75" s="1" t="str">
        <f t="shared" ref="B75:B92" si="53">AK75</f>
        <v>Core_bottom Thermal Zone</v>
      </c>
      <c r="C75" s="3" t="str">
        <f t="shared" ref="C75:C92" si="54">AL75</f>
        <v>BaseAirSys5</v>
      </c>
      <c r="D75" s="46">
        <f t="shared" ref="D75:D92" si="55">L34</f>
        <v>9.3507687053518982</v>
      </c>
      <c r="E75" s="46">
        <f t="shared" ref="E75:E92" si="56">M34</f>
        <v>0</v>
      </c>
      <c r="F75" s="46">
        <f t="shared" ref="F75:F92" si="57">N34</f>
        <v>2.5773985309830558</v>
      </c>
      <c r="G75" s="46">
        <f t="shared" ref="G75:G92" si="58">O34</f>
        <v>0</v>
      </c>
      <c r="H75" s="46">
        <f t="shared" ref="H75:H92" si="59">P34</f>
        <v>11.928167236334954</v>
      </c>
      <c r="I75" s="68">
        <f>AQ75</f>
        <v>7965.5</v>
      </c>
      <c r="J75" s="46">
        <f t="shared" ref="J75:J92" si="60">IFERROR(I75/MAX(F34,G34),0)</f>
        <v>0.75240632113878725</v>
      </c>
      <c r="K75" s="46"/>
      <c r="L75" s="46"/>
      <c r="M75" s="46"/>
      <c r="N75" s="46"/>
      <c r="O75" s="46"/>
      <c r="P75" s="46"/>
      <c r="Q75" s="46">
        <f t="shared" ref="Q75:Q92" si="61">SUM(T75:U75)</f>
        <v>0</v>
      </c>
      <c r="R75" s="46">
        <f t="shared" ref="R75:R92" si="62">SUM(V75:X75)</f>
        <v>3.2297851798586472</v>
      </c>
      <c r="S75" s="46">
        <f t="shared" ref="S75:S92" si="63">SUM(T75:U75,V75:X75)</f>
        <v>3.2297851798586472</v>
      </c>
      <c r="T75" s="46">
        <f t="shared" ref="T75:U92" si="64">T34</f>
        <v>0</v>
      </c>
      <c r="U75" s="46">
        <f t="shared" si="64"/>
        <v>0</v>
      </c>
      <c r="V75" s="46">
        <f t="shared" ref="V75:X92" si="65">V34*$J75</f>
        <v>0.91590150230042477</v>
      </c>
      <c r="W75" s="46">
        <f t="shared" si="65"/>
        <v>2.3138836775582226</v>
      </c>
      <c r="X75" s="46">
        <f t="shared" si="65"/>
        <v>0</v>
      </c>
      <c r="AK75" t="s">
        <v>72</v>
      </c>
      <c r="AL75" t="s">
        <v>171</v>
      </c>
      <c r="AM75" t="s">
        <v>171</v>
      </c>
      <c r="AN75" t="s">
        <v>80</v>
      </c>
      <c r="AO75">
        <v>10586.7</v>
      </c>
      <c r="AP75">
        <v>1</v>
      </c>
      <c r="AQ75">
        <v>7965.5</v>
      </c>
      <c r="AR75">
        <v>7965.5</v>
      </c>
      <c r="AS75">
        <v>0</v>
      </c>
      <c r="AT75">
        <v>0.59199999999999997</v>
      </c>
      <c r="AU75">
        <v>0</v>
      </c>
      <c r="AV75">
        <v>0</v>
      </c>
      <c r="AW75">
        <v>9.3510000000000009</v>
      </c>
      <c r="AX75">
        <v>0</v>
      </c>
      <c r="AY75">
        <v>2.577</v>
      </c>
      <c r="AZ75">
        <v>0</v>
      </c>
      <c r="BA75">
        <v>11.928000000000001</v>
      </c>
      <c r="BB75">
        <v>0</v>
      </c>
      <c r="BC75">
        <v>3.2349999999999999</v>
      </c>
      <c r="BD75">
        <v>3.2349999999999999</v>
      </c>
      <c r="BE75">
        <v>0</v>
      </c>
      <c r="BF75">
        <v>0</v>
      </c>
      <c r="BG75">
        <v>0.91700000000000004</v>
      </c>
      <c r="BH75">
        <v>2.3170000000000002</v>
      </c>
      <c r="BI75">
        <v>0</v>
      </c>
    </row>
    <row r="76" spans="2:64" x14ac:dyDescent="0.25">
      <c r="B76" s="1" t="str">
        <f t="shared" si="53"/>
        <v>Perimeter_bot_ZN_1 Thermal Zone</v>
      </c>
      <c r="C76" s="3" t="str">
        <f t="shared" si="54"/>
        <v>BaseAirSys5</v>
      </c>
      <c r="D76" s="46">
        <f t="shared" si="55"/>
        <v>1.9712512488881677</v>
      </c>
      <c r="E76" s="46">
        <f t="shared" si="56"/>
        <v>0</v>
      </c>
      <c r="F76" s="46">
        <f t="shared" si="57"/>
        <v>0.5433457112648874</v>
      </c>
      <c r="G76" s="46">
        <f t="shared" si="58"/>
        <v>0</v>
      </c>
      <c r="H76" s="46">
        <f t="shared" si="59"/>
        <v>2.5145969601530549</v>
      </c>
      <c r="I76" s="68">
        <f t="shared" ref="I76:I92" si="66">AQ76</f>
        <v>2068</v>
      </c>
      <c r="J76" s="46">
        <f t="shared" si="60"/>
        <v>0.92660632673178589</v>
      </c>
      <c r="K76" s="46"/>
      <c r="L76" s="46"/>
      <c r="M76" s="46"/>
      <c r="N76" s="46"/>
      <c r="O76" s="46"/>
      <c r="P76" s="46"/>
      <c r="Q76" s="46">
        <f t="shared" si="61"/>
        <v>0</v>
      </c>
      <c r="R76" s="46">
        <f t="shared" si="62"/>
        <v>0.83851556737777688</v>
      </c>
      <c r="S76" s="46">
        <f t="shared" si="63"/>
        <v>0.83851556737777688</v>
      </c>
      <c r="T76" s="46">
        <f t="shared" si="64"/>
        <v>0</v>
      </c>
      <c r="U76" s="46">
        <f t="shared" si="64"/>
        <v>0</v>
      </c>
      <c r="V76" s="46">
        <f t="shared" si="65"/>
        <v>0.23778599042838214</v>
      </c>
      <c r="W76" s="46">
        <f t="shared" si="65"/>
        <v>0.60072957694939477</v>
      </c>
      <c r="X76" s="46">
        <f t="shared" si="65"/>
        <v>0</v>
      </c>
      <c r="AK76" t="s">
        <v>73</v>
      </c>
      <c r="AL76" t="s">
        <v>171</v>
      </c>
      <c r="AM76" t="s">
        <v>171</v>
      </c>
      <c r="AN76" t="s">
        <v>80</v>
      </c>
      <c r="AO76">
        <v>2231.8000000000002</v>
      </c>
      <c r="AP76">
        <v>1</v>
      </c>
      <c r="AQ76">
        <v>2068</v>
      </c>
      <c r="AR76">
        <v>2068</v>
      </c>
      <c r="AS76">
        <v>0</v>
      </c>
      <c r="AT76">
        <v>0.125</v>
      </c>
      <c r="AU76">
        <v>0</v>
      </c>
      <c r="AV76">
        <v>0</v>
      </c>
      <c r="AW76">
        <v>1.9710000000000001</v>
      </c>
      <c r="AX76">
        <v>0</v>
      </c>
      <c r="AY76">
        <v>0.54300000000000004</v>
      </c>
      <c r="AZ76">
        <v>0</v>
      </c>
      <c r="BA76">
        <v>2.5150000000000001</v>
      </c>
      <c r="BB76">
        <v>0</v>
      </c>
      <c r="BC76">
        <v>0.84</v>
      </c>
      <c r="BD76">
        <v>0.84</v>
      </c>
      <c r="BE76">
        <v>0</v>
      </c>
      <c r="BF76">
        <v>0</v>
      </c>
      <c r="BG76">
        <v>0.23799999999999999</v>
      </c>
      <c r="BH76">
        <v>0.60199999999999998</v>
      </c>
      <c r="BI76">
        <v>0</v>
      </c>
    </row>
    <row r="77" spans="2:64" x14ac:dyDescent="0.25">
      <c r="B77" s="1" t="str">
        <f t="shared" si="53"/>
        <v>Perimeter_bot_ZN_2 Thermal Zone</v>
      </c>
      <c r="C77" s="3" t="str">
        <f t="shared" si="54"/>
        <v>BaseAirSys5</v>
      </c>
      <c r="D77" s="46">
        <f t="shared" si="55"/>
        <v>1.2479527240586488</v>
      </c>
      <c r="E77" s="46">
        <f t="shared" si="56"/>
        <v>0</v>
      </c>
      <c r="F77" s="46">
        <f t="shared" si="57"/>
        <v>0.343979368870938</v>
      </c>
      <c r="G77" s="46">
        <f t="shared" si="58"/>
        <v>0</v>
      </c>
      <c r="H77" s="46">
        <f t="shared" si="59"/>
        <v>1.5919320929295868</v>
      </c>
      <c r="I77" s="68">
        <f t="shared" si="66"/>
        <v>1330.9</v>
      </c>
      <c r="J77" s="46">
        <f t="shared" si="60"/>
        <v>0.94196333781583974</v>
      </c>
      <c r="K77" s="46"/>
      <c r="L77" s="46"/>
      <c r="M77" s="46"/>
      <c r="N77" s="46"/>
      <c r="O77" s="46"/>
      <c r="P77" s="46"/>
      <c r="Q77" s="46">
        <f t="shared" si="61"/>
        <v>0</v>
      </c>
      <c r="R77" s="46">
        <f t="shared" si="62"/>
        <v>0.53964234459530147</v>
      </c>
      <c r="S77" s="46">
        <f t="shared" si="63"/>
        <v>0.53964234459530147</v>
      </c>
      <c r="T77" s="46">
        <f t="shared" si="64"/>
        <v>0</v>
      </c>
      <c r="U77" s="46">
        <f t="shared" si="64"/>
        <v>0</v>
      </c>
      <c r="V77" s="46">
        <f t="shared" si="65"/>
        <v>0.15303161250538386</v>
      </c>
      <c r="W77" s="46">
        <f t="shared" si="65"/>
        <v>0.38661073208991759</v>
      </c>
      <c r="X77" s="46">
        <f t="shared" si="65"/>
        <v>0</v>
      </c>
      <c r="AK77" t="s">
        <v>74</v>
      </c>
      <c r="AL77" t="s">
        <v>171</v>
      </c>
      <c r="AM77" t="s">
        <v>171</v>
      </c>
      <c r="AN77" t="s">
        <v>80</v>
      </c>
      <c r="AO77">
        <v>1412.9</v>
      </c>
      <c r="AP77">
        <v>1</v>
      </c>
      <c r="AQ77">
        <v>1330.9</v>
      </c>
      <c r="AR77">
        <v>1330.9</v>
      </c>
      <c r="AS77">
        <v>0</v>
      </c>
      <c r="AT77">
        <v>7.9000000000000001E-2</v>
      </c>
      <c r="AU77">
        <v>0</v>
      </c>
      <c r="AV77">
        <v>0</v>
      </c>
      <c r="AW77">
        <v>1.248</v>
      </c>
      <c r="AX77">
        <v>0</v>
      </c>
      <c r="AY77">
        <v>0.34399999999999997</v>
      </c>
      <c r="AZ77">
        <v>0</v>
      </c>
      <c r="BA77">
        <v>1.5920000000000001</v>
      </c>
      <c r="BB77">
        <v>0</v>
      </c>
      <c r="BC77">
        <v>0.54</v>
      </c>
      <c r="BD77">
        <v>0.54</v>
      </c>
      <c r="BE77">
        <v>0</v>
      </c>
      <c r="BF77">
        <v>0</v>
      </c>
      <c r="BG77">
        <v>0.153</v>
      </c>
      <c r="BH77">
        <v>0.38700000000000001</v>
      </c>
      <c r="BI77">
        <v>0</v>
      </c>
    </row>
    <row r="78" spans="2:64" x14ac:dyDescent="0.25">
      <c r="B78" s="1" t="str">
        <f t="shared" si="53"/>
        <v>Perimeter_bot_ZN_3 Thermal Zone</v>
      </c>
      <c r="C78" s="3" t="str">
        <f t="shared" si="54"/>
        <v>BaseAirSys5</v>
      </c>
      <c r="D78" s="46">
        <f t="shared" si="55"/>
        <v>1.9712512488881677</v>
      </c>
      <c r="E78" s="46">
        <f t="shared" si="56"/>
        <v>0</v>
      </c>
      <c r="F78" s="46">
        <f t="shared" si="57"/>
        <v>0.5433457112648874</v>
      </c>
      <c r="G78" s="46">
        <f t="shared" si="58"/>
        <v>0</v>
      </c>
      <c r="H78" s="46">
        <f t="shared" si="59"/>
        <v>2.5145969601530549</v>
      </c>
      <c r="I78" s="68">
        <f t="shared" si="66"/>
        <v>1431.7</v>
      </c>
      <c r="J78" s="46">
        <f t="shared" si="60"/>
        <v>0.64150013442064702</v>
      </c>
      <c r="K78" s="46"/>
      <c r="L78" s="46"/>
      <c r="M78" s="46"/>
      <c r="N78" s="46"/>
      <c r="O78" s="46"/>
      <c r="P78" s="46"/>
      <c r="Q78" s="46">
        <f t="shared" si="61"/>
        <v>0</v>
      </c>
      <c r="R78" s="46">
        <f t="shared" si="62"/>
        <v>0.58051389642880236</v>
      </c>
      <c r="S78" s="46">
        <f t="shared" si="63"/>
        <v>0.58051389642880236</v>
      </c>
      <c r="T78" s="46">
        <f t="shared" si="64"/>
        <v>0</v>
      </c>
      <c r="U78" s="46">
        <f t="shared" si="64"/>
        <v>0</v>
      </c>
      <c r="V78" s="46">
        <f t="shared" si="65"/>
        <v>0.164621954785452</v>
      </c>
      <c r="W78" s="46">
        <f t="shared" si="65"/>
        <v>0.41589194164335042</v>
      </c>
      <c r="X78" s="46">
        <f t="shared" si="65"/>
        <v>0</v>
      </c>
      <c r="AK78" t="s">
        <v>75</v>
      </c>
      <c r="AL78" t="s">
        <v>171</v>
      </c>
      <c r="AM78" t="s">
        <v>171</v>
      </c>
      <c r="AN78" t="s">
        <v>80</v>
      </c>
      <c r="AO78">
        <v>2231.8000000000002</v>
      </c>
      <c r="AP78">
        <v>1</v>
      </c>
      <c r="AQ78">
        <v>1431.7</v>
      </c>
      <c r="AR78">
        <v>1431.7</v>
      </c>
      <c r="AS78">
        <v>0</v>
      </c>
      <c r="AT78">
        <v>0.125</v>
      </c>
      <c r="AU78">
        <v>0</v>
      </c>
      <c r="AV78">
        <v>0</v>
      </c>
      <c r="AW78">
        <v>1.9710000000000001</v>
      </c>
      <c r="AX78">
        <v>0</v>
      </c>
      <c r="AY78">
        <v>0.54300000000000004</v>
      </c>
      <c r="AZ78">
        <v>0</v>
      </c>
      <c r="BA78">
        <v>2.5150000000000001</v>
      </c>
      <c r="BB78">
        <v>0</v>
      </c>
      <c r="BC78">
        <v>0.58099999999999996</v>
      </c>
      <c r="BD78">
        <v>0.58099999999999996</v>
      </c>
      <c r="BE78">
        <v>0</v>
      </c>
      <c r="BF78">
        <v>0</v>
      </c>
      <c r="BG78">
        <v>0.16500000000000001</v>
      </c>
      <c r="BH78">
        <v>0.41699999999999998</v>
      </c>
      <c r="BI78">
        <v>0</v>
      </c>
    </row>
    <row r="79" spans="2:64" x14ac:dyDescent="0.25">
      <c r="B79" s="1" t="str">
        <f t="shared" si="53"/>
        <v>Perimeter_bot_ZN_4 Thermal Zone</v>
      </c>
      <c r="C79" s="3" t="str">
        <f t="shared" si="54"/>
        <v>BaseAirSys5</v>
      </c>
      <c r="D79" s="46">
        <f t="shared" si="55"/>
        <v>1.2478643984358828</v>
      </c>
      <c r="E79" s="46">
        <f t="shared" si="56"/>
        <v>0</v>
      </c>
      <c r="F79" s="46">
        <f t="shared" si="57"/>
        <v>0.34395502324358496</v>
      </c>
      <c r="G79" s="46">
        <f t="shared" si="58"/>
        <v>0</v>
      </c>
      <c r="H79" s="46">
        <f t="shared" si="59"/>
        <v>1.5918194216794679</v>
      </c>
      <c r="I79" s="68">
        <f t="shared" si="66"/>
        <v>1428.6</v>
      </c>
      <c r="J79" s="46">
        <f t="shared" si="60"/>
        <v>1.0111834654586636</v>
      </c>
      <c r="K79" s="46"/>
      <c r="L79" s="46"/>
      <c r="M79" s="46"/>
      <c r="N79" s="46"/>
      <c r="O79" s="46"/>
      <c r="P79" s="46"/>
      <c r="Q79" s="46">
        <f t="shared" si="61"/>
        <v>0</v>
      </c>
      <c r="R79" s="46">
        <f t="shared" si="62"/>
        <v>0.57925693402122447</v>
      </c>
      <c r="S79" s="46">
        <f t="shared" si="63"/>
        <v>0.57925693402122447</v>
      </c>
      <c r="T79" s="46">
        <f t="shared" si="64"/>
        <v>0</v>
      </c>
      <c r="U79" s="46">
        <f t="shared" si="64"/>
        <v>0</v>
      </c>
      <c r="V79" s="46">
        <f t="shared" si="65"/>
        <v>0.16426550576691817</v>
      </c>
      <c r="W79" s="46">
        <f t="shared" si="65"/>
        <v>0.41499142825430629</v>
      </c>
      <c r="X79" s="46">
        <f t="shared" si="65"/>
        <v>0</v>
      </c>
      <c r="AK79" t="s">
        <v>76</v>
      </c>
      <c r="AL79" t="s">
        <v>171</v>
      </c>
      <c r="AM79" t="s">
        <v>171</v>
      </c>
      <c r="AN79" t="s">
        <v>80</v>
      </c>
      <c r="AO79">
        <v>1412.8</v>
      </c>
      <c r="AP79">
        <v>1</v>
      </c>
      <c r="AQ79">
        <v>1428.6</v>
      </c>
      <c r="AR79">
        <v>1428.6</v>
      </c>
      <c r="AS79">
        <v>0</v>
      </c>
      <c r="AT79">
        <v>7.9000000000000001E-2</v>
      </c>
      <c r="AU79">
        <v>0</v>
      </c>
      <c r="AV79">
        <v>0</v>
      </c>
      <c r="AW79">
        <v>1.248</v>
      </c>
      <c r="AX79">
        <v>0</v>
      </c>
      <c r="AY79">
        <v>0.34399999999999997</v>
      </c>
      <c r="AZ79">
        <v>0</v>
      </c>
      <c r="BA79">
        <v>1.5920000000000001</v>
      </c>
      <c r="BB79">
        <v>0</v>
      </c>
      <c r="BC79">
        <v>0.57999999999999996</v>
      </c>
      <c r="BD79">
        <v>0.57999999999999996</v>
      </c>
      <c r="BE79">
        <v>0</v>
      </c>
      <c r="BF79">
        <v>0</v>
      </c>
      <c r="BG79">
        <v>0.16500000000000001</v>
      </c>
      <c r="BH79">
        <v>0.41599999999999998</v>
      </c>
      <c r="BI79">
        <v>0</v>
      </c>
    </row>
    <row r="80" spans="2:64" x14ac:dyDescent="0.25">
      <c r="B80" s="4" t="str">
        <f t="shared" si="53"/>
        <v>FirstFloor_Plenum Thermal Zone</v>
      </c>
      <c r="C80" s="6" t="str">
        <f t="shared" si="54"/>
        <v>NONE</v>
      </c>
      <c r="D80" s="46">
        <f t="shared" si="55"/>
        <v>0</v>
      </c>
      <c r="E80" s="46">
        <f t="shared" si="56"/>
        <v>0</v>
      </c>
      <c r="F80" s="46">
        <f t="shared" si="57"/>
        <v>0</v>
      </c>
      <c r="G80" s="46">
        <f t="shared" si="58"/>
        <v>0</v>
      </c>
      <c r="H80" s="46">
        <f t="shared" si="59"/>
        <v>0</v>
      </c>
      <c r="I80" s="69">
        <f t="shared" si="66"/>
        <v>0</v>
      </c>
      <c r="J80" s="46">
        <f t="shared" si="60"/>
        <v>0</v>
      </c>
      <c r="K80" s="46"/>
      <c r="L80" s="46"/>
      <c r="M80" s="46"/>
      <c r="N80" s="46"/>
      <c r="O80" s="46"/>
      <c r="P80" s="46"/>
      <c r="Q80" s="46">
        <f t="shared" si="61"/>
        <v>0</v>
      </c>
      <c r="R80" s="46">
        <f t="shared" si="62"/>
        <v>0</v>
      </c>
      <c r="S80" s="46">
        <f t="shared" si="63"/>
        <v>0</v>
      </c>
      <c r="T80" s="46">
        <f t="shared" si="64"/>
        <v>0</v>
      </c>
      <c r="U80" s="46">
        <f t="shared" si="64"/>
        <v>0</v>
      </c>
      <c r="V80" s="46">
        <f t="shared" si="65"/>
        <v>0</v>
      </c>
      <c r="W80" s="46">
        <f t="shared" si="65"/>
        <v>0</v>
      </c>
      <c r="X80" s="46">
        <f t="shared" si="65"/>
        <v>0</v>
      </c>
      <c r="AK80" t="s">
        <v>77</v>
      </c>
      <c r="AL80" t="s">
        <v>80</v>
      </c>
      <c r="AM80" t="s">
        <v>80</v>
      </c>
      <c r="AN80" t="s">
        <v>80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2:61" x14ac:dyDescent="0.25">
      <c r="B81" s="15" t="str">
        <f t="shared" si="53"/>
        <v>Core_mid Thermal Zone</v>
      </c>
      <c r="C81" s="10" t="str">
        <f t="shared" si="54"/>
        <v>BaseAirSys5-2</v>
      </c>
      <c r="D81" s="46">
        <f t="shared" si="55"/>
        <v>9.350789029891649</v>
      </c>
      <c r="E81" s="46">
        <f t="shared" si="56"/>
        <v>0</v>
      </c>
      <c r="F81" s="46">
        <f t="shared" si="57"/>
        <v>2.5627261899742821</v>
      </c>
      <c r="G81" s="46">
        <f t="shared" si="58"/>
        <v>0</v>
      </c>
      <c r="H81" s="46">
        <f t="shared" si="59"/>
        <v>11.913515219865932</v>
      </c>
      <c r="I81" s="71">
        <f t="shared" si="66"/>
        <v>7360.4</v>
      </c>
      <c r="J81" s="46">
        <f t="shared" si="60"/>
        <v>0.69524970009540266</v>
      </c>
      <c r="K81" s="46"/>
      <c r="L81" s="46"/>
      <c r="M81" s="46"/>
      <c r="N81" s="46"/>
      <c r="O81" s="46"/>
      <c r="P81" s="46"/>
      <c r="Q81" s="46">
        <f t="shared" si="61"/>
        <v>0</v>
      </c>
      <c r="R81" s="46">
        <f t="shared" si="62"/>
        <v>2.138037217792534</v>
      </c>
      <c r="S81" s="46">
        <f t="shared" si="63"/>
        <v>2.138037217792534</v>
      </c>
      <c r="T81" s="46">
        <f t="shared" si="64"/>
        <v>0</v>
      </c>
      <c r="U81" s="46">
        <f t="shared" si="64"/>
        <v>0</v>
      </c>
      <c r="V81" s="46">
        <f t="shared" si="65"/>
        <v>0</v>
      </c>
      <c r="W81" s="46">
        <f t="shared" si="65"/>
        <v>0</v>
      </c>
      <c r="X81" s="46">
        <f t="shared" si="65"/>
        <v>2.138037217792534</v>
      </c>
      <c r="AK81" t="s">
        <v>19</v>
      </c>
      <c r="AL81" t="s">
        <v>172</v>
      </c>
      <c r="AM81" t="s">
        <v>172</v>
      </c>
      <c r="AN81" t="s">
        <v>80</v>
      </c>
      <c r="AO81">
        <v>10586.7</v>
      </c>
      <c r="AP81">
        <v>1</v>
      </c>
      <c r="AQ81">
        <v>7360.4</v>
      </c>
      <c r="AR81">
        <v>7360.4</v>
      </c>
      <c r="AS81">
        <v>0</v>
      </c>
      <c r="AT81">
        <v>0.74399999999999999</v>
      </c>
      <c r="AU81">
        <v>0</v>
      </c>
      <c r="AV81">
        <v>0</v>
      </c>
      <c r="AW81">
        <v>9.3510000000000009</v>
      </c>
      <c r="AX81">
        <v>0</v>
      </c>
      <c r="AY81">
        <v>2.5630000000000002</v>
      </c>
      <c r="AZ81">
        <v>0</v>
      </c>
      <c r="BA81">
        <v>11.913</v>
      </c>
      <c r="BB81">
        <v>0</v>
      </c>
      <c r="BC81">
        <v>2.141</v>
      </c>
      <c r="BD81">
        <v>2.141</v>
      </c>
      <c r="BE81">
        <v>0</v>
      </c>
      <c r="BF81">
        <v>0</v>
      </c>
      <c r="BG81">
        <v>0</v>
      </c>
      <c r="BH81">
        <v>0</v>
      </c>
      <c r="BI81">
        <v>2.141</v>
      </c>
    </row>
    <row r="82" spans="2:61" x14ac:dyDescent="0.25">
      <c r="B82" s="1" t="str">
        <f t="shared" si="53"/>
        <v>Perimeter_mid_ZN_1 Thermal Zone</v>
      </c>
      <c r="C82" s="3" t="str">
        <f t="shared" si="54"/>
        <v>BaseAirSys5-2</v>
      </c>
      <c r="D82" s="46">
        <f t="shared" si="55"/>
        <v>2.0483375404708339</v>
      </c>
      <c r="E82" s="46">
        <f t="shared" si="56"/>
        <v>0.61603215716402349</v>
      </c>
      <c r="F82" s="46">
        <f t="shared" si="57"/>
        <v>0</v>
      </c>
      <c r="G82" s="46">
        <f t="shared" si="58"/>
        <v>0.45833333333333331</v>
      </c>
      <c r="H82" s="46">
        <f t="shared" si="59"/>
        <v>3.1227030309681907</v>
      </c>
      <c r="I82" s="68">
        <f t="shared" si="66"/>
        <v>2373.9</v>
      </c>
      <c r="J82" s="46">
        <f t="shared" si="60"/>
        <v>1.0636705798010575</v>
      </c>
      <c r="K82" s="46"/>
      <c r="L82" s="46"/>
      <c r="M82" s="46"/>
      <c r="N82" s="46"/>
      <c r="O82" s="46"/>
      <c r="P82" s="46"/>
      <c r="Q82" s="46">
        <f t="shared" si="61"/>
        <v>0.12708787218591142</v>
      </c>
      <c r="R82" s="46">
        <f t="shared" si="62"/>
        <v>0.68966173968901623</v>
      </c>
      <c r="S82" s="46">
        <f t="shared" si="63"/>
        <v>0.81674961187492767</v>
      </c>
      <c r="T82" s="46">
        <f t="shared" si="64"/>
        <v>6.0518034374243523E-2</v>
      </c>
      <c r="U82" s="46">
        <f t="shared" si="64"/>
        <v>6.6569837811667892E-2</v>
      </c>
      <c r="V82" s="46">
        <f t="shared" si="65"/>
        <v>0</v>
      </c>
      <c r="W82" s="46">
        <f t="shared" si="65"/>
        <v>0.68966173968901623</v>
      </c>
      <c r="X82" s="46">
        <f t="shared" si="65"/>
        <v>0</v>
      </c>
      <c r="AK82" t="s">
        <v>20</v>
      </c>
      <c r="AL82" t="s">
        <v>172</v>
      </c>
      <c r="AM82" t="s">
        <v>172</v>
      </c>
      <c r="AN82" t="s">
        <v>80</v>
      </c>
      <c r="AO82">
        <v>2231.8000000000002</v>
      </c>
      <c r="AP82">
        <v>1</v>
      </c>
      <c r="AQ82">
        <v>2373.9</v>
      </c>
      <c r="AR82">
        <v>2373.9</v>
      </c>
      <c r="AS82">
        <v>500</v>
      </c>
      <c r="AT82">
        <v>0.61199999999999999</v>
      </c>
      <c r="AU82">
        <v>0</v>
      </c>
      <c r="AV82">
        <v>0.55600000000000005</v>
      </c>
      <c r="AW82">
        <v>2.048</v>
      </c>
      <c r="AX82">
        <v>0.61599999999999999</v>
      </c>
      <c r="AY82">
        <v>0</v>
      </c>
      <c r="AZ82">
        <v>0.45800000000000002</v>
      </c>
      <c r="BA82">
        <v>3.1219999999999999</v>
      </c>
      <c r="BB82">
        <v>0.127</v>
      </c>
      <c r="BC82">
        <v>0.69099999999999995</v>
      </c>
      <c r="BD82">
        <v>0.81799999999999995</v>
      </c>
      <c r="BE82">
        <v>6.0999999999999999E-2</v>
      </c>
      <c r="BF82">
        <v>6.7000000000000004E-2</v>
      </c>
      <c r="BG82">
        <v>0</v>
      </c>
      <c r="BH82">
        <v>0.69099999999999995</v>
      </c>
      <c r="BI82">
        <v>0</v>
      </c>
    </row>
    <row r="83" spans="2:61" x14ac:dyDescent="0.25">
      <c r="B83" s="1" t="str">
        <f t="shared" si="53"/>
        <v>Perimeter_mid_ZN_2 Thermal Zone</v>
      </c>
      <c r="C83" s="3" t="str">
        <f t="shared" si="54"/>
        <v>BaseAirSys5-2</v>
      </c>
      <c r="D83" s="46">
        <f t="shared" si="55"/>
        <v>1.2479554365698386</v>
      </c>
      <c r="E83" s="46">
        <f t="shared" si="56"/>
        <v>0</v>
      </c>
      <c r="F83" s="46">
        <f t="shared" si="57"/>
        <v>0.34202119960088262</v>
      </c>
      <c r="G83" s="46">
        <f t="shared" si="58"/>
        <v>0.36666666666666664</v>
      </c>
      <c r="H83" s="46">
        <f t="shared" si="59"/>
        <v>1.956643302837388</v>
      </c>
      <c r="I83" s="68">
        <f t="shared" si="66"/>
        <v>1492</v>
      </c>
      <c r="J83" s="46">
        <f t="shared" si="60"/>
        <v>1.0559841460825252</v>
      </c>
      <c r="K83" s="46"/>
      <c r="L83" s="46"/>
      <c r="M83" s="46"/>
      <c r="N83" s="46"/>
      <c r="O83" s="46"/>
      <c r="P83" s="46"/>
      <c r="Q83" s="46">
        <f t="shared" si="61"/>
        <v>0.10167029774872913</v>
      </c>
      <c r="R83" s="46">
        <f t="shared" si="62"/>
        <v>0.4333937732930902</v>
      </c>
      <c r="S83" s="46">
        <f t="shared" si="63"/>
        <v>0.5350640710418193</v>
      </c>
      <c r="T83" s="46">
        <f t="shared" si="64"/>
        <v>4.841442749939482E-2</v>
      </c>
      <c r="U83" s="46">
        <f t="shared" si="64"/>
        <v>5.32558702493343E-2</v>
      </c>
      <c r="V83" s="46">
        <f t="shared" si="65"/>
        <v>0</v>
      </c>
      <c r="W83" s="46">
        <f t="shared" si="65"/>
        <v>0</v>
      </c>
      <c r="X83" s="46">
        <f t="shared" si="65"/>
        <v>0.4333937732930902</v>
      </c>
      <c r="AK83" t="s">
        <v>21</v>
      </c>
      <c r="AL83" t="s">
        <v>172</v>
      </c>
      <c r="AM83" t="s">
        <v>172</v>
      </c>
      <c r="AN83" t="s">
        <v>80</v>
      </c>
      <c r="AO83">
        <v>1412.9</v>
      </c>
      <c r="AP83">
        <v>1</v>
      </c>
      <c r="AQ83">
        <v>1492</v>
      </c>
      <c r="AR83">
        <v>1492</v>
      </c>
      <c r="AS83">
        <v>400</v>
      </c>
      <c r="AT83">
        <v>9.9000000000000005E-2</v>
      </c>
      <c r="AU83">
        <v>0</v>
      </c>
      <c r="AV83">
        <v>0.44400000000000001</v>
      </c>
      <c r="AW83">
        <v>1.248</v>
      </c>
      <c r="AX83">
        <v>0</v>
      </c>
      <c r="AY83">
        <v>0.34200000000000003</v>
      </c>
      <c r="AZ83">
        <v>0.36599999999999999</v>
      </c>
      <c r="BA83">
        <v>1.956</v>
      </c>
      <c r="BB83">
        <v>0.10199999999999999</v>
      </c>
      <c r="BC83">
        <v>0.434</v>
      </c>
      <c r="BD83">
        <v>0.53600000000000003</v>
      </c>
      <c r="BE83">
        <v>4.8000000000000001E-2</v>
      </c>
      <c r="BF83">
        <v>5.2999999999999999E-2</v>
      </c>
      <c r="BG83">
        <v>0</v>
      </c>
      <c r="BH83">
        <v>0</v>
      </c>
      <c r="BI83">
        <v>0.434</v>
      </c>
    </row>
    <row r="84" spans="2:61" x14ac:dyDescent="0.25">
      <c r="B84" s="1" t="str">
        <f t="shared" si="53"/>
        <v>Perimeter_mid_ZN_3 Thermal Zone</v>
      </c>
      <c r="C84" s="3" t="str">
        <f t="shared" si="54"/>
        <v>BaseAirSys5-2</v>
      </c>
      <c r="D84" s="46">
        <f t="shared" si="55"/>
        <v>1.9712555335385138</v>
      </c>
      <c r="E84" s="46">
        <f t="shared" si="56"/>
        <v>0</v>
      </c>
      <c r="F84" s="46">
        <f t="shared" si="57"/>
        <v>0.5402526104248353</v>
      </c>
      <c r="G84" s="46">
        <f t="shared" si="58"/>
        <v>0</v>
      </c>
      <c r="H84" s="46">
        <f t="shared" si="59"/>
        <v>2.5115081439633489</v>
      </c>
      <c r="I84" s="68">
        <f t="shared" si="66"/>
        <v>1415.9</v>
      </c>
      <c r="J84" s="46">
        <f t="shared" si="60"/>
        <v>0.6344206470113809</v>
      </c>
      <c r="K84" s="46"/>
      <c r="L84" s="46"/>
      <c r="M84" s="46"/>
      <c r="N84" s="46"/>
      <c r="O84" s="46"/>
      <c r="P84" s="46"/>
      <c r="Q84" s="46">
        <f t="shared" si="61"/>
        <v>0</v>
      </c>
      <c r="R84" s="46">
        <f t="shared" si="62"/>
        <v>0.41128836702793992</v>
      </c>
      <c r="S84" s="46">
        <f t="shared" si="63"/>
        <v>0.41128836702793992</v>
      </c>
      <c r="T84" s="46">
        <f t="shared" si="64"/>
        <v>0</v>
      </c>
      <c r="U84" s="46">
        <f t="shared" si="64"/>
        <v>0</v>
      </c>
      <c r="V84" s="46">
        <f t="shared" si="65"/>
        <v>0</v>
      </c>
      <c r="W84" s="46">
        <f t="shared" si="65"/>
        <v>0</v>
      </c>
      <c r="X84" s="46">
        <f t="shared" si="65"/>
        <v>0.41128836702793992</v>
      </c>
      <c r="AA84" s="48"/>
      <c r="AK84" t="s">
        <v>22</v>
      </c>
      <c r="AL84" t="s">
        <v>172</v>
      </c>
      <c r="AM84" t="s">
        <v>172</v>
      </c>
      <c r="AN84" t="s">
        <v>80</v>
      </c>
      <c r="AO84">
        <v>2231.8000000000002</v>
      </c>
      <c r="AP84">
        <v>1</v>
      </c>
      <c r="AQ84">
        <v>1415.9</v>
      </c>
      <c r="AR84">
        <v>1415.9</v>
      </c>
      <c r="AS84">
        <v>0</v>
      </c>
      <c r="AT84">
        <v>0.157</v>
      </c>
      <c r="AU84">
        <v>0</v>
      </c>
      <c r="AV84">
        <v>0</v>
      </c>
      <c r="AW84">
        <v>1.9710000000000001</v>
      </c>
      <c r="AX84">
        <v>0</v>
      </c>
      <c r="AY84">
        <v>0.54</v>
      </c>
      <c r="AZ84">
        <v>0</v>
      </c>
      <c r="BA84">
        <v>2.5110000000000001</v>
      </c>
      <c r="BB84">
        <v>0</v>
      </c>
      <c r="BC84">
        <v>0.41199999999999998</v>
      </c>
      <c r="BD84">
        <v>0.41199999999999998</v>
      </c>
      <c r="BE84">
        <v>0</v>
      </c>
      <c r="BF84">
        <v>0</v>
      </c>
      <c r="BG84">
        <v>0</v>
      </c>
      <c r="BH84">
        <v>0</v>
      </c>
      <c r="BI84">
        <v>0.41199999999999998</v>
      </c>
    </row>
    <row r="85" spans="2:61" x14ac:dyDescent="0.25">
      <c r="B85" s="1" t="str">
        <f t="shared" si="53"/>
        <v>Perimeter_mid_ZN_4 Thermal Zone</v>
      </c>
      <c r="C85" s="3" t="str">
        <f t="shared" si="54"/>
        <v>BaseAirSys5-2</v>
      </c>
      <c r="D85" s="46">
        <f t="shared" si="55"/>
        <v>1.2966624595291665</v>
      </c>
      <c r="E85" s="46">
        <f t="shared" si="56"/>
        <v>0.38996784283597652</v>
      </c>
      <c r="F85" s="46">
        <f t="shared" si="57"/>
        <v>0</v>
      </c>
      <c r="G85" s="46">
        <f t="shared" si="58"/>
        <v>0</v>
      </c>
      <c r="H85" s="46">
        <f t="shared" si="59"/>
        <v>1.686630302365143</v>
      </c>
      <c r="I85" s="68">
        <f t="shared" si="66"/>
        <v>1624.1</v>
      </c>
      <c r="J85" s="46">
        <f t="shared" si="60"/>
        <v>1.1495611551528879</v>
      </c>
      <c r="K85" s="46"/>
      <c r="L85" s="46"/>
      <c r="M85" s="46"/>
      <c r="N85" s="46"/>
      <c r="O85" s="46"/>
      <c r="P85" s="46"/>
      <c r="Q85" s="46">
        <f t="shared" si="61"/>
        <v>0</v>
      </c>
      <c r="R85" s="46">
        <f t="shared" si="62"/>
        <v>0.47183100864776578</v>
      </c>
      <c r="S85" s="46">
        <f t="shared" si="63"/>
        <v>0.47183100864776578</v>
      </c>
      <c r="T85" s="46">
        <f t="shared" si="64"/>
        <v>0</v>
      </c>
      <c r="U85" s="46">
        <f t="shared" si="64"/>
        <v>0</v>
      </c>
      <c r="V85" s="46">
        <f t="shared" si="65"/>
        <v>0</v>
      </c>
      <c r="W85" s="46">
        <f t="shared" si="65"/>
        <v>0.47183100864776578</v>
      </c>
      <c r="X85" s="46">
        <f t="shared" si="65"/>
        <v>0</v>
      </c>
      <c r="AK85" t="s">
        <v>23</v>
      </c>
      <c r="AL85" t="s">
        <v>172</v>
      </c>
      <c r="AM85" t="s">
        <v>172</v>
      </c>
      <c r="AN85" t="s">
        <v>80</v>
      </c>
      <c r="AO85">
        <v>1412.8</v>
      </c>
      <c r="AP85">
        <v>1</v>
      </c>
      <c r="AQ85">
        <v>1624.1</v>
      </c>
      <c r="AR85">
        <v>1624.1</v>
      </c>
      <c r="AS85">
        <v>0</v>
      </c>
      <c r="AT85">
        <v>0.38800000000000001</v>
      </c>
      <c r="AU85">
        <v>0</v>
      </c>
      <c r="AV85">
        <v>0</v>
      </c>
      <c r="AW85">
        <v>1.2969999999999999</v>
      </c>
      <c r="AX85">
        <v>0.39</v>
      </c>
      <c r="AY85">
        <v>0</v>
      </c>
      <c r="AZ85">
        <v>0</v>
      </c>
      <c r="BA85">
        <v>1.6870000000000001</v>
      </c>
      <c r="BB85">
        <v>0</v>
      </c>
      <c r="BC85">
        <v>0.47299999999999998</v>
      </c>
      <c r="BD85">
        <v>0.47299999999999998</v>
      </c>
      <c r="BE85">
        <v>0</v>
      </c>
      <c r="BF85">
        <v>0</v>
      </c>
      <c r="BG85">
        <v>0</v>
      </c>
      <c r="BH85">
        <v>0.47299999999999998</v>
      </c>
      <c r="BI85">
        <v>0</v>
      </c>
    </row>
    <row r="86" spans="2:61" x14ac:dyDescent="0.25">
      <c r="B86" s="4" t="str">
        <f t="shared" si="53"/>
        <v>MidFloor_Plenum Thermal Zone</v>
      </c>
      <c r="C86" s="6" t="str">
        <f t="shared" si="54"/>
        <v>NONE</v>
      </c>
      <c r="D86" s="46">
        <f t="shared" si="55"/>
        <v>0</v>
      </c>
      <c r="E86" s="46">
        <f t="shared" si="56"/>
        <v>0</v>
      </c>
      <c r="F86" s="46">
        <f t="shared" si="57"/>
        <v>0</v>
      </c>
      <c r="G86" s="46">
        <f t="shared" si="58"/>
        <v>0</v>
      </c>
      <c r="H86" s="46">
        <f t="shared" si="59"/>
        <v>0</v>
      </c>
      <c r="I86" s="69">
        <f t="shared" si="66"/>
        <v>0</v>
      </c>
      <c r="J86" s="46">
        <f t="shared" si="60"/>
        <v>0</v>
      </c>
      <c r="K86" s="46"/>
      <c r="L86" s="46"/>
      <c r="M86" s="46"/>
      <c r="N86" s="46"/>
      <c r="O86" s="46"/>
      <c r="P86" s="46"/>
      <c r="Q86" s="46">
        <f t="shared" si="61"/>
        <v>0</v>
      </c>
      <c r="R86" s="46">
        <f t="shared" si="62"/>
        <v>0</v>
      </c>
      <c r="S86" s="46">
        <f t="shared" si="63"/>
        <v>0</v>
      </c>
      <c r="T86" s="46">
        <f t="shared" si="64"/>
        <v>0</v>
      </c>
      <c r="U86" s="46">
        <f t="shared" si="64"/>
        <v>0</v>
      </c>
      <c r="V86" s="46">
        <f t="shared" si="65"/>
        <v>0</v>
      </c>
      <c r="W86" s="46">
        <f t="shared" si="65"/>
        <v>0</v>
      </c>
      <c r="X86" s="46">
        <f t="shared" si="65"/>
        <v>0</v>
      </c>
      <c r="AK86" t="s">
        <v>78</v>
      </c>
      <c r="AL86" t="s">
        <v>80</v>
      </c>
      <c r="AM86" t="s">
        <v>80</v>
      </c>
      <c r="AN86" t="s">
        <v>80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2:61" x14ac:dyDescent="0.25">
      <c r="B87" s="15" t="str">
        <f t="shared" si="53"/>
        <v>Core_top Thermal Zone</v>
      </c>
      <c r="C87" s="10" t="str">
        <f t="shared" si="54"/>
        <v>BaseAirSys5-3</v>
      </c>
      <c r="D87" s="46">
        <f t="shared" si="55"/>
        <v>2.1561916932907348</v>
      </c>
      <c r="E87" s="46">
        <f t="shared" si="56"/>
        <v>0</v>
      </c>
      <c r="F87" s="46">
        <f t="shared" si="57"/>
        <v>0</v>
      </c>
      <c r="G87" s="46">
        <f t="shared" si="58"/>
        <v>0</v>
      </c>
      <c r="H87" s="46">
        <f t="shared" si="59"/>
        <v>2.1561916932907348</v>
      </c>
      <c r="I87" s="71">
        <f t="shared" si="66"/>
        <v>7618.8</v>
      </c>
      <c r="J87" s="46">
        <f t="shared" si="60"/>
        <v>2.5396000000000001</v>
      </c>
      <c r="K87" s="46"/>
      <c r="L87" s="46"/>
      <c r="M87" s="46"/>
      <c r="N87" s="46"/>
      <c r="O87" s="46"/>
      <c r="P87" s="46"/>
      <c r="Q87" s="46">
        <f t="shared" si="61"/>
        <v>0</v>
      </c>
      <c r="R87" s="46">
        <f t="shared" si="62"/>
        <v>0</v>
      </c>
      <c r="S87" s="46">
        <f t="shared" si="63"/>
        <v>0</v>
      </c>
      <c r="T87" s="46">
        <f t="shared" si="64"/>
        <v>0</v>
      </c>
      <c r="U87" s="46">
        <f t="shared" si="64"/>
        <v>0</v>
      </c>
      <c r="V87" s="46">
        <f t="shared" si="65"/>
        <v>0</v>
      </c>
      <c r="W87" s="46">
        <f t="shared" si="65"/>
        <v>0</v>
      </c>
      <c r="X87" s="46">
        <f t="shared" si="65"/>
        <v>0</v>
      </c>
      <c r="AK87" t="s">
        <v>7</v>
      </c>
      <c r="AL87" t="s">
        <v>173</v>
      </c>
      <c r="AM87" t="s">
        <v>173</v>
      </c>
      <c r="AN87" t="s">
        <v>80</v>
      </c>
      <c r="AO87">
        <v>10586.7</v>
      </c>
      <c r="AP87">
        <v>1</v>
      </c>
      <c r="AQ87">
        <v>7618.8</v>
      </c>
      <c r="AR87">
        <v>7618.8</v>
      </c>
      <c r="AS87">
        <v>0</v>
      </c>
      <c r="AT87">
        <v>1</v>
      </c>
      <c r="AU87">
        <v>0.74399999999999999</v>
      </c>
      <c r="AV87">
        <v>0</v>
      </c>
      <c r="AW87">
        <v>2.1560000000000001</v>
      </c>
      <c r="AX87">
        <v>0</v>
      </c>
      <c r="AY87">
        <v>0</v>
      </c>
      <c r="AZ87">
        <v>0</v>
      </c>
      <c r="BA87">
        <v>2.1560000000000001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2:61" x14ac:dyDescent="0.25">
      <c r="B88" s="1" t="str">
        <f t="shared" si="53"/>
        <v>Perimeter_top_ZN_1 Thermal Zone</v>
      </c>
      <c r="C88" s="3" t="str">
        <f t="shared" si="54"/>
        <v>BaseAirSys5-3</v>
      </c>
      <c r="D88" s="46">
        <f t="shared" si="55"/>
        <v>0.7</v>
      </c>
      <c r="E88" s="46">
        <f t="shared" si="56"/>
        <v>0</v>
      </c>
      <c r="F88" s="46">
        <f t="shared" si="57"/>
        <v>0</v>
      </c>
      <c r="G88" s="46">
        <f t="shared" si="58"/>
        <v>0.22417500000000001</v>
      </c>
      <c r="H88" s="46">
        <f t="shared" si="59"/>
        <v>0.92417499999999997</v>
      </c>
      <c r="I88" s="68">
        <f t="shared" si="66"/>
        <v>2411.6999999999998</v>
      </c>
      <c r="J88" s="46">
        <f t="shared" si="60"/>
        <v>1.2058499999999999</v>
      </c>
      <c r="K88" s="46"/>
      <c r="L88" s="46"/>
      <c r="M88" s="46"/>
      <c r="N88" s="46"/>
      <c r="O88" s="46"/>
      <c r="P88" s="46"/>
      <c r="Q88" s="46">
        <f t="shared" si="61"/>
        <v>0</v>
      </c>
      <c r="R88" s="46">
        <f t="shared" si="62"/>
        <v>0</v>
      </c>
      <c r="S88" s="46">
        <f t="shared" si="63"/>
        <v>0</v>
      </c>
      <c r="T88" s="46">
        <f t="shared" si="64"/>
        <v>0</v>
      </c>
      <c r="U88" s="46">
        <f t="shared" si="64"/>
        <v>0</v>
      </c>
      <c r="V88" s="46">
        <f t="shared" si="65"/>
        <v>0</v>
      </c>
      <c r="W88" s="46">
        <f t="shared" si="65"/>
        <v>0</v>
      </c>
      <c r="X88" s="46">
        <f t="shared" si="65"/>
        <v>0</v>
      </c>
      <c r="AK88" t="s">
        <v>8</v>
      </c>
      <c r="AL88" t="s">
        <v>173</v>
      </c>
      <c r="AM88" t="s">
        <v>173</v>
      </c>
      <c r="AN88" t="s">
        <v>80</v>
      </c>
      <c r="AO88">
        <v>2231.8000000000002</v>
      </c>
      <c r="AP88">
        <v>1</v>
      </c>
      <c r="AQ88">
        <v>2411.6999999999998</v>
      </c>
      <c r="AR88">
        <v>2411.6999999999998</v>
      </c>
      <c r="AS88">
        <v>245</v>
      </c>
      <c r="AT88">
        <v>1</v>
      </c>
      <c r="AU88">
        <v>0</v>
      </c>
      <c r="AV88">
        <v>0.61299999999999999</v>
      </c>
      <c r="AW88">
        <v>0.7</v>
      </c>
      <c r="AX88">
        <v>0</v>
      </c>
      <c r="AY88">
        <v>0</v>
      </c>
      <c r="AZ88">
        <v>0.224</v>
      </c>
      <c r="BA88">
        <v>0.92400000000000004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2:61" x14ac:dyDescent="0.25">
      <c r="B89" s="1" t="str">
        <f t="shared" si="53"/>
        <v>Perimeter_top_ZN_2 Thermal Zone</v>
      </c>
      <c r="C89" s="3" t="str">
        <f t="shared" si="54"/>
        <v>BaseAirSys5-3</v>
      </c>
      <c r="D89" s="46">
        <f t="shared" si="55"/>
        <v>0.7</v>
      </c>
      <c r="E89" s="46">
        <f t="shared" si="56"/>
        <v>0</v>
      </c>
      <c r="F89" s="46">
        <f t="shared" si="57"/>
        <v>0</v>
      </c>
      <c r="G89" s="46">
        <f t="shared" si="58"/>
        <v>0.14182500000000001</v>
      </c>
      <c r="H89" s="46">
        <f t="shared" si="59"/>
        <v>0.84182499999999993</v>
      </c>
      <c r="I89" s="68">
        <f t="shared" si="66"/>
        <v>1474.9</v>
      </c>
      <c r="J89" s="46">
        <f t="shared" si="60"/>
        <v>0.73745000000000005</v>
      </c>
      <c r="K89" s="46"/>
      <c r="L89" s="46"/>
      <c r="M89" s="46"/>
      <c r="N89" s="46"/>
      <c r="O89" s="46"/>
      <c r="P89" s="46"/>
      <c r="Q89" s="46">
        <f t="shared" si="61"/>
        <v>0</v>
      </c>
      <c r="R89" s="46">
        <f t="shared" si="62"/>
        <v>0</v>
      </c>
      <c r="S89" s="46">
        <f t="shared" si="63"/>
        <v>0</v>
      </c>
      <c r="T89" s="46">
        <f t="shared" si="64"/>
        <v>0</v>
      </c>
      <c r="U89" s="46">
        <f t="shared" si="64"/>
        <v>0</v>
      </c>
      <c r="V89" s="46">
        <f t="shared" si="65"/>
        <v>0</v>
      </c>
      <c r="W89" s="46">
        <f t="shared" si="65"/>
        <v>0</v>
      </c>
      <c r="X89" s="46">
        <f t="shared" si="65"/>
        <v>0</v>
      </c>
      <c r="AK89" t="s">
        <v>9</v>
      </c>
      <c r="AL89" t="s">
        <v>173</v>
      </c>
      <c r="AM89" t="s">
        <v>173</v>
      </c>
      <c r="AN89" t="s">
        <v>80</v>
      </c>
      <c r="AO89">
        <v>1412.9</v>
      </c>
      <c r="AP89">
        <v>1</v>
      </c>
      <c r="AQ89">
        <v>1474.9</v>
      </c>
      <c r="AR89">
        <v>1474.9</v>
      </c>
      <c r="AS89">
        <v>155</v>
      </c>
      <c r="AT89">
        <v>1</v>
      </c>
      <c r="AU89">
        <v>0</v>
      </c>
      <c r="AV89">
        <v>0.38800000000000001</v>
      </c>
      <c r="AW89">
        <v>0.7</v>
      </c>
      <c r="AX89">
        <v>0</v>
      </c>
      <c r="AY89">
        <v>0</v>
      </c>
      <c r="AZ89">
        <v>0.14199999999999999</v>
      </c>
      <c r="BA89">
        <v>0.84199999999999997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2:61" x14ac:dyDescent="0.25">
      <c r="B90" s="1" t="str">
        <f t="shared" si="53"/>
        <v>Perimeter_top_ZN_3 Thermal Zone</v>
      </c>
      <c r="C90" s="3" t="str">
        <f t="shared" si="54"/>
        <v>BaseAirSys5-3</v>
      </c>
      <c r="D90" s="46">
        <f t="shared" si="55"/>
        <v>0.93263258785942482</v>
      </c>
      <c r="E90" s="46">
        <f t="shared" si="56"/>
        <v>0</v>
      </c>
      <c r="F90" s="46">
        <f t="shared" si="57"/>
        <v>0</v>
      </c>
      <c r="G90" s="46">
        <f t="shared" si="58"/>
        <v>0</v>
      </c>
      <c r="H90" s="46">
        <f t="shared" si="59"/>
        <v>0.93263258785942482</v>
      </c>
      <c r="I90" s="68">
        <f t="shared" si="66"/>
        <v>1496.7</v>
      </c>
      <c r="J90" s="46">
        <f t="shared" si="60"/>
        <v>0.74835000000000007</v>
      </c>
      <c r="K90" s="46"/>
      <c r="L90" s="46"/>
      <c r="M90" s="46"/>
      <c r="N90" s="46"/>
      <c r="O90" s="46"/>
      <c r="P90" s="46"/>
      <c r="Q90" s="46">
        <f t="shared" si="61"/>
        <v>0</v>
      </c>
      <c r="R90" s="46">
        <f t="shared" si="62"/>
        <v>0</v>
      </c>
      <c r="S90" s="46">
        <f t="shared" si="63"/>
        <v>0</v>
      </c>
      <c r="T90" s="46">
        <f t="shared" si="64"/>
        <v>0</v>
      </c>
      <c r="U90" s="46">
        <f t="shared" si="64"/>
        <v>0</v>
      </c>
      <c r="V90" s="46">
        <f t="shared" si="65"/>
        <v>0</v>
      </c>
      <c r="W90" s="46">
        <f t="shared" si="65"/>
        <v>0</v>
      </c>
      <c r="X90" s="46">
        <f t="shared" si="65"/>
        <v>0</v>
      </c>
      <c r="AK90" t="s">
        <v>10</v>
      </c>
      <c r="AL90" t="s">
        <v>173</v>
      </c>
      <c r="AM90" t="s">
        <v>173</v>
      </c>
      <c r="AN90" t="s">
        <v>80</v>
      </c>
      <c r="AO90">
        <v>2231.8000000000002</v>
      </c>
      <c r="AP90">
        <v>1</v>
      </c>
      <c r="AQ90">
        <v>1496.7</v>
      </c>
      <c r="AR90">
        <v>1496.7</v>
      </c>
      <c r="AS90">
        <v>0</v>
      </c>
      <c r="AT90">
        <v>1</v>
      </c>
      <c r="AU90">
        <v>0.157</v>
      </c>
      <c r="AV90">
        <v>0</v>
      </c>
      <c r="AW90">
        <v>0.93300000000000005</v>
      </c>
      <c r="AX90">
        <v>0</v>
      </c>
      <c r="AY90">
        <v>0</v>
      </c>
      <c r="AZ90">
        <v>0</v>
      </c>
      <c r="BA90">
        <v>0.93300000000000005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2:61" x14ac:dyDescent="0.25">
      <c r="B91" s="1" t="str">
        <f t="shared" si="53"/>
        <v>Perimeter_top_ZN_4 Thermal Zone</v>
      </c>
      <c r="C91" s="3" t="str">
        <f t="shared" si="54"/>
        <v>BaseAirSys5-3</v>
      </c>
      <c r="D91" s="46">
        <f t="shared" si="55"/>
        <v>0.84717571884984022</v>
      </c>
      <c r="E91" s="46">
        <f t="shared" si="56"/>
        <v>0</v>
      </c>
      <c r="F91" s="46">
        <f t="shared" si="57"/>
        <v>0</v>
      </c>
      <c r="G91" s="46">
        <f t="shared" si="58"/>
        <v>0</v>
      </c>
      <c r="H91" s="46">
        <f t="shared" si="59"/>
        <v>0.84717571884984022</v>
      </c>
      <c r="I91" s="68">
        <f t="shared" si="66"/>
        <v>1695.5</v>
      </c>
      <c r="J91" s="46">
        <f t="shared" si="60"/>
        <v>0.84775</v>
      </c>
      <c r="K91" s="46"/>
      <c r="L91" s="46"/>
      <c r="M91" s="46"/>
      <c r="N91" s="46"/>
      <c r="O91" s="46"/>
      <c r="P91" s="46"/>
      <c r="Q91" s="46">
        <f t="shared" si="61"/>
        <v>0</v>
      </c>
      <c r="R91" s="46">
        <f t="shared" si="62"/>
        <v>0</v>
      </c>
      <c r="S91" s="46">
        <f t="shared" si="63"/>
        <v>0</v>
      </c>
      <c r="T91" s="46">
        <f t="shared" si="64"/>
        <v>0</v>
      </c>
      <c r="U91" s="46">
        <f t="shared" si="64"/>
        <v>0</v>
      </c>
      <c r="V91" s="46">
        <f t="shared" si="65"/>
        <v>0</v>
      </c>
      <c r="W91" s="46">
        <f t="shared" si="65"/>
        <v>0</v>
      </c>
      <c r="X91" s="46">
        <f t="shared" si="65"/>
        <v>0</v>
      </c>
      <c r="AK91" t="s">
        <v>11</v>
      </c>
      <c r="AL91" t="s">
        <v>173</v>
      </c>
      <c r="AM91" t="s">
        <v>173</v>
      </c>
      <c r="AN91" t="s">
        <v>80</v>
      </c>
      <c r="AO91">
        <v>1412.8</v>
      </c>
      <c r="AP91">
        <v>1</v>
      </c>
      <c r="AQ91">
        <v>1695.5</v>
      </c>
      <c r="AR91">
        <v>1695.5</v>
      </c>
      <c r="AS91">
        <v>0</v>
      </c>
      <c r="AT91">
        <v>1</v>
      </c>
      <c r="AU91">
        <v>9.9000000000000005E-2</v>
      </c>
      <c r="AV91">
        <v>0</v>
      </c>
      <c r="AW91">
        <v>0.84699999999999998</v>
      </c>
      <c r="AX91">
        <v>0</v>
      </c>
      <c r="AY91">
        <v>0</v>
      </c>
      <c r="AZ91">
        <v>0</v>
      </c>
      <c r="BA91">
        <v>0.84699999999999998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2:61" x14ac:dyDescent="0.25">
      <c r="B92" s="4" t="str">
        <f t="shared" si="53"/>
        <v>TopFloor_Plenum Thermal Zone</v>
      </c>
      <c r="C92" s="6" t="str">
        <f t="shared" si="54"/>
        <v>NONE</v>
      </c>
      <c r="D92" s="46">
        <f t="shared" si="55"/>
        <v>0</v>
      </c>
      <c r="E92" s="46">
        <f t="shared" si="56"/>
        <v>0</v>
      </c>
      <c r="F92" s="46">
        <f t="shared" si="57"/>
        <v>0</v>
      </c>
      <c r="G92" s="46">
        <f t="shared" si="58"/>
        <v>0</v>
      </c>
      <c r="H92" s="46">
        <f t="shared" si="59"/>
        <v>0</v>
      </c>
      <c r="I92" s="69">
        <f t="shared" si="66"/>
        <v>0</v>
      </c>
      <c r="J92" s="46">
        <f t="shared" si="60"/>
        <v>0</v>
      </c>
      <c r="K92" s="46"/>
      <c r="L92" s="46"/>
      <c r="M92" s="46"/>
      <c r="N92" s="46"/>
      <c r="O92" s="46"/>
      <c r="P92" s="46"/>
      <c r="Q92" s="46">
        <f t="shared" si="61"/>
        <v>0</v>
      </c>
      <c r="R92" s="46">
        <f t="shared" si="62"/>
        <v>0</v>
      </c>
      <c r="S92" s="46">
        <f t="shared" si="63"/>
        <v>0</v>
      </c>
      <c r="T92" s="46">
        <f t="shared" si="64"/>
        <v>0</v>
      </c>
      <c r="U92" s="46">
        <f t="shared" si="64"/>
        <v>0</v>
      </c>
      <c r="V92" s="46">
        <f t="shared" si="65"/>
        <v>0</v>
      </c>
      <c r="W92" s="46">
        <f t="shared" si="65"/>
        <v>0</v>
      </c>
      <c r="X92" s="46">
        <f t="shared" si="65"/>
        <v>0</v>
      </c>
      <c r="AK92" t="s">
        <v>79</v>
      </c>
      <c r="AL92" t="s">
        <v>80</v>
      </c>
      <c r="AM92" t="s">
        <v>80</v>
      </c>
      <c r="AN92" t="s">
        <v>80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2:61" x14ac:dyDescent="0.25">
      <c r="B93" s="2"/>
      <c r="D93" s="8"/>
      <c r="E93" s="8"/>
      <c r="F93" s="8"/>
      <c r="G93" s="8"/>
      <c r="H93" s="8"/>
    </row>
  </sheetData>
  <conditionalFormatting sqref="R75:S92 Y75:Y92">
    <cfRule type="cellIs" dxfId="59" priority="15" operator="equal">
      <formula>0</formula>
    </cfRule>
  </conditionalFormatting>
  <conditionalFormatting sqref="I67:K69">
    <cfRule type="cellIs" dxfId="58" priority="14" operator="equal">
      <formula>0</formula>
    </cfRule>
  </conditionalFormatting>
  <conditionalFormatting sqref="AD27">
    <cfRule type="cellIs" dxfId="57" priority="13" operator="equal">
      <formula>0</formula>
    </cfRule>
  </conditionalFormatting>
  <conditionalFormatting sqref="L24:S28">
    <cfRule type="expression" dxfId="56" priority="10">
      <formula>ABS(L24-AU24)/L24&gt;$B$7</formula>
    </cfRule>
  </conditionalFormatting>
  <conditionalFormatting sqref="S24:S28">
    <cfRule type="expression" dxfId="55" priority="9">
      <formula>ABS(S24-BB24)/S24&gt;$B$7</formula>
    </cfRule>
  </conditionalFormatting>
  <conditionalFormatting sqref="Y75:Y92 Y34:Y58">
    <cfRule type="expression" dxfId="54" priority="8">
      <formula>ABS(Y34-BD34)/Y34&gt;$B$7</formula>
    </cfRule>
  </conditionalFormatting>
  <conditionalFormatting sqref="Q75:X92 I34:X51">
    <cfRule type="expression" dxfId="53" priority="6">
      <formula>ABS(I34-AT34)/I34&gt;$B$7</formula>
    </cfRule>
  </conditionalFormatting>
  <conditionalFormatting sqref="Y60">
    <cfRule type="expression" dxfId="52" priority="33">
      <formula>ABS(Y60-BD53)/Y60&gt;$B$7</formula>
    </cfRule>
  </conditionalFormatting>
  <conditionalFormatting sqref="S60">
    <cfRule type="expression" dxfId="51" priority="37">
      <formula>ABS(S60-BD53)/S60&gt;$B$7</formula>
    </cfRule>
  </conditionalFormatting>
  <conditionalFormatting sqref="Y59">
    <cfRule type="expression" dxfId="50" priority="39">
      <formula>ABS(Y59-BD55)/Y59&gt;$B$7</formula>
    </cfRule>
  </conditionalFormatting>
  <conditionalFormatting sqref="S59">
    <cfRule type="expression" dxfId="49" priority="43">
      <formula>ABS(S59-BD55)/S59&gt;$B$7</formula>
    </cfRule>
  </conditionalFormatting>
  <conditionalFormatting sqref="Y75:Y84">
    <cfRule type="expression" dxfId="48" priority="44">
      <formula>ABS(Y75-BD75)/BD51&gt;$B$7</formula>
    </cfRule>
    <cfRule type="cellIs" dxfId="47" priority="45" operator="equal">
      <formula>0</formula>
    </cfRule>
  </conditionalFormatting>
  <conditionalFormatting sqref="Y85:Y92">
    <cfRule type="expression" dxfId="46" priority="46">
      <formula>ABS(Y85-BD85)/BD63&gt;$B$7</formula>
    </cfRule>
    <cfRule type="cellIs" dxfId="45" priority="47" operator="equal">
      <formula>0</formula>
    </cfRule>
  </conditionalFormatting>
  <conditionalFormatting sqref="D75:H92">
    <cfRule type="expression" dxfId="44" priority="49">
      <formula>ABS(D75-AW75)/D75&gt;$B$7</formula>
    </cfRule>
  </conditionalFormatting>
  <conditionalFormatting sqref="D67:K69">
    <cfRule type="expression" dxfId="43" priority="51">
      <formula>ABS(D67-AU67)/D67&gt;$B$7</formula>
    </cfRule>
  </conditionalFormatting>
  <conditionalFormatting sqref="R75:S92">
    <cfRule type="expression" dxfId="42" priority="54">
      <formula>ABS(R75-BC75)/R75&gt;$B$7</formula>
    </cfRule>
  </conditionalFormatting>
  <conditionalFormatting sqref="I60:S60">
    <cfRule type="expression" dxfId="41" priority="60">
      <formula>ABS(I60-AT53)/I60&gt;$B$7</formula>
    </cfRule>
  </conditionalFormatting>
  <conditionalFormatting sqref="I59:S59">
    <cfRule type="expression" dxfId="40" priority="64">
      <formula>ABS(I59-AT55)/I59&gt;$B$7</formula>
    </cfRule>
  </conditionalFormatting>
  <conditionalFormatting sqref="Q75:S84">
    <cfRule type="expression" dxfId="39" priority="68">
      <formula>ABS(Q75-BB75)/BB51&gt;$B$7</formula>
    </cfRule>
    <cfRule type="cellIs" dxfId="38" priority="69" operator="equal">
      <formula>0</formula>
    </cfRule>
  </conditionalFormatting>
  <conditionalFormatting sqref="Q85:S92">
    <cfRule type="expression" dxfId="37" priority="72">
      <formula>ABS(Q85-BB85)/BB63&gt;$B$7</formula>
    </cfRule>
    <cfRule type="cellIs" dxfId="36" priority="73" operator="equal">
      <formula>0</formula>
    </cfRule>
  </conditionalFormatting>
  <conditionalFormatting sqref="S13:S18 S24:S28">
    <cfRule type="expression" dxfId="35" priority="1">
      <formula>ABS(S13-BB13)/S13&gt;$B$7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88"/>
  <sheetViews>
    <sheetView zoomScale="70" zoomScaleNormal="70" workbookViewId="0">
      <pane xSplit="5" ySplit="10" topLeftCell="F53" activePane="bottomRight" state="frozen"/>
      <selection pane="topRight" activeCell="F1" sqref="F1"/>
      <selection pane="bottomLeft" activeCell="A6" sqref="A6"/>
      <selection pane="bottomRight" activeCell="N63" sqref="N63"/>
    </sheetView>
  </sheetViews>
  <sheetFormatPr defaultRowHeight="15" outlineLevelCol="1" x14ac:dyDescent="0.25"/>
  <cols>
    <col min="1" max="1" width="4.42578125" customWidth="1"/>
    <col min="2" max="2" width="33.85546875" bestFit="1" customWidth="1"/>
    <col min="3" max="4" width="24" customWidth="1" outlineLevel="1"/>
    <col min="5" max="5" width="20.7109375" customWidth="1" outlineLevel="1"/>
    <col min="6" max="6" width="12.7109375" customWidth="1"/>
    <col min="7" max="7" width="17.28515625" bestFit="1" customWidth="1"/>
    <col min="8" max="8" width="14" bestFit="1" customWidth="1"/>
    <col min="9" max="9" width="24.28515625" bestFit="1" customWidth="1"/>
    <col min="10" max="10" width="26.42578125" bestFit="1" customWidth="1"/>
    <col min="11" max="11" width="25.28515625" bestFit="1" customWidth="1"/>
    <col min="12" max="24" width="15.7109375" customWidth="1"/>
    <col min="25" max="25" width="16.28515625" hidden="1" customWidth="1"/>
    <col min="26" max="26" width="22.140625" hidden="1" customWidth="1"/>
    <col min="27" max="27" width="16.85546875" hidden="1" customWidth="1"/>
    <col min="28" max="28" width="18.85546875" hidden="1" customWidth="1"/>
    <col min="29" max="29" width="17.140625" hidden="1" customWidth="1"/>
    <col min="30" max="51" width="0" hidden="1" customWidth="1"/>
  </cols>
  <sheetData>
    <row r="1" spans="1:72" x14ac:dyDescent="0.25">
      <c r="B1" s="24" t="s">
        <v>118</v>
      </c>
    </row>
    <row r="2" spans="1:72" x14ac:dyDescent="0.25">
      <c r="B2" s="123" t="s">
        <v>115</v>
      </c>
    </row>
    <row r="3" spans="1:72" ht="15.75" thickBot="1" x14ac:dyDescent="0.3">
      <c r="B3" s="124" t="s">
        <v>116</v>
      </c>
    </row>
    <row r="4" spans="1:72" ht="16.5" thickTop="1" thickBot="1" x14ac:dyDescent="0.3">
      <c r="B4" s="125" t="s">
        <v>117</v>
      </c>
    </row>
    <row r="5" spans="1:72" ht="15.75" thickTop="1" x14ac:dyDescent="0.25"/>
    <row r="6" spans="1:72" ht="28.5" x14ac:dyDescent="0.45">
      <c r="B6" s="58" t="s">
        <v>44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</row>
    <row r="7" spans="1:72" x14ac:dyDescent="0.25">
      <c r="A7" s="24"/>
      <c r="I7" s="48">
        <f>SUM(I17,I19,I20)</f>
        <v>1.0000000000000002</v>
      </c>
      <c r="R7" s="48">
        <f>SUM(R17,R19,R20)</f>
        <v>3.4449999999999998</v>
      </c>
      <c r="X7" s="2"/>
      <c r="Y7" s="2"/>
      <c r="Z7" s="2"/>
      <c r="AA7" s="2"/>
      <c r="AB7" s="2"/>
      <c r="BA7" s="139" t="s">
        <v>119</v>
      </c>
    </row>
    <row r="8" spans="1:72" x14ac:dyDescent="0.25">
      <c r="B8" s="19"/>
      <c r="C8" s="15"/>
      <c r="D8" s="16"/>
      <c r="E8" s="10"/>
      <c r="F8" s="277" t="s">
        <v>1</v>
      </c>
      <c r="G8" s="277"/>
      <c r="H8" s="278"/>
      <c r="I8" s="279" t="s">
        <v>32</v>
      </c>
      <c r="J8" s="277"/>
      <c r="K8" s="278"/>
      <c r="L8" s="33" t="s">
        <v>33</v>
      </c>
      <c r="M8" s="34"/>
      <c r="N8" s="34"/>
      <c r="O8" s="34"/>
      <c r="P8" s="34"/>
      <c r="Q8" s="34"/>
      <c r="R8" s="34"/>
      <c r="S8" s="34"/>
      <c r="T8" s="34"/>
      <c r="U8" s="10"/>
      <c r="V8" s="10"/>
      <c r="W8" s="10"/>
      <c r="X8" s="10"/>
      <c r="Y8" s="2"/>
      <c r="Z8" s="2"/>
      <c r="AA8" s="2"/>
      <c r="AB8" s="2"/>
      <c r="BA8" s="2"/>
      <c r="BB8" s="2"/>
      <c r="BC8" s="2" t="s">
        <v>120</v>
      </c>
      <c r="BD8" s="2"/>
      <c r="BE8" s="2"/>
      <c r="BF8" s="2"/>
      <c r="BG8" s="2" t="s">
        <v>121</v>
      </c>
      <c r="BH8" s="2"/>
      <c r="BI8" s="2"/>
      <c r="BJ8" s="2"/>
      <c r="BK8" s="2"/>
      <c r="BL8" t="s">
        <v>122</v>
      </c>
      <c r="BP8" t="s">
        <v>123</v>
      </c>
    </row>
    <row r="9" spans="1:72" s="39" customFormat="1" ht="30" x14ac:dyDescent="0.25">
      <c r="B9" s="40" t="s">
        <v>43</v>
      </c>
      <c r="C9" s="41" t="s">
        <v>40</v>
      </c>
      <c r="D9" s="42" t="s">
        <v>41</v>
      </c>
      <c r="E9" s="43" t="s">
        <v>42</v>
      </c>
      <c r="F9" s="42" t="s">
        <v>29</v>
      </c>
      <c r="G9" s="42" t="s">
        <v>30</v>
      </c>
      <c r="H9" s="43" t="s">
        <v>31</v>
      </c>
      <c r="I9" s="41" t="s">
        <v>103</v>
      </c>
      <c r="J9" s="42" t="s">
        <v>104</v>
      </c>
      <c r="K9" s="43" t="s">
        <v>6</v>
      </c>
      <c r="L9" s="41" t="s">
        <v>51</v>
      </c>
      <c r="M9" s="42" t="s">
        <v>52</v>
      </c>
      <c r="N9" s="42" t="s">
        <v>53</v>
      </c>
      <c r="O9" s="42" t="s">
        <v>54</v>
      </c>
      <c r="P9" s="42" t="s">
        <v>55</v>
      </c>
      <c r="Q9" s="42" t="s">
        <v>56</v>
      </c>
      <c r="R9" s="42" t="s">
        <v>57</v>
      </c>
      <c r="S9" s="42" t="s">
        <v>58</v>
      </c>
      <c r="T9" s="42" t="s">
        <v>59</v>
      </c>
      <c r="U9" s="44" t="s">
        <v>60</v>
      </c>
      <c r="V9" s="44" t="s">
        <v>61</v>
      </c>
      <c r="W9" s="44" t="s">
        <v>62</v>
      </c>
      <c r="X9" s="44" t="s">
        <v>46</v>
      </c>
      <c r="Y9" s="45"/>
      <c r="Z9" s="42"/>
      <c r="AA9" s="42"/>
      <c r="AB9" s="42"/>
      <c r="BA9" t="s">
        <v>65</v>
      </c>
      <c r="BB9" t="s">
        <v>88</v>
      </c>
      <c r="BC9" t="s">
        <v>124</v>
      </c>
      <c r="BD9" t="s">
        <v>125</v>
      </c>
      <c r="BE9" t="s">
        <v>126</v>
      </c>
      <c r="BF9" t="s">
        <v>127</v>
      </c>
      <c r="BG9" t="s">
        <v>128</v>
      </c>
      <c r="BH9" t="s">
        <v>129</v>
      </c>
      <c r="BI9" t="s">
        <v>130</v>
      </c>
      <c r="BJ9" t="s">
        <v>131</v>
      </c>
      <c r="BK9" t="s">
        <v>132</v>
      </c>
      <c r="BL9" t="s">
        <v>133</v>
      </c>
      <c r="BM9" t="s">
        <v>134</v>
      </c>
      <c r="BN9" t="s">
        <v>135</v>
      </c>
      <c r="BO9" t="s">
        <v>136</v>
      </c>
      <c r="BP9" t="s">
        <v>137</v>
      </c>
      <c r="BQ9" t="s">
        <v>138</v>
      </c>
      <c r="BR9" t="s">
        <v>139</v>
      </c>
      <c r="BS9"/>
      <c r="BT9"/>
    </row>
    <row r="10" spans="1:72" ht="15.75" thickBot="1" x14ac:dyDescent="0.3">
      <c r="B10" s="20"/>
      <c r="C10" s="11"/>
      <c r="D10" s="12"/>
      <c r="E10" s="13"/>
      <c r="F10" s="12" t="s">
        <v>0</v>
      </c>
      <c r="G10" s="12" t="s">
        <v>0</v>
      </c>
      <c r="H10" s="13" t="s">
        <v>0</v>
      </c>
      <c r="I10" s="11" t="s">
        <v>38</v>
      </c>
      <c r="J10" s="12" t="s">
        <v>38</v>
      </c>
      <c r="K10" s="13" t="s">
        <v>38</v>
      </c>
      <c r="L10" s="11" t="s">
        <v>39</v>
      </c>
      <c r="M10" s="12" t="s">
        <v>39</v>
      </c>
      <c r="N10" s="12" t="s">
        <v>39</v>
      </c>
      <c r="O10" s="12" t="s">
        <v>39</v>
      </c>
      <c r="P10" s="12" t="s">
        <v>39</v>
      </c>
      <c r="Q10" s="12" t="s">
        <v>39</v>
      </c>
      <c r="R10" s="12" t="s">
        <v>39</v>
      </c>
      <c r="S10" s="12" t="s">
        <v>39</v>
      </c>
      <c r="T10" s="12" t="s">
        <v>39</v>
      </c>
      <c r="U10" s="13" t="s">
        <v>39</v>
      </c>
      <c r="V10" s="13" t="s">
        <v>39</v>
      </c>
      <c r="W10" s="13" t="s">
        <v>39</v>
      </c>
      <c r="X10" s="13" t="s">
        <v>39</v>
      </c>
      <c r="Y10" s="2"/>
      <c r="Z10" s="2"/>
      <c r="AA10" s="2"/>
      <c r="AB10" s="2"/>
      <c r="BC10" t="s">
        <v>0</v>
      </c>
      <c r="BD10" t="s">
        <v>0</v>
      </c>
      <c r="BE10" t="s">
        <v>0</v>
      </c>
      <c r="BF10" t="s">
        <v>0</v>
      </c>
      <c r="BG10" t="s">
        <v>39</v>
      </c>
      <c r="BH10" t="s">
        <v>39</v>
      </c>
      <c r="BI10" t="s">
        <v>39</v>
      </c>
      <c r="BJ10" t="s">
        <v>39</v>
      </c>
      <c r="BK10" t="s">
        <v>39</v>
      </c>
      <c r="BL10" t="s">
        <v>38</v>
      </c>
      <c r="BM10" t="s">
        <v>38</v>
      </c>
      <c r="BN10" t="s">
        <v>38</v>
      </c>
      <c r="BO10" t="s">
        <v>38</v>
      </c>
      <c r="BP10" t="s">
        <v>39</v>
      </c>
      <c r="BQ10" t="s">
        <v>39</v>
      </c>
      <c r="BR10" t="s">
        <v>39</v>
      </c>
    </row>
    <row r="11" spans="1:72" ht="15.75" thickTop="1" x14ac:dyDescent="0.25">
      <c r="B11" s="75" t="s">
        <v>72</v>
      </c>
      <c r="C11" s="14" t="s">
        <v>66</v>
      </c>
      <c r="D11" s="14" t="s">
        <v>66</v>
      </c>
      <c r="E11" s="14"/>
      <c r="F11" s="76">
        <f>BG32</f>
        <v>10586.7</v>
      </c>
      <c r="G11" s="81">
        <f t="shared" ref="G11:H11" si="0">BH32</f>
        <v>10586.7</v>
      </c>
      <c r="H11" s="81">
        <f t="shared" si="0"/>
        <v>0</v>
      </c>
      <c r="I11" s="91">
        <f>F11/SUMIFS($F$34:$F$44,$B$34:$B$44,$C11)</f>
        <v>0.59223311833250358</v>
      </c>
      <c r="J11" s="91" t="str">
        <f>IFERROR(IF($C11=$D11,"-",G11/SUMIFS($F$34:$F$44,$B$34:$B$44,$D11)),"-")</f>
        <v>-</v>
      </c>
      <c r="K11" s="91" t="str">
        <f>IFERROR(H11/SUMIFS($I$34:$I$44,$B$34:$B$44,$E11),"-")</f>
        <v>-</v>
      </c>
      <c r="L11" s="91">
        <f>$I11*SUMIFS($J$34:$J$44,$B$34:$B$44,$C11)</f>
        <v>9.3507687053518982</v>
      </c>
      <c r="M11" s="91" t="str">
        <f>IFERROR(IF($C11=$D11,"-",$J11*SUMIFS($J$34:$J$44,$B$34:$B$44,$D11)),"-")</f>
        <v>-</v>
      </c>
      <c r="N11" s="91">
        <f t="shared" ref="N11:N15" si="1">SUM(L11:M11)</f>
        <v>9.3507687053518982</v>
      </c>
      <c r="O11" s="91">
        <f>$I11*SUMIFS($K$34:$K$44,$B$34:$B$44,$C11)</f>
        <v>0</v>
      </c>
      <c r="P11" s="91" t="str">
        <f>IFERROR(IF($C11=$D11,"-",$J11*SUMIFS($K$34:$K$44,$B$34:$B$44,$D11)),"-")</f>
        <v>-</v>
      </c>
      <c r="Q11" s="91">
        <f t="shared" ref="Q11:Q15" si="2">SUM(O11:P11)</f>
        <v>0</v>
      </c>
      <c r="R11" s="91">
        <f>$I11*SUMIFS($L$34:$L$44,$B$34:$B$44,$C11)</f>
        <v>2.5773985309830558</v>
      </c>
      <c r="S11" s="91" t="str">
        <f>IFERROR(IF($C11=$D11,"-",$J11*SUMIFS($L$34:$L$44,$B$34:$B$44,$D11)),"-")</f>
        <v>-</v>
      </c>
      <c r="T11" s="91">
        <f t="shared" ref="T11:T15" si="3">SUM(R11:S11)</f>
        <v>2.5773985309830558</v>
      </c>
      <c r="U11" s="92" t="str">
        <f>IFERROR(K11*SUMIFS($M$34:$M$44,$B$34:$B$44,$E11),"-")</f>
        <v>-</v>
      </c>
      <c r="V11" s="91">
        <f t="shared" ref="V11:V15" si="4">L11+O11+R11</f>
        <v>11.928167236334954</v>
      </c>
      <c r="W11" s="91" t="str">
        <f t="shared" ref="W11:W15" si="5">IFERROR(M11+P11+S11,"-")</f>
        <v>-</v>
      </c>
      <c r="X11" s="91">
        <f t="shared" ref="X11:X15" si="6">IFERROR(SUM($N11,$Q11,$T11,$U11),"-")</f>
        <v>11.928167236334954</v>
      </c>
      <c r="Y11" s="2"/>
      <c r="Z11" s="8"/>
      <c r="AA11" s="2"/>
      <c r="AB11" s="2"/>
      <c r="BA11" t="s">
        <v>66</v>
      </c>
      <c r="BB11" t="s">
        <v>67</v>
      </c>
      <c r="BC11">
        <v>17875.900000000001</v>
      </c>
      <c r="BD11">
        <v>0</v>
      </c>
      <c r="BE11">
        <v>16982.099999999999</v>
      </c>
      <c r="BF11">
        <v>0</v>
      </c>
      <c r="BG11">
        <v>15.789</v>
      </c>
      <c r="BH11">
        <v>0</v>
      </c>
      <c r="BI11">
        <v>4.3520000000000003</v>
      </c>
      <c r="BJ11">
        <v>0</v>
      </c>
      <c r="BK11">
        <v>20.140999999999998</v>
      </c>
      <c r="BL11">
        <v>0.78400000000000003</v>
      </c>
      <c r="BM11">
        <v>0</v>
      </c>
      <c r="BN11">
        <v>0.216</v>
      </c>
      <c r="BO11">
        <v>0</v>
      </c>
      <c r="BP11">
        <v>0</v>
      </c>
      <c r="BQ11">
        <v>7.2590000000000003</v>
      </c>
      <c r="BR11">
        <v>7.2590000000000003</v>
      </c>
    </row>
    <row r="12" spans="1:72" x14ac:dyDescent="0.25">
      <c r="B12" s="17" t="s">
        <v>73</v>
      </c>
      <c r="C12" s="14" t="s">
        <v>66</v>
      </c>
      <c r="D12" s="14" t="s">
        <v>66</v>
      </c>
      <c r="E12" s="14"/>
      <c r="F12" s="77">
        <f t="shared" ref="F12:H12" si="7">BG33</f>
        <v>2231.8000000000002</v>
      </c>
      <c r="G12" s="82">
        <f t="shared" si="7"/>
        <v>2231.8000000000002</v>
      </c>
      <c r="H12" s="82">
        <f t="shared" si="7"/>
        <v>0</v>
      </c>
      <c r="I12" s="91">
        <f>F12/SUMIFS($F$34:$F$44,$B$34:$B$44,$C12)</f>
        <v>0.12484965791932154</v>
      </c>
      <c r="J12" s="91" t="str">
        <f>IFERROR(IF($C12=$D12,"-",G12/SUMIFS($F$34:$F$44,$B$34:$B$44,$D12)),"-")</f>
        <v>-</v>
      </c>
      <c r="K12" s="91" t="str">
        <f>IFERROR(H12/SUMIFS($I$34:$I$44,$B$34:$B$44,$E12),"-")</f>
        <v>-</v>
      </c>
      <c r="L12" s="91">
        <f>$I12*SUMIFS($J$34:$J$44,$B$34:$B$44,$C12)</f>
        <v>1.9712512488881677</v>
      </c>
      <c r="M12" s="91" t="str">
        <f>IFERROR(IF($C12=$D12,"-",$J12*SUMIFS($J$34:$J$44,$B$34:$B$44,$D12)),"-")</f>
        <v>-</v>
      </c>
      <c r="N12" s="91">
        <f t="shared" si="1"/>
        <v>1.9712512488881677</v>
      </c>
      <c r="O12" s="91">
        <f>$I12*SUMIFS($K$34:$K$44,$B$34:$B$44,$C12)</f>
        <v>0</v>
      </c>
      <c r="P12" s="91" t="str">
        <f>IFERROR(IF($C12=$D12,"-",$J12*SUMIFS($K$34:$K$44,$B$34:$B$44,$D12)),"-")</f>
        <v>-</v>
      </c>
      <c r="Q12" s="91">
        <f t="shared" si="2"/>
        <v>0</v>
      </c>
      <c r="R12" s="91">
        <f>$I12*SUMIFS($L$34:$L$44,$B$34:$B$44,$C12)</f>
        <v>0.5433457112648874</v>
      </c>
      <c r="S12" s="91" t="str">
        <f>IFERROR(IF($C12=$D12,"-",$J12*SUMIFS($L$34:$L$44,$B$34:$B$44,$D12)),"-")</f>
        <v>-</v>
      </c>
      <c r="T12" s="91">
        <f t="shared" si="3"/>
        <v>0.5433457112648874</v>
      </c>
      <c r="U12" s="91" t="str">
        <f>IFERROR(K12*SUMIFS($M$34:$M$44,$B$34:$B$44,$E12),"-")</f>
        <v>-</v>
      </c>
      <c r="V12" s="91">
        <f t="shared" si="4"/>
        <v>2.5145969601530549</v>
      </c>
      <c r="W12" s="92" t="str">
        <f t="shared" si="5"/>
        <v>-</v>
      </c>
      <c r="X12" s="91">
        <f t="shared" si="6"/>
        <v>2.5145969601530549</v>
      </c>
      <c r="Y12" s="2"/>
      <c r="Z12" s="2"/>
      <c r="AA12" s="2"/>
      <c r="AB12" s="2"/>
      <c r="BA12" t="s">
        <v>24</v>
      </c>
      <c r="BB12" t="s">
        <v>67</v>
      </c>
      <c r="BC12">
        <v>3644.6</v>
      </c>
      <c r="BD12">
        <v>2962.3</v>
      </c>
      <c r="BE12">
        <v>0</v>
      </c>
      <c r="BF12">
        <v>0</v>
      </c>
      <c r="BG12">
        <v>3.3450000000000002</v>
      </c>
      <c r="BH12">
        <v>1.006</v>
      </c>
      <c r="BI12">
        <v>0</v>
      </c>
      <c r="BJ12">
        <v>0</v>
      </c>
      <c r="BK12">
        <v>4.351</v>
      </c>
      <c r="BL12">
        <v>0.76900000000000002</v>
      </c>
      <c r="BM12">
        <v>0.23100000000000001</v>
      </c>
      <c r="BN12">
        <v>0</v>
      </c>
      <c r="BO12">
        <v>0</v>
      </c>
      <c r="BP12">
        <v>0</v>
      </c>
      <c r="BQ12">
        <v>1.06</v>
      </c>
      <c r="BR12">
        <v>1.06</v>
      </c>
    </row>
    <row r="13" spans="1:72" x14ac:dyDescent="0.25">
      <c r="B13" s="17" t="s">
        <v>74</v>
      </c>
      <c r="C13" s="14" t="s">
        <v>66</v>
      </c>
      <c r="D13" s="14" t="s">
        <v>66</v>
      </c>
      <c r="E13" s="14"/>
      <c r="F13" s="77">
        <f t="shared" ref="F13:H13" si="8">BG34</f>
        <v>1412.9</v>
      </c>
      <c r="G13" s="82">
        <f t="shared" si="8"/>
        <v>1412.9</v>
      </c>
      <c r="H13" s="82">
        <f t="shared" si="8"/>
        <v>0</v>
      </c>
      <c r="I13" s="91">
        <f>F13/SUMIFS($F$34:$F$44,$B$34:$B$44,$C13)</f>
        <v>7.9039377038358907E-2</v>
      </c>
      <c r="J13" s="91" t="str">
        <f>IFERROR(IF($C13=$D13,"-",G13/SUMIFS($F$34:$F$44,$B$34:$B$44,$D13)),"-")</f>
        <v>-</v>
      </c>
      <c r="K13" s="91" t="str">
        <f>IFERROR(H13/SUMIFS($I$34:$I$44,$B$34:$B$44,$E13),"-")</f>
        <v>-</v>
      </c>
      <c r="L13" s="91">
        <f>$I13*SUMIFS($J$34:$J$44,$B$34:$B$44,$C13)</f>
        <v>1.2479527240586488</v>
      </c>
      <c r="M13" s="91" t="str">
        <f>IFERROR(IF($C13=$D13,"-",$J13*SUMIFS($J$34:$J$44,$B$34:$B$44,$D13)),"-")</f>
        <v>-</v>
      </c>
      <c r="N13" s="91">
        <f t="shared" si="1"/>
        <v>1.2479527240586488</v>
      </c>
      <c r="O13" s="91">
        <f>$I13*SUMIFS($K$34:$K$44,$B$34:$B$44,$C13)</f>
        <v>0</v>
      </c>
      <c r="P13" s="91" t="str">
        <f>IFERROR(IF($C13=$D13,"-",$J13*SUMIFS($K$34:$K$44,$B$34:$B$44,$D13)),"-")</f>
        <v>-</v>
      </c>
      <c r="Q13" s="91">
        <f t="shared" si="2"/>
        <v>0</v>
      </c>
      <c r="R13" s="91">
        <f>$I13*SUMIFS($L$34:$L$44,$B$34:$B$44,$C13)</f>
        <v>0.343979368870938</v>
      </c>
      <c r="S13" s="91" t="str">
        <f>IFERROR(IF($C13=$D13,"-",$J13*SUMIFS($L$34:$L$44,$B$34:$B$44,$D13)),"-")</f>
        <v>-</v>
      </c>
      <c r="T13" s="91">
        <f t="shared" si="3"/>
        <v>0.343979368870938</v>
      </c>
      <c r="U13" s="91" t="str">
        <f>IFERROR(K13*SUMIFS($M$34:$M$44,$B$34:$B$44,$E13),"-")</f>
        <v>-</v>
      </c>
      <c r="V13" s="91">
        <f t="shared" si="4"/>
        <v>1.5919320929295868</v>
      </c>
      <c r="W13" s="92" t="str">
        <f t="shared" si="5"/>
        <v>-</v>
      </c>
      <c r="X13" s="91">
        <f t="shared" si="6"/>
        <v>1.5919320929295868</v>
      </c>
      <c r="Y13" s="2"/>
      <c r="Z13" s="2"/>
      <c r="AA13" s="2"/>
      <c r="AB13" s="2"/>
      <c r="BA13" t="s">
        <v>68</v>
      </c>
      <c r="BB13" t="s">
        <v>67</v>
      </c>
      <c r="BC13">
        <v>14231.4</v>
      </c>
      <c r="BD13">
        <v>0</v>
      </c>
      <c r="BE13">
        <v>13119.8</v>
      </c>
      <c r="BF13">
        <v>0</v>
      </c>
      <c r="BG13">
        <v>12.57</v>
      </c>
      <c r="BH13">
        <v>0</v>
      </c>
      <c r="BI13">
        <v>3.4449999999999998</v>
      </c>
      <c r="BJ13">
        <v>0</v>
      </c>
      <c r="BK13">
        <v>16.015000000000001</v>
      </c>
      <c r="BL13">
        <v>0.78500000000000003</v>
      </c>
      <c r="BM13">
        <v>0</v>
      </c>
      <c r="BN13">
        <v>0.215</v>
      </c>
      <c r="BO13">
        <v>0</v>
      </c>
      <c r="BP13">
        <v>0</v>
      </c>
      <c r="BQ13">
        <v>4.1399999999999997</v>
      </c>
      <c r="BR13">
        <v>4.1399999999999997</v>
      </c>
    </row>
    <row r="14" spans="1:72" x14ac:dyDescent="0.25">
      <c r="B14" s="17" t="s">
        <v>75</v>
      </c>
      <c r="C14" s="14" t="s">
        <v>66</v>
      </c>
      <c r="D14" s="14" t="s">
        <v>66</v>
      </c>
      <c r="E14" s="14"/>
      <c r="F14" s="77">
        <f t="shared" ref="F14:H14" si="9">BG35</f>
        <v>2231.8000000000002</v>
      </c>
      <c r="G14" s="82">
        <f t="shared" si="9"/>
        <v>2231.8000000000002</v>
      </c>
      <c r="H14" s="82">
        <f t="shared" si="9"/>
        <v>0</v>
      </c>
      <c r="I14" s="91">
        <f>F14/SUMIFS($F$34:$F$44,$B$34:$B$44,$C14)</f>
        <v>0.12484965791932154</v>
      </c>
      <c r="J14" s="91" t="str">
        <f>IFERROR(IF($C14=$D14,"-",G14/SUMIFS($F$34:$F$44,$B$34:$B$44,$D14)),"-")</f>
        <v>-</v>
      </c>
      <c r="K14" s="91" t="str">
        <f>IFERROR(H14/SUMIFS($I$34:$I$44,$B$34:$B$44,$E14),"-")</f>
        <v>-</v>
      </c>
      <c r="L14" s="91">
        <f>$I14*SUMIFS($J$34:$J$44,$B$34:$B$44,$C14)</f>
        <v>1.9712512488881677</v>
      </c>
      <c r="M14" s="91" t="str">
        <f>IFERROR(IF($C14=$D14,"-",$J14*SUMIFS($J$34:$J$44,$B$34:$B$44,$D14)),"-")</f>
        <v>-</v>
      </c>
      <c r="N14" s="91">
        <f t="shared" si="1"/>
        <v>1.9712512488881677</v>
      </c>
      <c r="O14" s="91">
        <f>$I14*SUMIFS($K$34:$K$44,$B$34:$B$44,$C14)</f>
        <v>0</v>
      </c>
      <c r="P14" s="91" t="str">
        <f>IFERROR(IF($C14=$D14,"-",$J14*SUMIFS($K$34:$K$44,$B$34:$B$44,$D14)),"-")</f>
        <v>-</v>
      </c>
      <c r="Q14" s="91">
        <f t="shared" si="2"/>
        <v>0</v>
      </c>
      <c r="R14" s="91">
        <f>$I14*SUMIFS($L$34:$L$44,$B$34:$B$44,$C14)</f>
        <v>0.5433457112648874</v>
      </c>
      <c r="S14" s="91" t="str">
        <f>IFERROR(IF($C14=$D14,"-",$J14*SUMIFS($L$34:$L$44,$B$34:$B$44,$D14)),"-")</f>
        <v>-</v>
      </c>
      <c r="T14" s="91">
        <f t="shared" si="3"/>
        <v>0.5433457112648874</v>
      </c>
      <c r="U14" s="92" t="str">
        <f>IFERROR(K14*SUMIFS($M$34:$M$44,$B$34:$B$44,$E14),"-")</f>
        <v>-</v>
      </c>
      <c r="V14" s="91">
        <f t="shared" si="4"/>
        <v>2.5145969601530549</v>
      </c>
      <c r="W14" s="92" t="str">
        <f t="shared" si="5"/>
        <v>-</v>
      </c>
      <c r="X14" s="91">
        <f t="shared" si="6"/>
        <v>2.5145969601530549</v>
      </c>
      <c r="Y14" s="2"/>
      <c r="Z14" s="2"/>
      <c r="AA14" s="2"/>
      <c r="AB14" s="2"/>
      <c r="BA14" t="s">
        <v>25</v>
      </c>
      <c r="BB14" t="s">
        <v>69</v>
      </c>
      <c r="BC14">
        <v>0</v>
      </c>
      <c r="BD14">
        <v>0</v>
      </c>
      <c r="BE14">
        <v>0</v>
      </c>
      <c r="BF14">
        <v>900</v>
      </c>
      <c r="BG14">
        <v>0</v>
      </c>
      <c r="BH14">
        <v>0</v>
      </c>
      <c r="BI14">
        <v>0</v>
      </c>
      <c r="BJ14">
        <v>0.82499999999999996</v>
      </c>
      <c r="BK14">
        <v>0.82499999999999996</v>
      </c>
      <c r="BL14">
        <v>0</v>
      </c>
      <c r="BM14">
        <v>0</v>
      </c>
      <c r="BN14">
        <v>0</v>
      </c>
      <c r="BO14">
        <v>1</v>
      </c>
      <c r="BP14">
        <v>0.22900000000000001</v>
      </c>
      <c r="BQ14">
        <v>0</v>
      </c>
      <c r="BR14">
        <v>0</v>
      </c>
    </row>
    <row r="15" spans="1:72" x14ac:dyDescent="0.25">
      <c r="B15" s="17" t="s">
        <v>76</v>
      </c>
      <c r="C15" s="14" t="s">
        <v>66</v>
      </c>
      <c r="D15" s="14" t="s">
        <v>66</v>
      </c>
      <c r="E15" s="14"/>
      <c r="F15" s="77">
        <f t="shared" ref="F15:H15" si="10">BG36</f>
        <v>1412.8</v>
      </c>
      <c r="G15" s="82">
        <f t="shared" si="10"/>
        <v>1412.8</v>
      </c>
      <c r="H15" s="82">
        <f t="shared" si="10"/>
        <v>0</v>
      </c>
      <c r="I15" s="91">
        <f>F15/SUMIFS($F$34:$F$44,$B$34:$B$44,$C15)</f>
        <v>7.9033782914426684E-2</v>
      </c>
      <c r="J15" s="91" t="str">
        <f>IFERROR(IF($C15=$D15,"-",G15/SUMIFS($F$34:$F$44,$B$34:$B$44,$D15)),"-")</f>
        <v>-</v>
      </c>
      <c r="K15" s="91" t="str">
        <f>IFERROR(H15/SUMIFS($I$34:$I$44,$B$34:$B$44,$E15),"-")</f>
        <v>-</v>
      </c>
      <c r="L15" s="91">
        <f>$I15*SUMIFS($J$34:$J$44,$B$34:$B$44,$C15)</f>
        <v>1.2478643984358828</v>
      </c>
      <c r="M15" s="91" t="str">
        <f>IFERROR(IF($C15=$D15,"-",$J15*SUMIFS($J$34:$J$44,$B$34:$B$44,$D15)),"-")</f>
        <v>-</v>
      </c>
      <c r="N15" s="91">
        <f t="shared" si="1"/>
        <v>1.2478643984358828</v>
      </c>
      <c r="O15" s="91">
        <f>$I15*SUMIFS($K$34:$K$44,$B$34:$B$44,$C15)</f>
        <v>0</v>
      </c>
      <c r="P15" s="91" t="str">
        <f>IFERROR(IF($C15=$D15,"-",$J15*SUMIFS($K$34:$K$44,$B$34:$B$44,$D15)),"-")</f>
        <v>-</v>
      </c>
      <c r="Q15" s="91">
        <f t="shared" si="2"/>
        <v>0</v>
      </c>
      <c r="R15" s="91">
        <f>$I15*SUMIFS($L$34:$L$44,$B$34:$B$44,$C15)</f>
        <v>0.34395502324358496</v>
      </c>
      <c r="S15" s="91" t="str">
        <f>IFERROR(IF($C15=$D15,"-",$J15*SUMIFS($L$34:$L$44,$B$34:$B$44,$D15)),"-")</f>
        <v>-</v>
      </c>
      <c r="T15" s="91">
        <f t="shared" si="3"/>
        <v>0.34395502324358496</v>
      </c>
      <c r="U15" s="92" t="str">
        <f>IFERROR(K15*SUMIFS($M$34:$M$44,$B$34:$B$44,$E15),"-")</f>
        <v>-</v>
      </c>
      <c r="V15" s="91">
        <f t="shared" si="4"/>
        <v>1.5918194216794679</v>
      </c>
      <c r="W15" s="92" t="str">
        <f t="shared" si="5"/>
        <v>-</v>
      </c>
      <c r="X15" s="91">
        <f t="shared" si="6"/>
        <v>1.5918194216794679</v>
      </c>
      <c r="Y15" s="2"/>
      <c r="Z15" s="2"/>
      <c r="AA15" s="2"/>
      <c r="AB15" s="2"/>
      <c r="BA15" t="s">
        <v>17</v>
      </c>
      <c r="BB15" t="s">
        <v>140</v>
      </c>
      <c r="BC15">
        <v>1565</v>
      </c>
      <c r="BD15">
        <v>0</v>
      </c>
      <c r="BE15">
        <v>0</v>
      </c>
      <c r="BF15">
        <v>0</v>
      </c>
      <c r="BG15">
        <v>1.486</v>
      </c>
      <c r="BH15">
        <v>0</v>
      </c>
      <c r="BI15">
        <v>0</v>
      </c>
      <c r="BJ15">
        <v>0</v>
      </c>
      <c r="BK15">
        <v>1.486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2" ht="15.75" thickBot="1" x14ac:dyDescent="0.3">
      <c r="B16" s="18" t="s">
        <v>77</v>
      </c>
      <c r="C16" s="22" t="s">
        <v>80</v>
      </c>
      <c r="D16" s="22" t="s">
        <v>80</v>
      </c>
      <c r="E16" s="22"/>
      <c r="F16" s="78">
        <f t="shared" ref="F16:H16" si="11">BG37</f>
        <v>0</v>
      </c>
      <c r="G16" s="83">
        <f t="shared" si="11"/>
        <v>0</v>
      </c>
      <c r="H16" s="83">
        <f t="shared" si="11"/>
        <v>0</v>
      </c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7"/>
      <c r="V16" s="156"/>
      <c r="W16" s="157"/>
      <c r="X16" s="156"/>
      <c r="Y16" s="2"/>
      <c r="Z16" s="2"/>
      <c r="AA16" s="2"/>
      <c r="AB16" s="2"/>
      <c r="BA16" t="s">
        <v>18</v>
      </c>
      <c r="BB16" t="s">
        <v>69</v>
      </c>
      <c r="BC16">
        <v>0</v>
      </c>
      <c r="BD16">
        <v>0</v>
      </c>
      <c r="BE16">
        <v>0</v>
      </c>
      <c r="BF16">
        <v>400</v>
      </c>
      <c r="BG16">
        <v>0</v>
      </c>
      <c r="BH16">
        <v>0</v>
      </c>
      <c r="BI16">
        <v>0</v>
      </c>
      <c r="BJ16">
        <v>0.36599999999999999</v>
      </c>
      <c r="BK16">
        <v>0.36599999999999999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</row>
    <row r="17" spans="2:72" ht="15.75" thickTop="1" x14ac:dyDescent="0.25">
      <c r="B17" s="75" t="s">
        <v>19</v>
      </c>
      <c r="C17" s="14" t="s">
        <v>68</v>
      </c>
      <c r="D17" s="14" t="s">
        <v>68</v>
      </c>
      <c r="E17" s="14"/>
      <c r="F17" s="76">
        <f t="shared" ref="F17:H17" si="12">BG38</f>
        <v>10586.7</v>
      </c>
      <c r="G17" s="81">
        <f t="shared" si="12"/>
        <v>10586.7</v>
      </c>
      <c r="H17" s="81">
        <f t="shared" si="12"/>
        <v>0</v>
      </c>
      <c r="I17" s="91">
        <f>F17/SUMIFS($F$34:$F$44,$B$34:$B$44,$C17)</f>
        <v>0.74389729752519085</v>
      </c>
      <c r="J17" s="91" t="str">
        <f>IFERROR(IF($C17=$D17,"-",G17/SUMIFS($F$34:$F$44,$B$34:$B$44,$D17)),"-")</f>
        <v>-</v>
      </c>
      <c r="K17" s="91" t="str">
        <f>IFERROR(H17/SUMIFS($I$34:$I$44,$B$34:$B$44,$E17),"-")</f>
        <v>-</v>
      </c>
      <c r="L17" s="91">
        <f>$I17*SUMIFS($J$34:$J$44,$B$34:$B$44,$C17)</f>
        <v>9.350789029891649</v>
      </c>
      <c r="M17" s="91" t="str">
        <f>IFERROR(IF($C17=$D17,"-",$J17*SUMIFS($J$34:$J$44,$B$34:$B$44,$D17)),"-")</f>
        <v>-</v>
      </c>
      <c r="N17" s="91">
        <f>SUM(L17:M17)</f>
        <v>9.350789029891649</v>
      </c>
      <c r="O17" s="91">
        <f>$I17*SUMIFS($K$34:$K$44,$B$34:$B$44,$C17)</f>
        <v>0</v>
      </c>
      <c r="P17" s="91" t="str">
        <f>IFERROR(IF($C17=$D17,"-",$J17*SUMIFS($K$34:$K$44,$B$34:$B$44,$D17)),"-")</f>
        <v>-</v>
      </c>
      <c r="Q17" s="91">
        <f>SUM(O17:P17)</f>
        <v>0</v>
      </c>
      <c r="R17" s="91">
        <f>$I17*SUMIFS($L$34:$L$44,$B$34:$B$44,$C17)</f>
        <v>2.5627261899742821</v>
      </c>
      <c r="S17" s="91" t="str">
        <f>IFERROR(IF($C17=$D17,"-",$J17*SUMIFS($L$34:$L$44,$B$34:$B$44,$D17)),"-")</f>
        <v>-</v>
      </c>
      <c r="T17" s="91">
        <f>SUM(R17:S17)</f>
        <v>2.5627261899742821</v>
      </c>
      <c r="U17" s="92" t="str">
        <f>IFERROR(K17*SUMIFS($M$34:$M$44,$B$34:$B$44,$E17),"-")</f>
        <v>-</v>
      </c>
      <c r="V17" s="91">
        <f>L17+O17+R17</f>
        <v>11.913515219865932</v>
      </c>
      <c r="W17" s="91" t="str">
        <f>IFERROR(M17+P17+S17,"-")</f>
        <v>-</v>
      </c>
      <c r="X17" s="91">
        <f t="shared" ref="X17:X27" si="13">IFERROR(SUM($N17,$Q17,$T17,$U17),"-")</f>
        <v>11.913515219865932</v>
      </c>
      <c r="Y17" s="2"/>
      <c r="Z17" s="2"/>
      <c r="AA17" s="2"/>
      <c r="AB17" s="2"/>
    </row>
    <row r="18" spans="2:72" x14ac:dyDescent="0.25">
      <c r="B18" s="17" t="s">
        <v>20</v>
      </c>
      <c r="C18" s="14" t="s">
        <v>24</v>
      </c>
      <c r="D18" s="14" t="s">
        <v>24</v>
      </c>
      <c r="E18" s="14" t="s">
        <v>25</v>
      </c>
      <c r="F18" s="77">
        <f t="shared" ref="F18:H18" si="14">BG39</f>
        <v>2231.8000000000002</v>
      </c>
      <c r="G18" s="82">
        <f t="shared" si="14"/>
        <v>2231.8000000000002</v>
      </c>
      <c r="H18" s="82">
        <f t="shared" si="14"/>
        <v>500</v>
      </c>
      <c r="I18" s="91">
        <f>F18/SUMIFS($F$34:$F$44,$B$34:$B$44,$C18)</f>
        <v>0.61235800910936733</v>
      </c>
      <c r="J18" s="91" t="str">
        <f>IFERROR(IF($C18=$D18,"-",G18/SUMIFS($F$34:$F$44,$B$34:$B$44,$D18)),"-")</f>
        <v>-</v>
      </c>
      <c r="K18" s="91">
        <f>IFERROR(H18/SUMIFS($I$34:$I$44,$B$34:$B$44,$E18),"-")</f>
        <v>0.55555555555555558</v>
      </c>
      <c r="L18" s="91">
        <f>$I18*SUMIFS($J$34:$J$44,$B$34:$B$44,$C18)</f>
        <v>2.0483375404708339</v>
      </c>
      <c r="M18" s="91" t="str">
        <f>IFERROR(IF($C18=$D18,"-",$J18*SUMIFS($J$34:$J$44,$B$34:$B$44,$D18)),"-")</f>
        <v>-</v>
      </c>
      <c r="N18" s="91">
        <f t="shared" ref="N18:N27" si="15">SUM(L18:M18)</f>
        <v>2.0483375404708339</v>
      </c>
      <c r="O18" s="91">
        <f>$I18*SUMIFS($K$34:$K$44,$B$34:$B$44,$C18)</f>
        <v>0.61603215716402349</v>
      </c>
      <c r="P18" s="91" t="str">
        <f>IFERROR(IF($C18=$D18,"-",$J18*SUMIFS($K$34:$K$44,$B$34:$B$44,$D18)),"-")</f>
        <v>-</v>
      </c>
      <c r="Q18" s="91">
        <f t="shared" ref="Q18:Q27" si="16">SUM(O18:P18)</f>
        <v>0.61603215716402349</v>
      </c>
      <c r="R18" s="91">
        <f>$I18*SUMIFS($L$34:$L$44,$B$34:$B$44,$C18)</f>
        <v>0</v>
      </c>
      <c r="S18" s="91" t="str">
        <f>IFERROR(IF($C18=$D18,"-",$J18*SUMIFS($L$34:$L$44,$B$34:$B$44,$D18)),"-")</f>
        <v>-</v>
      </c>
      <c r="T18" s="91">
        <f t="shared" ref="T18:T27" si="17">SUM(R18:S18)</f>
        <v>0</v>
      </c>
      <c r="U18" s="91">
        <f>IFERROR(K18*SUMIFS($M$34:$M$44,$B$34:$B$44,$E18),"-")</f>
        <v>0.45833333333333331</v>
      </c>
      <c r="V18" s="91">
        <f t="shared" ref="V18:V27" si="18">L18+O18+R18</f>
        <v>2.6643696976348572</v>
      </c>
      <c r="W18" s="92" t="str">
        <f t="shared" ref="W18:W27" si="19">IFERROR(M18+P18+S18,"-")</f>
        <v>-</v>
      </c>
      <c r="X18" s="91">
        <f t="shared" si="13"/>
        <v>3.1227030309681907</v>
      </c>
      <c r="Y18" s="2"/>
      <c r="Z18" s="2"/>
      <c r="AA18" s="2"/>
      <c r="AB18" s="2"/>
      <c r="BA18" t="s">
        <v>141</v>
      </c>
    </row>
    <row r="19" spans="2:72" x14ac:dyDescent="0.25">
      <c r="B19" s="17" t="s">
        <v>21</v>
      </c>
      <c r="C19" s="14" t="s">
        <v>68</v>
      </c>
      <c r="D19" s="14" t="s">
        <v>68</v>
      </c>
      <c r="E19" s="14" t="s">
        <v>25</v>
      </c>
      <c r="F19" s="77">
        <f t="shared" ref="F19:H19" si="20">BG40</f>
        <v>1412.9</v>
      </c>
      <c r="G19" s="82">
        <f t="shared" si="20"/>
        <v>1412.9</v>
      </c>
      <c r="H19" s="82">
        <f t="shared" si="20"/>
        <v>400</v>
      </c>
      <c r="I19" s="91">
        <f>F19/SUMIFS($F$34:$F$44,$B$34:$B$44,$C19)</f>
        <v>9.9280464325365053E-2</v>
      </c>
      <c r="J19" s="91" t="str">
        <f>IFERROR(IF($C19=$D19,"-",G19/SUMIFS($F$34:$F$44,$B$34:$B$44,$D19)),"-")</f>
        <v>-</v>
      </c>
      <c r="K19" s="91">
        <f>IFERROR(H19/SUMIFS($I$34:$I$44,$B$34:$B$44,$E19),"-")</f>
        <v>0.44444444444444442</v>
      </c>
      <c r="L19" s="91">
        <f>$I19*SUMIFS($J$34:$J$44,$B$34:$B$44,$C19)</f>
        <v>1.2479554365698386</v>
      </c>
      <c r="M19" s="91" t="str">
        <f>IFERROR(IF($C19=$D19,"-",$J19*SUMIFS($J$34:$J$44,$B$34:$B$44,$D19)),"-")</f>
        <v>-</v>
      </c>
      <c r="N19" s="91">
        <f t="shared" si="15"/>
        <v>1.2479554365698386</v>
      </c>
      <c r="O19" s="91">
        <f>$I19*SUMIFS($K$34:$K$44,$B$34:$B$44,$C19)</f>
        <v>0</v>
      </c>
      <c r="P19" s="91" t="str">
        <f>IFERROR(IF($C19=$D19,"-",$J19*SUMIFS($K$34:$K$44,$B$34:$B$44,$D19)),"-")</f>
        <v>-</v>
      </c>
      <c r="Q19" s="91">
        <f t="shared" si="16"/>
        <v>0</v>
      </c>
      <c r="R19" s="91">
        <f>$I19*SUMIFS($L$34:$L$44,$B$34:$B$44,$C19)</f>
        <v>0.34202119960088262</v>
      </c>
      <c r="S19" s="91" t="str">
        <f>IFERROR(IF($C19=$D19,"-",$J19*SUMIFS($L$34:$L$44,$B$34:$B$44,$D19)),"-")</f>
        <v>-</v>
      </c>
      <c r="T19" s="91">
        <f t="shared" si="17"/>
        <v>0.34202119960088262</v>
      </c>
      <c r="U19" s="91">
        <f>IFERROR(K19*SUMIFS($M$34:$M$44,$B$34:$B$44,$E19),"-")</f>
        <v>0.36666666666666664</v>
      </c>
      <c r="V19" s="91">
        <f t="shared" si="18"/>
        <v>1.5899766361707213</v>
      </c>
      <c r="W19" s="92" t="str">
        <f t="shared" si="19"/>
        <v>-</v>
      </c>
      <c r="X19" s="91">
        <f t="shared" si="13"/>
        <v>1.956643302837388</v>
      </c>
      <c r="Y19" s="2"/>
      <c r="Z19" s="2"/>
      <c r="AA19" s="2"/>
      <c r="AB19" s="2"/>
      <c r="BC19" t="s">
        <v>120</v>
      </c>
      <c r="BG19" t="s">
        <v>121</v>
      </c>
      <c r="BM19" t="s">
        <v>122</v>
      </c>
      <c r="BQ19" t="s">
        <v>123</v>
      </c>
    </row>
    <row r="20" spans="2:72" x14ac:dyDescent="0.25">
      <c r="B20" s="17" t="s">
        <v>22</v>
      </c>
      <c r="C20" s="14" t="s">
        <v>68</v>
      </c>
      <c r="D20" s="14" t="s">
        <v>68</v>
      </c>
      <c r="E20" s="14"/>
      <c r="F20" s="77">
        <f t="shared" ref="F20:H20" si="21">BG41</f>
        <v>2231.8000000000002</v>
      </c>
      <c r="G20" s="82">
        <f t="shared" si="21"/>
        <v>2231.8000000000002</v>
      </c>
      <c r="H20" s="82">
        <f t="shared" si="21"/>
        <v>0</v>
      </c>
      <c r="I20" s="91">
        <f>F20/SUMIFS($F$34:$F$44,$B$34:$B$44,$C20)</f>
        <v>0.15682223814944421</v>
      </c>
      <c r="J20" s="91" t="str">
        <f>IFERROR(IF($C20=$D20,"-",G20/SUMIFS($F$34:$F$44,$B$34:$B$44,$D20)),"-")</f>
        <v>-</v>
      </c>
      <c r="K20" s="91" t="str">
        <f>IFERROR(H20/SUMIFS($I$34:$I$44,$B$34:$B$44,$E20),"-")</f>
        <v>-</v>
      </c>
      <c r="L20" s="91">
        <f>$I20*SUMIFS($J$34:$J$44,$B$34:$B$44,$C20)</f>
        <v>1.9712555335385138</v>
      </c>
      <c r="M20" s="91" t="str">
        <f>IFERROR(IF($C20=$D20,"-",$J20*SUMIFS($J$34:$J$44,$B$34:$B$44,$D20)),"-")</f>
        <v>-</v>
      </c>
      <c r="N20" s="91">
        <f t="shared" si="15"/>
        <v>1.9712555335385138</v>
      </c>
      <c r="O20" s="91">
        <f>$I20*SUMIFS($K$34:$K$44,$B$34:$B$44,$C20)</f>
        <v>0</v>
      </c>
      <c r="P20" s="91" t="str">
        <f>IFERROR(IF($C20=$D20,"-",$J20*SUMIFS($K$34:$K$44,$B$34:$B$44,$D20)),"-")</f>
        <v>-</v>
      </c>
      <c r="Q20" s="91">
        <f t="shared" si="16"/>
        <v>0</v>
      </c>
      <c r="R20" s="91">
        <f>$I20*SUMIFS($L$34:$L$44,$B$34:$B$44,$C20)</f>
        <v>0.5402526104248353</v>
      </c>
      <c r="S20" s="91" t="str">
        <f>IFERROR(IF($C20=$D20,"-",$J20*SUMIFS($L$34:$L$44,$B$34:$B$44,$D20)),"-")</f>
        <v>-</v>
      </c>
      <c r="T20" s="91">
        <f t="shared" si="17"/>
        <v>0.5402526104248353</v>
      </c>
      <c r="U20" s="92" t="str">
        <f>IFERROR(K20*SUMIFS($M$34:$M$44,$B$34:$B$44,$E20),"-")</f>
        <v>-</v>
      </c>
      <c r="V20" s="91">
        <f t="shared" si="18"/>
        <v>2.5115081439633489</v>
      </c>
      <c r="W20" s="92" t="str">
        <f t="shared" si="19"/>
        <v>-</v>
      </c>
      <c r="X20" s="91">
        <f t="shared" si="13"/>
        <v>2.5115081439633489</v>
      </c>
      <c r="Y20" s="2"/>
      <c r="Z20" s="2"/>
      <c r="AA20" s="2"/>
      <c r="AB20" s="2"/>
      <c r="BA20" t="s">
        <v>142</v>
      </c>
      <c r="BB20" t="s">
        <v>88</v>
      </c>
      <c r="BC20" t="s">
        <v>124</v>
      </c>
      <c r="BD20" t="s">
        <v>125</v>
      </c>
      <c r="BE20" t="s">
        <v>126</v>
      </c>
      <c r="BF20" t="s">
        <v>127</v>
      </c>
      <c r="BG20" t="s">
        <v>143</v>
      </c>
      <c r="BH20" t="s">
        <v>128</v>
      </c>
      <c r="BI20" t="s">
        <v>129</v>
      </c>
      <c r="BJ20" t="s">
        <v>130</v>
      </c>
      <c r="BK20" t="s">
        <v>143</v>
      </c>
      <c r="BL20" t="s">
        <v>133</v>
      </c>
      <c r="BM20" t="s">
        <v>134</v>
      </c>
      <c r="BN20" t="s">
        <v>135</v>
      </c>
      <c r="BO20" t="s">
        <v>136</v>
      </c>
      <c r="BP20" t="s">
        <v>137</v>
      </c>
      <c r="BQ20" t="s">
        <v>138</v>
      </c>
      <c r="BR20" t="s">
        <v>144</v>
      </c>
    </row>
    <row r="21" spans="2:72" x14ac:dyDescent="0.25">
      <c r="B21" s="17" t="s">
        <v>23</v>
      </c>
      <c r="C21" s="14" t="s">
        <v>24</v>
      </c>
      <c r="D21" s="14" t="s">
        <v>24</v>
      </c>
      <c r="E21" s="14"/>
      <c r="F21" s="77">
        <f t="shared" ref="F21:H21" si="22">BG42</f>
        <v>1412.8</v>
      </c>
      <c r="G21" s="82">
        <f t="shared" si="22"/>
        <v>1412.8</v>
      </c>
      <c r="H21" s="82">
        <f t="shared" si="22"/>
        <v>0</v>
      </c>
      <c r="I21" s="91">
        <f>F21/SUMIFS($F$34:$F$44,$B$34:$B$44,$C21)</f>
        <v>0.38764199089063273</v>
      </c>
      <c r="J21" s="91" t="str">
        <f>IFERROR(IF($C21=$D21,"-",G21/SUMIFS($F$34:$F$44,$B$34:$B$44,$D21)),"-")</f>
        <v>-</v>
      </c>
      <c r="K21" s="91" t="str">
        <f>IFERROR(H21/SUMIFS($I$34:$I$44,$B$34:$B$44,$E21),"-")</f>
        <v>-</v>
      </c>
      <c r="L21" s="91">
        <f>$I21*SUMIFS($J$34:$J$44,$B$34:$B$44,$C21)</f>
        <v>1.2966624595291665</v>
      </c>
      <c r="M21" s="91" t="str">
        <f>IFERROR(IF($C21=$D21,"-",$J21*SUMIFS($J$34:$J$44,$B$34:$B$44,$D21)),"-")</f>
        <v>-</v>
      </c>
      <c r="N21" s="91">
        <f t="shared" si="15"/>
        <v>1.2966624595291665</v>
      </c>
      <c r="O21" s="91">
        <f>$I21*SUMIFS($K$34:$K$44,$B$34:$B$44,$C21)</f>
        <v>0.38996784283597652</v>
      </c>
      <c r="P21" s="91" t="str">
        <f>IFERROR(IF($C21=$D21,"-",$J21*SUMIFS($K$34:$K$44,$B$34:$B$44,$D21)),"-")</f>
        <v>-</v>
      </c>
      <c r="Q21" s="91">
        <f t="shared" si="16"/>
        <v>0.38996784283597652</v>
      </c>
      <c r="R21" s="91">
        <f>$I21*SUMIFS($L$34:$L$44,$B$34:$B$44,$C21)</f>
        <v>0</v>
      </c>
      <c r="S21" s="91" t="str">
        <f>IFERROR(IF($C21=$D21,"-",$J21*SUMIFS($L$34:$L$44,$B$34:$B$44,$D21)),"-")</f>
        <v>-</v>
      </c>
      <c r="T21" s="91">
        <f t="shared" si="17"/>
        <v>0</v>
      </c>
      <c r="U21" s="92" t="str">
        <f>IFERROR(K21*SUMIFS($M$34:$M$44,$B$34:$B$44,$E21),"-")</f>
        <v>-</v>
      </c>
      <c r="V21" s="91">
        <f t="shared" si="18"/>
        <v>1.686630302365143</v>
      </c>
      <c r="W21" s="92" t="str">
        <f t="shared" si="19"/>
        <v>-</v>
      </c>
      <c r="X21" s="91">
        <f t="shared" si="13"/>
        <v>1.686630302365143</v>
      </c>
      <c r="Y21" s="2"/>
      <c r="Z21" s="2"/>
      <c r="AA21" s="2"/>
      <c r="AB21" s="2"/>
      <c r="BC21" t="s">
        <v>0</v>
      </c>
      <c r="BD21" t="s">
        <v>0</v>
      </c>
      <c r="BE21" t="s">
        <v>0</v>
      </c>
      <c r="BF21" t="s">
        <v>0</v>
      </c>
      <c r="BG21" t="s">
        <v>39</v>
      </c>
      <c r="BH21" t="s">
        <v>39</v>
      </c>
      <c r="BI21" t="s">
        <v>39</v>
      </c>
      <c r="BJ21" t="s">
        <v>39</v>
      </c>
      <c r="BK21" t="s">
        <v>39</v>
      </c>
      <c r="BL21" t="s">
        <v>38</v>
      </c>
      <c r="BM21" t="s">
        <v>38</v>
      </c>
      <c r="BN21" t="s">
        <v>38</v>
      </c>
      <c r="BO21" t="s">
        <v>38</v>
      </c>
      <c r="BP21" t="s">
        <v>39</v>
      </c>
      <c r="BQ21" t="s">
        <v>39</v>
      </c>
      <c r="BR21" t="s">
        <v>39</v>
      </c>
    </row>
    <row r="22" spans="2:72" ht="15.75" thickBot="1" x14ac:dyDescent="0.3">
      <c r="B22" s="18" t="s">
        <v>78</v>
      </c>
      <c r="C22" s="22" t="s">
        <v>80</v>
      </c>
      <c r="D22" s="22" t="s">
        <v>80</v>
      </c>
      <c r="E22" s="22"/>
      <c r="F22" s="78">
        <f t="shared" ref="F22:H22" si="23">BG43</f>
        <v>0</v>
      </c>
      <c r="G22" s="83">
        <f t="shared" si="23"/>
        <v>0</v>
      </c>
      <c r="H22" s="83">
        <f t="shared" si="23"/>
        <v>0</v>
      </c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7"/>
      <c r="V22" s="156"/>
      <c r="W22" s="157"/>
      <c r="X22" s="156"/>
      <c r="Y22" s="2"/>
      <c r="Z22" s="2"/>
      <c r="AA22" s="2"/>
      <c r="AB22" s="2"/>
      <c r="BA22" t="s">
        <v>13</v>
      </c>
      <c r="BB22" t="s">
        <v>71</v>
      </c>
      <c r="BC22">
        <v>2000</v>
      </c>
      <c r="BD22">
        <v>0</v>
      </c>
      <c r="BE22">
        <v>0</v>
      </c>
      <c r="BF22">
        <v>0</v>
      </c>
      <c r="BG22">
        <v>0.7</v>
      </c>
      <c r="BH22">
        <v>0</v>
      </c>
      <c r="BI22">
        <v>0</v>
      </c>
      <c r="BJ22">
        <v>0</v>
      </c>
      <c r="BK22">
        <v>0.7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</row>
    <row r="23" spans="2:72" ht="15.75" thickTop="1" x14ac:dyDescent="0.25">
      <c r="B23" s="75" t="s">
        <v>7</v>
      </c>
      <c r="C23" s="14" t="s">
        <v>12</v>
      </c>
      <c r="D23" s="14" t="s">
        <v>17</v>
      </c>
      <c r="E23" s="14"/>
      <c r="F23" s="76">
        <f t="shared" ref="F23:H23" si="24">BG44</f>
        <v>3000</v>
      </c>
      <c r="G23" s="81">
        <f t="shared" si="24"/>
        <v>1165</v>
      </c>
      <c r="H23" s="81">
        <f t="shared" si="24"/>
        <v>0</v>
      </c>
      <c r="I23" s="91">
        <f>F23/SUMIFS($F$34:$F$44,$B$34:$B$44,$C23)</f>
        <v>1</v>
      </c>
      <c r="J23" s="91">
        <f>IFERROR(IF($C23=$D23,"-",G23/SUMIFS($F$34:$F$44,$B$34:$B$44,$D23)),"-")</f>
        <v>0.74440894568690097</v>
      </c>
      <c r="K23" s="91" t="str">
        <f>IFERROR(H23/SUMIFS($I$34:$I$44,$B$34:$B$44,$E23),"-")</f>
        <v>-</v>
      </c>
      <c r="L23" s="91">
        <f>$I23*SUMIFS($J$34:$J$44,$B$34:$B$44,$C23)</f>
        <v>1.05</v>
      </c>
      <c r="M23" s="91">
        <f>IFERROR(IF($C23=$D23,"-",$J23*SUMIFS($J$34:$J$44,$B$34:$B$44,$D23)),"-")</f>
        <v>1.1061916932907347</v>
      </c>
      <c r="N23" s="91">
        <f t="shared" si="15"/>
        <v>2.1561916932907348</v>
      </c>
      <c r="O23" s="91">
        <f>$I23*SUMIFS($K$34:$K$44,$B$34:$B$44,$C23)</f>
        <v>0</v>
      </c>
      <c r="P23" s="91">
        <f>IFERROR(IF($C23=$D23,"-",$J23*SUMIFS($K$34:$K$44,$B$34:$B$44,$D23)),"-")</f>
        <v>0</v>
      </c>
      <c r="Q23" s="91">
        <f t="shared" si="16"/>
        <v>0</v>
      </c>
      <c r="R23" s="91">
        <f>$I23*SUMIFS($L$34:$L$44,$B$34:$B$44,$C23)</f>
        <v>0</v>
      </c>
      <c r="S23" s="91">
        <f>IFERROR(IF($C23=$D23,"-",$J23*SUMIFS($L$34:$L$44,$B$34:$B$44,$D23)),"-")</f>
        <v>0</v>
      </c>
      <c r="T23" s="91">
        <f t="shared" si="17"/>
        <v>0</v>
      </c>
      <c r="U23" s="92" t="str">
        <f>IFERROR(K23*SUMIFS($M$34:$M$44,$B$34:$B$44,$E23),"-")</f>
        <v>-</v>
      </c>
      <c r="V23" s="91">
        <f t="shared" si="18"/>
        <v>1.05</v>
      </c>
      <c r="W23" s="91">
        <f>IFERROR(M23+P23+S23,"-")</f>
        <v>1.1061916932907347</v>
      </c>
      <c r="X23" s="91">
        <f t="shared" si="13"/>
        <v>2.1561916932907348</v>
      </c>
      <c r="Y23" s="2"/>
      <c r="Z23" s="2"/>
      <c r="AA23" s="2"/>
      <c r="AB23" s="2"/>
      <c r="BA23" t="s">
        <v>14</v>
      </c>
      <c r="BB23" t="s">
        <v>71</v>
      </c>
      <c r="BC23">
        <v>2000</v>
      </c>
      <c r="BD23">
        <v>0</v>
      </c>
      <c r="BE23">
        <v>0</v>
      </c>
      <c r="BF23">
        <v>0</v>
      </c>
      <c r="BG23">
        <v>0.7</v>
      </c>
      <c r="BH23">
        <v>0</v>
      </c>
      <c r="BI23">
        <v>0</v>
      </c>
      <c r="BJ23">
        <v>0</v>
      </c>
      <c r="BK23">
        <v>0.7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2:72" x14ac:dyDescent="0.25">
      <c r="B24" s="17" t="s">
        <v>8</v>
      </c>
      <c r="C24" s="14" t="s">
        <v>13</v>
      </c>
      <c r="D24" s="14" t="s">
        <v>13</v>
      </c>
      <c r="E24" s="14" t="s">
        <v>18</v>
      </c>
      <c r="F24" s="77">
        <f t="shared" ref="F24:H24" si="25">BG45</f>
        <v>2000</v>
      </c>
      <c r="G24" s="82">
        <f t="shared" si="25"/>
        <v>2000</v>
      </c>
      <c r="H24" s="82">
        <f t="shared" si="25"/>
        <v>245</v>
      </c>
      <c r="I24" s="91">
        <f>F24/SUMIFS($F$34:$F$44,$B$34:$B$44,$C24)</f>
        <v>1</v>
      </c>
      <c r="J24" s="91" t="str">
        <f>IFERROR(IF($C24=$D24,"-",G24/SUMIFS($F$34:$F$44,$B$34:$B$44,$D24)),"-")</f>
        <v>-</v>
      </c>
      <c r="K24" s="91">
        <f>IFERROR(H24/SUMIFS($I$34:$I$44,$B$34:$B$44,$E24),"-")</f>
        <v>0.61250000000000004</v>
      </c>
      <c r="L24" s="91">
        <f>$I24*SUMIFS($J$34:$J$44,$B$34:$B$44,$C24)</f>
        <v>0.7</v>
      </c>
      <c r="M24" s="91" t="str">
        <f>IFERROR(IF($C24=$D24,"-",$J24*SUMIFS($J$34:$J$44,$B$34:$B$44,$D24)),"-")</f>
        <v>-</v>
      </c>
      <c r="N24" s="91">
        <f t="shared" si="15"/>
        <v>0.7</v>
      </c>
      <c r="O24" s="91">
        <f>$I24*SUMIFS($K$34:$K$44,$B$34:$B$44,$C24)</f>
        <v>0</v>
      </c>
      <c r="P24" s="91" t="str">
        <f>IFERROR(IF($C24=$D24,"-",$J24*SUMIFS($K$34:$K$44,$B$34:$B$44,$D24)),"-")</f>
        <v>-</v>
      </c>
      <c r="Q24" s="91">
        <f t="shared" si="16"/>
        <v>0</v>
      </c>
      <c r="R24" s="91">
        <f>$I24*SUMIFS($L$34:$L$44,$B$34:$B$44,$C24)</f>
        <v>0</v>
      </c>
      <c r="S24" s="91" t="str">
        <f>IFERROR(IF($C24=$D24,"-",$J24*SUMIFS($L$34:$L$44,$B$34:$B$44,$D24)),"-")</f>
        <v>-</v>
      </c>
      <c r="T24" s="91">
        <f t="shared" si="17"/>
        <v>0</v>
      </c>
      <c r="U24" s="91">
        <f>IFERROR(K24*SUMIFS($M$34:$M$44,$B$34:$B$44,$E24),"-")</f>
        <v>0.22417500000000001</v>
      </c>
      <c r="V24" s="91">
        <f t="shared" si="18"/>
        <v>0.7</v>
      </c>
      <c r="W24" s="92" t="str">
        <f t="shared" si="19"/>
        <v>-</v>
      </c>
      <c r="X24" s="91">
        <f t="shared" si="13"/>
        <v>0.92417499999999997</v>
      </c>
      <c r="Y24" s="2"/>
      <c r="Z24" s="2"/>
      <c r="AA24" s="2"/>
      <c r="AB24" s="2"/>
      <c r="BA24" t="s">
        <v>15</v>
      </c>
      <c r="BB24" t="s">
        <v>71</v>
      </c>
      <c r="BC24">
        <v>2000</v>
      </c>
      <c r="BD24">
        <v>0</v>
      </c>
      <c r="BE24">
        <v>0</v>
      </c>
      <c r="BF24">
        <v>0</v>
      </c>
      <c r="BG24">
        <v>0.7</v>
      </c>
      <c r="BH24">
        <v>0</v>
      </c>
      <c r="BI24">
        <v>0</v>
      </c>
      <c r="BJ24">
        <v>0</v>
      </c>
      <c r="BK24">
        <v>0.7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</row>
    <row r="25" spans="2:72" x14ac:dyDescent="0.25">
      <c r="B25" s="17" t="s">
        <v>9</v>
      </c>
      <c r="C25" s="14" t="s">
        <v>14</v>
      </c>
      <c r="D25" s="14" t="s">
        <v>14</v>
      </c>
      <c r="E25" s="14" t="s">
        <v>18</v>
      </c>
      <c r="F25" s="77">
        <f t="shared" ref="F25:H25" si="26">BG46</f>
        <v>2000</v>
      </c>
      <c r="G25" s="82">
        <f t="shared" si="26"/>
        <v>2000</v>
      </c>
      <c r="H25" s="82">
        <f t="shared" si="26"/>
        <v>155</v>
      </c>
      <c r="I25" s="91">
        <f>F25/SUMIFS($F$34:$F$44,$B$34:$B$44,$C25)</f>
        <v>1</v>
      </c>
      <c r="J25" s="91" t="str">
        <f>IFERROR(IF($C25=$D25,"-",G25/SUMIFS($F$34:$F$44,$B$34:$B$44,$D25)),"-")</f>
        <v>-</v>
      </c>
      <c r="K25" s="91">
        <f>IFERROR(H25/SUMIFS($I$34:$I$44,$B$34:$B$44,$E25),"-")</f>
        <v>0.38750000000000001</v>
      </c>
      <c r="L25" s="91">
        <f>$I25*SUMIFS($J$34:$J$44,$B$34:$B$44,$C25)</f>
        <v>0.7</v>
      </c>
      <c r="M25" s="91" t="str">
        <f>IFERROR(IF($C25=$D25,"-",$J25*SUMIFS($J$34:$J$44,$B$34:$B$44,$D25)),"-")</f>
        <v>-</v>
      </c>
      <c r="N25" s="91">
        <f t="shared" si="15"/>
        <v>0.7</v>
      </c>
      <c r="O25" s="91">
        <f>$I25*SUMIFS($K$34:$K$44,$B$34:$B$44,$C25)</f>
        <v>0</v>
      </c>
      <c r="P25" s="91" t="str">
        <f>IFERROR(IF($C25=$D25,"-",$J25*SUMIFS($K$34:$K$44,$B$34:$B$44,$D25)),"-")</f>
        <v>-</v>
      </c>
      <c r="Q25" s="91">
        <f t="shared" si="16"/>
        <v>0</v>
      </c>
      <c r="R25" s="91">
        <f>$I25*SUMIFS($L$34:$L$44,$B$34:$B$44,$C25)</f>
        <v>0</v>
      </c>
      <c r="S25" s="91" t="str">
        <f>IFERROR(IF($C25=$D25,"-",$J25*SUMIFS($L$34:$L$44,$B$34:$B$44,$D25)),"-")</f>
        <v>-</v>
      </c>
      <c r="T25" s="91">
        <f t="shared" si="17"/>
        <v>0</v>
      </c>
      <c r="U25" s="91">
        <f>IFERROR(K25*SUMIFS($M$34:$M$44,$B$34:$B$44,$E25),"-")</f>
        <v>0.14182500000000001</v>
      </c>
      <c r="V25" s="91">
        <f t="shared" si="18"/>
        <v>0.7</v>
      </c>
      <c r="W25" s="92" t="str">
        <f t="shared" si="19"/>
        <v>-</v>
      </c>
      <c r="X25" s="91">
        <f t="shared" si="13"/>
        <v>0.84182499999999993</v>
      </c>
      <c r="Y25" s="2"/>
      <c r="Z25" s="2"/>
      <c r="AA25" s="2"/>
      <c r="AB25" s="2"/>
      <c r="BA25" t="s">
        <v>16</v>
      </c>
      <c r="BB25" t="s">
        <v>71</v>
      </c>
      <c r="BC25">
        <v>2000</v>
      </c>
      <c r="BD25">
        <v>0</v>
      </c>
      <c r="BE25">
        <v>0</v>
      </c>
      <c r="BF25">
        <v>0</v>
      </c>
      <c r="BG25">
        <v>0.7</v>
      </c>
      <c r="BH25">
        <v>0</v>
      </c>
      <c r="BI25">
        <v>0</v>
      </c>
      <c r="BJ25">
        <v>0</v>
      </c>
      <c r="BK25">
        <v>0.7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</row>
    <row r="26" spans="2:72" x14ac:dyDescent="0.25">
      <c r="B26" s="17" t="s">
        <v>10</v>
      </c>
      <c r="C26" s="14" t="s">
        <v>15</v>
      </c>
      <c r="D26" s="14" t="s">
        <v>17</v>
      </c>
      <c r="E26" s="14"/>
      <c r="F26" s="77">
        <f t="shared" ref="F26:H26" si="27">BG47</f>
        <v>2000</v>
      </c>
      <c r="G26" s="82">
        <f t="shared" si="27"/>
        <v>245</v>
      </c>
      <c r="H26" s="82">
        <f t="shared" si="27"/>
        <v>0</v>
      </c>
      <c r="I26" s="91">
        <f>F26/SUMIFS($F$34:$F$44,$B$34:$B$44,$C26)</f>
        <v>1</v>
      </c>
      <c r="J26" s="91">
        <f>IFERROR(IF($C26=$D26,"-",G26/SUMIFS($F$34:$F$44,$B$34:$B$44,$D26)),"-")</f>
        <v>0.15654952076677317</v>
      </c>
      <c r="K26" s="91" t="str">
        <f>IFERROR(H26/SUMIFS($I$34:$I$44,$B$34:$B$44,$E26),"-")</f>
        <v>-</v>
      </c>
      <c r="L26" s="91">
        <f>$I26*SUMIFS($J$34:$J$44,$B$34:$B$44,$C26)</f>
        <v>0.7</v>
      </c>
      <c r="M26" s="91">
        <f>IFERROR(IF($C26=$D26,"-",$J26*SUMIFS($J$34:$J$44,$B$34:$B$44,$D26)),"-")</f>
        <v>0.23263258785942492</v>
      </c>
      <c r="N26" s="91">
        <f t="shared" si="15"/>
        <v>0.93263258785942482</v>
      </c>
      <c r="O26" s="91">
        <f>$I26*SUMIFS($K$34:$K$44,$B$34:$B$44,$C26)</f>
        <v>0</v>
      </c>
      <c r="P26" s="91">
        <f>IFERROR(IF($C26=$D26,"-",$J26*SUMIFS($K$34:$K$44,$B$34:$B$44,$D26)),"-")</f>
        <v>0</v>
      </c>
      <c r="Q26" s="91">
        <f t="shared" si="16"/>
        <v>0</v>
      </c>
      <c r="R26" s="91">
        <f>$I26*SUMIFS($L$34:$L$44,$B$34:$B$44,$C26)</f>
        <v>0</v>
      </c>
      <c r="S26" s="91">
        <f>IFERROR(IF($C26=$D26,"-",$J26*SUMIFS($L$34:$L$44,$B$34:$B$44,$D26)),"-")</f>
        <v>0</v>
      </c>
      <c r="T26" s="91">
        <f t="shared" si="17"/>
        <v>0</v>
      </c>
      <c r="U26" s="92" t="str">
        <f>IFERROR(K26*SUMIFS($M$34:$M$44,$B$34:$B$44,$E26),"-")</f>
        <v>-</v>
      </c>
      <c r="V26" s="91">
        <f t="shared" si="18"/>
        <v>0.7</v>
      </c>
      <c r="W26" s="92">
        <f t="shared" si="19"/>
        <v>0.23263258785942492</v>
      </c>
      <c r="X26" s="91">
        <f t="shared" si="13"/>
        <v>0.93263258785942482</v>
      </c>
      <c r="Y26" s="2"/>
      <c r="Z26" s="2"/>
      <c r="AA26" s="2"/>
      <c r="AB26" s="2"/>
      <c r="AC26" s="2"/>
      <c r="BA26" t="s">
        <v>12</v>
      </c>
      <c r="BB26" t="s">
        <v>71</v>
      </c>
      <c r="BC26">
        <v>3000</v>
      </c>
      <c r="BD26">
        <v>0</v>
      </c>
      <c r="BE26">
        <v>0</v>
      </c>
      <c r="BF26">
        <v>0</v>
      </c>
      <c r="BG26">
        <v>1.05</v>
      </c>
      <c r="BH26">
        <v>0</v>
      </c>
      <c r="BI26">
        <v>0</v>
      </c>
      <c r="BJ26">
        <v>0</v>
      </c>
      <c r="BK26">
        <v>1.05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2:72" x14ac:dyDescent="0.25">
      <c r="B27" s="17" t="s">
        <v>11</v>
      </c>
      <c r="C27" s="14" t="s">
        <v>16</v>
      </c>
      <c r="D27" s="14" t="s">
        <v>17</v>
      </c>
      <c r="E27" s="14"/>
      <c r="F27" s="77">
        <f t="shared" ref="F27:H27" si="28">BG48</f>
        <v>2000</v>
      </c>
      <c r="G27" s="82">
        <f t="shared" si="28"/>
        <v>155</v>
      </c>
      <c r="H27" s="82">
        <f t="shared" si="28"/>
        <v>0</v>
      </c>
      <c r="I27" s="91">
        <f>F27/SUMIFS($F$34:$F$44,$B$34:$B$44,$C27)</f>
        <v>1</v>
      </c>
      <c r="J27" s="91">
        <f>IFERROR(IF($C27=$D27,"-",G27/SUMIFS($F$34:$F$44,$B$34:$B$44,$D27)),"-")</f>
        <v>9.9041533546325874E-2</v>
      </c>
      <c r="K27" s="91" t="str">
        <f>IFERROR(H27/SUMIFS($I$34:$I$44,$B$34:$B$44,$E27),"-")</f>
        <v>-</v>
      </c>
      <c r="L27" s="91">
        <f>$I27*SUMIFS($J$34:$J$44,$B$34:$B$44,$C27)</f>
        <v>0.7</v>
      </c>
      <c r="M27" s="91">
        <f>IFERROR(IF($C27=$D27,"-",$J27*SUMIFS($J$34:$J$44,$B$34:$B$44,$D27)),"-")</f>
        <v>0.14717571884984024</v>
      </c>
      <c r="N27" s="91">
        <f t="shared" si="15"/>
        <v>0.84717571884984022</v>
      </c>
      <c r="O27" s="91">
        <f>$I27*SUMIFS($K$34:$K$44,$B$34:$B$44,$C27)</f>
        <v>0</v>
      </c>
      <c r="P27" s="91">
        <f>IFERROR(IF($C27=$D27,"-",$J27*SUMIFS($K$34:$K$44,$B$34:$B$44,$D27)),"-")</f>
        <v>0</v>
      </c>
      <c r="Q27" s="91">
        <f t="shared" si="16"/>
        <v>0</v>
      </c>
      <c r="R27" s="91">
        <f>$I27*SUMIFS($L$34:$L$44,$B$34:$B$44,$C27)</f>
        <v>0</v>
      </c>
      <c r="S27" s="91">
        <f>IFERROR(IF($C27=$D27,"-",$J27*SUMIFS($L$34:$L$44,$B$34:$B$44,$D27)),"-")</f>
        <v>0</v>
      </c>
      <c r="T27" s="91">
        <f t="shared" si="17"/>
        <v>0</v>
      </c>
      <c r="U27" s="92" t="str">
        <f>IFERROR(K27*SUMIFS($M$34:$M$44,$B$34:$B$44,$E27),"-")</f>
        <v>-</v>
      </c>
      <c r="V27" s="91">
        <f t="shared" si="18"/>
        <v>0.7</v>
      </c>
      <c r="W27" s="92">
        <f t="shared" si="19"/>
        <v>0.14717571884984024</v>
      </c>
      <c r="X27" s="91">
        <f t="shared" si="13"/>
        <v>0.84717571884984022</v>
      </c>
      <c r="Y27" s="2"/>
      <c r="Z27" s="2"/>
      <c r="AA27" s="2"/>
      <c r="AB27" s="2"/>
      <c r="AC27" s="2"/>
    </row>
    <row r="28" spans="2:72" x14ac:dyDescent="0.25">
      <c r="B28" s="18" t="s">
        <v>79</v>
      </c>
      <c r="C28" s="22" t="s">
        <v>80</v>
      </c>
      <c r="D28" s="22" t="s">
        <v>80</v>
      </c>
      <c r="E28" s="22"/>
      <c r="F28" s="78">
        <f t="shared" ref="F28:H28" si="29">BG49</f>
        <v>0</v>
      </c>
      <c r="G28" s="83">
        <f t="shared" si="29"/>
        <v>0</v>
      </c>
      <c r="H28" s="83">
        <f t="shared" si="29"/>
        <v>0</v>
      </c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7"/>
      <c r="V28" s="156"/>
      <c r="W28" s="157"/>
      <c r="X28" s="156"/>
      <c r="Y28" s="2"/>
      <c r="Z28" s="2"/>
      <c r="AA28" s="2"/>
      <c r="AB28" s="2"/>
      <c r="AC28" s="2"/>
      <c r="BA28" t="s">
        <v>43</v>
      </c>
    </row>
    <row r="29" spans="2:72" x14ac:dyDescent="0.25">
      <c r="G29" s="84"/>
      <c r="H29" s="84"/>
      <c r="BG29" t="s">
        <v>120</v>
      </c>
      <c r="BJ29" t="s">
        <v>145</v>
      </c>
      <c r="BM29" t="s">
        <v>146</v>
      </c>
      <c r="BR29" t="s">
        <v>123</v>
      </c>
    </row>
    <row r="30" spans="2:72" x14ac:dyDescent="0.25">
      <c r="G30" s="84"/>
      <c r="H30" s="84"/>
      <c r="BA30" t="s">
        <v>142</v>
      </c>
      <c r="BB30" t="s">
        <v>147</v>
      </c>
      <c r="BC30" t="s">
        <v>148</v>
      </c>
      <c r="BD30" t="s">
        <v>149</v>
      </c>
      <c r="BE30" t="s">
        <v>150</v>
      </c>
      <c r="BF30" t="s">
        <v>151</v>
      </c>
      <c r="BG30" t="s">
        <v>152</v>
      </c>
      <c r="BH30" t="s">
        <v>153</v>
      </c>
      <c r="BI30" t="s">
        <v>154</v>
      </c>
      <c r="BJ30" t="s">
        <v>155</v>
      </c>
      <c r="BK30" t="s">
        <v>156</v>
      </c>
      <c r="BL30" t="s">
        <v>157</v>
      </c>
      <c r="BM30" t="s">
        <v>158</v>
      </c>
      <c r="BN30" t="s">
        <v>159</v>
      </c>
      <c r="BO30" t="s">
        <v>160</v>
      </c>
      <c r="BP30" t="s">
        <v>161</v>
      </c>
      <c r="BQ30" t="s">
        <v>162</v>
      </c>
      <c r="BR30" t="s">
        <v>163</v>
      </c>
      <c r="BS30" t="s">
        <v>164</v>
      </c>
      <c r="BT30" t="s">
        <v>165</v>
      </c>
    </row>
    <row r="31" spans="2:72" x14ac:dyDescent="0.25">
      <c r="B31" s="15"/>
      <c r="C31" s="16"/>
      <c r="D31" s="16"/>
      <c r="E31" s="16"/>
      <c r="F31" s="15"/>
      <c r="G31" s="85"/>
      <c r="H31" s="16"/>
      <c r="I31" s="16"/>
      <c r="J31" s="85"/>
      <c r="K31" s="16"/>
      <c r="L31" s="16"/>
      <c r="M31" s="16"/>
      <c r="N31" s="10"/>
      <c r="O31" s="15"/>
      <c r="P31" s="16"/>
      <c r="Q31" s="16"/>
      <c r="R31" s="16"/>
      <c r="S31" s="10"/>
      <c r="BE31" t="s">
        <v>166</v>
      </c>
      <c r="BG31" t="s">
        <v>0</v>
      </c>
      <c r="BH31" t="s">
        <v>0</v>
      </c>
      <c r="BI31" t="s">
        <v>0</v>
      </c>
      <c r="BJ31" t="s">
        <v>38</v>
      </c>
      <c r="BK31" t="s">
        <v>38</v>
      </c>
      <c r="BL31" t="s">
        <v>38</v>
      </c>
      <c r="BM31" t="s">
        <v>39</v>
      </c>
      <c r="BN31" t="s">
        <v>39</v>
      </c>
      <c r="BO31" t="s">
        <v>39</v>
      </c>
      <c r="BP31" t="s">
        <v>39</v>
      </c>
      <c r="BQ31" t="s">
        <v>39</v>
      </c>
      <c r="BR31" t="s">
        <v>39</v>
      </c>
      <c r="BS31" t="s">
        <v>39</v>
      </c>
      <c r="BT31" t="s">
        <v>39</v>
      </c>
    </row>
    <row r="32" spans="2:72" ht="30" x14ac:dyDescent="0.25">
      <c r="B32" s="1" t="s">
        <v>2</v>
      </c>
      <c r="C32" s="2"/>
      <c r="D32" s="2"/>
      <c r="E32" s="2"/>
      <c r="F32" s="1" t="s">
        <v>26</v>
      </c>
      <c r="G32" s="86" t="s">
        <v>27</v>
      </c>
      <c r="H32" s="2" t="s">
        <v>28</v>
      </c>
      <c r="I32" s="2" t="s">
        <v>3</v>
      </c>
      <c r="J32" s="86" t="s">
        <v>34</v>
      </c>
      <c r="K32" s="2" t="s">
        <v>35</v>
      </c>
      <c r="L32" s="2" t="s">
        <v>36</v>
      </c>
      <c r="M32" s="2" t="s">
        <v>37</v>
      </c>
      <c r="N32" s="43" t="s">
        <v>64</v>
      </c>
      <c r="O32" s="43" t="s">
        <v>64</v>
      </c>
      <c r="P32" s="2" t="s">
        <v>50</v>
      </c>
      <c r="Q32" s="2" t="s">
        <v>47</v>
      </c>
      <c r="R32" s="2" t="s">
        <v>48</v>
      </c>
      <c r="S32" s="3" t="s">
        <v>49</v>
      </c>
      <c r="BA32" t="s">
        <v>72</v>
      </c>
      <c r="BB32" t="s">
        <v>66</v>
      </c>
      <c r="BC32" t="s">
        <v>66</v>
      </c>
      <c r="BD32" t="s">
        <v>80</v>
      </c>
      <c r="BE32">
        <v>10586.7</v>
      </c>
      <c r="BF32">
        <v>1</v>
      </c>
      <c r="BG32">
        <v>10586.7</v>
      </c>
      <c r="BH32">
        <v>10586.7</v>
      </c>
      <c r="BI32">
        <v>0</v>
      </c>
      <c r="BJ32">
        <v>0.59199999999999997</v>
      </c>
      <c r="BK32">
        <v>0</v>
      </c>
      <c r="BL32">
        <v>0</v>
      </c>
      <c r="BM32">
        <v>9.3510000000000009</v>
      </c>
      <c r="BN32">
        <v>0</v>
      </c>
      <c r="BO32">
        <v>2.577</v>
      </c>
      <c r="BP32">
        <v>0</v>
      </c>
      <c r="BQ32">
        <v>11.928000000000001</v>
      </c>
      <c r="BR32">
        <v>0</v>
      </c>
      <c r="BS32">
        <v>4.2990000000000004</v>
      </c>
      <c r="BT32">
        <v>4.2990000000000004</v>
      </c>
    </row>
    <row r="33" spans="1:72" ht="15.75" thickBot="1" x14ac:dyDescent="0.3">
      <c r="B33" s="11"/>
      <c r="C33" s="12"/>
      <c r="D33" s="12"/>
      <c r="E33" s="12"/>
      <c r="F33" s="11" t="s">
        <v>0</v>
      </c>
      <c r="G33" s="87" t="s">
        <v>0</v>
      </c>
      <c r="H33" s="12" t="s">
        <v>0</v>
      </c>
      <c r="I33" s="12" t="s">
        <v>0</v>
      </c>
      <c r="J33" s="87" t="s">
        <v>39</v>
      </c>
      <c r="K33" s="12" t="s">
        <v>39</v>
      </c>
      <c r="L33" s="12" t="s">
        <v>39</v>
      </c>
      <c r="M33" s="12" t="s">
        <v>39</v>
      </c>
      <c r="N33" s="13" t="s">
        <v>39</v>
      </c>
      <c r="O33" s="26" t="s">
        <v>39</v>
      </c>
      <c r="P33" s="12" t="s">
        <v>38</v>
      </c>
      <c r="Q33" s="12" t="s">
        <v>38</v>
      </c>
      <c r="R33" s="12" t="s">
        <v>38</v>
      </c>
      <c r="S33" s="13" t="s">
        <v>38</v>
      </c>
      <c r="T33" s="74"/>
      <c r="BA33" t="s">
        <v>73</v>
      </c>
      <c r="BB33" t="s">
        <v>66</v>
      </c>
      <c r="BC33" t="s">
        <v>66</v>
      </c>
      <c r="BD33" t="s">
        <v>80</v>
      </c>
      <c r="BE33">
        <v>2231.8000000000002</v>
      </c>
      <c r="BF33">
        <v>1</v>
      </c>
      <c r="BG33">
        <v>2231.8000000000002</v>
      </c>
      <c r="BH33">
        <v>2231.8000000000002</v>
      </c>
      <c r="BI33">
        <v>0</v>
      </c>
      <c r="BJ33">
        <v>0.125</v>
      </c>
      <c r="BK33">
        <v>0</v>
      </c>
      <c r="BL33">
        <v>0</v>
      </c>
      <c r="BM33">
        <v>1.9710000000000001</v>
      </c>
      <c r="BN33">
        <v>0</v>
      </c>
      <c r="BO33">
        <v>0.54300000000000004</v>
      </c>
      <c r="BP33">
        <v>0</v>
      </c>
      <c r="BQ33">
        <v>2.5150000000000001</v>
      </c>
      <c r="BR33">
        <v>0</v>
      </c>
      <c r="BS33">
        <v>0.90600000000000003</v>
      </c>
      <c r="BT33">
        <v>0.90600000000000003</v>
      </c>
    </row>
    <row r="34" spans="1:72" ht="15.75" thickTop="1" x14ac:dyDescent="0.25">
      <c r="B34" s="1" t="s">
        <v>66</v>
      </c>
      <c r="C34" s="2" t="s">
        <v>67</v>
      </c>
      <c r="D34" s="2"/>
      <c r="E34" s="2"/>
      <c r="F34" s="79">
        <f>BC11</f>
        <v>17875.900000000001</v>
      </c>
      <c r="G34" s="82">
        <f t="shared" ref="G34:M34" si="30">BD11</f>
        <v>0</v>
      </c>
      <c r="H34" s="82">
        <f t="shared" si="30"/>
        <v>16982.099999999999</v>
      </c>
      <c r="I34" s="82">
        <f t="shared" si="30"/>
        <v>0</v>
      </c>
      <c r="J34" s="88">
        <f t="shared" si="30"/>
        <v>15.789</v>
      </c>
      <c r="K34" s="88">
        <f t="shared" si="30"/>
        <v>0</v>
      </c>
      <c r="L34" s="88">
        <f t="shared" si="30"/>
        <v>4.3520000000000003</v>
      </c>
      <c r="M34" s="88">
        <f t="shared" si="30"/>
        <v>0</v>
      </c>
      <c r="N34" s="46">
        <f t="shared" ref="N34:N44" si="31">SUM(J34,K34,L34,M34)</f>
        <v>20.140999999999998</v>
      </c>
      <c r="O34" s="7">
        <f t="shared" ref="O34:O44" si="32">SUMIFS($V$11:$V$27,$C$11:$C$27,$B34)+SUMIFS($W$11:$W$27,$D$11:$D$27,$B34)+SUMIFS($U$11:$U$27,$E$11:$E$27,$B34)</f>
        <v>20.14111267125012</v>
      </c>
      <c r="P34" s="8">
        <f t="shared" ref="P34:P44" si="33">(SUMIFS($L$11:$L$27,$C$11:$C$27,$B34)+SUMIFS($M$11:$M$27,$D$11:$D$27,$B34))/$O34</f>
        <v>0.7839233404498287</v>
      </c>
      <c r="Q34" s="35">
        <f t="shared" ref="Q34:Q44" si="34">(SUMIFS($O$11:$O$27,$C$11:$C$27,$B34)+SUMIFS($P$11:$P$27,$D$11:$D$27,$B34))/$O34</f>
        <v>0</v>
      </c>
      <c r="R34" s="35">
        <f t="shared" ref="R34:R44" si="35">(SUMIFS($R$11:$R$27,$C$11:$C$27,$B34)+SUMIFS($S$11:$S$27,$D$11:$D$27,$B34))/$O34</f>
        <v>0.2160766595501713</v>
      </c>
      <c r="S34" s="37">
        <f t="shared" ref="S34:S44" si="36">SUMIFS($U$11:$U$27,$E$11:$E$27,$B34)/$O34</f>
        <v>0</v>
      </c>
      <c r="T34" s="74"/>
      <c r="BA34" t="s">
        <v>74</v>
      </c>
      <c r="BB34" t="s">
        <v>66</v>
      </c>
      <c r="BC34" t="s">
        <v>66</v>
      </c>
      <c r="BD34" t="s">
        <v>80</v>
      </c>
      <c r="BE34">
        <v>1412.9</v>
      </c>
      <c r="BF34">
        <v>1</v>
      </c>
      <c r="BG34">
        <v>1412.9</v>
      </c>
      <c r="BH34">
        <v>1412.9</v>
      </c>
      <c r="BI34">
        <v>0</v>
      </c>
      <c r="BJ34">
        <v>7.9000000000000001E-2</v>
      </c>
      <c r="BK34">
        <v>0</v>
      </c>
      <c r="BL34">
        <v>0</v>
      </c>
      <c r="BM34">
        <v>1.248</v>
      </c>
      <c r="BN34">
        <v>0</v>
      </c>
      <c r="BO34">
        <v>0.34399999999999997</v>
      </c>
      <c r="BP34">
        <v>0</v>
      </c>
      <c r="BQ34">
        <v>1.5920000000000001</v>
      </c>
      <c r="BR34">
        <v>0</v>
      </c>
      <c r="BS34">
        <v>0.57399999999999995</v>
      </c>
      <c r="BT34">
        <v>0.57399999999999995</v>
      </c>
    </row>
    <row r="35" spans="1:72" x14ac:dyDescent="0.25">
      <c r="B35" s="1" t="s">
        <v>24</v>
      </c>
      <c r="C35" s="2" t="s">
        <v>67</v>
      </c>
      <c r="D35" s="2"/>
      <c r="E35" s="2"/>
      <c r="F35" s="79">
        <f t="shared" ref="F35:M35" si="37">BC12</f>
        <v>3644.6</v>
      </c>
      <c r="G35" s="82">
        <f t="shared" si="37"/>
        <v>2962.3</v>
      </c>
      <c r="H35" s="82">
        <f t="shared" si="37"/>
        <v>0</v>
      </c>
      <c r="I35" s="82">
        <f t="shared" si="37"/>
        <v>0</v>
      </c>
      <c r="J35" s="88">
        <f t="shared" si="37"/>
        <v>3.3450000000000002</v>
      </c>
      <c r="K35" s="88">
        <f t="shared" si="37"/>
        <v>1.006</v>
      </c>
      <c r="L35" s="88">
        <f t="shared" si="37"/>
        <v>0</v>
      </c>
      <c r="M35" s="88">
        <f t="shared" si="37"/>
        <v>0</v>
      </c>
      <c r="N35" s="46">
        <f t="shared" si="31"/>
        <v>4.351</v>
      </c>
      <c r="O35" s="7">
        <f t="shared" si="32"/>
        <v>4.351</v>
      </c>
      <c r="P35" s="8">
        <f t="shared" si="33"/>
        <v>0.76878878418754326</v>
      </c>
      <c r="Q35" s="35">
        <f t="shared" si="34"/>
        <v>0.23121121581245691</v>
      </c>
      <c r="R35" s="35">
        <f t="shared" si="35"/>
        <v>0</v>
      </c>
      <c r="S35" s="37">
        <f t="shared" si="36"/>
        <v>0</v>
      </c>
      <c r="BA35" t="s">
        <v>75</v>
      </c>
      <c r="BB35" t="s">
        <v>66</v>
      </c>
      <c r="BC35" t="s">
        <v>66</v>
      </c>
      <c r="BD35" t="s">
        <v>80</v>
      </c>
      <c r="BE35">
        <v>2231.8000000000002</v>
      </c>
      <c r="BF35">
        <v>1</v>
      </c>
      <c r="BG35">
        <v>2231.8000000000002</v>
      </c>
      <c r="BH35">
        <v>2231.8000000000002</v>
      </c>
      <c r="BI35">
        <v>0</v>
      </c>
      <c r="BJ35">
        <v>0.125</v>
      </c>
      <c r="BK35">
        <v>0</v>
      </c>
      <c r="BL35">
        <v>0</v>
      </c>
      <c r="BM35">
        <v>1.9710000000000001</v>
      </c>
      <c r="BN35">
        <v>0</v>
      </c>
      <c r="BO35">
        <v>0.54300000000000004</v>
      </c>
      <c r="BP35">
        <v>0</v>
      </c>
      <c r="BQ35">
        <v>2.5150000000000001</v>
      </c>
      <c r="BR35">
        <v>0</v>
      </c>
      <c r="BS35">
        <v>0.90600000000000003</v>
      </c>
      <c r="BT35">
        <v>0.90600000000000003</v>
      </c>
    </row>
    <row r="36" spans="1:72" x14ac:dyDescent="0.25">
      <c r="B36" s="1" t="s">
        <v>68</v>
      </c>
      <c r="C36" s="2" t="s">
        <v>67</v>
      </c>
      <c r="D36" s="2"/>
      <c r="E36" s="2"/>
      <c r="F36" s="79">
        <f t="shared" ref="F36:M36" si="38">BC13</f>
        <v>14231.4</v>
      </c>
      <c r="G36" s="82">
        <f t="shared" si="38"/>
        <v>0</v>
      </c>
      <c r="H36" s="82">
        <f t="shared" si="38"/>
        <v>13119.8</v>
      </c>
      <c r="I36" s="82">
        <f t="shared" si="38"/>
        <v>0</v>
      </c>
      <c r="J36" s="88">
        <f t="shared" si="38"/>
        <v>12.57</v>
      </c>
      <c r="K36" s="88">
        <f t="shared" si="38"/>
        <v>0</v>
      </c>
      <c r="L36" s="88">
        <f t="shared" si="38"/>
        <v>3.4449999999999998</v>
      </c>
      <c r="M36" s="88">
        <f t="shared" si="38"/>
        <v>0</v>
      </c>
      <c r="N36" s="46">
        <f t="shared" si="31"/>
        <v>16.015000000000001</v>
      </c>
      <c r="O36" s="7">
        <f t="shared" si="32"/>
        <v>16.015000000000001</v>
      </c>
      <c r="P36" s="8">
        <f t="shared" si="33"/>
        <v>0.78488916640649398</v>
      </c>
      <c r="Q36" s="35">
        <f t="shared" si="34"/>
        <v>0</v>
      </c>
      <c r="R36" s="35">
        <f t="shared" si="35"/>
        <v>0.21511083359350608</v>
      </c>
      <c r="S36" s="37">
        <f t="shared" si="36"/>
        <v>0</v>
      </c>
      <c r="BA36" t="s">
        <v>76</v>
      </c>
      <c r="BB36" t="s">
        <v>66</v>
      </c>
      <c r="BC36" t="s">
        <v>66</v>
      </c>
      <c r="BD36" t="s">
        <v>80</v>
      </c>
      <c r="BE36">
        <v>1412.8</v>
      </c>
      <c r="BF36">
        <v>1</v>
      </c>
      <c r="BG36">
        <v>1412.8</v>
      </c>
      <c r="BH36">
        <v>1412.8</v>
      </c>
      <c r="BI36">
        <v>0</v>
      </c>
      <c r="BJ36">
        <v>7.9000000000000001E-2</v>
      </c>
      <c r="BK36">
        <v>0</v>
      </c>
      <c r="BL36">
        <v>0</v>
      </c>
      <c r="BM36">
        <v>1.248</v>
      </c>
      <c r="BN36">
        <v>0</v>
      </c>
      <c r="BO36">
        <v>0.34399999999999997</v>
      </c>
      <c r="BP36">
        <v>0</v>
      </c>
      <c r="BQ36">
        <v>1.5920000000000001</v>
      </c>
      <c r="BR36">
        <v>0</v>
      </c>
      <c r="BS36">
        <v>0.57399999999999995</v>
      </c>
      <c r="BT36">
        <v>0.57399999999999995</v>
      </c>
    </row>
    <row r="37" spans="1:72" x14ac:dyDescent="0.25">
      <c r="B37" s="1" t="s">
        <v>25</v>
      </c>
      <c r="C37" s="2" t="s">
        <v>69</v>
      </c>
      <c r="D37" s="2"/>
      <c r="E37" s="2"/>
      <c r="F37" s="79">
        <f t="shared" ref="F37:M37" si="39">BC14</f>
        <v>0</v>
      </c>
      <c r="G37" s="82">
        <f t="shared" si="39"/>
        <v>0</v>
      </c>
      <c r="H37" s="82">
        <f t="shared" si="39"/>
        <v>0</v>
      </c>
      <c r="I37" s="82">
        <f t="shared" si="39"/>
        <v>900</v>
      </c>
      <c r="J37" s="88">
        <f t="shared" si="39"/>
        <v>0</v>
      </c>
      <c r="K37" s="88">
        <f t="shared" si="39"/>
        <v>0</v>
      </c>
      <c r="L37" s="88">
        <f t="shared" si="39"/>
        <v>0</v>
      </c>
      <c r="M37" s="88">
        <f t="shared" si="39"/>
        <v>0.82499999999999996</v>
      </c>
      <c r="N37" s="46">
        <f t="shared" si="31"/>
        <v>0.82499999999999996</v>
      </c>
      <c r="O37" s="7">
        <f t="shared" si="32"/>
        <v>0.82499999999999996</v>
      </c>
      <c r="P37" s="8">
        <f t="shared" si="33"/>
        <v>0</v>
      </c>
      <c r="Q37" s="35">
        <f t="shared" si="34"/>
        <v>0</v>
      </c>
      <c r="R37" s="35">
        <f t="shared" si="35"/>
        <v>0</v>
      </c>
      <c r="S37" s="37">
        <f t="shared" si="36"/>
        <v>1</v>
      </c>
      <c r="BA37" t="s">
        <v>77</v>
      </c>
      <c r="BB37" t="s">
        <v>80</v>
      </c>
      <c r="BC37" t="s">
        <v>80</v>
      </c>
      <c r="BD37" t="s">
        <v>80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</row>
    <row r="38" spans="1:72" x14ac:dyDescent="0.25">
      <c r="B38" s="1" t="s">
        <v>17</v>
      </c>
      <c r="C38" s="2" t="s">
        <v>70</v>
      </c>
      <c r="D38" s="2"/>
      <c r="E38" s="2"/>
      <c r="F38" s="79">
        <f t="shared" ref="F38:M38" si="40">BC15</f>
        <v>1565</v>
      </c>
      <c r="G38" s="82">
        <f t="shared" si="40"/>
        <v>0</v>
      </c>
      <c r="H38" s="82">
        <f t="shared" si="40"/>
        <v>0</v>
      </c>
      <c r="I38" s="82">
        <f t="shared" si="40"/>
        <v>0</v>
      </c>
      <c r="J38" s="88">
        <f t="shared" si="40"/>
        <v>1.486</v>
      </c>
      <c r="K38" s="88">
        <f t="shared" si="40"/>
        <v>0</v>
      </c>
      <c r="L38" s="88">
        <f t="shared" si="40"/>
        <v>0</v>
      </c>
      <c r="M38" s="88">
        <f t="shared" si="40"/>
        <v>0</v>
      </c>
      <c r="N38" s="46">
        <f t="shared" si="31"/>
        <v>1.486</v>
      </c>
      <c r="O38" s="7">
        <f t="shared" si="32"/>
        <v>1.4859999999999998</v>
      </c>
      <c r="P38" s="8">
        <f t="shared" si="33"/>
        <v>1</v>
      </c>
      <c r="Q38" s="35">
        <f t="shared" si="34"/>
        <v>0</v>
      </c>
      <c r="R38" s="35">
        <f t="shared" si="35"/>
        <v>0</v>
      </c>
      <c r="S38" s="37">
        <f t="shared" si="36"/>
        <v>0</v>
      </c>
      <c r="BA38" t="s">
        <v>19</v>
      </c>
      <c r="BB38" t="s">
        <v>68</v>
      </c>
      <c r="BC38" t="s">
        <v>68</v>
      </c>
      <c r="BD38" t="s">
        <v>80</v>
      </c>
      <c r="BE38">
        <v>10586.7</v>
      </c>
      <c r="BF38">
        <v>1</v>
      </c>
      <c r="BG38">
        <v>10586.7</v>
      </c>
      <c r="BH38">
        <v>10586.7</v>
      </c>
      <c r="BI38">
        <v>0</v>
      </c>
      <c r="BJ38">
        <v>0.74399999999999999</v>
      </c>
      <c r="BK38">
        <v>0</v>
      </c>
      <c r="BL38">
        <v>0</v>
      </c>
      <c r="BM38">
        <v>9.3510000000000009</v>
      </c>
      <c r="BN38">
        <v>0</v>
      </c>
      <c r="BO38">
        <v>2.5630000000000002</v>
      </c>
      <c r="BP38">
        <v>0</v>
      </c>
      <c r="BQ38">
        <v>11.913</v>
      </c>
      <c r="BR38">
        <v>0</v>
      </c>
      <c r="BS38">
        <v>3.08</v>
      </c>
      <c r="BT38">
        <v>3.08</v>
      </c>
    </row>
    <row r="39" spans="1:72" x14ac:dyDescent="0.25">
      <c r="B39" s="1" t="s">
        <v>18</v>
      </c>
      <c r="C39" s="2" t="s">
        <v>69</v>
      </c>
      <c r="D39" s="2"/>
      <c r="E39" s="2"/>
      <c r="F39" s="141">
        <f t="shared" ref="F39:M39" si="41">BC16</f>
        <v>0</v>
      </c>
      <c r="G39" s="143">
        <f t="shared" si="41"/>
        <v>0</v>
      </c>
      <c r="H39" s="143">
        <f t="shared" si="41"/>
        <v>0</v>
      </c>
      <c r="I39" s="143">
        <f t="shared" si="41"/>
        <v>400</v>
      </c>
      <c r="J39" s="142">
        <f t="shared" si="41"/>
        <v>0</v>
      </c>
      <c r="K39" s="142">
        <f t="shared" si="41"/>
        <v>0</v>
      </c>
      <c r="L39" s="142">
        <f t="shared" si="41"/>
        <v>0</v>
      </c>
      <c r="M39" s="142">
        <f t="shared" si="41"/>
        <v>0.36599999999999999</v>
      </c>
      <c r="N39" s="144">
        <f t="shared" si="31"/>
        <v>0.36599999999999999</v>
      </c>
      <c r="O39" s="7">
        <f t="shared" si="32"/>
        <v>0.36599999999999999</v>
      </c>
      <c r="P39" s="8">
        <f t="shared" si="33"/>
        <v>0</v>
      </c>
      <c r="Q39" s="35">
        <f t="shared" si="34"/>
        <v>0</v>
      </c>
      <c r="R39" s="35">
        <f t="shared" si="35"/>
        <v>0</v>
      </c>
      <c r="S39" s="37">
        <f t="shared" si="36"/>
        <v>1</v>
      </c>
      <c r="BA39" t="s">
        <v>20</v>
      </c>
      <c r="BB39" t="s">
        <v>24</v>
      </c>
      <c r="BC39" t="s">
        <v>24</v>
      </c>
      <c r="BD39" t="s">
        <v>25</v>
      </c>
      <c r="BE39">
        <v>2231.8000000000002</v>
      </c>
      <c r="BF39">
        <v>1</v>
      </c>
      <c r="BG39">
        <v>2231.8000000000002</v>
      </c>
      <c r="BH39">
        <v>2231.8000000000002</v>
      </c>
      <c r="BI39">
        <v>500</v>
      </c>
      <c r="BJ39">
        <v>0.61199999999999999</v>
      </c>
      <c r="BK39">
        <v>0</v>
      </c>
      <c r="BL39">
        <v>0.55600000000000005</v>
      </c>
      <c r="BM39">
        <v>2.048</v>
      </c>
      <c r="BN39">
        <v>0.61599999999999999</v>
      </c>
      <c r="BO39">
        <v>0</v>
      </c>
      <c r="BP39">
        <v>0.45800000000000002</v>
      </c>
      <c r="BQ39">
        <v>3.1219999999999999</v>
      </c>
      <c r="BR39">
        <v>0.127</v>
      </c>
      <c r="BS39">
        <v>0.64900000000000002</v>
      </c>
      <c r="BT39">
        <v>0.77700000000000002</v>
      </c>
    </row>
    <row r="40" spans="1:72" x14ac:dyDescent="0.25">
      <c r="B40" s="15" t="s">
        <v>13</v>
      </c>
      <c r="C40" s="16" t="s">
        <v>71</v>
      </c>
      <c r="D40" s="16"/>
      <c r="E40" s="16"/>
      <c r="F40" s="145">
        <f>BC22</f>
        <v>2000</v>
      </c>
      <c r="G40" s="147">
        <f t="shared" ref="G40:M40" si="42">BD22</f>
        <v>0</v>
      </c>
      <c r="H40" s="147">
        <f t="shared" si="42"/>
        <v>0</v>
      </c>
      <c r="I40" s="147">
        <f t="shared" si="42"/>
        <v>0</v>
      </c>
      <c r="J40" s="146">
        <f t="shared" si="42"/>
        <v>0.7</v>
      </c>
      <c r="K40" s="146">
        <f t="shared" si="42"/>
        <v>0</v>
      </c>
      <c r="L40" s="146">
        <f t="shared" si="42"/>
        <v>0</v>
      </c>
      <c r="M40" s="146">
        <f t="shared" si="42"/>
        <v>0</v>
      </c>
      <c r="N40" s="148">
        <f t="shared" si="31"/>
        <v>0.7</v>
      </c>
      <c r="O40" s="149">
        <f t="shared" si="32"/>
        <v>0.7</v>
      </c>
      <c r="P40" s="150">
        <f t="shared" si="33"/>
        <v>1</v>
      </c>
      <c r="Q40" s="151">
        <f t="shared" si="34"/>
        <v>0</v>
      </c>
      <c r="R40" s="151">
        <f t="shared" si="35"/>
        <v>0</v>
      </c>
      <c r="S40" s="152">
        <f t="shared" si="36"/>
        <v>0</v>
      </c>
      <c r="BA40" t="s">
        <v>21</v>
      </c>
      <c r="BB40" t="s">
        <v>68</v>
      </c>
      <c r="BC40" t="s">
        <v>68</v>
      </c>
      <c r="BD40" t="s">
        <v>25</v>
      </c>
      <c r="BE40">
        <v>1412.9</v>
      </c>
      <c r="BF40">
        <v>1</v>
      </c>
      <c r="BG40">
        <v>1412.9</v>
      </c>
      <c r="BH40">
        <v>1412.9</v>
      </c>
      <c r="BI40">
        <v>400</v>
      </c>
      <c r="BJ40">
        <v>9.9000000000000005E-2</v>
      </c>
      <c r="BK40">
        <v>0</v>
      </c>
      <c r="BL40">
        <v>0.44400000000000001</v>
      </c>
      <c r="BM40">
        <v>1.248</v>
      </c>
      <c r="BN40">
        <v>0</v>
      </c>
      <c r="BO40">
        <v>0.34200000000000003</v>
      </c>
      <c r="BP40">
        <v>0.36599999999999999</v>
      </c>
      <c r="BQ40">
        <v>1.956</v>
      </c>
      <c r="BR40">
        <v>0.10199999999999999</v>
      </c>
      <c r="BS40">
        <v>0.41099999999999998</v>
      </c>
      <c r="BT40">
        <v>0.51300000000000001</v>
      </c>
    </row>
    <row r="41" spans="1:72" x14ac:dyDescent="0.25">
      <c r="B41" s="1" t="s">
        <v>14</v>
      </c>
      <c r="C41" s="2" t="s">
        <v>71</v>
      </c>
      <c r="D41" s="2"/>
      <c r="E41" s="2"/>
      <c r="F41" s="79">
        <f t="shared" ref="F41:M41" si="43">BC23</f>
        <v>2000</v>
      </c>
      <c r="G41" s="82">
        <f t="shared" si="43"/>
        <v>0</v>
      </c>
      <c r="H41" s="82">
        <f t="shared" si="43"/>
        <v>0</v>
      </c>
      <c r="I41" s="82">
        <f t="shared" si="43"/>
        <v>0</v>
      </c>
      <c r="J41" s="88">
        <f t="shared" si="43"/>
        <v>0.7</v>
      </c>
      <c r="K41" s="88">
        <f t="shared" si="43"/>
        <v>0</v>
      </c>
      <c r="L41" s="88">
        <f t="shared" si="43"/>
        <v>0</v>
      </c>
      <c r="M41" s="88">
        <f t="shared" si="43"/>
        <v>0</v>
      </c>
      <c r="N41" s="94">
        <f t="shared" si="31"/>
        <v>0.7</v>
      </c>
      <c r="O41" s="7">
        <f t="shared" si="32"/>
        <v>0.7</v>
      </c>
      <c r="P41" s="8">
        <f t="shared" si="33"/>
        <v>1</v>
      </c>
      <c r="Q41" s="35">
        <f t="shared" si="34"/>
        <v>0</v>
      </c>
      <c r="R41" s="35">
        <f t="shared" si="35"/>
        <v>0</v>
      </c>
      <c r="S41" s="37">
        <f t="shared" si="36"/>
        <v>0</v>
      </c>
      <c r="BA41" t="s">
        <v>22</v>
      </c>
      <c r="BB41" t="s">
        <v>68</v>
      </c>
      <c r="BC41" t="s">
        <v>68</v>
      </c>
      <c r="BD41" t="s">
        <v>80</v>
      </c>
      <c r="BE41">
        <v>2231.8000000000002</v>
      </c>
      <c r="BF41">
        <v>1</v>
      </c>
      <c r="BG41">
        <v>2231.8000000000002</v>
      </c>
      <c r="BH41">
        <v>2231.8000000000002</v>
      </c>
      <c r="BI41">
        <v>0</v>
      </c>
      <c r="BJ41">
        <v>0.157</v>
      </c>
      <c r="BK41">
        <v>0</v>
      </c>
      <c r="BL41">
        <v>0</v>
      </c>
      <c r="BM41">
        <v>1.9710000000000001</v>
      </c>
      <c r="BN41">
        <v>0</v>
      </c>
      <c r="BO41">
        <v>0.54</v>
      </c>
      <c r="BP41">
        <v>0</v>
      </c>
      <c r="BQ41">
        <v>2.5110000000000001</v>
      </c>
      <c r="BR41">
        <v>0</v>
      </c>
      <c r="BS41">
        <v>0.64900000000000002</v>
      </c>
      <c r="BT41">
        <v>0.64900000000000002</v>
      </c>
    </row>
    <row r="42" spans="1:72" x14ac:dyDescent="0.25">
      <c r="B42" s="1" t="s">
        <v>15</v>
      </c>
      <c r="C42" s="2" t="s">
        <v>71</v>
      </c>
      <c r="D42" s="2"/>
      <c r="E42" s="2"/>
      <c r="F42" s="79">
        <f t="shared" ref="F42:M42" si="44">BC24</f>
        <v>2000</v>
      </c>
      <c r="G42" s="82">
        <f t="shared" si="44"/>
        <v>0</v>
      </c>
      <c r="H42" s="82">
        <f t="shared" si="44"/>
        <v>0</v>
      </c>
      <c r="I42" s="82">
        <f t="shared" si="44"/>
        <v>0</v>
      </c>
      <c r="J42" s="88">
        <f t="shared" si="44"/>
        <v>0.7</v>
      </c>
      <c r="K42" s="88">
        <f t="shared" si="44"/>
        <v>0</v>
      </c>
      <c r="L42" s="88">
        <f t="shared" si="44"/>
        <v>0</v>
      </c>
      <c r="M42" s="88">
        <f t="shared" si="44"/>
        <v>0</v>
      </c>
      <c r="N42" s="94">
        <f t="shared" si="31"/>
        <v>0.7</v>
      </c>
      <c r="O42" s="7">
        <f t="shared" si="32"/>
        <v>0.7</v>
      </c>
      <c r="P42" s="8">
        <f t="shared" si="33"/>
        <v>1</v>
      </c>
      <c r="Q42" s="35">
        <f t="shared" si="34"/>
        <v>0</v>
      </c>
      <c r="R42" s="35">
        <f t="shared" si="35"/>
        <v>0</v>
      </c>
      <c r="S42" s="37">
        <f t="shared" si="36"/>
        <v>0</v>
      </c>
      <c r="BA42" t="s">
        <v>23</v>
      </c>
      <c r="BB42" t="s">
        <v>24</v>
      </c>
      <c r="BC42" t="s">
        <v>24</v>
      </c>
      <c r="BD42" t="s">
        <v>80</v>
      </c>
      <c r="BE42">
        <v>1412.8</v>
      </c>
      <c r="BF42">
        <v>1</v>
      </c>
      <c r="BG42">
        <v>1412.8</v>
      </c>
      <c r="BH42">
        <v>1412.8</v>
      </c>
      <c r="BI42">
        <v>0</v>
      </c>
      <c r="BJ42">
        <v>0.38800000000000001</v>
      </c>
      <c r="BK42">
        <v>0</v>
      </c>
      <c r="BL42">
        <v>0</v>
      </c>
      <c r="BM42">
        <v>1.2969999999999999</v>
      </c>
      <c r="BN42">
        <v>0.39</v>
      </c>
      <c r="BO42">
        <v>0</v>
      </c>
      <c r="BP42">
        <v>0</v>
      </c>
      <c r="BQ42">
        <v>1.6870000000000001</v>
      </c>
      <c r="BR42">
        <v>0</v>
      </c>
      <c r="BS42">
        <v>0.41099999999999998</v>
      </c>
      <c r="BT42">
        <v>0.41099999999999998</v>
      </c>
    </row>
    <row r="43" spans="1:72" x14ac:dyDescent="0.25">
      <c r="B43" s="1" t="s">
        <v>16</v>
      </c>
      <c r="C43" s="2" t="s">
        <v>71</v>
      </c>
      <c r="D43" s="2"/>
      <c r="E43" s="2"/>
      <c r="F43" s="79">
        <f t="shared" ref="F43:M43" si="45">BC25</f>
        <v>2000</v>
      </c>
      <c r="G43" s="82">
        <f t="shared" si="45"/>
        <v>0</v>
      </c>
      <c r="H43" s="82">
        <f t="shared" si="45"/>
        <v>0</v>
      </c>
      <c r="I43" s="82">
        <f t="shared" si="45"/>
        <v>0</v>
      </c>
      <c r="J43" s="88">
        <f t="shared" si="45"/>
        <v>0.7</v>
      </c>
      <c r="K43" s="88">
        <f t="shared" si="45"/>
        <v>0</v>
      </c>
      <c r="L43" s="88">
        <f t="shared" si="45"/>
        <v>0</v>
      </c>
      <c r="M43" s="88">
        <f t="shared" si="45"/>
        <v>0</v>
      </c>
      <c r="N43" s="94">
        <f t="shared" si="31"/>
        <v>0.7</v>
      </c>
      <c r="O43" s="7">
        <f t="shared" si="32"/>
        <v>0.7</v>
      </c>
      <c r="P43" s="8">
        <f t="shared" si="33"/>
        <v>1</v>
      </c>
      <c r="Q43" s="35">
        <f t="shared" si="34"/>
        <v>0</v>
      </c>
      <c r="R43" s="35">
        <f t="shared" si="35"/>
        <v>0</v>
      </c>
      <c r="S43" s="37">
        <f t="shared" si="36"/>
        <v>0</v>
      </c>
      <c r="BA43" t="s">
        <v>78</v>
      </c>
      <c r="BB43" t="s">
        <v>80</v>
      </c>
      <c r="BC43" t="s">
        <v>80</v>
      </c>
      <c r="BD43" t="s">
        <v>80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25">
      <c r="B44" s="4" t="s">
        <v>12</v>
      </c>
      <c r="C44" s="5" t="s">
        <v>71</v>
      </c>
      <c r="D44" s="5"/>
      <c r="E44" s="5"/>
      <c r="F44" s="80">
        <f t="shared" ref="F44:M44" si="46">BC26</f>
        <v>3000</v>
      </c>
      <c r="G44" s="83">
        <f t="shared" si="46"/>
        <v>0</v>
      </c>
      <c r="H44" s="83">
        <f t="shared" si="46"/>
        <v>0</v>
      </c>
      <c r="I44" s="83">
        <f t="shared" si="46"/>
        <v>0</v>
      </c>
      <c r="J44" s="89">
        <f t="shared" si="46"/>
        <v>1.05</v>
      </c>
      <c r="K44" s="89">
        <f t="shared" si="46"/>
        <v>0</v>
      </c>
      <c r="L44" s="89">
        <f t="shared" si="46"/>
        <v>0</v>
      </c>
      <c r="M44" s="89">
        <f t="shared" si="46"/>
        <v>0</v>
      </c>
      <c r="N44" s="95">
        <f t="shared" si="31"/>
        <v>1.05</v>
      </c>
      <c r="O44" s="23">
        <f t="shared" si="32"/>
        <v>1.05</v>
      </c>
      <c r="P44" s="9">
        <f t="shared" si="33"/>
        <v>1</v>
      </c>
      <c r="Q44" s="36">
        <f t="shared" si="34"/>
        <v>0</v>
      </c>
      <c r="R44" s="36">
        <f t="shared" si="35"/>
        <v>0</v>
      </c>
      <c r="S44" s="38">
        <f t="shared" si="36"/>
        <v>0</v>
      </c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t="s">
        <v>7</v>
      </c>
      <c r="BB44" t="s">
        <v>12</v>
      </c>
      <c r="BC44" t="s">
        <v>17</v>
      </c>
      <c r="BD44" t="s">
        <v>80</v>
      </c>
      <c r="BE44">
        <v>10586.7</v>
      </c>
      <c r="BF44">
        <v>1</v>
      </c>
      <c r="BG44">
        <v>3000</v>
      </c>
      <c r="BH44">
        <v>1165</v>
      </c>
      <c r="BI44">
        <v>0</v>
      </c>
      <c r="BJ44">
        <v>1</v>
      </c>
      <c r="BK44">
        <v>0.74399999999999999</v>
      </c>
      <c r="BL44">
        <v>0</v>
      </c>
      <c r="BM44">
        <v>2.1560000000000001</v>
      </c>
      <c r="BN44">
        <v>0</v>
      </c>
      <c r="BO44">
        <v>0</v>
      </c>
      <c r="BP44">
        <v>0</v>
      </c>
      <c r="BQ44">
        <v>2.1560000000000001</v>
      </c>
      <c r="BR44">
        <v>0</v>
      </c>
      <c r="BS44">
        <v>0</v>
      </c>
      <c r="BT44">
        <v>0</v>
      </c>
    </row>
    <row r="45" spans="1:72" x14ac:dyDescent="0.25">
      <c r="A45" s="24"/>
      <c r="BA45" t="s">
        <v>8</v>
      </c>
      <c r="BB45" t="s">
        <v>13</v>
      </c>
      <c r="BC45" t="s">
        <v>13</v>
      </c>
      <c r="BD45" t="s">
        <v>18</v>
      </c>
      <c r="BE45">
        <v>2231.8000000000002</v>
      </c>
      <c r="BF45">
        <v>1</v>
      </c>
      <c r="BG45">
        <v>2000</v>
      </c>
      <c r="BH45">
        <v>2000</v>
      </c>
      <c r="BI45">
        <v>245</v>
      </c>
      <c r="BJ45">
        <v>1</v>
      </c>
      <c r="BK45">
        <v>0</v>
      </c>
      <c r="BL45">
        <v>0.61299999999999999</v>
      </c>
      <c r="BM45">
        <v>0.7</v>
      </c>
      <c r="BN45">
        <v>0</v>
      </c>
      <c r="BO45">
        <v>0</v>
      </c>
      <c r="BP45">
        <v>0.224</v>
      </c>
      <c r="BQ45">
        <v>0.92400000000000004</v>
      </c>
      <c r="BR45">
        <v>0</v>
      </c>
      <c r="BS45">
        <v>0</v>
      </c>
      <c r="BT45">
        <v>0</v>
      </c>
    </row>
    <row r="46" spans="1:72" x14ac:dyDescent="0.25">
      <c r="BA46" t="s">
        <v>9</v>
      </c>
      <c r="BB46" t="s">
        <v>14</v>
      </c>
      <c r="BC46" t="s">
        <v>14</v>
      </c>
      <c r="BD46" t="s">
        <v>18</v>
      </c>
      <c r="BE46">
        <v>1412.9</v>
      </c>
      <c r="BF46">
        <v>1</v>
      </c>
      <c r="BG46">
        <v>2000</v>
      </c>
      <c r="BH46">
        <v>2000</v>
      </c>
      <c r="BI46">
        <v>155</v>
      </c>
      <c r="BJ46">
        <v>1</v>
      </c>
      <c r="BK46">
        <v>0</v>
      </c>
      <c r="BL46">
        <v>0.38800000000000001</v>
      </c>
      <c r="BM46">
        <v>0.7</v>
      </c>
      <c r="BN46">
        <v>0</v>
      </c>
      <c r="BO46">
        <v>0</v>
      </c>
      <c r="BP46">
        <v>0.14199999999999999</v>
      </c>
      <c r="BQ46">
        <v>0.84199999999999997</v>
      </c>
      <c r="BR46">
        <v>0</v>
      </c>
      <c r="BS46">
        <v>0</v>
      </c>
      <c r="BT46">
        <v>0</v>
      </c>
    </row>
    <row r="47" spans="1:72" ht="28.5" x14ac:dyDescent="0.45">
      <c r="B47" s="56" t="s">
        <v>45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BA47" t="s">
        <v>10</v>
      </c>
      <c r="BB47" t="s">
        <v>15</v>
      </c>
      <c r="BC47" t="s">
        <v>17</v>
      </c>
      <c r="BD47" t="s">
        <v>80</v>
      </c>
      <c r="BE47">
        <v>2231.8000000000002</v>
      </c>
      <c r="BF47">
        <v>1</v>
      </c>
      <c r="BG47">
        <v>2000</v>
      </c>
      <c r="BH47">
        <v>245</v>
      </c>
      <c r="BI47">
        <v>0</v>
      </c>
      <c r="BJ47">
        <v>1</v>
      </c>
      <c r="BK47">
        <v>0.157</v>
      </c>
      <c r="BL47">
        <v>0</v>
      </c>
      <c r="BM47">
        <v>0.93300000000000005</v>
      </c>
      <c r="BN47">
        <v>0</v>
      </c>
      <c r="BO47">
        <v>0</v>
      </c>
      <c r="BP47">
        <v>0</v>
      </c>
      <c r="BQ47">
        <v>0.93300000000000005</v>
      </c>
      <c r="BR47">
        <v>0</v>
      </c>
      <c r="BS47">
        <v>0</v>
      </c>
      <c r="BT47">
        <v>0</v>
      </c>
    </row>
    <row r="48" spans="1:72" x14ac:dyDescent="0.25">
      <c r="BA48" t="s">
        <v>11</v>
      </c>
      <c r="BB48" t="s">
        <v>16</v>
      </c>
      <c r="BC48" t="s">
        <v>17</v>
      </c>
      <c r="BD48" t="s">
        <v>80</v>
      </c>
      <c r="BE48">
        <v>1412.8</v>
      </c>
      <c r="BF48">
        <v>1</v>
      </c>
      <c r="BG48">
        <v>2000</v>
      </c>
      <c r="BH48">
        <v>155</v>
      </c>
      <c r="BI48">
        <v>0</v>
      </c>
      <c r="BJ48">
        <v>1</v>
      </c>
      <c r="BK48">
        <v>9.9000000000000005E-2</v>
      </c>
      <c r="BL48">
        <v>0</v>
      </c>
      <c r="BM48">
        <v>0.84699999999999998</v>
      </c>
      <c r="BN48">
        <v>0</v>
      </c>
      <c r="BO48">
        <v>0</v>
      </c>
      <c r="BP48">
        <v>0</v>
      </c>
      <c r="BQ48">
        <v>0.84699999999999998</v>
      </c>
      <c r="BR48">
        <v>0</v>
      </c>
      <c r="BS48">
        <v>0</v>
      </c>
      <c r="BT48">
        <v>0</v>
      </c>
    </row>
    <row r="49" spans="2:72" x14ac:dyDescent="0.25">
      <c r="B49" s="19"/>
      <c r="C49" s="15"/>
      <c r="D49" s="16"/>
      <c r="E49" s="10"/>
      <c r="F49" s="34" t="s">
        <v>114</v>
      </c>
      <c r="G49" s="34"/>
      <c r="H49" s="34"/>
      <c r="I49" s="10"/>
      <c r="J49" s="16"/>
      <c r="K49" s="15"/>
      <c r="L49" s="19"/>
      <c r="BA49" t="s">
        <v>79</v>
      </c>
      <c r="BB49" t="s">
        <v>80</v>
      </c>
      <c r="BC49" t="s">
        <v>80</v>
      </c>
      <c r="BD49" t="s">
        <v>80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</row>
    <row r="50" spans="2:72" ht="30" x14ac:dyDescent="0.25">
      <c r="B50" s="17" t="s">
        <v>43</v>
      </c>
      <c r="C50" s="1" t="s">
        <v>40</v>
      </c>
      <c r="D50" s="42" t="s">
        <v>41</v>
      </c>
      <c r="E50" s="43" t="s">
        <v>42</v>
      </c>
      <c r="F50" s="42" t="s">
        <v>53</v>
      </c>
      <c r="G50" s="42" t="s">
        <v>56</v>
      </c>
      <c r="H50" s="42" t="s">
        <v>59</v>
      </c>
      <c r="I50" s="44" t="s">
        <v>60</v>
      </c>
      <c r="J50" s="45" t="s">
        <v>46</v>
      </c>
      <c r="K50" s="1" t="s">
        <v>101</v>
      </c>
      <c r="L50" s="106" t="s">
        <v>112</v>
      </c>
    </row>
    <row r="51" spans="2:72" ht="15.75" thickBot="1" x14ac:dyDescent="0.3">
      <c r="B51" s="20"/>
      <c r="C51" s="11"/>
      <c r="D51" s="12"/>
      <c r="E51" s="13"/>
      <c r="F51" s="12" t="s">
        <v>39</v>
      </c>
      <c r="G51" s="12" t="s">
        <v>39</v>
      </c>
      <c r="H51" s="12" t="s">
        <v>39</v>
      </c>
      <c r="I51" s="13" t="s">
        <v>39</v>
      </c>
      <c r="J51" s="12" t="s">
        <v>39</v>
      </c>
      <c r="K51" s="11" t="s">
        <v>38</v>
      </c>
      <c r="L51" s="113" t="s">
        <v>92</v>
      </c>
    </row>
    <row r="52" spans="2:72" ht="16.5" thickTop="1" thickBot="1" x14ac:dyDescent="0.3">
      <c r="B52" s="75" t="s">
        <v>72</v>
      </c>
      <c r="C52" s="14" t="s">
        <v>171</v>
      </c>
      <c r="D52" s="14"/>
      <c r="E52" s="14"/>
      <c r="F52" s="91">
        <f>N11</f>
        <v>9.3507687053518982</v>
      </c>
      <c r="G52" s="91">
        <f>Q11</f>
        <v>0</v>
      </c>
      <c r="H52" s="91">
        <f t="shared" ref="H52:I56" si="47">T11</f>
        <v>2.5773985309830558</v>
      </c>
      <c r="I52" s="92" t="str">
        <f t="shared" si="47"/>
        <v>-</v>
      </c>
      <c r="J52" s="93">
        <f t="shared" ref="J52:J66" si="48">IFERROR(SUM($F52,$G52,$H52,$I52),"-")</f>
        <v>11.928167236334954</v>
      </c>
      <c r="K52" s="93" t="str">
        <f t="shared" ref="K52:K66" si="49">IFERROR($I52/SUMIFS($H$72:$H$74,$B$72:$B$74,$C52),"-")</f>
        <v>-</v>
      </c>
      <c r="L52" s="98" t="str">
        <f t="shared" ref="L52:L66" si="50">IFERROR(K52*SUMIFS($S$72:$S$74,$B$72:$B$74,$C52),"-")</f>
        <v>-</v>
      </c>
    </row>
    <row r="53" spans="2:72" ht="16.5" thickTop="1" thickBot="1" x14ac:dyDescent="0.3">
      <c r="B53" s="17" t="s">
        <v>73</v>
      </c>
      <c r="C53" s="14" t="s">
        <v>171</v>
      </c>
      <c r="D53" s="14"/>
      <c r="E53" s="14"/>
      <c r="F53" s="91">
        <f>N12</f>
        <v>1.9712512488881677</v>
      </c>
      <c r="G53" s="91">
        <f>Q12</f>
        <v>0</v>
      </c>
      <c r="H53" s="91">
        <f t="shared" si="47"/>
        <v>0.5433457112648874</v>
      </c>
      <c r="I53" s="91" t="str">
        <f t="shared" si="47"/>
        <v>-</v>
      </c>
      <c r="J53" s="93">
        <f t="shared" si="48"/>
        <v>2.5145969601530549</v>
      </c>
      <c r="K53" s="93" t="str">
        <f t="shared" si="49"/>
        <v>-</v>
      </c>
      <c r="L53" s="98" t="str">
        <f t="shared" si="50"/>
        <v>-</v>
      </c>
    </row>
    <row r="54" spans="2:72" ht="16.5" thickTop="1" thickBot="1" x14ac:dyDescent="0.3">
      <c r="B54" s="17" t="s">
        <v>74</v>
      </c>
      <c r="C54" s="14" t="s">
        <v>171</v>
      </c>
      <c r="D54" s="14"/>
      <c r="E54" s="14"/>
      <c r="F54" s="91">
        <f>N13</f>
        <v>1.2479527240586488</v>
      </c>
      <c r="G54" s="91">
        <f>Q13</f>
        <v>0</v>
      </c>
      <c r="H54" s="91">
        <f t="shared" si="47"/>
        <v>0.343979368870938</v>
      </c>
      <c r="I54" s="91" t="str">
        <f t="shared" si="47"/>
        <v>-</v>
      </c>
      <c r="J54" s="93">
        <f t="shared" si="48"/>
        <v>1.5919320929295868</v>
      </c>
      <c r="K54" s="93" t="str">
        <f t="shared" si="49"/>
        <v>-</v>
      </c>
      <c r="L54" s="98" t="str">
        <f t="shared" si="50"/>
        <v>-</v>
      </c>
    </row>
    <row r="55" spans="2:72" ht="16.5" thickTop="1" thickBot="1" x14ac:dyDescent="0.3">
      <c r="B55" s="17" t="s">
        <v>75</v>
      </c>
      <c r="C55" s="14" t="s">
        <v>171</v>
      </c>
      <c r="D55" s="14"/>
      <c r="E55" s="14"/>
      <c r="F55" s="91">
        <f>N14</f>
        <v>1.9712512488881677</v>
      </c>
      <c r="G55" s="91">
        <f>Q14</f>
        <v>0</v>
      </c>
      <c r="H55" s="91">
        <f t="shared" si="47"/>
        <v>0.5433457112648874</v>
      </c>
      <c r="I55" s="92" t="str">
        <f t="shared" si="47"/>
        <v>-</v>
      </c>
      <c r="J55" s="93">
        <f t="shared" si="48"/>
        <v>2.5145969601530549</v>
      </c>
      <c r="K55" s="93" t="str">
        <f t="shared" si="49"/>
        <v>-</v>
      </c>
      <c r="L55" s="98" t="str">
        <f t="shared" si="50"/>
        <v>-</v>
      </c>
    </row>
    <row r="56" spans="2:72" ht="16.5" thickTop="1" thickBot="1" x14ac:dyDescent="0.3">
      <c r="B56" s="18" t="s">
        <v>76</v>
      </c>
      <c r="C56" s="14" t="s">
        <v>171</v>
      </c>
      <c r="D56" s="14"/>
      <c r="E56" s="14"/>
      <c r="F56" s="91">
        <f>N15</f>
        <v>1.2478643984358828</v>
      </c>
      <c r="G56" s="91">
        <f>Q15</f>
        <v>0</v>
      </c>
      <c r="H56" s="91">
        <f t="shared" si="47"/>
        <v>0.34395502324358496</v>
      </c>
      <c r="I56" s="92" t="str">
        <f t="shared" si="47"/>
        <v>-</v>
      </c>
      <c r="J56" s="93">
        <f t="shared" si="48"/>
        <v>1.5918194216794679</v>
      </c>
      <c r="K56" s="93" t="str">
        <f t="shared" si="49"/>
        <v>-</v>
      </c>
      <c r="L56" s="98" t="str">
        <f t="shared" si="50"/>
        <v>-</v>
      </c>
    </row>
    <row r="57" spans="2:72" ht="16.5" thickTop="1" thickBot="1" x14ac:dyDescent="0.3">
      <c r="B57" s="17" t="s">
        <v>19</v>
      </c>
      <c r="C57" s="14" t="s">
        <v>172</v>
      </c>
      <c r="D57" s="14"/>
      <c r="E57" s="14"/>
      <c r="F57" s="91">
        <f>N17</f>
        <v>9.350789029891649</v>
      </c>
      <c r="G57" s="91">
        <f>Q17</f>
        <v>0</v>
      </c>
      <c r="H57" s="91">
        <f t="shared" ref="H57:I61" si="51">T17</f>
        <v>2.5627261899742821</v>
      </c>
      <c r="I57" s="92" t="str">
        <f t="shared" si="51"/>
        <v>-</v>
      </c>
      <c r="J57" s="93">
        <f t="shared" si="48"/>
        <v>11.913515219865932</v>
      </c>
      <c r="K57" s="93" t="str">
        <f t="shared" si="49"/>
        <v>-</v>
      </c>
      <c r="L57" s="98" t="str">
        <f t="shared" si="50"/>
        <v>-</v>
      </c>
    </row>
    <row r="58" spans="2:72" ht="16.5" thickTop="1" thickBot="1" x14ac:dyDescent="0.3">
      <c r="B58" s="17" t="s">
        <v>20</v>
      </c>
      <c r="C58" s="14" t="s">
        <v>172</v>
      </c>
      <c r="D58" s="14"/>
      <c r="E58" s="14"/>
      <c r="F58" s="91">
        <f>N18</f>
        <v>2.0483375404708339</v>
      </c>
      <c r="G58" s="91">
        <f>Q18</f>
        <v>0.61603215716402349</v>
      </c>
      <c r="H58" s="91">
        <f t="shared" si="51"/>
        <v>0</v>
      </c>
      <c r="I58" s="91">
        <f t="shared" si="51"/>
        <v>0.45833333333333331</v>
      </c>
      <c r="J58" s="93">
        <f t="shared" si="48"/>
        <v>3.1227030309681907</v>
      </c>
      <c r="K58" s="93">
        <f t="shared" si="49"/>
        <v>0.55555555555555558</v>
      </c>
      <c r="L58" s="98">
        <f t="shared" si="50"/>
        <v>0.49571396866640488</v>
      </c>
    </row>
    <row r="59" spans="2:72" ht="16.5" thickTop="1" thickBot="1" x14ac:dyDescent="0.3">
      <c r="B59" s="17" t="s">
        <v>21</v>
      </c>
      <c r="C59" s="14" t="s">
        <v>172</v>
      </c>
      <c r="D59" s="14"/>
      <c r="E59" s="14"/>
      <c r="F59" s="91">
        <f>N19</f>
        <v>1.2479554365698386</v>
      </c>
      <c r="G59" s="91">
        <f>Q19</f>
        <v>0</v>
      </c>
      <c r="H59" s="91">
        <f t="shared" si="51"/>
        <v>0.34202119960088262</v>
      </c>
      <c r="I59" s="91">
        <f t="shared" si="51"/>
        <v>0.36666666666666664</v>
      </c>
      <c r="J59" s="93">
        <f t="shared" si="48"/>
        <v>1.956643302837388</v>
      </c>
      <c r="K59" s="93">
        <f t="shared" si="49"/>
        <v>0.44444444444444442</v>
      </c>
      <c r="L59" s="98">
        <f t="shared" si="50"/>
        <v>0.39657117493312383</v>
      </c>
      <c r="BA59" s="139" t="s">
        <v>119</v>
      </c>
    </row>
    <row r="60" spans="2:72" ht="16.5" thickTop="1" thickBot="1" x14ac:dyDescent="0.3">
      <c r="B60" s="17" t="s">
        <v>22</v>
      </c>
      <c r="C60" s="14" t="s">
        <v>172</v>
      </c>
      <c r="D60" s="14"/>
      <c r="E60" s="14"/>
      <c r="F60" s="91">
        <f>N20</f>
        <v>1.9712555335385138</v>
      </c>
      <c r="G60" s="91">
        <f>Q20</f>
        <v>0</v>
      </c>
      <c r="H60" s="91">
        <f t="shared" si="51"/>
        <v>0.5402526104248353</v>
      </c>
      <c r="I60" s="92" t="str">
        <f t="shared" si="51"/>
        <v>-</v>
      </c>
      <c r="J60" s="93">
        <f t="shared" si="48"/>
        <v>2.5115081439633489</v>
      </c>
      <c r="K60" s="93" t="str">
        <f t="shared" si="49"/>
        <v>-</v>
      </c>
      <c r="L60" s="98" t="str">
        <f t="shared" si="50"/>
        <v>-</v>
      </c>
      <c r="BC60" t="s">
        <v>120</v>
      </c>
      <c r="BG60" t="s">
        <v>121</v>
      </c>
      <c r="BL60" t="s">
        <v>122</v>
      </c>
      <c r="BP60" t="s">
        <v>123</v>
      </c>
    </row>
    <row r="61" spans="2:72" ht="16.5" thickTop="1" thickBot="1" x14ac:dyDescent="0.3">
      <c r="B61" s="18" t="s">
        <v>23</v>
      </c>
      <c r="C61" s="14" t="s">
        <v>172</v>
      </c>
      <c r="D61" s="14"/>
      <c r="E61" s="14"/>
      <c r="F61" s="91">
        <f>N21</f>
        <v>1.2966624595291665</v>
      </c>
      <c r="G61" s="91">
        <f>Q21</f>
        <v>0.38996784283597652</v>
      </c>
      <c r="H61" s="91">
        <f t="shared" si="51"/>
        <v>0</v>
      </c>
      <c r="I61" s="92" t="str">
        <f t="shared" si="51"/>
        <v>-</v>
      </c>
      <c r="J61" s="93">
        <f t="shared" si="48"/>
        <v>1.686630302365143</v>
      </c>
      <c r="K61" s="93" t="str">
        <f t="shared" si="49"/>
        <v>-</v>
      </c>
      <c r="L61" s="98" t="str">
        <f t="shared" si="50"/>
        <v>-</v>
      </c>
      <c r="BA61" t="s">
        <v>65</v>
      </c>
      <c r="BB61" t="s">
        <v>88</v>
      </c>
      <c r="BC61" t="s">
        <v>124</v>
      </c>
      <c r="BD61" t="s">
        <v>125</v>
      </c>
      <c r="BE61" t="s">
        <v>126</v>
      </c>
      <c r="BF61" t="s">
        <v>127</v>
      </c>
      <c r="BG61" t="s">
        <v>128</v>
      </c>
      <c r="BH61" t="s">
        <v>129</v>
      </c>
      <c r="BI61" t="s">
        <v>130</v>
      </c>
      <c r="BJ61" t="s">
        <v>131</v>
      </c>
      <c r="BK61" t="s">
        <v>132</v>
      </c>
      <c r="BL61" t="s">
        <v>133</v>
      </c>
      <c r="BM61" t="s">
        <v>134</v>
      </c>
      <c r="BN61" t="s">
        <v>135</v>
      </c>
      <c r="BO61" t="s">
        <v>136</v>
      </c>
      <c r="BP61" t="s">
        <v>137</v>
      </c>
      <c r="BQ61" t="s">
        <v>138</v>
      </c>
      <c r="BR61" t="s">
        <v>139</v>
      </c>
    </row>
    <row r="62" spans="2:72" ht="16.5" thickTop="1" thickBot="1" x14ac:dyDescent="0.3">
      <c r="B62" s="17" t="s">
        <v>7</v>
      </c>
      <c r="C62" s="14" t="s">
        <v>173</v>
      </c>
      <c r="D62" s="14"/>
      <c r="E62" s="14"/>
      <c r="F62" s="91">
        <f>N23</f>
        <v>2.1561916932907348</v>
      </c>
      <c r="G62" s="91">
        <f>Q23</f>
        <v>0</v>
      </c>
      <c r="H62" s="91">
        <f t="shared" ref="H62:I66" si="52">T23</f>
        <v>0</v>
      </c>
      <c r="I62" s="92" t="str">
        <f t="shared" si="52"/>
        <v>-</v>
      </c>
      <c r="J62" s="93">
        <f t="shared" si="48"/>
        <v>2.1561916932907348</v>
      </c>
      <c r="K62" s="93" t="str">
        <f t="shared" si="49"/>
        <v>-</v>
      </c>
      <c r="L62" s="98" t="str">
        <f t="shared" si="50"/>
        <v>-</v>
      </c>
      <c r="BC62" t="s">
        <v>0</v>
      </c>
      <c r="BD62" t="s">
        <v>0</v>
      </c>
      <c r="BE62" t="s">
        <v>0</v>
      </c>
      <c r="BF62" t="s">
        <v>0</v>
      </c>
      <c r="BG62" t="s">
        <v>39</v>
      </c>
      <c r="BH62" t="s">
        <v>39</v>
      </c>
      <c r="BI62" t="s">
        <v>39</v>
      </c>
      <c r="BJ62" t="s">
        <v>39</v>
      </c>
      <c r="BK62" t="s">
        <v>39</v>
      </c>
      <c r="BL62" t="s">
        <v>38</v>
      </c>
      <c r="BM62" t="s">
        <v>38</v>
      </c>
      <c r="BN62" t="s">
        <v>38</v>
      </c>
      <c r="BO62" t="s">
        <v>38</v>
      </c>
      <c r="BP62" t="s">
        <v>39</v>
      </c>
      <c r="BQ62" t="s">
        <v>39</v>
      </c>
      <c r="BR62" t="s">
        <v>39</v>
      </c>
    </row>
    <row r="63" spans="2:72" ht="16.5" thickTop="1" thickBot="1" x14ac:dyDescent="0.3">
      <c r="B63" s="17" t="s">
        <v>8</v>
      </c>
      <c r="C63" s="14" t="s">
        <v>173</v>
      </c>
      <c r="D63" s="14"/>
      <c r="E63" s="14"/>
      <c r="F63" s="91">
        <f>N24</f>
        <v>0.7</v>
      </c>
      <c r="G63" s="91">
        <f>Q24</f>
        <v>0</v>
      </c>
      <c r="H63" s="91">
        <f t="shared" si="52"/>
        <v>0</v>
      </c>
      <c r="I63" s="91">
        <f t="shared" si="52"/>
        <v>0.22417500000000001</v>
      </c>
      <c r="J63" s="93">
        <f t="shared" si="48"/>
        <v>0.92417499999999997</v>
      </c>
      <c r="K63" s="93">
        <f t="shared" si="49"/>
        <v>0.61250000000000004</v>
      </c>
      <c r="L63" s="98">
        <f t="shared" si="50"/>
        <v>0.75119501346018935</v>
      </c>
      <c r="BA63" t="s">
        <v>171</v>
      </c>
      <c r="BB63" t="s">
        <v>67</v>
      </c>
      <c r="BC63">
        <v>14224.8</v>
      </c>
      <c r="BD63">
        <v>0</v>
      </c>
      <c r="BE63">
        <v>0</v>
      </c>
      <c r="BF63">
        <v>0</v>
      </c>
      <c r="BG63">
        <v>17.195</v>
      </c>
      <c r="BH63">
        <v>0</v>
      </c>
      <c r="BI63">
        <v>3.5</v>
      </c>
      <c r="BJ63">
        <v>0</v>
      </c>
      <c r="BK63">
        <v>20.140999999999998</v>
      </c>
      <c r="BL63">
        <v>0.78400000000000003</v>
      </c>
      <c r="BM63">
        <v>0</v>
      </c>
      <c r="BN63">
        <v>0.216</v>
      </c>
      <c r="BO63">
        <v>0</v>
      </c>
      <c r="BP63">
        <v>0</v>
      </c>
      <c r="BQ63">
        <v>5.7770000000000001</v>
      </c>
      <c r="BR63">
        <v>5.7770000000000001</v>
      </c>
    </row>
    <row r="64" spans="2:72" ht="16.5" thickTop="1" thickBot="1" x14ac:dyDescent="0.3">
      <c r="B64" s="17" t="s">
        <v>9</v>
      </c>
      <c r="C64" s="14" t="s">
        <v>173</v>
      </c>
      <c r="D64" s="14"/>
      <c r="E64" s="14"/>
      <c r="F64" s="91">
        <f>N25</f>
        <v>0.7</v>
      </c>
      <c r="G64" s="91">
        <f>Q25</f>
        <v>0</v>
      </c>
      <c r="H64" s="91">
        <f t="shared" si="52"/>
        <v>0</v>
      </c>
      <c r="I64" s="91">
        <f t="shared" si="52"/>
        <v>0.14182500000000001</v>
      </c>
      <c r="J64" s="93">
        <f t="shared" si="48"/>
        <v>0.84182499999999993</v>
      </c>
      <c r="K64" s="93">
        <f t="shared" si="49"/>
        <v>0.38750000000000001</v>
      </c>
      <c r="L64" s="98">
        <f t="shared" si="50"/>
        <v>0.4752458248421606</v>
      </c>
      <c r="BA64" t="s">
        <v>172</v>
      </c>
      <c r="BB64" t="s">
        <v>67</v>
      </c>
      <c r="BC64">
        <v>14266.4</v>
      </c>
      <c r="BD64">
        <v>0</v>
      </c>
      <c r="BE64">
        <v>0</v>
      </c>
      <c r="BF64">
        <v>0</v>
      </c>
      <c r="BG64">
        <v>15.928000000000001</v>
      </c>
      <c r="BH64">
        <v>0</v>
      </c>
      <c r="BI64">
        <v>3.2749999999999999</v>
      </c>
      <c r="BJ64">
        <v>0</v>
      </c>
      <c r="BK64">
        <v>21.19</v>
      </c>
      <c r="BL64">
        <v>0.751</v>
      </c>
      <c r="BM64">
        <v>4.7E-2</v>
      </c>
      <c r="BN64">
        <v>0.16300000000000001</v>
      </c>
      <c r="BO64">
        <v>3.9E-2</v>
      </c>
      <c r="BP64">
        <v>0.22900000000000001</v>
      </c>
      <c r="BQ64">
        <v>4.1509999999999998</v>
      </c>
      <c r="BR64">
        <v>4.1509999999999998</v>
      </c>
    </row>
    <row r="65" spans="2:72" ht="16.5" thickTop="1" thickBot="1" x14ac:dyDescent="0.3">
      <c r="B65" s="17" t="s">
        <v>10</v>
      </c>
      <c r="C65" s="14" t="s">
        <v>173</v>
      </c>
      <c r="D65" s="14"/>
      <c r="E65" s="14"/>
      <c r="F65" s="91">
        <f>N26</f>
        <v>0.93263258785942482</v>
      </c>
      <c r="G65" s="91">
        <f>Q26</f>
        <v>0</v>
      </c>
      <c r="H65" s="91">
        <f t="shared" si="52"/>
        <v>0</v>
      </c>
      <c r="I65" s="92" t="str">
        <f t="shared" si="52"/>
        <v>-</v>
      </c>
      <c r="J65" s="93">
        <f t="shared" si="48"/>
        <v>0.93263258785942482</v>
      </c>
      <c r="K65" s="93" t="str">
        <f t="shared" si="49"/>
        <v>-</v>
      </c>
      <c r="L65" s="98" t="str">
        <f t="shared" si="50"/>
        <v>-</v>
      </c>
      <c r="BA65" t="s">
        <v>173</v>
      </c>
      <c r="BB65" t="s">
        <v>67</v>
      </c>
      <c r="BC65">
        <v>14697.7</v>
      </c>
      <c r="BD65">
        <v>0</v>
      </c>
      <c r="BE65">
        <v>0</v>
      </c>
      <c r="BF65">
        <v>0</v>
      </c>
      <c r="BG65">
        <v>12.981999999999999</v>
      </c>
      <c r="BH65">
        <v>0</v>
      </c>
      <c r="BI65">
        <v>3.5190000000000001</v>
      </c>
      <c r="BJ65">
        <v>0</v>
      </c>
      <c r="BK65">
        <v>5.7030000000000003</v>
      </c>
      <c r="BL65">
        <v>0.93600000000000005</v>
      </c>
      <c r="BM65">
        <v>0</v>
      </c>
      <c r="BN65">
        <v>0</v>
      </c>
      <c r="BO65">
        <v>6.4000000000000001E-2</v>
      </c>
      <c r="BP65">
        <v>0</v>
      </c>
      <c r="BQ65">
        <v>0</v>
      </c>
      <c r="BR65">
        <v>0</v>
      </c>
    </row>
    <row r="66" spans="2:72" ht="15.75" thickTop="1" x14ac:dyDescent="0.25">
      <c r="B66" s="18" t="s">
        <v>11</v>
      </c>
      <c r="C66" s="14" t="s">
        <v>173</v>
      </c>
      <c r="D66" s="14"/>
      <c r="E66" s="14"/>
      <c r="F66" s="91">
        <f>N27</f>
        <v>0.84717571884984022</v>
      </c>
      <c r="G66" s="91">
        <f>Q27</f>
        <v>0</v>
      </c>
      <c r="H66" s="91">
        <f t="shared" si="52"/>
        <v>0</v>
      </c>
      <c r="I66" s="92" t="str">
        <f t="shared" si="52"/>
        <v>-</v>
      </c>
      <c r="J66" s="93">
        <f t="shared" si="48"/>
        <v>0.84717571884984022</v>
      </c>
      <c r="K66" s="93" t="str">
        <f t="shared" si="49"/>
        <v>-</v>
      </c>
      <c r="L66" s="99" t="str">
        <f t="shared" si="50"/>
        <v>-</v>
      </c>
    </row>
    <row r="67" spans="2:72" x14ac:dyDescent="0.25">
      <c r="BA67" t="s">
        <v>43</v>
      </c>
    </row>
    <row r="68" spans="2:72" x14ac:dyDescent="0.25">
      <c r="BG68" t="s">
        <v>120</v>
      </c>
      <c r="BJ68" t="s">
        <v>145</v>
      </c>
      <c r="BM68" t="s">
        <v>146</v>
      </c>
      <c r="BR68" t="s">
        <v>123</v>
      </c>
    </row>
    <row r="69" spans="2:72" x14ac:dyDescent="0.25">
      <c r="B69" s="15"/>
      <c r="C69" s="16"/>
      <c r="D69" s="16"/>
      <c r="E69" s="16"/>
      <c r="F69" s="15"/>
      <c r="G69" s="15"/>
      <c r="H69" s="16"/>
      <c r="I69" s="16"/>
      <c r="J69" s="16"/>
      <c r="K69" s="16"/>
      <c r="L69" s="16"/>
      <c r="M69" s="15"/>
      <c r="N69" s="10"/>
      <c r="O69" s="279" t="s">
        <v>107</v>
      </c>
      <c r="P69" s="277"/>
      <c r="Q69" s="277"/>
      <c r="R69" s="277"/>
      <c r="S69" s="278"/>
      <c r="BA69" t="s">
        <v>142</v>
      </c>
      <c r="BB69" t="s">
        <v>147</v>
      </c>
      <c r="BC69" t="s">
        <v>148</v>
      </c>
      <c r="BD69" t="s">
        <v>149</v>
      </c>
      <c r="BE69" t="s">
        <v>150</v>
      </c>
      <c r="BF69" t="s">
        <v>151</v>
      </c>
      <c r="BG69" t="s">
        <v>152</v>
      </c>
      <c r="BH69" t="s">
        <v>153</v>
      </c>
      <c r="BI69" t="s">
        <v>154</v>
      </c>
      <c r="BJ69" t="s">
        <v>155</v>
      </c>
      <c r="BK69" t="s">
        <v>156</v>
      </c>
      <c r="BL69" t="s">
        <v>157</v>
      </c>
      <c r="BM69" t="s">
        <v>158</v>
      </c>
      <c r="BN69" t="s">
        <v>159</v>
      </c>
      <c r="BO69" t="s">
        <v>160</v>
      </c>
      <c r="BP69" t="s">
        <v>161</v>
      </c>
      <c r="BQ69" t="s">
        <v>162</v>
      </c>
      <c r="BR69" t="s">
        <v>163</v>
      </c>
      <c r="BS69" t="s">
        <v>164</v>
      </c>
      <c r="BT69" t="s">
        <v>165</v>
      </c>
    </row>
    <row r="70" spans="2:72" ht="45" x14ac:dyDescent="0.25">
      <c r="B70" s="1" t="s">
        <v>2</v>
      </c>
      <c r="C70" s="2"/>
      <c r="D70" s="2"/>
      <c r="E70" s="2"/>
      <c r="F70" s="1" t="s">
        <v>26</v>
      </c>
      <c r="G70" s="41" t="s">
        <v>64</v>
      </c>
      <c r="H70" s="42" t="s">
        <v>60</v>
      </c>
      <c r="I70" s="2" t="s">
        <v>50</v>
      </c>
      <c r="J70" s="2" t="s">
        <v>47</v>
      </c>
      <c r="K70" s="2" t="s">
        <v>48</v>
      </c>
      <c r="L70" s="2" t="s">
        <v>49</v>
      </c>
      <c r="M70" s="41" t="s">
        <v>105</v>
      </c>
      <c r="N70" s="44" t="s">
        <v>106</v>
      </c>
      <c r="O70" s="107" t="s">
        <v>108</v>
      </c>
      <c r="P70" s="108" t="s">
        <v>109</v>
      </c>
      <c r="Q70" s="108" t="s">
        <v>110</v>
      </c>
      <c r="R70" s="108" t="s">
        <v>113</v>
      </c>
      <c r="S70" s="109" t="s">
        <v>111</v>
      </c>
      <c r="BE70" t="s">
        <v>166</v>
      </c>
      <c r="BG70" t="s">
        <v>0</v>
      </c>
      <c r="BH70" t="s">
        <v>0</v>
      </c>
      <c r="BI70" t="s">
        <v>0</v>
      </c>
      <c r="BJ70" t="s">
        <v>38</v>
      </c>
      <c r="BK70" t="s">
        <v>38</v>
      </c>
      <c r="BL70" t="s">
        <v>38</v>
      </c>
      <c r="BM70" t="s">
        <v>39</v>
      </c>
      <c r="BN70" t="s">
        <v>39</v>
      </c>
      <c r="BO70" t="s">
        <v>39</v>
      </c>
      <c r="BP70" t="s">
        <v>39</v>
      </c>
      <c r="BQ70" t="s">
        <v>39</v>
      </c>
      <c r="BR70" t="s">
        <v>39</v>
      </c>
      <c r="BS70" t="s">
        <v>39</v>
      </c>
      <c r="BT70" t="s">
        <v>39</v>
      </c>
    </row>
    <row r="71" spans="2:72" ht="15.75" thickBot="1" x14ac:dyDescent="0.3">
      <c r="B71" s="11"/>
      <c r="C71" s="12"/>
      <c r="D71" s="12"/>
      <c r="E71" s="12"/>
      <c r="F71" s="11" t="s">
        <v>0</v>
      </c>
      <c r="G71" s="26" t="s">
        <v>39</v>
      </c>
      <c r="H71" s="12" t="s">
        <v>39</v>
      </c>
      <c r="I71" s="12" t="s">
        <v>38</v>
      </c>
      <c r="J71" s="12" t="s">
        <v>38</v>
      </c>
      <c r="K71" s="12" t="s">
        <v>38</v>
      </c>
      <c r="L71" s="12" t="s">
        <v>38</v>
      </c>
      <c r="M71" s="11" t="s">
        <v>92</v>
      </c>
      <c r="N71" s="13" t="s">
        <v>92</v>
      </c>
      <c r="O71" s="110" t="s">
        <v>92</v>
      </c>
      <c r="P71" s="111" t="s">
        <v>92</v>
      </c>
      <c r="Q71" s="111" t="s">
        <v>92</v>
      </c>
      <c r="R71" s="111" t="s">
        <v>92</v>
      </c>
      <c r="S71" s="112" t="s">
        <v>92</v>
      </c>
      <c r="BA71" t="s">
        <v>72</v>
      </c>
      <c r="BB71" t="s">
        <v>171</v>
      </c>
      <c r="BC71" t="s">
        <v>171</v>
      </c>
      <c r="BD71" t="s">
        <v>80</v>
      </c>
      <c r="BE71">
        <v>10586.7</v>
      </c>
      <c r="BF71">
        <v>1</v>
      </c>
      <c r="BG71">
        <v>7965.5</v>
      </c>
      <c r="BH71">
        <v>7965.5</v>
      </c>
      <c r="BI71">
        <v>0</v>
      </c>
      <c r="BJ71">
        <v>0.59199999999999997</v>
      </c>
      <c r="BK71">
        <v>0</v>
      </c>
      <c r="BL71">
        <v>0</v>
      </c>
      <c r="BM71">
        <v>9.3510000000000009</v>
      </c>
      <c r="BN71">
        <v>0</v>
      </c>
      <c r="BO71">
        <v>2.577</v>
      </c>
      <c r="BP71">
        <v>0</v>
      </c>
      <c r="BQ71">
        <v>11.928000000000001</v>
      </c>
      <c r="BR71">
        <v>0</v>
      </c>
      <c r="BS71">
        <v>3.2349999999999999</v>
      </c>
      <c r="BT71">
        <v>3.2349999999999999</v>
      </c>
    </row>
    <row r="72" spans="2:72" ht="16.5" thickTop="1" thickBot="1" x14ac:dyDescent="0.3">
      <c r="B72" s="1" t="s">
        <v>171</v>
      </c>
      <c r="C72" s="2"/>
      <c r="D72" s="2"/>
      <c r="E72" s="2"/>
      <c r="F72" s="30">
        <v>14224.8</v>
      </c>
      <c r="G72" s="94">
        <f>SUMIFS($J$52:$J$66,$C$52:$C$66,$B72)</f>
        <v>20.14111267125012</v>
      </c>
      <c r="H72" s="94">
        <f>SUMIFS($I$52:$I$66,$C$52:$C$66,$B72)</f>
        <v>0</v>
      </c>
      <c r="I72" s="94">
        <f>(SUMIFS($F$52:$F$66,$C$52:$C$66,$B72))/$G72</f>
        <v>0.7839233404498287</v>
      </c>
      <c r="J72" s="94">
        <f>(SUMIFS($G$52:$G$66,$C$52:$C$66,$B72))/$G72</f>
        <v>0</v>
      </c>
      <c r="K72" s="94">
        <f>(SUMIFS($H$52:$H$66,$C$52:$C$66,$B72))/$G72</f>
        <v>0.2160766595501713</v>
      </c>
      <c r="L72" s="96">
        <f>(SUMIFS($I$52:$I$66,$C$52:$C$66,$B72))/$G72</f>
        <v>0</v>
      </c>
      <c r="M72" s="153">
        <f>0.0013*F72</f>
        <v>18.492239999999999</v>
      </c>
      <c r="N72" s="154">
        <f>M72+SUMIFS('Fan Static Pressure Adj_Backup'!$K$67:$K$69,'Fan Static Pressure Adj_Backup'!$B$67:$B$69,$B72)</f>
        <v>24.259953922281753</v>
      </c>
      <c r="O72" s="100">
        <f>$N72*I72</f>
        <v>19.017944117914034</v>
      </c>
      <c r="P72" s="101">
        <f t="shared" ref="P72:Q72" si="53">$N72*J72</f>
        <v>0</v>
      </c>
      <c r="Q72" s="101">
        <f t="shared" si="53"/>
        <v>5.2420098043677168</v>
      </c>
      <c r="R72" s="101">
        <f>SUM(P72:Q72)</f>
        <v>5.2420098043677168</v>
      </c>
      <c r="S72" s="102">
        <f>$N72*L72</f>
        <v>0</v>
      </c>
      <c r="BA72" t="s">
        <v>73</v>
      </c>
      <c r="BB72" t="s">
        <v>171</v>
      </c>
      <c r="BC72" t="s">
        <v>171</v>
      </c>
      <c r="BD72" t="s">
        <v>80</v>
      </c>
      <c r="BE72">
        <v>2231.8000000000002</v>
      </c>
      <c r="BF72">
        <v>1</v>
      </c>
      <c r="BG72">
        <v>2068</v>
      </c>
      <c r="BH72">
        <v>2068</v>
      </c>
      <c r="BI72">
        <v>0</v>
      </c>
      <c r="BJ72">
        <v>0.125</v>
      </c>
      <c r="BK72">
        <v>0</v>
      </c>
      <c r="BL72">
        <v>0</v>
      </c>
      <c r="BM72">
        <v>1.9710000000000001</v>
      </c>
      <c r="BN72">
        <v>0</v>
      </c>
      <c r="BO72">
        <v>0.54300000000000004</v>
      </c>
      <c r="BP72">
        <v>0</v>
      </c>
      <c r="BQ72">
        <v>2.5150000000000001</v>
      </c>
      <c r="BR72">
        <v>0</v>
      </c>
      <c r="BS72">
        <v>0.84</v>
      </c>
      <c r="BT72">
        <v>0.84</v>
      </c>
    </row>
    <row r="73" spans="2:72" ht="16.5" thickTop="1" thickBot="1" x14ac:dyDescent="0.3">
      <c r="B73" s="1" t="s">
        <v>172</v>
      </c>
      <c r="C73" s="2"/>
      <c r="D73" s="2"/>
      <c r="E73" s="2"/>
      <c r="F73" s="31">
        <v>14266.4</v>
      </c>
      <c r="G73" s="94">
        <f>SUMIFS($J$52:$J$66,$C$52:$C$66,$B73)</f>
        <v>21.190999999999999</v>
      </c>
      <c r="H73" s="94">
        <f>SUMIFS($I$52:$I$66,$C$52:$C$66,$B73)</f>
        <v>0.82499999999999996</v>
      </c>
      <c r="I73" s="94">
        <f>(SUMIFS($F$52:$F$66,$C$52:$C$66,$B73))/$G73</f>
        <v>0.7510263791232128</v>
      </c>
      <c r="J73" s="94">
        <f>(SUMIFS($G$52:$G$66,$C$52:$C$66,$B73))/$G73</f>
        <v>4.7472983813883256E-2</v>
      </c>
      <c r="K73" s="94">
        <f>(SUMIFS($H$52:$H$66,$C$52:$C$66,$B73))/$G73</f>
        <v>0.16256901514794017</v>
      </c>
      <c r="L73" s="96">
        <f>(SUMIFS($I$52:$I$66,$C$52:$C$66,$B73))/$G73</f>
        <v>3.8931621914963903E-2</v>
      </c>
      <c r="M73" s="153">
        <f>0.0013*F73</f>
        <v>18.546319999999998</v>
      </c>
      <c r="N73" s="154">
        <f>M73+SUMIFS('Fan Static Pressure Adj_Backup'!$K$67:$K$69,'Fan Static Pressure Adj_Backup'!$B$67:$B$69,$B73)</f>
        <v>22.919290276384984</v>
      </c>
      <c r="O73" s="100">
        <f t="shared" ref="O73:O74" si="54">$N73*I73</f>
        <v>17.212991588347275</v>
      </c>
      <c r="P73" s="101">
        <f t="shared" ref="P73:P74" si="55">$N73*J73</f>
        <v>1.0880470963165163</v>
      </c>
      <c r="Q73" s="101">
        <f t="shared" ref="Q73:Q74" si="56">$N73*K73</f>
        <v>3.7259664481216683</v>
      </c>
      <c r="R73" s="101">
        <f t="shared" ref="R73:R74" si="57">SUM(P73:Q73)</f>
        <v>4.8140135444381844</v>
      </c>
      <c r="S73" s="102">
        <f>$N73*L73</f>
        <v>0.89228514359952871</v>
      </c>
      <c r="BA73" t="s">
        <v>74</v>
      </c>
      <c r="BB73" t="s">
        <v>171</v>
      </c>
      <c r="BC73" t="s">
        <v>171</v>
      </c>
      <c r="BD73" t="s">
        <v>80</v>
      </c>
      <c r="BE73">
        <v>1412.9</v>
      </c>
      <c r="BF73">
        <v>1</v>
      </c>
      <c r="BG73">
        <v>1330.9</v>
      </c>
      <c r="BH73">
        <v>1330.9</v>
      </c>
      <c r="BI73">
        <v>0</v>
      </c>
      <c r="BJ73">
        <v>7.9000000000000001E-2</v>
      </c>
      <c r="BK73">
        <v>0</v>
      </c>
      <c r="BL73">
        <v>0</v>
      </c>
      <c r="BM73">
        <v>1.248</v>
      </c>
      <c r="BN73">
        <v>0</v>
      </c>
      <c r="BO73">
        <v>0.34399999999999997</v>
      </c>
      <c r="BP73">
        <v>0</v>
      </c>
      <c r="BQ73">
        <v>1.5920000000000001</v>
      </c>
      <c r="BR73">
        <v>0</v>
      </c>
      <c r="BS73">
        <v>0.54</v>
      </c>
      <c r="BT73">
        <v>0.54</v>
      </c>
    </row>
    <row r="74" spans="2:72" ht="15.75" thickTop="1" x14ac:dyDescent="0.25">
      <c r="B74" s="4" t="s">
        <v>173</v>
      </c>
      <c r="C74" s="5"/>
      <c r="D74" s="5"/>
      <c r="E74" s="5"/>
      <c r="F74" s="32">
        <v>14697.7</v>
      </c>
      <c r="G74" s="95">
        <f>SUMIFS($J$52:$J$66,$C$52:$C$66,$B74)</f>
        <v>5.702</v>
      </c>
      <c r="H74" s="95">
        <f>SUMIFS($I$52:$I$66,$C$52:$C$66,$B74)</f>
        <v>0.36599999999999999</v>
      </c>
      <c r="I74" s="95">
        <f>(SUMIFS($F$52:$F$66,$C$52:$C$66,$B74))/$G74</f>
        <v>0.93581199579095065</v>
      </c>
      <c r="J74" s="95">
        <f>(SUMIFS($G$52:$G$66,$C$52:$C$66,$B74))/$G74</f>
        <v>0</v>
      </c>
      <c r="K74" s="95">
        <f>(SUMIFS($H$52:$H$66,$C$52:$C$66,$B74))/$G74</f>
        <v>0</v>
      </c>
      <c r="L74" s="97">
        <f>(SUMIFS($I$52:$I$66,$C$52:$C$66,$B74))/$G74</f>
        <v>6.4188004209049451E-2</v>
      </c>
      <c r="M74" s="155">
        <f>0.0013*F74</f>
        <v>19.107009999999999</v>
      </c>
      <c r="N74" s="47">
        <f>M74+SUMIFS('Fan Static Pressure Adj_Backup'!$K$67:$K$69,'Fan Static Pressure Adj_Backup'!$B$67:$B$69,$B74)</f>
        <v>19.107009999999999</v>
      </c>
      <c r="O74" s="103">
        <f t="shared" si="54"/>
        <v>17.88056916169765</v>
      </c>
      <c r="P74" s="104">
        <f t="shared" si="55"/>
        <v>0</v>
      </c>
      <c r="Q74" s="104">
        <f t="shared" si="56"/>
        <v>0</v>
      </c>
      <c r="R74" s="104">
        <f t="shared" si="57"/>
        <v>0</v>
      </c>
      <c r="S74" s="105">
        <f>$N74*L74</f>
        <v>1.22644083830235</v>
      </c>
      <c r="BA74" t="s">
        <v>75</v>
      </c>
      <c r="BB74" t="s">
        <v>171</v>
      </c>
      <c r="BC74" t="s">
        <v>171</v>
      </c>
      <c r="BD74" t="s">
        <v>80</v>
      </c>
      <c r="BE74">
        <v>2231.8000000000002</v>
      </c>
      <c r="BF74">
        <v>1</v>
      </c>
      <c r="BG74">
        <v>1431.7</v>
      </c>
      <c r="BH74">
        <v>1431.7</v>
      </c>
      <c r="BI74">
        <v>0</v>
      </c>
      <c r="BJ74">
        <v>0.125</v>
      </c>
      <c r="BK74">
        <v>0</v>
      </c>
      <c r="BL74">
        <v>0</v>
      </c>
      <c r="BM74">
        <v>1.9710000000000001</v>
      </c>
      <c r="BN74">
        <v>0</v>
      </c>
      <c r="BO74">
        <v>0.54300000000000004</v>
      </c>
      <c r="BP74">
        <v>0</v>
      </c>
      <c r="BQ74">
        <v>2.5150000000000001</v>
      </c>
      <c r="BR74">
        <v>0</v>
      </c>
      <c r="BS74">
        <v>0.58099999999999996</v>
      </c>
      <c r="BT74">
        <v>0.58099999999999996</v>
      </c>
    </row>
    <row r="75" spans="2:72" x14ac:dyDescent="0.25">
      <c r="K75" s="8"/>
      <c r="BA75" t="s">
        <v>76</v>
      </c>
      <c r="BB75" t="s">
        <v>171</v>
      </c>
      <c r="BC75" t="s">
        <v>171</v>
      </c>
      <c r="BD75" t="s">
        <v>80</v>
      </c>
      <c r="BE75">
        <v>1412.8</v>
      </c>
      <c r="BF75">
        <v>1</v>
      </c>
      <c r="BG75">
        <v>1428.6</v>
      </c>
      <c r="BH75">
        <v>1428.6</v>
      </c>
      <c r="BI75">
        <v>0</v>
      </c>
      <c r="BJ75">
        <v>7.9000000000000001E-2</v>
      </c>
      <c r="BK75">
        <v>0</v>
      </c>
      <c r="BL75">
        <v>0</v>
      </c>
      <c r="BM75">
        <v>1.248</v>
      </c>
      <c r="BN75">
        <v>0</v>
      </c>
      <c r="BO75">
        <v>0.34399999999999997</v>
      </c>
      <c r="BP75">
        <v>0</v>
      </c>
      <c r="BQ75">
        <v>1.5920000000000001</v>
      </c>
      <c r="BR75">
        <v>0</v>
      </c>
      <c r="BS75">
        <v>0.57999999999999996</v>
      </c>
      <c r="BT75">
        <v>0.57999999999999996</v>
      </c>
    </row>
    <row r="76" spans="2:72" x14ac:dyDescent="0.25">
      <c r="BA76" t="s">
        <v>77</v>
      </c>
      <c r="BB76" t="s">
        <v>80</v>
      </c>
      <c r="BC76" t="s">
        <v>80</v>
      </c>
      <c r="BD76" t="s">
        <v>80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</row>
    <row r="77" spans="2:72" x14ac:dyDescent="0.25">
      <c r="BA77" t="s">
        <v>19</v>
      </c>
      <c r="BB77" t="s">
        <v>172</v>
      </c>
      <c r="BC77" t="s">
        <v>172</v>
      </c>
      <c r="BD77" t="s">
        <v>80</v>
      </c>
      <c r="BE77">
        <v>10586.7</v>
      </c>
      <c r="BF77">
        <v>1</v>
      </c>
      <c r="BG77">
        <v>7360.4</v>
      </c>
      <c r="BH77">
        <v>7360.4</v>
      </c>
      <c r="BI77">
        <v>0</v>
      </c>
      <c r="BJ77">
        <v>0.74399999999999999</v>
      </c>
      <c r="BK77">
        <v>0</v>
      </c>
      <c r="BL77">
        <v>0</v>
      </c>
      <c r="BM77">
        <v>9.3510000000000009</v>
      </c>
      <c r="BN77">
        <v>0</v>
      </c>
      <c r="BO77">
        <v>2.5630000000000002</v>
      </c>
      <c r="BP77">
        <v>0</v>
      </c>
      <c r="BQ77">
        <v>11.913</v>
      </c>
      <c r="BR77">
        <v>0</v>
      </c>
      <c r="BS77">
        <v>2.141</v>
      </c>
      <c r="BT77">
        <v>2.141</v>
      </c>
    </row>
    <row r="78" spans="2:72" x14ac:dyDescent="0.25">
      <c r="BA78" t="s">
        <v>20</v>
      </c>
      <c r="BB78" t="s">
        <v>172</v>
      </c>
      <c r="BC78" t="s">
        <v>172</v>
      </c>
      <c r="BD78" t="s">
        <v>80</v>
      </c>
      <c r="BE78">
        <v>2231.8000000000002</v>
      </c>
      <c r="BF78">
        <v>1</v>
      </c>
      <c r="BG78">
        <v>2373.9</v>
      </c>
      <c r="BH78">
        <v>2373.9</v>
      </c>
      <c r="BI78">
        <v>500</v>
      </c>
      <c r="BJ78">
        <v>0.61199999999999999</v>
      </c>
      <c r="BK78">
        <v>0</v>
      </c>
      <c r="BL78">
        <v>0.55600000000000005</v>
      </c>
      <c r="BM78">
        <v>2.048</v>
      </c>
      <c r="BN78">
        <v>0.61599999999999999</v>
      </c>
      <c r="BO78">
        <v>0</v>
      </c>
      <c r="BP78">
        <v>0.45800000000000002</v>
      </c>
      <c r="BQ78">
        <v>3.1219999999999999</v>
      </c>
      <c r="BR78">
        <v>0.127</v>
      </c>
      <c r="BS78">
        <v>0.69099999999999995</v>
      </c>
      <c r="BT78">
        <v>0.81799999999999995</v>
      </c>
    </row>
    <row r="79" spans="2:72" x14ac:dyDescent="0.25">
      <c r="BA79" t="s">
        <v>21</v>
      </c>
      <c r="BB79" t="s">
        <v>172</v>
      </c>
      <c r="BC79" t="s">
        <v>172</v>
      </c>
      <c r="BD79" t="s">
        <v>80</v>
      </c>
      <c r="BE79">
        <v>1412.9</v>
      </c>
      <c r="BF79">
        <v>1</v>
      </c>
      <c r="BG79">
        <v>1492</v>
      </c>
      <c r="BH79">
        <v>1492</v>
      </c>
      <c r="BI79">
        <v>400</v>
      </c>
      <c r="BJ79">
        <v>9.9000000000000005E-2</v>
      </c>
      <c r="BK79">
        <v>0</v>
      </c>
      <c r="BL79">
        <v>0.44400000000000001</v>
      </c>
      <c r="BM79">
        <v>1.248</v>
      </c>
      <c r="BN79">
        <v>0</v>
      </c>
      <c r="BO79">
        <v>0.34200000000000003</v>
      </c>
      <c r="BP79">
        <v>0.36599999999999999</v>
      </c>
      <c r="BQ79">
        <v>1.956</v>
      </c>
      <c r="BR79">
        <v>0.10199999999999999</v>
      </c>
      <c r="BS79">
        <v>0.434</v>
      </c>
      <c r="BT79">
        <v>0.53600000000000003</v>
      </c>
    </row>
    <row r="80" spans="2:72" x14ac:dyDescent="0.25">
      <c r="BA80" t="s">
        <v>22</v>
      </c>
      <c r="BB80" t="s">
        <v>172</v>
      </c>
      <c r="BC80" t="s">
        <v>172</v>
      </c>
      <c r="BD80" t="s">
        <v>80</v>
      </c>
      <c r="BE80">
        <v>2231.8000000000002</v>
      </c>
      <c r="BF80">
        <v>1</v>
      </c>
      <c r="BG80">
        <v>1415.9</v>
      </c>
      <c r="BH80">
        <v>1415.9</v>
      </c>
      <c r="BI80">
        <v>0</v>
      </c>
      <c r="BJ80">
        <v>0.157</v>
      </c>
      <c r="BK80">
        <v>0</v>
      </c>
      <c r="BL80">
        <v>0</v>
      </c>
      <c r="BM80">
        <v>1.9710000000000001</v>
      </c>
      <c r="BN80">
        <v>0</v>
      </c>
      <c r="BO80">
        <v>0.54</v>
      </c>
      <c r="BP80">
        <v>0</v>
      </c>
      <c r="BQ80">
        <v>2.5110000000000001</v>
      </c>
      <c r="BR80">
        <v>0</v>
      </c>
      <c r="BS80">
        <v>0.41199999999999998</v>
      </c>
      <c r="BT80">
        <v>0.41199999999999998</v>
      </c>
    </row>
    <row r="81" spans="53:72" x14ac:dyDescent="0.25">
      <c r="BA81" t="s">
        <v>23</v>
      </c>
      <c r="BB81" t="s">
        <v>172</v>
      </c>
      <c r="BC81" t="s">
        <v>172</v>
      </c>
      <c r="BD81" t="s">
        <v>80</v>
      </c>
      <c r="BE81">
        <v>1412.8</v>
      </c>
      <c r="BF81">
        <v>1</v>
      </c>
      <c r="BG81">
        <v>1624.1</v>
      </c>
      <c r="BH81">
        <v>1624.1</v>
      </c>
      <c r="BI81">
        <v>0</v>
      </c>
      <c r="BJ81">
        <v>0.38800000000000001</v>
      </c>
      <c r="BK81">
        <v>0</v>
      </c>
      <c r="BL81">
        <v>0</v>
      </c>
      <c r="BM81">
        <v>1.2969999999999999</v>
      </c>
      <c r="BN81">
        <v>0.39</v>
      </c>
      <c r="BO81">
        <v>0</v>
      </c>
      <c r="BP81">
        <v>0</v>
      </c>
      <c r="BQ81">
        <v>1.6870000000000001</v>
      </c>
      <c r="BR81">
        <v>0</v>
      </c>
      <c r="BS81">
        <v>0.47299999999999998</v>
      </c>
      <c r="BT81">
        <v>0.47299999999999998</v>
      </c>
    </row>
    <row r="82" spans="53:72" x14ac:dyDescent="0.25">
      <c r="BA82" t="s">
        <v>78</v>
      </c>
      <c r="BB82" t="s">
        <v>80</v>
      </c>
      <c r="BC82" t="s">
        <v>80</v>
      </c>
      <c r="BD82" t="s">
        <v>80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53:72" x14ac:dyDescent="0.25">
      <c r="BA83" t="s">
        <v>7</v>
      </c>
      <c r="BB83" t="s">
        <v>173</v>
      </c>
      <c r="BC83" t="s">
        <v>173</v>
      </c>
      <c r="BD83" t="s">
        <v>80</v>
      </c>
      <c r="BE83">
        <v>10586.7</v>
      </c>
      <c r="BF83">
        <v>1</v>
      </c>
      <c r="BG83">
        <v>7618.8</v>
      </c>
      <c r="BH83">
        <v>7618.8</v>
      </c>
      <c r="BI83">
        <v>0</v>
      </c>
      <c r="BJ83">
        <v>1</v>
      </c>
      <c r="BK83">
        <v>0.74399999999999999</v>
      </c>
      <c r="BL83">
        <v>0</v>
      </c>
      <c r="BM83">
        <v>2.1560000000000001</v>
      </c>
      <c r="BN83">
        <v>0</v>
      </c>
      <c r="BO83">
        <v>0</v>
      </c>
      <c r="BP83">
        <v>0</v>
      </c>
      <c r="BQ83">
        <v>2.1560000000000001</v>
      </c>
      <c r="BR83">
        <v>0</v>
      </c>
      <c r="BS83">
        <v>0</v>
      </c>
      <c r="BT83">
        <v>0</v>
      </c>
    </row>
    <row r="84" spans="53:72" x14ac:dyDescent="0.25">
      <c r="BA84" t="s">
        <v>8</v>
      </c>
      <c r="BB84" t="s">
        <v>173</v>
      </c>
      <c r="BC84" t="s">
        <v>173</v>
      </c>
      <c r="BD84" t="s">
        <v>80</v>
      </c>
      <c r="BE84">
        <v>2231.8000000000002</v>
      </c>
      <c r="BF84">
        <v>1</v>
      </c>
      <c r="BG84">
        <v>2411.6999999999998</v>
      </c>
      <c r="BH84">
        <v>2411.6999999999998</v>
      </c>
      <c r="BI84">
        <v>245</v>
      </c>
      <c r="BJ84">
        <v>1</v>
      </c>
      <c r="BK84">
        <v>0</v>
      </c>
      <c r="BL84">
        <v>0.61299999999999999</v>
      </c>
      <c r="BM84">
        <v>0.7</v>
      </c>
      <c r="BN84">
        <v>0</v>
      </c>
      <c r="BO84">
        <v>0</v>
      </c>
      <c r="BP84">
        <v>0.224</v>
      </c>
      <c r="BQ84">
        <v>0.92400000000000004</v>
      </c>
      <c r="BR84">
        <v>0</v>
      </c>
      <c r="BS84">
        <v>0</v>
      </c>
      <c r="BT84">
        <v>0</v>
      </c>
    </row>
    <row r="85" spans="53:72" x14ac:dyDescent="0.25">
      <c r="BA85" t="s">
        <v>9</v>
      </c>
      <c r="BB85" t="s">
        <v>173</v>
      </c>
      <c r="BC85" t="s">
        <v>173</v>
      </c>
      <c r="BD85" t="s">
        <v>80</v>
      </c>
      <c r="BE85">
        <v>1412.9</v>
      </c>
      <c r="BF85">
        <v>1</v>
      </c>
      <c r="BG85">
        <v>1474.9</v>
      </c>
      <c r="BH85">
        <v>1474.9</v>
      </c>
      <c r="BI85">
        <v>155</v>
      </c>
      <c r="BJ85">
        <v>1</v>
      </c>
      <c r="BK85">
        <v>0</v>
      </c>
      <c r="BL85">
        <v>0.38800000000000001</v>
      </c>
      <c r="BM85">
        <v>0.7</v>
      </c>
      <c r="BN85">
        <v>0</v>
      </c>
      <c r="BO85">
        <v>0</v>
      </c>
      <c r="BP85">
        <v>0.14199999999999999</v>
      </c>
      <c r="BQ85">
        <v>0.84199999999999997</v>
      </c>
      <c r="BR85">
        <v>0</v>
      </c>
      <c r="BS85">
        <v>0</v>
      </c>
      <c r="BT85">
        <v>0</v>
      </c>
    </row>
    <row r="86" spans="53:72" x14ac:dyDescent="0.25">
      <c r="BA86" t="s">
        <v>10</v>
      </c>
      <c r="BB86" t="s">
        <v>173</v>
      </c>
      <c r="BC86" t="s">
        <v>173</v>
      </c>
      <c r="BD86" t="s">
        <v>80</v>
      </c>
      <c r="BE86">
        <v>2231.8000000000002</v>
      </c>
      <c r="BF86">
        <v>1</v>
      </c>
      <c r="BG86">
        <v>1496.7</v>
      </c>
      <c r="BH86">
        <v>1496.7</v>
      </c>
      <c r="BI86">
        <v>0</v>
      </c>
      <c r="BJ86">
        <v>1</v>
      </c>
      <c r="BK86">
        <v>0.157</v>
      </c>
      <c r="BL86">
        <v>0</v>
      </c>
      <c r="BM86">
        <v>0.93300000000000005</v>
      </c>
      <c r="BN86">
        <v>0</v>
      </c>
      <c r="BO86">
        <v>0</v>
      </c>
      <c r="BP86">
        <v>0</v>
      </c>
      <c r="BQ86">
        <v>0.93300000000000005</v>
      </c>
      <c r="BR86">
        <v>0</v>
      </c>
      <c r="BS86">
        <v>0</v>
      </c>
      <c r="BT86">
        <v>0</v>
      </c>
    </row>
    <row r="87" spans="53:72" x14ac:dyDescent="0.25">
      <c r="BA87" t="s">
        <v>11</v>
      </c>
      <c r="BB87" t="s">
        <v>173</v>
      </c>
      <c r="BC87" t="s">
        <v>173</v>
      </c>
      <c r="BD87" t="s">
        <v>80</v>
      </c>
      <c r="BE87">
        <v>1412.8</v>
      </c>
      <c r="BF87">
        <v>1</v>
      </c>
      <c r="BG87">
        <v>1695.5</v>
      </c>
      <c r="BH87">
        <v>1695.5</v>
      </c>
      <c r="BI87">
        <v>0</v>
      </c>
      <c r="BJ87">
        <v>1</v>
      </c>
      <c r="BK87">
        <v>9.9000000000000005E-2</v>
      </c>
      <c r="BL87">
        <v>0</v>
      </c>
      <c r="BM87">
        <v>0.84699999999999998</v>
      </c>
      <c r="BN87">
        <v>0</v>
      </c>
      <c r="BO87">
        <v>0</v>
      </c>
      <c r="BP87">
        <v>0</v>
      </c>
      <c r="BQ87">
        <v>0.84699999999999998</v>
      </c>
      <c r="BR87">
        <v>0</v>
      </c>
      <c r="BS87">
        <v>0</v>
      </c>
      <c r="BT87">
        <v>0</v>
      </c>
    </row>
    <row r="88" spans="53:72" x14ac:dyDescent="0.25">
      <c r="BA88" t="s">
        <v>79</v>
      </c>
      <c r="BB88" t="s">
        <v>80</v>
      </c>
      <c r="BC88" t="s">
        <v>80</v>
      </c>
      <c r="BD88" t="s">
        <v>80</v>
      </c>
      <c r="BE88">
        <v>0</v>
      </c>
      <c r="BF88">
        <v>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</row>
  </sheetData>
  <mergeCells count="3">
    <mergeCell ref="F8:H8"/>
    <mergeCell ref="I8:K8"/>
    <mergeCell ref="O69:S69"/>
  </mergeCells>
  <conditionalFormatting sqref="A6:BA6 A44 Y44:AZ44 B47:X47">
    <cfRule type="cellIs" dxfId="34" priority="3" operator="equal">
      <formula>0</formula>
    </cfRule>
  </conditionalFormatting>
  <conditionalFormatting sqref="BA45:BA46 BA67">
    <cfRule type="cellIs" dxfId="3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9BF4-6601-45E6-BD34-AE11538EAEBB}">
  <dimension ref="A1:BW91"/>
  <sheetViews>
    <sheetView tabSelected="1" topLeftCell="A47" zoomScale="55" zoomScaleNormal="55" workbookViewId="0">
      <pane xSplit="2" topLeftCell="C1" activePane="topRight" state="frozen"/>
      <selection activeCell="A17" sqref="A17"/>
      <selection pane="topRight" activeCell="AD70" sqref="AD70"/>
    </sheetView>
  </sheetViews>
  <sheetFormatPr defaultRowHeight="15" x14ac:dyDescent="0.25"/>
  <cols>
    <col min="1" max="1" width="14.85546875" bestFit="1" customWidth="1"/>
    <col min="2" max="2" width="35.28515625" bestFit="1" customWidth="1"/>
    <col min="3" max="3" width="28.28515625" customWidth="1"/>
    <col min="4" max="5" width="18.5703125" customWidth="1"/>
    <col min="6" max="28" width="10.140625" customWidth="1"/>
    <col min="29" max="29" width="11.5703125" customWidth="1"/>
    <col min="30" max="37" width="10.140625" customWidth="1"/>
    <col min="38" max="38" width="4" customWidth="1"/>
    <col min="39" max="39" width="7.5703125" customWidth="1"/>
    <col min="40" max="42" width="18.42578125" customWidth="1"/>
    <col min="43" max="70" width="8.5703125" customWidth="1"/>
  </cols>
  <sheetData>
    <row r="1" spans="1:75" x14ac:dyDescent="0.25">
      <c r="B1" s="24" t="s">
        <v>118</v>
      </c>
    </row>
    <row r="2" spans="1:75" x14ac:dyDescent="0.25">
      <c r="B2" s="123" t="s">
        <v>115</v>
      </c>
    </row>
    <row r="3" spans="1:75" ht="15.75" thickBot="1" x14ac:dyDescent="0.3">
      <c r="B3" s="124" t="s">
        <v>116</v>
      </c>
    </row>
    <row r="4" spans="1:75" ht="15.75" thickTop="1" x14ac:dyDescent="0.25">
      <c r="B4" s="135" t="s">
        <v>117</v>
      </c>
    </row>
    <row r="5" spans="1:75" x14ac:dyDescent="0.25">
      <c r="B5" s="220" t="s">
        <v>168</v>
      </c>
    </row>
    <row r="7" spans="1:75" x14ac:dyDescent="0.25">
      <c r="A7" s="137" t="s">
        <v>167</v>
      </c>
      <c r="B7" s="138">
        <v>0.01</v>
      </c>
      <c r="T7" t="s">
        <v>252</v>
      </c>
      <c r="U7" t="s">
        <v>254</v>
      </c>
      <c r="V7" t="s">
        <v>284</v>
      </c>
      <c r="W7" t="s">
        <v>253</v>
      </c>
      <c r="X7" t="s">
        <v>255</v>
      </c>
      <c r="Y7" t="s">
        <v>256</v>
      </c>
      <c r="Z7" t="str">
        <f>T7</f>
        <v>FullyDuctedExh</v>
      </c>
      <c r="AA7" t="str">
        <f t="shared" ref="AA7:AE7" si="0">U7</f>
        <v>ExhFilters</v>
      </c>
      <c r="AB7" t="str">
        <f t="shared" si="0"/>
        <v>BiosftyCab</v>
      </c>
      <c r="AC7" t="str">
        <f t="shared" si="0"/>
        <v>FullyDuctedRet</v>
      </c>
      <c r="AD7" t="str">
        <f t="shared" si="0"/>
        <v>MERVGTE16</v>
      </c>
      <c r="AE7" t="str">
        <f t="shared" si="0"/>
        <v>GasPhaseAirCleaners</v>
      </c>
      <c r="AF7" t="str">
        <f>T7</f>
        <v>FullyDuctedExh</v>
      </c>
      <c r="AG7" t="str">
        <f>U7</f>
        <v>ExhFilters</v>
      </c>
      <c r="AH7" t="str">
        <f t="shared" ref="AH7:AK7" si="1">V7</f>
        <v>BiosftyCab</v>
      </c>
      <c r="AI7" t="str">
        <f t="shared" si="1"/>
        <v>FullyDuctedRet</v>
      </c>
      <c r="AJ7" t="str">
        <f t="shared" si="1"/>
        <v>MERVGTE16</v>
      </c>
      <c r="AK7" t="str">
        <f t="shared" si="1"/>
        <v>GasPhaseAirCleaners</v>
      </c>
    </row>
    <row r="8" spans="1:75" x14ac:dyDescent="0.25">
      <c r="T8" t="s">
        <v>286</v>
      </c>
      <c r="U8" t="str">
        <f>T8</f>
        <v>PDAdj</v>
      </c>
      <c r="V8" t="str">
        <f t="shared" ref="V8:Y8" si="2">U8</f>
        <v>PDAdj</v>
      </c>
      <c r="W8" t="str">
        <f t="shared" si="2"/>
        <v>PDAdj</v>
      </c>
      <c r="X8" t="str">
        <f t="shared" si="2"/>
        <v>PDAdj</v>
      </c>
      <c r="Y8" t="str">
        <f t="shared" si="2"/>
        <v>PDAdj</v>
      </c>
      <c r="Z8" t="s">
        <v>285</v>
      </c>
      <c r="AA8" t="str">
        <f>Z8</f>
        <v>DevFlow</v>
      </c>
      <c r="AB8" t="str">
        <f t="shared" ref="AB8:AE8" si="3">AA8</f>
        <v>DevFlow</v>
      </c>
      <c r="AC8" t="str">
        <f t="shared" si="3"/>
        <v>DevFlow</v>
      </c>
      <c r="AD8" t="str">
        <f t="shared" si="3"/>
        <v>DevFlow</v>
      </c>
      <c r="AE8" t="str">
        <f t="shared" si="3"/>
        <v>DevFlow</v>
      </c>
      <c r="AF8" t="s">
        <v>287</v>
      </c>
      <c r="AG8" t="str">
        <f>AF8</f>
        <v>PwrIdxAdj</v>
      </c>
      <c r="AH8" t="str">
        <f t="shared" ref="AH8:AK8" si="4">AG8</f>
        <v>PwrIdxAdj</v>
      </c>
      <c r="AI8" t="str">
        <f t="shared" si="4"/>
        <v>PwrIdxAdj</v>
      </c>
      <c r="AJ8" t="str">
        <f t="shared" si="4"/>
        <v>PwrIdxAdj</v>
      </c>
      <c r="AK8" t="str">
        <f t="shared" si="4"/>
        <v>PwrIdxAdj</v>
      </c>
    </row>
    <row r="9" spans="1:75" ht="28.5" x14ac:dyDescent="0.45">
      <c r="B9" s="58" t="s">
        <v>44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M9" s="140" t="s">
        <v>169</v>
      </c>
      <c r="AN9" s="139" t="s">
        <v>119</v>
      </c>
    </row>
    <row r="10" spans="1:75" ht="23.25" x14ac:dyDescent="0.35">
      <c r="B10" s="159" t="s">
        <v>174</v>
      </c>
      <c r="AF10" s="316" t="s">
        <v>340</v>
      </c>
      <c r="AM10" s="2"/>
      <c r="AP10" t="s">
        <v>120</v>
      </c>
      <c r="AT10" t="s">
        <v>121</v>
      </c>
      <c r="AY10" t="s">
        <v>122</v>
      </c>
      <c r="BC10" t="s">
        <v>123</v>
      </c>
    </row>
    <row r="11" spans="1:75" s="238" customFormat="1" ht="201.75" x14ac:dyDescent="0.25">
      <c r="A11" s="300"/>
      <c r="B11" s="295" t="s">
        <v>65</v>
      </c>
      <c r="C11" s="296" t="s">
        <v>88</v>
      </c>
      <c r="D11" s="296" t="s">
        <v>26</v>
      </c>
      <c r="E11" s="296" t="s">
        <v>27</v>
      </c>
      <c r="F11" s="296" t="s">
        <v>28</v>
      </c>
      <c r="G11" s="296" t="s">
        <v>81</v>
      </c>
      <c r="H11" s="296" t="s">
        <v>34</v>
      </c>
      <c r="I11" s="296" t="s">
        <v>35</v>
      </c>
      <c r="J11" s="296" t="s">
        <v>36</v>
      </c>
      <c r="K11" s="296" t="s">
        <v>37</v>
      </c>
      <c r="L11" s="295" t="s">
        <v>63</v>
      </c>
      <c r="M11" s="296" t="s">
        <v>50</v>
      </c>
      <c r="N11" s="296" t="s">
        <v>47</v>
      </c>
      <c r="O11" s="296" t="s">
        <v>48</v>
      </c>
      <c r="P11" s="296" t="s">
        <v>49</v>
      </c>
      <c r="Q11" s="296" t="s">
        <v>283</v>
      </c>
      <c r="R11" s="229"/>
      <c r="S11" s="230" t="s">
        <v>97</v>
      </c>
      <c r="T11" s="231" t="str">
        <f>T7&amp;T8</f>
        <v>FullyDuctedExhPDAdj</v>
      </c>
      <c r="U11" s="232" t="str">
        <f t="shared" ref="U11:Y11" si="5">U7&amp;U8</f>
        <v>ExhFiltersPDAdj</v>
      </c>
      <c r="V11" s="233" t="str">
        <f t="shared" si="5"/>
        <v>BiosftyCabPDAdj</v>
      </c>
      <c r="W11" s="234" t="str">
        <f t="shared" si="5"/>
        <v>FullyDuctedRetPDAdj</v>
      </c>
      <c r="X11" s="235" t="str">
        <f t="shared" si="5"/>
        <v>MERVGTE16PDAdj</v>
      </c>
      <c r="Y11" s="299" t="str">
        <f t="shared" si="5"/>
        <v>GasPhaseAirCleanersPDAdj</v>
      </c>
      <c r="Z11" s="231" t="str">
        <f>Z7&amp;Z8</f>
        <v>FullyDuctedExhDevFlow</v>
      </c>
      <c r="AA11" s="232" t="str">
        <f t="shared" ref="AA11:AE11" si="6">AA7&amp;AA8</f>
        <v>ExhFiltersDevFlow</v>
      </c>
      <c r="AB11" s="233" t="str">
        <f t="shared" si="6"/>
        <v>BiosftyCabDevFlow</v>
      </c>
      <c r="AC11" s="234" t="str">
        <f t="shared" si="6"/>
        <v>FullyDuctedRetDevFlow</v>
      </c>
      <c r="AD11" s="235" t="str">
        <f t="shared" si="6"/>
        <v>MERVGTE16DevFlow</v>
      </c>
      <c r="AE11" s="299" t="str">
        <f t="shared" si="6"/>
        <v>GasPhaseAirCleanersDevFlow</v>
      </c>
      <c r="AF11" s="231" t="str">
        <f>AF7&amp;AF8</f>
        <v>FullyDuctedExhPwrIdxAdj</v>
      </c>
      <c r="AG11" s="232" t="str">
        <f t="shared" ref="AG11:AK11" si="7">AG7&amp;AG8</f>
        <v>ExhFiltersPwrIdxAdj</v>
      </c>
      <c r="AH11" s="233" t="str">
        <f t="shared" si="7"/>
        <v>BiosftyCabPwrIdxAdj</v>
      </c>
      <c r="AI11" s="234" t="str">
        <f t="shared" si="7"/>
        <v>FullyDuctedRetPwrIdxAdj</v>
      </c>
      <c r="AJ11" s="235" t="str">
        <f t="shared" si="7"/>
        <v>MERVGTE16PwrIdxAdj</v>
      </c>
      <c r="AK11" s="299" t="str">
        <f t="shared" si="7"/>
        <v>GasPhaseAirCleanersPwrIdxAdj</v>
      </c>
      <c r="AN11" s="238" t="s">
        <v>65</v>
      </c>
      <c r="AO11" s="238" t="s">
        <v>88</v>
      </c>
      <c r="AP11" s="238" t="s">
        <v>124</v>
      </c>
      <c r="AQ11" s="238" t="s">
        <v>125</v>
      </c>
      <c r="AR11" s="238" t="s">
        <v>126</v>
      </c>
      <c r="AS11" s="238" t="s">
        <v>127</v>
      </c>
      <c r="AT11" s="238" t="s">
        <v>128</v>
      </c>
      <c r="AU11" s="238" t="s">
        <v>129</v>
      </c>
      <c r="AV11" s="238" t="s">
        <v>130</v>
      </c>
      <c r="AW11" s="238" t="s">
        <v>131</v>
      </c>
      <c r="AX11" s="238" t="s">
        <v>132</v>
      </c>
      <c r="AY11" s="238" t="s">
        <v>133</v>
      </c>
      <c r="AZ11" s="238" t="s">
        <v>134</v>
      </c>
      <c r="BA11" s="238" t="s">
        <v>135</v>
      </c>
      <c r="BB11" s="238" t="s">
        <v>136</v>
      </c>
      <c r="BC11" s="238" t="s">
        <v>137</v>
      </c>
      <c r="BD11" s="238" t="s">
        <v>138</v>
      </c>
      <c r="BE11" s="238" t="s">
        <v>139</v>
      </c>
      <c r="BF11" s="238" t="s">
        <v>202</v>
      </c>
      <c r="BG11" s="238" t="s">
        <v>183</v>
      </c>
      <c r="BH11" s="238" t="s">
        <v>184</v>
      </c>
      <c r="BI11" s="238" t="s">
        <v>185</v>
      </c>
      <c r="BJ11" s="238" t="s">
        <v>186</v>
      </c>
      <c r="BK11" s="238" t="s">
        <v>187</v>
      </c>
      <c r="BL11" s="238" t="s">
        <v>204</v>
      </c>
      <c r="BM11" s="238" t="s">
        <v>205</v>
      </c>
      <c r="BN11" s="238" t="s">
        <v>206</v>
      </c>
      <c r="BO11" s="238" t="s">
        <v>207</v>
      </c>
      <c r="BP11" s="238" t="s">
        <v>208</v>
      </c>
      <c r="BQ11" s="238" t="s">
        <v>209</v>
      </c>
    </row>
    <row r="12" spans="1:75" s="243" customFormat="1" ht="15.75" thickBot="1" x14ac:dyDescent="0.3">
      <c r="A12" s="257"/>
      <c r="B12" s="241"/>
      <c r="C12" s="245"/>
      <c r="D12" s="245" t="s">
        <v>0</v>
      </c>
      <c r="E12" s="245" t="s">
        <v>0</v>
      </c>
      <c r="F12" s="245" t="s">
        <v>0</v>
      </c>
      <c r="G12" s="245" t="s">
        <v>0</v>
      </c>
      <c r="H12" s="245" t="s">
        <v>39</v>
      </c>
      <c r="I12" s="245" t="s">
        <v>39</v>
      </c>
      <c r="J12" s="245" t="s">
        <v>39</v>
      </c>
      <c r="K12" s="245" t="s">
        <v>39</v>
      </c>
      <c r="L12" s="241" t="s">
        <v>39</v>
      </c>
      <c r="M12" s="245" t="s">
        <v>38</v>
      </c>
      <c r="N12" s="245" t="s">
        <v>38</v>
      </c>
      <c r="O12" s="245" t="s">
        <v>38</v>
      </c>
      <c r="P12" s="245" t="s">
        <v>38</v>
      </c>
      <c r="Q12" s="245"/>
      <c r="R12" s="256"/>
      <c r="S12" s="247" t="s">
        <v>39</v>
      </c>
      <c r="T12" s="241" t="s">
        <v>337</v>
      </c>
      <c r="U12" s="245" t="s">
        <v>337</v>
      </c>
      <c r="V12" s="245" t="s">
        <v>337</v>
      </c>
      <c r="W12" s="245" t="s">
        <v>337</v>
      </c>
      <c r="X12" s="245" t="s">
        <v>337</v>
      </c>
      <c r="Y12" s="242" t="s">
        <v>337</v>
      </c>
      <c r="Z12" s="241" t="s">
        <v>0</v>
      </c>
      <c r="AA12" s="245" t="s">
        <v>0</v>
      </c>
      <c r="AB12" s="245" t="s">
        <v>0</v>
      </c>
      <c r="AC12" s="245" t="s">
        <v>0</v>
      </c>
      <c r="AD12" s="245" t="s">
        <v>0</v>
      </c>
      <c r="AE12" s="242" t="s">
        <v>0</v>
      </c>
      <c r="AF12" s="241" t="s">
        <v>288</v>
      </c>
      <c r="AG12" s="241" t="s">
        <v>288</v>
      </c>
      <c r="AH12" s="241" t="s">
        <v>288</v>
      </c>
      <c r="AI12" s="241" t="s">
        <v>288</v>
      </c>
      <c r="AJ12" s="241" t="s">
        <v>288</v>
      </c>
      <c r="AK12" s="241" t="s">
        <v>288</v>
      </c>
      <c r="AN12"/>
      <c r="AO12"/>
      <c r="AP12" t="s">
        <v>0</v>
      </c>
      <c r="AQ12" t="s">
        <v>0</v>
      </c>
      <c r="AR12" t="s">
        <v>0</v>
      </c>
      <c r="AS12" t="s">
        <v>0</v>
      </c>
      <c r="AT12" t="s">
        <v>39</v>
      </c>
      <c r="AU12" t="s">
        <v>39</v>
      </c>
      <c r="AV12" t="s">
        <v>39</v>
      </c>
      <c r="AW12" t="s">
        <v>39</v>
      </c>
      <c r="AX12" t="s">
        <v>39</v>
      </c>
      <c r="AY12" t="s">
        <v>94</v>
      </c>
      <c r="AZ12" t="s">
        <v>94</v>
      </c>
      <c r="BA12" t="s">
        <v>94</v>
      </c>
      <c r="BB12" t="s">
        <v>94</v>
      </c>
      <c r="BC12" t="s">
        <v>39</v>
      </c>
      <c r="BD12" t="s">
        <v>39</v>
      </c>
      <c r="BE12" t="s">
        <v>39</v>
      </c>
      <c r="BF12" t="s">
        <v>337</v>
      </c>
      <c r="BG12" t="s">
        <v>337</v>
      </c>
      <c r="BH12" t="s">
        <v>337</v>
      </c>
      <c r="BI12" t="s">
        <v>337</v>
      </c>
      <c r="BJ12" t="s">
        <v>337</v>
      </c>
      <c r="BK12" t="s">
        <v>337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</row>
    <row r="13" spans="1:75" ht="15.75" thickTop="1" x14ac:dyDescent="0.25">
      <c r="A13" s="2"/>
      <c r="B13" s="1" t="str">
        <f t="shared" ref="B13:K18" si="8">AN13</f>
        <v>BottomVAV</v>
      </c>
      <c r="C13" s="2" t="str">
        <f t="shared" si="8"/>
        <v>PVAV</v>
      </c>
      <c r="D13" s="81">
        <f t="shared" si="8"/>
        <v>17875.900000000001</v>
      </c>
      <c r="E13" s="82">
        <f t="shared" si="8"/>
        <v>16088.3</v>
      </c>
      <c r="F13" s="81">
        <f t="shared" si="8"/>
        <v>0</v>
      </c>
      <c r="G13" s="81">
        <f t="shared" si="8"/>
        <v>0</v>
      </c>
      <c r="H13" s="21">
        <f t="shared" si="8"/>
        <v>17.231999999999999</v>
      </c>
      <c r="I13" s="131">
        <f t="shared" si="8"/>
        <v>6.343</v>
      </c>
      <c r="J13" s="21">
        <f t="shared" si="8"/>
        <v>0</v>
      </c>
      <c r="K13" s="27">
        <f t="shared" si="8"/>
        <v>0</v>
      </c>
      <c r="L13" s="205">
        <f t="shared" ref="L13:L28" si="9">ROUND(SUM(H13:K13),3)</f>
        <v>23.574999999999999</v>
      </c>
      <c r="M13" s="194">
        <f t="shared" ref="M13:P28" si="10">ROUND(H13/$L13,3)</f>
        <v>0.73099999999999998</v>
      </c>
      <c r="N13" s="194">
        <f t="shared" si="10"/>
        <v>0.26900000000000002</v>
      </c>
      <c r="O13" s="194">
        <f t="shared" si="10"/>
        <v>0</v>
      </c>
      <c r="P13" s="195">
        <f t="shared" si="10"/>
        <v>0</v>
      </c>
      <c r="Q13" s="224">
        <v>1</v>
      </c>
      <c r="R13" s="25"/>
      <c r="S13" s="206">
        <f>SUMPRODUCT(AF13:AK13,Z13:AE13)/1000</f>
        <v>5.441408</v>
      </c>
      <c r="T13" s="177">
        <f t="shared" ref="T13:Y18" si="11">BF13</f>
        <v>0</v>
      </c>
      <c r="U13" s="177">
        <f t="shared" si="11"/>
        <v>0</v>
      </c>
      <c r="V13" s="177">
        <f t="shared" si="11"/>
        <v>0</v>
      </c>
      <c r="W13" s="177">
        <f t="shared" si="11"/>
        <v>0.5</v>
      </c>
      <c r="X13" s="177">
        <f t="shared" si="11"/>
        <v>1.2</v>
      </c>
      <c r="Y13" s="178">
        <f t="shared" si="11"/>
        <v>0</v>
      </c>
      <c r="Z13" s="82">
        <f t="shared" ref="Z13:AE18" si="12">BL13</f>
        <v>0</v>
      </c>
      <c r="AA13" s="82">
        <f t="shared" si="12"/>
        <v>0</v>
      </c>
      <c r="AB13" s="82">
        <f t="shared" si="12"/>
        <v>0</v>
      </c>
      <c r="AC13" s="82">
        <f t="shared" si="12"/>
        <v>16088</v>
      </c>
      <c r="AD13" s="82">
        <f t="shared" si="12"/>
        <v>17876</v>
      </c>
      <c r="AE13" s="182">
        <f t="shared" si="12"/>
        <v>0</v>
      </c>
      <c r="AF13" s="88">
        <f>BR13</f>
        <v>0</v>
      </c>
      <c r="AG13" s="88">
        <f t="shared" ref="AG13:AG18" si="13">BS13</f>
        <v>0</v>
      </c>
      <c r="AH13" s="88">
        <f t="shared" ref="AH13:AH18" si="14">BT13</f>
        <v>0</v>
      </c>
      <c r="AI13" s="88">
        <f t="shared" ref="AI13:AI18" si="15">BU13</f>
        <v>0.11600000000000001</v>
      </c>
      <c r="AJ13" s="88">
        <f t="shared" ref="AJ13:AJ18" si="16">BV13</f>
        <v>0.2</v>
      </c>
      <c r="AK13" s="280">
        <f t="shared" ref="AK13:AK18" si="17">BW13</f>
        <v>0</v>
      </c>
      <c r="AN13" t="s">
        <v>66</v>
      </c>
      <c r="AO13" t="s">
        <v>67</v>
      </c>
      <c r="AP13">
        <v>17875.900000000001</v>
      </c>
      <c r="AQ13">
        <v>16088.3</v>
      </c>
      <c r="AR13">
        <v>0</v>
      </c>
      <c r="AS13">
        <v>0</v>
      </c>
      <c r="AT13">
        <v>17.231999999999999</v>
      </c>
      <c r="AU13">
        <v>6.343</v>
      </c>
      <c r="AV13">
        <v>0</v>
      </c>
      <c r="AW13">
        <v>0</v>
      </c>
      <c r="AX13">
        <v>23.574999999999999</v>
      </c>
      <c r="AY13">
        <v>0.73099999999999998</v>
      </c>
      <c r="AZ13">
        <v>0.26900000000000002</v>
      </c>
      <c r="BA13">
        <v>0</v>
      </c>
      <c r="BB13">
        <v>0</v>
      </c>
      <c r="BC13">
        <v>0</v>
      </c>
      <c r="BD13">
        <v>5.4379999999999997</v>
      </c>
      <c r="BE13">
        <v>5.4379999999999997</v>
      </c>
      <c r="BF13">
        <v>0</v>
      </c>
      <c r="BG13">
        <v>0</v>
      </c>
      <c r="BH13">
        <v>0</v>
      </c>
      <c r="BI13">
        <v>0.5</v>
      </c>
      <c r="BJ13">
        <v>1.2</v>
      </c>
      <c r="BK13">
        <v>0</v>
      </c>
      <c r="BL13">
        <v>0</v>
      </c>
      <c r="BM13">
        <v>0</v>
      </c>
      <c r="BN13">
        <v>0</v>
      </c>
      <c r="BO13">
        <v>16088</v>
      </c>
      <c r="BP13">
        <v>17876</v>
      </c>
      <c r="BQ13">
        <v>0</v>
      </c>
      <c r="BR13">
        <v>0</v>
      </c>
      <c r="BS13">
        <v>0</v>
      </c>
      <c r="BT13">
        <v>0</v>
      </c>
      <c r="BU13">
        <v>0.11600000000000001</v>
      </c>
      <c r="BV13">
        <v>0.2</v>
      </c>
      <c r="BW13">
        <v>0</v>
      </c>
    </row>
    <row r="14" spans="1:75" x14ac:dyDescent="0.25">
      <c r="A14" s="2"/>
      <c r="B14" s="1" t="str">
        <f t="shared" si="8"/>
        <v>Mid VAV-SW Zones</v>
      </c>
      <c r="C14" s="2" t="str">
        <f t="shared" si="8"/>
        <v>PVAV</v>
      </c>
      <c r="D14" s="82">
        <f t="shared" si="8"/>
        <v>4373.5</v>
      </c>
      <c r="E14" s="82">
        <f t="shared" si="8"/>
        <v>3936.1</v>
      </c>
      <c r="F14" s="82">
        <f t="shared" si="8"/>
        <v>0</v>
      </c>
      <c r="G14" s="82">
        <f t="shared" si="8"/>
        <v>0</v>
      </c>
      <c r="H14" s="132">
        <f t="shared" si="8"/>
        <v>3.0920000000000001</v>
      </c>
      <c r="I14" s="132">
        <f t="shared" si="8"/>
        <v>1.234</v>
      </c>
      <c r="J14" s="25">
        <f t="shared" si="8"/>
        <v>0</v>
      </c>
      <c r="K14" s="28">
        <f t="shared" si="8"/>
        <v>0</v>
      </c>
      <c r="L14" s="194">
        <f t="shared" si="9"/>
        <v>4.3259999999999996</v>
      </c>
      <c r="M14" s="194">
        <f t="shared" si="10"/>
        <v>0.71499999999999997</v>
      </c>
      <c r="N14" s="194">
        <f t="shared" si="10"/>
        <v>0.28499999999999998</v>
      </c>
      <c r="O14" s="194">
        <f t="shared" si="10"/>
        <v>0</v>
      </c>
      <c r="P14" s="195">
        <f t="shared" si="10"/>
        <v>0</v>
      </c>
      <c r="Q14" s="224">
        <v>1</v>
      </c>
      <c r="R14" s="25"/>
      <c r="S14" s="206">
        <f t="shared" ref="S14:S18" si="18">SUMPRODUCT(AF14:AK14,Z14:AE14)/1000</f>
        <v>0.69093399999999994</v>
      </c>
      <c r="T14" s="177">
        <f t="shared" si="11"/>
        <v>0</v>
      </c>
      <c r="U14" s="177">
        <f t="shared" si="11"/>
        <v>0</v>
      </c>
      <c r="V14" s="177">
        <f t="shared" si="11"/>
        <v>0</v>
      </c>
      <c r="W14" s="177">
        <f t="shared" si="11"/>
        <v>0</v>
      </c>
      <c r="X14" s="177">
        <f t="shared" si="11"/>
        <v>1.2</v>
      </c>
      <c r="Y14" s="178">
        <f t="shared" si="11"/>
        <v>0</v>
      </c>
      <c r="Z14" s="82">
        <f t="shared" si="12"/>
        <v>0</v>
      </c>
      <c r="AA14" s="82">
        <f t="shared" si="12"/>
        <v>0</v>
      </c>
      <c r="AB14" s="82">
        <f t="shared" si="12"/>
        <v>0</v>
      </c>
      <c r="AC14" s="82">
        <f t="shared" si="12"/>
        <v>0</v>
      </c>
      <c r="AD14" s="82">
        <f t="shared" si="12"/>
        <v>4373</v>
      </c>
      <c r="AE14" s="182">
        <f t="shared" si="12"/>
        <v>0</v>
      </c>
      <c r="AF14" s="88">
        <f t="shared" ref="AF14:AF18" si="19">BR14</f>
        <v>0</v>
      </c>
      <c r="AG14" s="88">
        <f t="shared" si="13"/>
        <v>0</v>
      </c>
      <c r="AH14" s="88">
        <f t="shared" si="14"/>
        <v>0</v>
      </c>
      <c r="AI14" s="88">
        <f t="shared" si="15"/>
        <v>0</v>
      </c>
      <c r="AJ14" s="88">
        <f t="shared" si="16"/>
        <v>0.158</v>
      </c>
      <c r="AK14" s="280">
        <f t="shared" si="17"/>
        <v>0</v>
      </c>
      <c r="AN14" t="s">
        <v>24</v>
      </c>
      <c r="AO14" t="s">
        <v>67</v>
      </c>
      <c r="AP14">
        <v>4373.5</v>
      </c>
      <c r="AQ14">
        <v>3936.1</v>
      </c>
      <c r="AR14">
        <v>0</v>
      </c>
      <c r="AS14">
        <v>0</v>
      </c>
      <c r="AT14">
        <v>3.0920000000000001</v>
      </c>
      <c r="AU14">
        <v>1.234</v>
      </c>
      <c r="AV14">
        <v>0</v>
      </c>
      <c r="AW14">
        <v>0</v>
      </c>
      <c r="AX14">
        <v>4.3259999999999996</v>
      </c>
      <c r="AY14">
        <v>0.71499999999999997</v>
      </c>
      <c r="AZ14">
        <v>0.28499999999999998</v>
      </c>
      <c r="BA14">
        <v>0</v>
      </c>
      <c r="BB14">
        <v>0</v>
      </c>
      <c r="BC14">
        <v>0</v>
      </c>
      <c r="BD14">
        <v>0.69299999999999995</v>
      </c>
      <c r="BE14">
        <v>0.69299999999999995</v>
      </c>
      <c r="BF14">
        <v>0</v>
      </c>
      <c r="BG14">
        <v>0</v>
      </c>
      <c r="BH14">
        <v>0</v>
      </c>
      <c r="BI14">
        <v>0</v>
      </c>
      <c r="BJ14">
        <v>1.2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4373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0.158</v>
      </c>
      <c r="BW14">
        <v>0</v>
      </c>
    </row>
    <row r="15" spans="1:75" x14ac:dyDescent="0.25">
      <c r="A15" s="2"/>
      <c r="B15" s="1" t="str">
        <f t="shared" si="8"/>
        <v>Mid VAV NE_Core Zones</v>
      </c>
      <c r="C15" s="2" t="str">
        <f t="shared" si="8"/>
        <v>PVAV</v>
      </c>
      <c r="D15" s="82">
        <f t="shared" si="8"/>
        <v>14231.4</v>
      </c>
      <c r="E15" s="82">
        <f t="shared" si="8"/>
        <v>0</v>
      </c>
      <c r="F15" s="82">
        <f t="shared" si="8"/>
        <v>12808.2</v>
      </c>
      <c r="G15" s="82">
        <f t="shared" si="8"/>
        <v>0</v>
      </c>
      <c r="H15" s="25">
        <f t="shared" si="8"/>
        <v>11.137</v>
      </c>
      <c r="I15" s="25">
        <f t="shared" si="8"/>
        <v>0</v>
      </c>
      <c r="J15" s="132">
        <f t="shared" si="8"/>
        <v>3.363</v>
      </c>
      <c r="K15" s="28">
        <f t="shared" si="8"/>
        <v>0</v>
      </c>
      <c r="L15" s="194">
        <f t="shared" si="9"/>
        <v>14.5</v>
      </c>
      <c r="M15" s="194">
        <f t="shared" si="10"/>
        <v>0.76800000000000002</v>
      </c>
      <c r="N15" s="194">
        <f t="shared" si="10"/>
        <v>0</v>
      </c>
      <c r="O15" s="194">
        <f t="shared" si="10"/>
        <v>0.23200000000000001</v>
      </c>
      <c r="P15" s="195">
        <f t="shared" si="10"/>
        <v>0</v>
      </c>
      <c r="Q15" s="224">
        <v>1</v>
      </c>
      <c r="R15" s="25"/>
      <c r="S15" s="206">
        <f t="shared" si="18"/>
        <v>3.2873610000000002</v>
      </c>
      <c r="T15" s="177">
        <f t="shared" si="11"/>
        <v>0</v>
      </c>
      <c r="U15" s="177">
        <f t="shared" si="11"/>
        <v>0</v>
      </c>
      <c r="V15" s="177">
        <f t="shared" si="11"/>
        <v>0</v>
      </c>
      <c r="W15" s="177">
        <f t="shared" si="11"/>
        <v>0</v>
      </c>
      <c r="X15" s="177">
        <f t="shared" si="11"/>
        <v>0</v>
      </c>
      <c r="Y15" s="178">
        <f t="shared" si="11"/>
        <v>1</v>
      </c>
      <c r="Z15" s="82">
        <f t="shared" si="12"/>
        <v>0</v>
      </c>
      <c r="AA15" s="82">
        <f t="shared" si="12"/>
        <v>0</v>
      </c>
      <c r="AB15" s="82">
        <f t="shared" si="12"/>
        <v>0</v>
      </c>
      <c r="AC15" s="82">
        <f t="shared" si="12"/>
        <v>0</v>
      </c>
      <c r="AD15" s="82">
        <f t="shared" si="12"/>
        <v>0</v>
      </c>
      <c r="AE15" s="182">
        <f t="shared" si="12"/>
        <v>14231</v>
      </c>
      <c r="AF15" s="88">
        <f t="shared" si="19"/>
        <v>0</v>
      </c>
      <c r="AG15" s="88">
        <f t="shared" si="13"/>
        <v>0</v>
      </c>
      <c r="AH15" s="88">
        <f t="shared" si="14"/>
        <v>0</v>
      </c>
      <c r="AI15" s="88">
        <f t="shared" si="15"/>
        <v>0</v>
      </c>
      <c r="AJ15" s="88">
        <f t="shared" si="16"/>
        <v>0</v>
      </c>
      <c r="AK15" s="280">
        <f t="shared" si="17"/>
        <v>0.23100000000000001</v>
      </c>
      <c r="AN15" t="s">
        <v>68</v>
      </c>
      <c r="AO15" t="s">
        <v>67</v>
      </c>
      <c r="AP15">
        <v>14231.4</v>
      </c>
      <c r="AQ15">
        <v>0</v>
      </c>
      <c r="AR15">
        <v>12808.2</v>
      </c>
      <c r="AS15">
        <v>0</v>
      </c>
      <c r="AT15">
        <v>11.137</v>
      </c>
      <c r="AU15">
        <v>0</v>
      </c>
      <c r="AV15">
        <v>3.363</v>
      </c>
      <c r="AW15">
        <v>0</v>
      </c>
      <c r="AX15">
        <v>14.5</v>
      </c>
      <c r="AY15">
        <v>0.76800000000000002</v>
      </c>
      <c r="AZ15">
        <v>0</v>
      </c>
      <c r="BA15">
        <v>0.23200000000000001</v>
      </c>
      <c r="BB15">
        <v>0</v>
      </c>
      <c r="BC15">
        <v>0</v>
      </c>
      <c r="BD15">
        <v>3.2869999999999999</v>
      </c>
      <c r="BE15">
        <v>3.2869999999999999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14231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0.23100000000000001</v>
      </c>
    </row>
    <row r="16" spans="1:75" x14ac:dyDescent="0.25">
      <c r="A16" s="2"/>
      <c r="B16" s="1" t="str">
        <f t="shared" si="8"/>
        <v>Mid SE Zones ExhSys</v>
      </c>
      <c r="C16" s="2" t="str">
        <f t="shared" si="8"/>
        <v>Exhaust</v>
      </c>
      <c r="D16" s="82">
        <f t="shared" si="8"/>
        <v>0</v>
      </c>
      <c r="E16" s="82">
        <f t="shared" si="8"/>
        <v>0</v>
      </c>
      <c r="F16" s="82">
        <f t="shared" si="8"/>
        <v>0</v>
      </c>
      <c r="G16" s="82">
        <f t="shared" si="8"/>
        <v>2619.4</v>
      </c>
      <c r="H16" s="25">
        <f t="shared" si="8"/>
        <v>0</v>
      </c>
      <c r="I16" s="25">
        <f t="shared" si="8"/>
        <v>0</v>
      </c>
      <c r="J16" s="25">
        <f t="shared" si="8"/>
        <v>0</v>
      </c>
      <c r="K16" s="28">
        <f t="shared" si="8"/>
        <v>2.1160000000000001</v>
      </c>
      <c r="L16" s="194">
        <f t="shared" si="9"/>
        <v>2.1160000000000001</v>
      </c>
      <c r="M16" s="194">
        <f t="shared" si="10"/>
        <v>0</v>
      </c>
      <c r="N16" s="194">
        <f t="shared" si="10"/>
        <v>0</v>
      </c>
      <c r="O16" s="194">
        <f t="shared" si="10"/>
        <v>0</v>
      </c>
      <c r="P16" s="195">
        <f t="shared" si="10"/>
        <v>1</v>
      </c>
      <c r="Q16" s="224">
        <v>0</v>
      </c>
      <c r="R16" s="25"/>
      <c r="S16" s="206">
        <f t="shared" si="18"/>
        <v>0.70713000000000004</v>
      </c>
      <c r="T16" s="177">
        <f t="shared" si="11"/>
        <v>0.5</v>
      </c>
      <c r="U16" s="177">
        <f t="shared" si="11"/>
        <v>0</v>
      </c>
      <c r="V16" s="177">
        <f t="shared" si="11"/>
        <v>1</v>
      </c>
      <c r="W16" s="177">
        <f t="shared" si="11"/>
        <v>0</v>
      </c>
      <c r="X16" s="177">
        <f t="shared" si="11"/>
        <v>0</v>
      </c>
      <c r="Y16" s="178">
        <f t="shared" si="11"/>
        <v>0</v>
      </c>
      <c r="Z16" s="82">
        <f t="shared" si="12"/>
        <v>2619</v>
      </c>
      <c r="AA16" s="82">
        <f t="shared" si="12"/>
        <v>0</v>
      </c>
      <c r="AB16" s="82">
        <f t="shared" si="12"/>
        <v>2619</v>
      </c>
      <c r="AC16" s="82">
        <f t="shared" si="12"/>
        <v>0</v>
      </c>
      <c r="AD16" s="82">
        <f t="shared" si="12"/>
        <v>0</v>
      </c>
      <c r="AE16" s="182">
        <f t="shared" si="12"/>
        <v>0</v>
      </c>
      <c r="AF16" s="88">
        <f t="shared" si="19"/>
        <v>9.0999999999999998E-2</v>
      </c>
      <c r="AG16" s="88">
        <f t="shared" si="13"/>
        <v>0</v>
      </c>
      <c r="AH16" s="88">
        <f t="shared" si="14"/>
        <v>0.17899999999999999</v>
      </c>
      <c r="AI16" s="88">
        <f t="shared" si="15"/>
        <v>0</v>
      </c>
      <c r="AJ16" s="88">
        <f t="shared" si="16"/>
        <v>0</v>
      </c>
      <c r="AK16" s="280">
        <f t="shared" si="17"/>
        <v>0</v>
      </c>
      <c r="AN16" t="s">
        <v>25</v>
      </c>
      <c r="AO16" t="s">
        <v>69</v>
      </c>
      <c r="AP16">
        <v>0</v>
      </c>
      <c r="AQ16">
        <v>0</v>
      </c>
      <c r="AR16">
        <v>0</v>
      </c>
      <c r="AS16">
        <v>2619.4</v>
      </c>
      <c r="AT16">
        <v>0</v>
      </c>
      <c r="AU16">
        <v>0</v>
      </c>
      <c r="AV16">
        <v>0</v>
      </c>
      <c r="AW16">
        <v>2.1160000000000001</v>
      </c>
      <c r="AX16">
        <v>2.1160000000000001</v>
      </c>
      <c r="AY16">
        <v>0</v>
      </c>
      <c r="AZ16">
        <v>0</v>
      </c>
      <c r="BA16">
        <v>0</v>
      </c>
      <c r="BB16">
        <v>1</v>
      </c>
      <c r="BC16">
        <v>0.70699999999999996</v>
      </c>
      <c r="BD16">
        <v>0</v>
      </c>
      <c r="BE16">
        <v>0.70699999999999996</v>
      </c>
      <c r="BF16">
        <v>0.5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2619</v>
      </c>
      <c r="BM16">
        <v>0</v>
      </c>
      <c r="BN16">
        <v>2619</v>
      </c>
      <c r="BO16">
        <v>0</v>
      </c>
      <c r="BP16">
        <v>0</v>
      </c>
      <c r="BQ16">
        <v>0</v>
      </c>
      <c r="BR16">
        <v>9.0999999999999998E-2</v>
      </c>
      <c r="BS16">
        <v>0</v>
      </c>
      <c r="BT16">
        <v>0.17899999999999999</v>
      </c>
      <c r="BU16">
        <v>0</v>
      </c>
      <c r="BV16">
        <v>0</v>
      </c>
      <c r="BW16">
        <v>0</v>
      </c>
    </row>
    <row r="17" spans="1:75" x14ac:dyDescent="0.25">
      <c r="A17" s="2"/>
      <c r="B17" s="1" t="str">
        <f t="shared" si="8"/>
        <v>TopFlrDOAS</v>
      </c>
      <c r="C17" s="2" t="str">
        <f t="shared" si="8"/>
        <v>DOASCV</v>
      </c>
      <c r="D17" s="143">
        <f t="shared" si="8"/>
        <v>2134.6999999999998</v>
      </c>
      <c r="E17" s="143">
        <f t="shared" si="8"/>
        <v>0</v>
      </c>
      <c r="F17" s="143">
        <f t="shared" si="8"/>
        <v>0</v>
      </c>
      <c r="G17" s="143">
        <f t="shared" si="8"/>
        <v>0</v>
      </c>
      <c r="H17" s="185">
        <f t="shared" si="8"/>
        <v>1.5609999999999999</v>
      </c>
      <c r="I17" s="185">
        <f t="shared" si="8"/>
        <v>0</v>
      </c>
      <c r="J17" s="185">
        <f t="shared" si="8"/>
        <v>0</v>
      </c>
      <c r="K17" s="186">
        <f t="shared" si="8"/>
        <v>0</v>
      </c>
      <c r="L17" s="199">
        <f t="shared" si="9"/>
        <v>1.5609999999999999</v>
      </c>
      <c r="M17" s="199">
        <f t="shared" si="10"/>
        <v>1</v>
      </c>
      <c r="N17" s="199">
        <f t="shared" si="10"/>
        <v>0</v>
      </c>
      <c r="O17" s="199">
        <f t="shared" si="10"/>
        <v>0</v>
      </c>
      <c r="P17" s="200">
        <f t="shared" si="10"/>
        <v>0</v>
      </c>
      <c r="Q17" s="224">
        <v>0</v>
      </c>
      <c r="R17" s="185"/>
      <c r="S17" s="206">
        <f t="shared" si="18"/>
        <v>0</v>
      </c>
      <c r="T17" s="187">
        <f t="shared" si="11"/>
        <v>0</v>
      </c>
      <c r="U17" s="187">
        <f t="shared" si="11"/>
        <v>0</v>
      </c>
      <c r="V17" s="187">
        <f t="shared" si="11"/>
        <v>0</v>
      </c>
      <c r="W17" s="187">
        <f t="shared" si="11"/>
        <v>0</v>
      </c>
      <c r="X17" s="187">
        <f t="shared" si="11"/>
        <v>0</v>
      </c>
      <c r="Y17" s="188">
        <f t="shared" si="11"/>
        <v>0</v>
      </c>
      <c r="Z17" s="143">
        <f t="shared" si="12"/>
        <v>0</v>
      </c>
      <c r="AA17" s="143">
        <f t="shared" si="12"/>
        <v>0</v>
      </c>
      <c r="AB17" s="143">
        <f t="shared" si="12"/>
        <v>0</v>
      </c>
      <c r="AC17" s="143">
        <f t="shared" si="12"/>
        <v>0</v>
      </c>
      <c r="AD17" s="143">
        <f t="shared" si="12"/>
        <v>0</v>
      </c>
      <c r="AE17" s="189">
        <f t="shared" si="12"/>
        <v>0</v>
      </c>
      <c r="AF17" s="142">
        <f t="shared" si="19"/>
        <v>0</v>
      </c>
      <c r="AG17" s="142">
        <f t="shared" si="13"/>
        <v>0</v>
      </c>
      <c r="AH17" s="142">
        <f t="shared" si="14"/>
        <v>0</v>
      </c>
      <c r="AI17" s="142">
        <f t="shared" si="15"/>
        <v>0</v>
      </c>
      <c r="AJ17" s="142">
        <f t="shared" si="16"/>
        <v>0</v>
      </c>
      <c r="AK17" s="281">
        <f t="shared" si="17"/>
        <v>0</v>
      </c>
      <c r="AN17" t="s">
        <v>17</v>
      </c>
      <c r="AO17" t="s">
        <v>140</v>
      </c>
      <c r="AP17">
        <v>2134.6999999999998</v>
      </c>
      <c r="AQ17">
        <v>0</v>
      </c>
      <c r="AR17">
        <v>0</v>
      </c>
      <c r="AS17">
        <v>0</v>
      </c>
      <c r="AT17">
        <v>1.5609999999999999</v>
      </c>
      <c r="AU17">
        <v>0</v>
      </c>
      <c r="AV17">
        <v>0</v>
      </c>
      <c r="AW17">
        <v>0</v>
      </c>
      <c r="AX17">
        <v>1.5609999999999999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25">
      <c r="A18" s="2"/>
      <c r="B18" s="1" t="str">
        <f t="shared" si="8"/>
        <v>Restroom ExhSys</v>
      </c>
      <c r="C18" s="2" t="str">
        <f t="shared" si="8"/>
        <v>Exhaust</v>
      </c>
      <c r="D18" s="82">
        <f t="shared" si="8"/>
        <v>0</v>
      </c>
      <c r="E18" s="82">
        <f t="shared" si="8"/>
        <v>0</v>
      </c>
      <c r="F18" s="82">
        <f t="shared" si="8"/>
        <v>0</v>
      </c>
      <c r="G18" s="82">
        <f t="shared" si="8"/>
        <v>400</v>
      </c>
      <c r="H18" s="25">
        <f t="shared" si="8"/>
        <v>0</v>
      </c>
      <c r="I18" s="25">
        <f t="shared" si="8"/>
        <v>0</v>
      </c>
      <c r="J18" s="25">
        <f t="shared" si="8"/>
        <v>0</v>
      </c>
      <c r="K18" s="28">
        <f t="shared" si="8"/>
        <v>0.21099999999999999</v>
      </c>
      <c r="L18" s="194">
        <f t="shared" si="9"/>
        <v>0.21099999999999999</v>
      </c>
      <c r="M18" s="194">
        <f t="shared" si="10"/>
        <v>0</v>
      </c>
      <c r="N18" s="194">
        <f t="shared" si="10"/>
        <v>0</v>
      </c>
      <c r="O18" s="194">
        <f t="shared" si="10"/>
        <v>0</v>
      </c>
      <c r="P18" s="195">
        <f t="shared" si="10"/>
        <v>1</v>
      </c>
      <c r="Q18" s="224">
        <v>0</v>
      </c>
      <c r="R18" s="25"/>
      <c r="S18" s="206">
        <f t="shared" si="18"/>
        <v>0</v>
      </c>
      <c r="T18" s="177">
        <f t="shared" si="11"/>
        <v>0</v>
      </c>
      <c r="U18" s="177">
        <f t="shared" si="11"/>
        <v>0</v>
      </c>
      <c r="V18" s="177">
        <f t="shared" si="11"/>
        <v>0</v>
      </c>
      <c r="W18" s="177">
        <f t="shared" si="11"/>
        <v>0</v>
      </c>
      <c r="X18" s="177">
        <f t="shared" si="11"/>
        <v>0</v>
      </c>
      <c r="Y18" s="178">
        <f t="shared" si="11"/>
        <v>0</v>
      </c>
      <c r="Z18" s="82">
        <f t="shared" si="12"/>
        <v>0</v>
      </c>
      <c r="AA18" s="82">
        <f t="shared" si="12"/>
        <v>0</v>
      </c>
      <c r="AB18" s="82">
        <f t="shared" si="12"/>
        <v>0</v>
      </c>
      <c r="AC18" s="82">
        <f t="shared" si="12"/>
        <v>0</v>
      </c>
      <c r="AD18" s="82">
        <f t="shared" si="12"/>
        <v>0</v>
      </c>
      <c r="AE18" s="182">
        <f t="shared" si="12"/>
        <v>0</v>
      </c>
      <c r="AF18" s="88">
        <f t="shared" si="19"/>
        <v>0</v>
      </c>
      <c r="AG18" s="88">
        <f t="shared" si="13"/>
        <v>0</v>
      </c>
      <c r="AH18" s="88">
        <f t="shared" si="14"/>
        <v>0</v>
      </c>
      <c r="AI18" s="88">
        <f t="shared" si="15"/>
        <v>0</v>
      </c>
      <c r="AJ18" s="88">
        <f t="shared" si="16"/>
        <v>0</v>
      </c>
      <c r="AK18" s="280">
        <f t="shared" si="17"/>
        <v>0</v>
      </c>
      <c r="AN18" t="s">
        <v>210</v>
      </c>
      <c r="AO18" t="s">
        <v>69</v>
      </c>
      <c r="AP18">
        <v>0</v>
      </c>
      <c r="AQ18">
        <v>0</v>
      </c>
      <c r="AR18">
        <v>0</v>
      </c>
      <c r="AS18">
        <v>400</v>
      </c>
      <c r="AT18">
        <v>0</v>
      </c>
      <c r="AU18">
        <v>0</v>
      </c>
      <c r="AV18">
        <v>0</v>
      </c>
      <c r="AW18">
        <v>0.21099999999999999</v>
      </c>
      <c r="AX18">
        <v>0.21099999999999999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25">
      <c r="A19" s="2"/>
    </row>
    <row r="20" spans="1:75" x14ac:dyDescent="0.25">
      <c r="A20" s="2"/>
      <c r="AN20" t="s">
        <v>141</v>
      </c>
    </row>
    <row r="21" spans="1:75" ht="23.25" x14ac:dyDescent="0.35">
      <c r="A21" s="2"/>
      <c r="B21" s="159" t="s">
        <v>175</v>
      </c>
      <c r="AF21" s="316" t="s">
        <v>340</v>
      </c>
      <c r="AP21" t="s">
        <v>120</v>
      </c>
      <c r="AT21" t="s">
        <v>121</v>
      </c>
      <c r="AY21" t="s">
        <v>122</v>
      </c>
      <c r="BC21" t="s">
        <v>123</v>
      </c>
    </row>
    <row r="22" spans="1:75" s="238" customFormat="1" ht="202.5" x14ac:dyDescent="0.25">
      <c r="A22" s="300"/>
      <c r="B22" s="295" t="s">
        <v>65</v>
      </c>
      <c r="C22" s="296" t="s">
        <v>88</v>
      </c>
      <c r="D22" s="296" t="s">
        <v>26</v>
      </c>
      <c r="E22" s="296" t="s">
        <v>27</v>
      </c>
      <c r="F22" s="296" t="s">
        <v>28</v>
      </c>
      <c r="G22" s="296" t="s">
        <v>81</v>
      </c>
      <c r="H22" s="296" t="s">
        <v>34</v>
      </c>
      <c r="I22" s="296" t="s">
        <v>35</v>
      </c>
      <c r="J22" s="296" t="s">
        <v>36</v>
      </c>
      <c r="K22" s="296" t="s">
        <v>37</v>
      </c>
      <c r="L22" s="295" t="s">
        <v>63</v>
      </c>
      <c r="M22" s="296" t="s">
        <v>50</v>
      </c>
      <c r="N22" s="296" t="s">
        <v>47</v>
      </c>
      <c r="O22" s="296" t="s">
        <v>48</v>
      </c>
      <c r="P22" s="296" t="s">
        <v>49</v>
      </c>
      <c r="Q22" s="296" t="s">
        <v>283</v>
      </c>
      <c r="R22" s="229"/>
      <c r="S22" s="301" t="s">
        <v>97</v>
      </c>
      <c r="T22" s="231" t="str">
        <f>T11</f>
        <v>FullyDuctedExhPDAdj</v>
      </c>
      <c r="U22" s="232" t="s">
        <v>176</v>
      </c>
      <c r="V22" s="233" t="s">
        <v>177</v>
      </c>
      <c r="W22" s="234" t="s">
        <v>180</v>
      </c>
      <c r="X22" s="235" t="s">
        <v>83</v>
      </c>
      <c r="Y22" s="299" t="s">
        <v>84</v>
      </c>
      <c r="Z22" s="231" t="s">
        <v>200</v>
      </c>
      <c r="AA22" s="232" t="s">
        <v>85</v>
      </c>
      <c r="AB22" s="233" t="s">
        <v>178</v>
      </c>
      <c r="AC22" s="234" t="s">
        <v>181</v>
      </c>
      <c r="AD22" s="235" t="s">
        <v>86</v>
      </c>
      <c r="AE22" s="299" t="s">
        <v>87</v>
      </c>
      <c r="AF22" s="231" t="str">
        <f>AF11</f>
        <v>FullyDuctedExhPwrIdxAdj</v>
      </c>
      <c r="AG22" s="232" t="str">
        <f t="shared" ref="AG22:AK22" si="20">AG11</f>
        <v>ExhFiltersPwrIdxAdj</v>
      </c>
      <c r="AH22" s="233" t="str">
        <f t="shared" si="20"/>
        <v>BiosftyCabPwrIdxAdj</v>
      </c>
      <c r="AI22" s="234" t="str">
        <f t="shared" si="20"/>
        <v>FullyDuctedRetPwrIdxAdj</v>
      </c>
      <c r="AJ22" s="235" t="str">
        <f t="shared" si="20"/>
        <v>MERVGTE16PwrIdxAdj</v>
      </c>
      <c r="AK22" s="299" t="str">
        <f t="shared" si="20"/>
        <v>GasPhaseAirCleanersPwrIdxAdj</v>
      </c>
      <c r="AN22" s="238" t="s">
        <v>65</v>
      </c>
      <c r="AO22" s="238" t="s">
        <v>88</v>
      </c>
      <c r="AP22" s="238" t="s">
        <v>124</v>
      </c>
      <c r="AQ22" s="238" t="s">
        <v>125</v>
      </c>
      <c r="AR22" s="238" t="s">
        <v>126</v>
      </c>
      <c r="AS22" s="238" t="s">
        <v>127</v>
      </c>
      <c r="AT22" s="238" t="s">
        <v>128</v>
      </c>
      <c r="AU22" s="238" t="s">
        <v>129</v>
      </c>
      <c r="AV22" s="238" t="s">
        <v>130</v>
      </c>
      <c r="AW22" s="238" t="s">
        <v>131</v>
      </c>
      <c r="AX22" s="238" t="s">
        <v>132</v>
      </c>
      <c r="AY22" s="238" t="s">
        <v>133</v>
      </c>
      <c r="AZ22" s="238" t="s">
        <v>134</v>
      </c>
      <c r="BA22" s="238" t="s">
        <v>135</v>
      </c>
      <c r="BB22" s="238" t="s">
        <v>136</v>
      </c>
      <c r="BC22" s="238" t="s">
        <v>137</v>
      </c>
      <c r="BD22" s="238" t="s">
        <v>138</v>
      </c>
      <c r="BE22" s="238" t="s">
        <v>139</v>
      </c>
      <c r="BF22" s="238" t="s">
        <v>202</v>
      </c>
      <c r="BG22" s="238" t="s">
        <v>183</v>
      </c>
      <c r="BH22" s="238" t="s">
        <v>184</v>
      </c>
      <c r="BI22" s="238" t="s">
        <v>185</v>
      </c>
      <c r="BJ22" s="238" t="s">
        <v>186</v>
      </c>
      <c r="BK22" s="238" t="s">
        <v>187</v>
      </c>
      <c r="BL22" s="238" t="s">
        <v>204</v>
      </c>
      <c r="BM22" s="238" t="s">
        <v>205</v>
      </c>
      <c r="BN22" s="238" t="s">
        <v>206</v>
      </c>
      <c r="BO22" s="238" t="s">
        <v>207</v>
      </c>
      <c r="BP22" s="238" t="s">
        <v>208</v>
      </c>
      <c r="BQ22" s="238" t="s">
        <v>209</v>
      </c>
    </row>
    <row r="23" spans="1:75" s="243" customFormat="1" ht="15.75" thickBot="1" x14ac:dyDescent="0.3">
      <c r="A23" s="257"/>
      <c r="B23" s="241"/>
      <c r="C23" s="245"/>
      <c r="D23" s="245" t="s">
        <v>0</v>
      </c>
      <c r="E23" s="245" t="s">
        <v>0</v>
      </c>
      <c r="F23" s="245" t="s">
        <v>0</v>
      </c>
      <c r="G23" s="245" t="s">
        <v>0</v>
      </c>
      <c r="H23" s="245" t="s">
        <v>39</v>
      </c>
      <c r="I23" s="245" t="s">
        <v>39</v>
      </c>
      <c r="J23" s="245" t="s">
        <v>39</v>
      </c>
      <c r="K23" s="245" t="s">
        <v>39</v>
      </c>
      <c r="L23" s="241" t="s">
        <v>39</v>
      </c>
      <c r="M23" s="245" t="s">
        <v>38</v>
      </c>
      <c r="N23" s="245" t="s">
        <v>38</v>
      </c>
      <c r="O23" s="245" t="s">
        <v>38</v>
      </c>
      <c r="P23" s="245" t="s">
        <v>38</v>
      </c>
      <c r="Q23" s="245"/>
      <c r="R23" s="256"/>
      <c r="S23" s="317" t="s">
        <v>39</v>
      </c>
      <c r="T23" s="241" t="str">
        <f>T12</f>
        <v>(inH2O)</v>
      </c>
      <c r="U23" s="245" t="s">
        <v>337</v>
      </c>
      <c r="V23" s="245" t="s">
        <v>337</v>
      </c>
      <c r="W23" s="245" t="s">
        <v>337</v>
      </c>
      <c r="X23" s="245" t="s">
        <v>337</v>
      </c>
      <c r="Y23" s="242" t="s">
        <v>337</v>
      </c>
      <c r="Z23" s="241" t="s">
        <v>0</v>
      </c>
      <c r="AA23" s="245" t="s">
        <v>0</v>
      </c>
      <c r="AB23" s="245" t="s">
        <v>0</v>
      </c>
      <c r="AC23" s="245" t="s">
        <v>0</v>
      </c>
      <c r="AD23" s="245" t="s">
        <v>0</v>
      </c>
      <c r="AE23" s="242" t="s">
        <v>0</v>
      </c>
      <c r="AF23" s="241" t="str">
        <f>AF12</f>
        <v>(W/cfm)</v>
      </c>
      <c r="AG23" s="241" t="str">
        <f t="shared" ref="AG23:AK23" si="21">AG12</f>
        <v>(W/cfm)</v>
      </c>
      <c r="AH23" s="241" t="str">
        <f t="shared" si="21"/>
        <v>(W/cfm)</v>
      </c>
      <c r="AI23" s="241" t="str">
        <f t="shared" si="21"/>
        <v>(W/cfm)</v>
      </c>
      <c r="AJ23" s="241" t="str">
        <f t="shared" si="21"/>
        <v>(W/cfm)</v>
      </c>
      <c r="AK23" s="241" t="str">
        <f t="shared" si="21"/>
        <v>(W/cfm)</v>
      </c>
      <c r="AN23"/>
      <c r="AO23"/>
      <c r="AP23" t="s">
        <v>0</v>
      </c>
      <c r="AQ23" t="s">
        <v>0</v>
      </c>
      <c r="AR23" t="s">
        <v>0</v>
      </c>
      <c r="AS23" t="s">
        <v>0</v>
      </c>
      <c r="AT23" t="s">
        <v>39</v>
      </c>
      <c r="AU23" t="s">
        <v>39</v>
      </c>
      <c r="AV23" t="s">
        <v>39</v>
      </c>
      <c r="AW23" t="s">
        <v>39</v>
      </c>
      <c r="AX23" t="s">
        <v>39</v>
      </c>
      <c r="AY23" t="s">
        <v>94</v>
      </c>
      <c r="AZ23" t="s">
        <v>94</v>
      </c>
      <c r="BA23" t="s">
        <v>94</v>
      </c>
      <c r="BB23" t="s">
        <v>94</v>
      </c>
      <c r="BC23" t="s">
        <v>39</v>
      </c>
      <c r="BD23" t="s">
        <v>39</v>
      </c>
      <c r="BE23" t="s">
        <v>39</v>
      </c>
      <c r="BF23" t="s">
        <v>337</v>
      </c>
      <c r="BG23" t="s">
        <v>337</v>
      </c>
      <c r="BH23" t="s">
        <v>337</v>
      </c>
      <c r="BI23" t="s">
        <v>337</v>
      </c>
      <c r="BJ23" t="s">
        <v>337</v>
      </c>
      <c r="BK23" t="s">
        <v>337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</row>
    <row r="24" spans="1:75" ht="15.75" thickTop="1" x14ac:dyDescent="0.25">
      <c r="B24" s="1" t="str">
        <f t="shared" ref="B24:K28" si="22">AN24</f>
        <v>Perim_TopZn1_PTAC</v>
      </c>
      <c r="C24" s="2" t="str">
        <f t="shared" si="22"/>
        <v>PTAC</v>
      </c>
      <c r="D24" s="81">
        <f t="shared" si="22"/>
        <v>2231.8000000000002</v>
      </c>
      <c r="E24" s="81">
        <f t="shared" si="22"/>
        <v>0</v>
      </c>
      <c r="F24" s="81">
        <f t="shared" si="22"/>
        <v>0</v>
      </c>
      <c r="G24" s="81">
        <f t="shared" si="22"/>
        <v>0</v>
      </c>
      <c r="H24" s="190">
        <f t="shared" si="22"/>
        <v>1.004</v>
      </c>
      <c r="I24" s="190">
        <f t="shared" si="22"/>
        <v>0</v>
      </c>
      <c r="J24" s="190">
        <f t="shared" si="22"/>
        <v>0</v>
      </c>
      <c r="K24" s="191">
        <f t="shared" si="22"/>
        <v>0</v>
      </c>
      <c r="L24" s="203">
        <f t="shared" si="9"/>
        <v>1.004</v>
      </c>
      <c r="M24" s="203">
        <f t="shared" si="10"/>
        <v>1</v>
      </c>
      <c r="N24" s="203">
        <f t="shared" si="10"/>
        <v>0</v>
      </c>
      <c r="O24" s="203">
        <f t="shared" si="10"/>
        <v>0</v>
      </c>
      <c r="P24" s="204">
        <f t="shared" si="10"/>
        <v>0</v>
      </c>
      <c r="Q24" s="224">
        <v>0</v>
      </c>
      <c r="R24" s="190"/>
      <c r="S24" s="206">
        <f>SUMPRODUCT(AF24:AK24,Z24:AE24)/1000</f>
        <v>0</v>
      </c>
      <c r="T24" s="177">
        <f t="shared" ref="T24:Y28" si="23">BF24</f>
        <v>0</v>
      </c>
      <c r="U24" s="177">
        <f t="shared" si="23"/>
        <v>0</v>
      </c>
      <c r="V24" s="177">
        <f t="shared" si="23"/>
        <v>0</v>
      </c>
      <c r="W24" s="177">
        <f t="shared" si="23"/>
        <v>0</v>
      </c>
      <c r="X24" s="177">
        <f t="shared" si="23"/>
        <v>0</v>
      </c>
      <c r="Y24" s="178">
        <f t="shared" si="23"/>
        <v>0</v>
      </c>
      <c r="Z24" s="82">
        <f t="shared" ref="Z24:AE24" si="24">BL24</f>
        <v>0</v>
      </c>
      <c r="AA24" s="82">
        <f t="shared" si="24"/>
        <v>0</v>
      </c>
      <c r="AB24" s="82">
        <f t="shared" si="24"/>
        <v>0</v>
      </c>
      <c r="AC24" s="82">
        <f t="shared" si="24"/>
        <v>0</v>
      </c>
      <c r="AD24" s="82">
        <f t="shared" si="24"/>
        <v>0</v>
      </c>
      <c r="AE24" s="182">
        <f t="shared" si="24"/>
        <v>0</v>
      </c>
      <c r="AF24" s="88">
        <f>BR24</f>
        <v>0</v>
      </c>
      <c r="AG24" s="88">
        <f t="shared" ref="AG24:AG29" si="25">BS24</f>
        <v>0</v>
      </c>
      <c r="AH24" s="88">
        <f t="shared" ref="AH24:AH29" si="26">BT24</f>
        <v>0</v>
      </c>
      <c r="AI24" s="88">
        <f t="shared" ref="AI24:AI29" si="27">BU24</f>
        <v>0</v>
      </c>
      <c r="AJ24" s="88">
        <f t="shared" ref="AJ24:AJ29" si="28">BV24</f>
        <v>0</v>
      </c>
      <c r="AK24" s="280">
        <f t="shared" ref="AK24:AK29" si="29">BW24</f>
        <v>0</v>
      </c>
      <c r="AN24" t="s">
        <v>13</v>
      </c>
      <c r="AO24" t="s">
        <v>71</v>
      </c>
      <c r="AP24">
        <v>2231.8000000000002</v>
      </c>
      <c r="AQ24">
        <v>0</v>
      </c>
      <c r="AR24">
        <v>0</v>
      </c>
      <c r="AS24">
        <v>0</v>
      </c>
      <c r="AT24">
        <v>1.004</v>
      </c>
      <c r="AU24">
        <v>0</v>
      </c>
      <c r="AV24">
        <v>0</v>
      </c>
      <c r="AW24">
        <v>0</v>
      </c>
      <c r="AX24">
        <v>1.004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25">
      <c r="B25" s="1" t="str">
        <f t="shared" si="22"/>
        <v>Perim_TopZn2_PTAC</v>
      </c>
      <c r="C25" s="2" t="str">
        <f t="shared" si="22"/>
        <v>PTAC</v>
      </c>
      <c r="D25" s="82">
        <f t="shared" si="22"/>
        <v>1412.9</v>
      </c>
      <c r="E25" s="82">
        <f t="shared" si="22"/>
        <v>0</v>
      </c>
      <c r="F25" s="82">
        <f t="shared" si="22"/>
        <v>0</v>
      </c>
      <c r="G25" s="82">
        <f t="shared" si="22"/>
        <v>0</v>
      </c>
      <c r="H25" s="88">
        <f t="shared" si="22"/>
        <v>0.63600000000000001</v>
      </c>
      <c r="I25" s="88">
        <f t="shared" si="22"/>
        <v>0</v>
      </c>
      <c r="J25" s="88">
        <f t="shared" si="22"/>
        <v>0</v>
      </c>
      <c r="K25" s="192">
        <f t="shared" si="22"/>
        <v>0</v>
      </c>
      <c r="L25" s="194">
        <f t="shared" si="9"/>
        <v>0.63600000000000001</v>
      </c>
      <c r="M25" s="194">
        <f t="shared" si="10"/>
        <v>1</v>
      </c>
      <c r="N25" s="194">
        <f t="shared" si="10"/>
        <v>0</v>
      </c>
      <c r="O25" s="194">
        <f t="shared" si="10"/>
        <v>0</v>
      </c>
      <c r="P25" s="195">
        <f t="shared" si="10"/>
        <v>0</v>
      </c>
      <c r="Q25" s="224">
        <v>0</v>
      </c>
      <c r="R25" s="88"/>
      <c r="S25" s="206">
        <f t="shared" ref="S25:S29" si="30">SUMPRODUCT(AF25:AK25,Z25:AE25)/1000</f>
        <v>0</v>
      </c>
      <c r="T25" s="177">
        <f t="shared" si="23"/>
        <v>0</v>
      </c>
      <c r="U25" s="177">
        <f t="shared" si="23"/>
        <v>0</v>
      </c>
      <c r="V25" s="177">
        <f t="shared" si="23"/>
        <v>0</v>
      </c>
      <c r="W25" s="177">
        <f t="shared" si="23"/>
        <v>0</v>
      </c>
      <c r="X25" s="177">
        <f t="shared" si="23"/>
        <v>0</v>
      </c>
      <c r="Y25" s="178">
        <f t="shared" si="23"/>
        <v>0</v>
      </c>
      <c r="Z25" s="82">
        <f t="shared" ref="Z25:AA28" si="31">BL25</f>
        <v>0</v>
      </c>
      <c r="AA25" s="82">
        <f t="shared" si="31"/>
        <v>0</v>
      </c>
      <c r="AB25" s="82">
        <f t="shared" ref="AB25:AE28" si="32">BN25</f>
        <v>0</v>
      </c>
      <c r="AC25" s="82">
        <f t="shared" si="32"/>
        <v>0</v>
      </c>
      <c r="AD25" s="82">
        <f t="shared" si="32"/>
        <v>0</v>
      </c>
      <c r="AE25" s="182">
        <f t="shared" si="32"/>
        <v>0</v>
      </c>
      <c r="AF25" s="88">
        <f t="shared" ref="AF25:AF29" si="33">BR25</f>
        <v>0</v>
      </c>
      <c r="AG25" s="88">
        <f t="shared" si="25"/>
        <v>0</v>
      </c>
      <c r="AH25" s="88">
        <f t="shared" si="26"/>
        <v>0</v>
      </c>
      <c r="AI25" s="88">
        <f t="shared" si="27"/>
        <v>0</v>
      </c>
      <c r="AJ25" s="88">
        <f t="shared" si="28"/>
        <v>0</v>
      </c>
      <c r="AK25" s="280">
        <f t="shared" si="29"/>
        <v>0</v>
      </c>
      <c r="AN25" t="s">
        <v>14</v>
      </c>
      <c r="AO25" t="s">
        <v>71</v>
      </c>
      <c r="AP25">
        <v>1412.9</v>
      </c>
      <c r="AQ25">
        <v>0</v>
      </c>
      <c r="AR25">
        <v>0</v>
      </c>
      <c r="AS25">
        <v>0</v>
      </c>
      <c r="AT25">
        <v>0.63600000000000001</v>
      </c>
      <c r="AU25">
        <v>0</v>
      </c>
      <c r="AV25">
        <v>0</v>
      </c>
      <c r="AW25">
        <v>0</v>
      </c>
      <c r="AX25">
        <v>0.63600000000000001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25">
      <c r="B26" s="1" t="str">
        <f t="shared" si="22"/>
        <v>Perim_TopZn3_PTAC</v>
      </c>
      <c r="C26" s="2" t="str">
        <f t="shared" si="22"/>
        <v>PTAC</v>
      </c>
      <c r="D26" s="82">
        <f t="shared" si="22"/>
        <v>2231.8000000000002</v>
      </c>
      <c r="E26" s="82">
        <f t="shared" si="22"/>
        <v>0</v>
      </c>
      <c r="F26" s="82">
        <f t="shared" si="22"/>
        <v>0</v>
      </c>
      <c r="G26" s="82">
        <f t="shared" si="22"/>
        <v>0</v>
      </c>
      <c r="H26" s="88">
        <f t="shared" si="22"/>
        <v>1.004</v>
      </c>
      <c r="I26" s="88">
        <f t="shared" si="22"/>
        <v>0</v>
      </c>
      <c r="J26" s="88">
        <f t="shared" si="22"/>
        <v>0</v>
      </c>
      <c r="K26" s="192">
        <f t="shared" si="22"/>
        <v>0</v>
      </c>
      <c r="L26" s="194">
        <f t="shared" si="9"/>
        <v>1.004</v>
      </c>
      <c r="M26" s="194">
        <f t="shared" si="10"/>
        <v>1</v>
      </c>
      <c r="N26" s="194">
        <f t="shared" si="10"/>
        <v>0</v>
      </c>
      <c r="O26" s="194">
        <f t="shared" si="10"/>
        <v>0</v>
      </c>
      <c r="P26" s="195">
        <f t="shared" si="10"/>
        <v>0</v>
      </c>
      <c r="Q26" s="224">
        <v>0</v>
      </c>
      <c r="R26" s="88"/>
      <c r="S26" s="206">
        <f t="shared" si="30"/>
        <v>0</v>
      </c>
      <c r="T26" s="177">
        <f t="shared" si="23"/>
        <v>0</v>
      </c>
      <c r="U26" s="177">
        <f t="shared" si="23"/>
        <v>0</v>
      </c>
      <c r="V26" s="177">
        <f t="shared" si="23"/>
        <v>0</v>
      </c>
      <c r="W26" s="177">
        <f t="shared" si="23"/>
        <v>0</v>
      </c>
      <c r="X26" s="177">
        <f t="shared" si="23"/>
        <v>0</v>
      </c>
      <c r="Y26" s="178">
        <f t="shared" si="23"/>
        <v>0</v>
      </c>
      <c r="Z26" s="82">
        <f t="shared" si="31"/>
        <v>0</v>
      </c>
      <c r="AA26" s="82">
        <f t="shared" si="31"/>
        <v>0</v>
      </c>
      <c r="AB26" s="82">
        <f t="shared" si="32"/>
        <v>0</v>
      </c>
      <c r="AC26" s="82">
        <f t="shared" si="32"/>
        <v>0</v>
      </c>
      <c r="AD26" s="82">
        <f t="shared" si="32"/>
        <v>0</v>
      </c>
      <c r="AE26" s="182">
        <f t="shared" si="32"/>
        <v>0</v>
      </c>
      <c r="AF26" s="88">
        <f t="shared" si="33"/>
        <v>0</v>
      </c>
      <c r="AG26" s="88">
        <f t="shared" si="25"/>
        <v>0</v>
      </c>
      <c r="AH26" s="88">
        <f t="shared" si="26"/>
        <v>0</v>
      </c>
      <c r="AI26" s="88">
        <f t="shared" si="27"/>
        <v>0</v>
      </c>
      <c r="AJ26" s="88">
        <f t="shared" si="28"/>
        <v>0</v>
      </c>
      <c r="AK26" s="280">
        <f t="shared" si="29"/>
        <v>0</v>
      </c>
      <c r="AN26" t="s">
        <v>15</v>
      </c>
      <c r="AO26" t="s">
        <v>71</v>
      </c>
      <c r="AP26">
        <v>2231.8000000000002</v>
      </c>
      <c r="AQ26">
        <v>0</v>
      </c>
      <c r="AR26">
        <v>0</v>
      </c>
      <c r="AS26">
        <v>0</v>
      </c>
      <c r="AT26">
        <v>1.004</v>
      </c>
      <c r="AU26">
        <v>0</v>
      </c>
      <c r="AV26">
        <v>0</v>
      </c>
      <c r="AW26">
        <v>0</v>
      </c>
      <c r="AX26">
        <v>1.004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25">
      <c r="B27" s="1" t="str">
        <f t="shared" si="22"/>
        <v>Perim_TopZn4_PTAC</v>
      </c>
      <c r="C27" s="2" t="str">
        <f t="shared" si="22"/>
        <v>PTAC</v>
      </c>
      <c r="D27" s="143">
        <f t="shared" si="22"/>
        <v>1412.8</v>
      </c>
      <c r="E27" s="143">
        <f t="shared" si="22"/>
        <v>0</v>
      </c>
      <c r="F27" s="143">
        <f t="shared" si="22"/>
        <v>0</v>
      </c>
      <c r="G27" s="143">
        <f t="shared" si="22"/>
        <v>0</v>
      </c>
      <c r="H27" s="142">
        <f t="shared" si="22"/>
        <v>0.63600000000000001</v>
      </c>
      <c r="I27" s="142">
        <f t="shared" si="22"/>
        <v>0</v>
      </c>
      <c r="J27" s="142">
        <f t="shared" si="22"/>
        <v>0</v>
      </c>
      <c r="K27" s="193">
        <f t="shared" si="22"/>
        <v>0</v>
      </c>
      <c r="L27" s="199">
        <f t="shared" si="9"/>
        <v>0.63600000000000001</v>
      </c>
      <c r="M27" s="199">
        <f t="shared" si="10"/>
        <v>1</v>
      </c>
      <c r="N27" s="199">
        <f t="shared" si="10"/>
        <v>0</v>
      </c>
      <c r="O27" s="199">
        <f t="shared" si="10"/>
        <v>0</v>
      </c>
      <c r="P27" s="200">
        <f t="shared" si="10"/>
        <v>0</v>
      </c>
      <c r="Q27" s="224">
        <v>0</v>
      </c>
      <c r="R27" s="142"/>
      <c r="S27" s="206">
        <f t="shared" si="30"/>
        <v>0</v>
      </c>
      <c r="T27" s="177">
        <f t="shared" si="23"/>
        <v>0</v>
      </c>
      <c r="U27" s="177">
        <f t="shared" si="23"/>
        <v>0</v>
      </c>
      <c r="V27" s="177">
        <f t="shared" si="23"/>
        <v>0</v>
      </c>
      <c r="W27" s="177">
        <f t="shared" si="23"/>
        <v>0</v>
      </c>
      <c r="X27" s="177">
        <f t="shared" si="23"/>
        <v>0</v>
      </c>
      <c r="Y27" s="178">
        <f t="shared" si="23"/>
        <v>0</v>
      </c>
      <c r="Z27" s="82">
        <f t="shared" si="31"/>
        <v>0</v>
      </c>
      <c r="AA27" s="82">
        <f t="shared" si="31"/>
        <v>0</v>
      </c>
      <c r="AB27" s="82">
        <f t="shared" si="32"/>
        <v>0</v>
      </c>
      <c r="AC27" s="82">
        <f t="shared" si="32"/>
        <v>0</v>
      </c>
      <c r="AD27" s="82">
        <f t="shared" si="32"/>
        <v>0</v>
      </c>
      <c r="AE27" s="182">
        <f t="shared" si="32"/>
        <v>0</v>
      </c>
      <c r="AF27" s="88">
        <f t="shared" si="33"/>
        <v>0</v>
      </c>
      <c r="AG27" s="88">
        <f t="shared" si="25"/>
        <v>0</v>
      </c>
      <c r="AH27" s="88">
        <f t="shared" si="26"/>
        <v>0</v>
      </c>
      <c r="AI27" s="88">
        <f t="shared" si="27"/>
        <v>0</v>
      </c>
      <c r="AJ27" s="88">
        <f t="shared" si="28"/>
        <v>0</v>
      </c>
      <c r="AK27" s="280">
        <f t="shared" si="29"/>
        <v>0</v>
      </c>
      <c r="AN27" t="s">
        <v>16</v>
      </c>
      <c r="AO27" t="s">
        <v>71</v>
      </c>
      <c r="AP27">
        <v>1412.8</v>
      </c>
      <c r="AQ27">
        <v>0</v>
      </c>
      <c r="AR27">
        <v>0</v>
      </c>
      <c r="AS27">
        <v>0</v>
      </c>
      <c r="AT27">
        <v>0.63600000000000001</v>
      </c>
      <c r="AU27">
        <v>0</v>
      </c>
      <c r="AV27">
        <v>0</v>
      </c>
      <c r="AW27">
        <v>0</v>
      </c>
      <c r="AX27">
        <v>0.63600000000000001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25">
      <c r="B28" s="1" t="str">
        <f t="shared" si="22"/>
        <v>Core_TopZn_PTAC</v>
      </c>
      <c r="C28" s="2" t="str">
        <f t="shared" si="22"/>
        <v>PTAC</v>
      </c>
      <c r="D28" s="82">
        <f t="shared" si="22"/>
        <v>10586.7</v>
      </c>
      <c r="E28" s="82">
        <f t="shared" si="22"/>
        <v>0</v>
      </c>
      <c r="F28" s="82">
        <f t="shared" si="22"/>
        <v>0</v>
      </c>
      <c r="G28" s="82">
        <f t="shared" si="22"/>
        <v>0</v>
      </c>
      <c r="H28" s="88">
        <f t="shared" si="22"/>
        <v>4.7640000000000002</v>
      </c>
      <c r="I28" s="88">
        <f t="shared" si="22"/>
        <v>0</v>
      </c>
      <c r="J28" s="88">
        <f t="shared" si="22"/>
        <v>0</v>
      </c>
      <c r="K28" s="192">
        <f t="shared" si="22"/>
        <v>0</v>
      </c>
      <c r="L28" s="194">
        <f t="shared" si="9"/>
        <v>4.7640000000000002</v>
      </c>
      <c r="M28" s="194">
        <f t="shared" si="10"/>
        <v>1</v>
      </c>
      <c r="N28" s="194">
        <f t="shared" si="10"/>
        <v>0</v>
      </c>
      <c r="O28" s="194">
        <f t="shared" si="10"/>
        <v>0</v>
      </c>
      <c r="P28" s="195">
        <f t="shared" si="10"/>
        <v>0</v>
      </c>
      <c r="Q28" s="224">
        <v>0</v>
      </c>
      <c r="R28" s="88"/>
      <c r="S28" s="206">
        <f t="shared" si="30"/>
        <v>0</v>
      </c>
      <c r="T28" s="177">
        <f t="shared" si="23"/>
        <v>0</v>
      </c>
      <c r="U28" s="177">
        <f t="shared" si="23"/>
        <v>0</v>
      </c>
      <c r="V28" s="177">
        <f t="shared" si="23"/>
        <v>0</v>
      </c>
      <c r="W28" s="177">
        <f t="shared" si="23"/>
        <v>0</v>
      </c>
      <c r="X28" s="177">
        <f t="shared" si="23"/>
        <v>0</v>
      </c>
      <c r="Y28" s="178">
        <f t="shared" si="23"/>
        <v>0</v>
      </c>
      <c r="Z28" s="82">
        <f t="shared" si="31"/>
        <v>0</v>
      </c>
      <c r="AA28" s="82">
        <f t="shared" si="31"/>
        <v>0</v>
      </c>
      <c r="AB28" s="82">
        <f t="shared" si="32"/>
        <v>0</v>
      </c>
      <c r="AC28" s="82">
        <f t="shared" si="32"/>
        <v>0</v>
      </c>
      <c r="AD28" s="82">
        <f t="shared" si="32"/>
        <v>0</v>
      </c>
      <c r="AE28" s="182">
        <f t="shared" si="32"/>
        <v>0</v>
      </c>
      <c r="AF28" s="142">
        <f t="shared" si="33"/>
        <v>0</v>
      </c>
      <c r="AG28" s="142">
        <f t="shared" si="25"/>
        <v>0</v>
      </c>
      <c r="AH28" s="142">
        <f t="shared" si="26"/>
        <v>0</v>
      </c>
      <c r="AI28" s="142">
        <f t="shared" si="27"/>
        <v>0</v>
      </c>
      <c r="AJ28" s="142">
        <f t="shared" si="28"/>
        <v>0</v>
      </c>
      <c r="AK28" s="281">
        <f t="shared" si="29"/>
        <v>0</v>
      </c>
      <c r="AN28" t="s">
        <v>12</v>
      </c>
      <c r="AO28" t="s">
        <v>71</v>
      </c>
      <c r="AP28">
        <v>10586.7</v>
      </c>
      <c r="AQ28">
        <v>0</v>
      </c>
      <c r="AR28">
        <v>0</v>
      </c>
      <c r="AS28">
        <v>0</v>
      </c>
      <c r="AT28">
        <v>4.7640000000000002</v>
      </c>
      <c r="AU28">
        <v>0</v>
      </c>
      <c r="AV28">
        <v>0</v>
      </c>
      <c r="AW28">
        <v>0</v>
      </c>
      <c r="AX28">
        <v>4.7640000000000002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25">
      <c r="B29" s="1" t="str">
        <f t="shared" ref="B29" si="34">AN29</f>
        <v>CopyRoom ExhSys</v>
      </c>
      <c r="C29" s="2" t="str">
        <f t="shared" ref="C29" si="35">AO29</f>
        <v>Exhaust</v>
      </c>
      <c r="D29" s="82">
        <f t="shared" ref="D29" si="36">AP29</f>
        <v>0</v>
      </c>
      <c r="E29" s="82">
        <f t="shared" ref="E29" si="37">AQ29</f>
        <v>0</v>
      </c>
      <c r="F29" s="82">
        <f t="shared" ref="F29" si="38">AR29</f>
        <v>0</v>
      </c>
      <c r="G29" s="82">
        <f t="shared" ref="G29" si="39">AS29</f>
        <v>706.5</v>
      </c>
      <c r="H29" s="88">
        <f t="shared" ref="H29" si="40">AT29</f>
        <v>0</v>
      </c>
      <c r="I29" s="88">
        <f t="shared" ref="I29" si="41">AU29</f>
        <v>0</v>
      </c>
      <c r="J29" s="88">
        <f t="shared" ref="J29" si="42">AV29</f>
        <v>0</v>
      </c>
      <c r="K29" s="192">
        <f t="shared" ref="K29" si="43">AW29</f>
        <v>0.373</v>
      </c>
      <c r="L29" s="194">
        <f t="shared" ref="L29" si="44">ROUND(SUM(H29:K29),3)</f>
        <v>0.373</v>
      </c>
      <c r="M29" s="194">
        <f t="shared" ref="M29" si="45">ROUND(H29/$L29,3)</f>
        <v>0</v>
      </c>
      <c r="N29" s="194">
        <f t="shared" ref="N29" si="46">ROUND(I29/$L29,3)</f>
        <v>0</v>
      </c>
      <c r="O29" s="194">
        <f t="shared" ref="O29" si="47">ROUND(J29/$L29,3)</f>
        <v>0</v>
      </c>
      <c r="P29" s="195">
        <f t="shared" ref="P29" si="48">ROUND(K29/$L29,3)</f>
        <v>1</v>
      </c>
      <c r="Q29" s="224">
        <v>0</v>
      </c>
      <c r="R29" s="88"/>
      <c r="S29" s="206">
        <f t="shared" si="30"/>
        <v>0.12637399999999999</v>
      </c>
      <c r="T29" s="177">
        <f t="shared" ref="T29" si="49">BF29</f>
        <v>0</v>
      </c>
      <c r="U29" s="177">
        <f t="shared" ref="U29" si="50">BG29</f>
        <v>1</v>
      </c>
      <c r="V29" s="177">
        <f t="shared" ref="V29" si="51">BH29</f>
        <v>0</v>
      </c>
      <c r="W29" s="177">
        <f t="shared" ref="W29" si="52">BI29</f>
        <v>0</v>
      </c>
      <c r="X29" s="177">
        <f t="shared" ref="X29" si="53">BJ29</f>
        <v>0</v>
      </c>
      <c r="Y29" s="178">
        <f t="shared" ref="Y29" si="54">BK29</f>
        <v>0</v>
      </c>
      <c r="Z29" s="82">
        <f t="shared" ref="Z29" si="55">BL29</f>
        <v>0</v>
      </c>
      <c r="AA29" s="82">
        <f t="shared" ref="AA29" si="56">BM29</f>
        <v>706</v>
      </c>
      <c r="AB29" s="82">
        <f t="shared" ref="AB29" si="57">BN29</f>
        <v>0</v>
      </c>
      <c r="AC29" s="82">
        <f t="shared" ref="AC29" si="58">BO29</f>
        <v>0</v>
      </c>
      <c r="AD29" s="82">
        <f t="shared" ref="AD29" si="59">BP29</f>
        <v>0</v>
      </c>
      <c r="AE29" s="182">
        <f t="shared" ref="AE29" si="60">BQ29</f>
        <v>0</v>
      </c>
      <c r="AF29" s="88">
        <f t="shared" si="33"/>
        <v>0</v>
      </c>
      <c r="AG29" s="88">
        <f t="shared" si="25"/>
        <v>0.17899999999999999</v>
      </c>
      <c r="AH29" s="88">
        <f t="shared" si="26"/>
        <v>0</v>
      </c>
      <c r="AI29" s="88">
        <f t="shared" si="27"/>
        <v>0</v>
      </c>
      <c r="AJ29" s="88">
        <f t="shared" si="28"/>
        <v>0</v>
      </c>
      <c r="AK29" s="280">
        <f t="shared" si="29"/>
        <v>0</v>
      </c>
      <c r="AN29" t="s">
        <v>211</v>
      </c>
      <c r="AO29" t="s">
        <v>69</v>
      </c>
      <c r="AP29">
        <v>0</v>
      </c>
      <c r="AQ29">
        <v>0</v>
      </c>
      <c r="AR29">
        <v>0</v>
      </c>
      <c r="AS29">
        <v>706.5</v>
      </c>
      <c r="AT29">
        <v>0</v>
      </c>
      <c r="AU29">
        <v>0</v>
      </c>
      <c r="AV29">
        <v>0</v>
      </c>
      <c r="AW29">
        <v>0.373</v>
      </c>
      <c r="AX29">
        <v>0.373</v>
      </c>
      <c r="AY29">
        <v>0</v>
      </c>
      <c r="AZ29">
        <v>0</v>
      </c>
      <c r="BA29">
        <v>0</v>
      </c>
      <c r="BB29">
        <v>1</v>
      </c>
      <c r="BC29">
        <v>0.126</v>
      </c>
      <c r="BD29">
        <v>0</v>
      </c>
      <c r="BE29">
        <v>0.126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706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0.17899999999999999</v>
      </c>
      <c r="BT29">
        <v>0</v>
      </c>
      <c r="BU29">
        <v>0</v>
      </c>
      <c r="BV29">
        <v>0</v>
      </c>
      <c r="BW29">
        <v>0</v>
      </c>
    </row>
    <row r="30" spans="1:75" x14ac:dyDescent="0.25">
      <c r="R30" s="2"/>
      <c r="Z30" s="2"/>
      <c r="AA30" s="2"/>
    </row>
    <row r="31" spans="1:75" x14ac:dyDescent="0.25">
      <c r="R31" s="2"/>
      <c r="Z31" s="2"/>
      <c r="AA31" s="2"/>
      <c r="AN31" t="s">
        <v>43</v>
      </c>
    </row>
    <row r="32" spans="1:75" x14ac:dyDescent="0.25">
      <c r="I32" s="48"/>
      <c r="AT32" t="s">
        <v>120</v>
      </c>
      <c r="AW32" t="s">
        <v>145</v>
      </c>
      <c r="AZ32" t="s">
        <v>146</v>
      </c>
      <c r="BE32" t="s">
        <v>123</v>
      </c>
    </row>
    <row r="33" spans="2:69" s="238" customFormat="1" ht="165" customHeight="1" x14ac:dyDescent="0.25">
      <c r="B33" s="282" t="s">
        <v>43</v>
      </c>
      <c r="C33" s="284" t="s">
        <v>40</v>
      </c>
      <c r="D33" s="284" t="s">
        <v>41</v>
      </c>
      <c r="E33" s="283" t="s">
        <v>42</v>
      </c>
      <c r="F33" s="295" t="s">
        <v>29</v>
      </c>
      <c r="G33" s="296" t="s">
        <v>30</v>
      </c>
      <c r="H33" s="296" t="s">
        <v>3</v>
      </c>
      <c r="I33" s="295" t="s">
        <v>4</v>
      </c>
      <c r="J33" s="296" t="s">
        <v>5</v>
      </c>
      <c r="K33" s="296" t="s">
        <v>6</v>
      </c>
      <c r="L33" s="295" t="s">
        <v>53</v>
      </c>
      <c r="M33" s="296" t="s">
        <v>56</v>
      </c>
      <c r="N33" s="296" t="s">
        <v>59</v>
      </c>
      <c r="O33" s="297" t="s">
        <v>60</v>
      </c>
      <c r="P33" s="297" t="s">
        <v>46</v>
      </c>
      <c r="Q33" s="236" t="s">
        <v>99</v>
      </c>
      <c r="R33" s="229" t="s">
        <v>100</v>
      </c>
      <c r="S33" s="298" t="s">
        <v>93</v>
      </c>
      <c r="T33" s="231" t="str">
        <f>T22</f>
        <v>FullyDuctedExhPDAdj</v>
      </c>
      <c r="U33" s="232" t="str">
        <f t="shared" ref="U33:Y33" si="61">TRIM(U22)&amp;"Adj"</f>
        <v>ExhFiltersPDAdjAdj</v>
      </c>
      <c r="V33" s="233" t="str">
        <f t="shared" si="61"/>
        <v>BiosftyCabPDAdjAdj</v>
      </c>
      <c r="W33" s="234" t="str">
        <f t="shared" si="61"/>
        <v>FullyDuctedRetPDAdjAdj</v>
      </c>
      <c r="X33" s="235" t="str">
        <f t="shared" si="61"/>
        <v>MERVGTE16PDAdjAdj</v>
      </c>
      <c r="Y33" s="299" t="str">
        <f t="shared" si="61"/>
        <v>GasPhaseAirCleanersPDAdjAdj</v>
      </c>
      <c r="Z33" s="236" t="s">
        <v>99</v>
      </c>
      <c r="AA33" s="229" t="s">
        <v>100</v>
      </c>
      <c r="AN33" s="238" t="s">
        <v>142</v>
      </c>
      <c r="AO33" s="238" t="s">
        <v>326</v>
      </c>
      <c r="AP33" s="238" t="s">
        <v>327</v>
      </c>
      <c r="AQ33" s="238" t="s">
        <v>328</v>
      </c>
      <c r="AR33" s="238" t="s">
        <v>150</v>
      </c>
      <c r="AS33" s="238" t="s">
        <v>151</v>
      </c>
      <c r="AT33" s="238" t="s">
        <v>152</v>
      </c>
      <c r="AU33" s="238" t="s">
        <v>153</v>
      </c>
      <c r="AV33" s="238" t="s">
        <v>154</v>
      </c>
      <c r="AW33" s="238" t="s">
        <v>329</v>
      </c>
      <c r="AX33" s="238" t="s">
        <v>330</v>
      </c>
      <c r="AY33" s="238" t="s">
        <v>331</v>
      </c>
      <c r="AZ33" s="238" t="s">
        <v>332</v>
      </c>
      <c r="BA33" s="238" t="s">
        <v>333</v>
      </c>
      <c r="BB33" s="238" t="s">
        <v>334</v>
      </c>
      <c r="BC33" s="238" t="s">
        <v>335</v>
      </c>
      <c r="BD33" s="238" t="s">
        <v>336</v>
      </c>
      <c r="BE33" s="238" t="s">
        <v>137</v>
      </c>
      <c r="BF33" s="238" t="s">
        <v>138</v>
      </c>
      <c r="BG33" s="238" t="s">
        <v>144</v>
      </c>
      <c r="BH33" s="238" t="s">
        <v>203</v>
      </c>
      <c r="BI33" s="238" t="s">
        <v>194</v>
      </c>
      <c r="BJ33" s="238" t="s">
        <v>195</v>
      </c>
      <c r="BK33" s="238" t="s">
        <v>196</v>
      </c>
      <c r="BL33" s="238" t="s">
        <v>197</v>
      </c>
      <c r="BM33" s="238" t="s">
        <v>198</v>
      </c>
      <c r="BN33" s="238" t="s">
        <v>199</v>
      </c>
    </row>
    <row r="34" spans="2:69" s="243" customFormat="1" ht="15.75" thickBot="1" x14ac:dyDescent="0.3">
      <c r="B34" s="241"/>
      <c r="C34" s="245"/>
      <c r="D34" s="245"/>
      <c r="E34" s="242"/>
      <c r="F34" s="241" t="s">
        <v>0</v>
      </c>
      <c r="G34" s="245" t="s">
        <v>0</v>
      </c>
      <c r="H34" s="245" t="s">
        <v>0</v>
      </c>
      <c r="I34" s="241" t="s">
        <v>38</v>
      </c>
      <c r="J34" s="245" t="s">
        <v>38</v>
      </c>
      <c r="K34" s="245" t="s">
        <v>38</v>
      </c>
      <c r="L34" s="241" t="s">
        <v>39</v>
      </c>
      <c r="M34" s="245" t="s">
        <v>39</v>
      </c>
      <c r="N34" s="245" t="s">
        <v>39</v>
      </c>
      <c r="O34" s="245" t="s">
        <v>39</v>
      </c>
      <c r="P34" s="245" t="s">
        <v>39</v>
      </c>
      <c r="Q34" s="255" t="s">
        <v>39</v>
      </c>
      <c r="R34" s="256" t="s">
        <v>39</v>
      </c>
      <c r="S34" s="256" t="s">
        <v>39</v>
      </c>
      <c r="T34" s="255" t="s">
        <v>39</v>
      </c>
      <c r="U34" s="256" t="s">
        <v>39</v>
      </c>
      <c r="V34" s="256" t="s">
        <v>39</v>
      </c>
      <c r="W34" s="256" t="s">
        <v>39</v>
      </c>
      <c r="X34" s="256" t="s">
        <v>39</v>
      </c>
      <c r="Y34" s="247" t="s">
        <v>39</v>
      </c>
      <c r="Z34" s="247" t="s">
        <v>217</v>
      </c>
      <c r="AA34" s="247" t="s">
        <v>217</v>
      </c>
      <c r="AN34"/>
      <c r="AO34"/>
      <c r="AP34"/>
      <c r="AQ34"/>
      <c r="AR34" t="s">
        <v>166</v>
      </c>
      <c r="AS34"/>
      <c r="AT34" t="s">
        <v>0</v>
      </c>
      <c r="AU34" t="s">
        <v>0</v>
      </c>
      <c r="AV34" t="s">
        <v>0</v>
      </c>
      <c r="AW34" t="s">
        <v>94</v>
      </c>
      <c r="AX34" t="s">
        <v>94</v>
      </c>
      <c r="AY34" t="s">
        <v>94</v>
      </c>
      <c r="AZ34" t="s">
        <v>39</v>
      </c>
      <c r="BA34" t="s">
        <v>39</v>
      </c>
      <c r="BB34" t="s">
        <v>39</v>
      </c>
      <c r="BC34" t="s">
        <v>39</v>
      </c>
      <c r="BD34" t="s">
        <v>39</v>
      </c>
      <c r="BE34" t="s">
        <v>39</v>
      </c>
      <c r="BF34" t="s">
        <v>39</v>
      </c>
      <c r="BG34" t="s">
        <v>39</v>
      </c>
      <c r="BH34" t="s">
        <v>39</v>
      </c>
      <c r="BI34" t="s">
        <v>39</v>
      </c>
      <c r="BJ34" t="s">
        <v>39</v>
      </c>
      <c r="BK34" t="s">
        <v>39</v>
      </c>
      <c r="BL34" t="s">
        <v>39</v>
      </c>
      <c r="BM34" t="s">
        <v>39</v>
      </c>
      <c r="BN34" t="s">
        <v>39</v>
      </c>
      <c r="BO34"/>
      <c r="BP34"/>
      <c r="BQ34"/>
    </row>
    <row r="35" spans="2:69" ht="15.75" thickTop="1" x14ac:dyDescent="0.25">
      <c r="B35" s="1" t="str">
        <f t="shared" ref="B35:B52" si="62">AN35</f>
        <v>Core_bottom Thermal Zone</v>
      </c>
      <c r="C35" s="2" t="str">
        <f t="shared" ref="C35:C52" si="63">AO35</f>
        <v>BottomVAV</v>
      </c>
      <c r="D35" s="2" t="str">
        <f t="shared" ref="D35:D52" si="64">AP35</f>
        <v>BottomVAV</v>
      </c>
      <c r="E35" s="3" t="str">
        <f t="shared" ref="E35:E52" si="65">AQ35</f>
        <v>NONE</v>
      </c>
      <c r="F35" s="82">
        <f>AT35</f>
        <v>10586.7</v>
      </c>
      <c r="G35" s="82">
        <f t="shared" ref="G35:G52" si="66">AU35</f>
        <v>10586.7</v>
      </c>
      <c r="H35" s="207">
        <f t="shared" ref="H35:H52" si="67">AV35</f>
        <v>0</v>
      </c>
      <c r="I35" s="196">
        <f>IFERROR(F35/SUMIFS($D$13:$D$30,$B$13:$B$30,C35),0)</f>
        <v>0.59223311833250358</v>
      </c>
      <c r="J35" s="194">
        <f t="shared" ref="J35:J52" si="68">IF($C35=$D35,0,IFERROR(G35/SUMIFS($D$13:$D$30,$B$13:$B$30,D35),0))</f>
        <v>0</v>
      </c>
      <c r="K35" s="195">
        <f t="shared" ref="K35:K52" si="69">IFERROR(H35/SUMIFS($G$13:$G$30,$B$13:$B$30,E35),0)</f>
        <v>0</v>
      </c>
      <c r="L35" s="196">
        <f t="shared" ref="L35:L53" si="70">$I35*SUMIFS($H$13:$H$30,$B$13:$B$30,$C35)+IF($C35=$D35,0,$J35*SUMIFS($H$13:$H$30,$B$13:$B$30,$D35))</f>
        <v>10.205361095105701</v>
      </c>
      <c r="M35" s="194">
        <f t="shared" ref="M35:M53" si="71">$I35*SUMIFS($I$13:$I$30,$B$13:$B$30,$C35)+IF($C35=$D35,0,$J35*SUMIFS($I$13:$I$30,$B$13:$B$30,$D35))</f>
        <v>3.7565346695830701</v>
      </c>
      <c r="N35" s="194">
        <f t="shared" ref="N35:N53" si="72">$I35*SUMIFS($J$13:$J$30,$B$13:$B$30,$C35)+IF($C35=$D35,0,$J35*SUMIFS($J$13:$J$30,$B$13:$B$30,$D35))</f>
        <v>0</v>
      </c>
      <c r="O35" s="194">
        <f t="shared" ref="O35:O53" si="73">$K35*SUMIFS($K$13:$K$30,$B$13:$B$30,$E35)</f>
        <v>0</v>
      </c>
      <c r="P35" s="195">
        <f>SUM(L35:O35)</f>
        <v>13.961895764688771</v>
      </c>
      <c r="Q35" s="196">
        <f>SUM(T35:V35)</f>
        <v>0</v>
      </c>
      <c r="R35" s="194">
        <f t="shared" ref="R35" si="74">SUM(W35:Y35)</f>
        <v>3.2225820279594322</v>
      </c>
      <c r="S35" s="195">
        <f>SUM(Q35:R35)</f>
        <v>3.2225820279594322</v>
      </c>
      <c r="T35" s="196">
        <f>SUMIFS(AF$13:AF$30,$B$13:$B$30,$E35)*SUMIFS(Z$13:Z$30,$B$13:$B$30,$E35)/1000*$K35</f>
        <v>0</v>
      </c>
      <c r="U35" s="194">
        <f>SUMIFS(AG$13:AG$30,$B$13:$B$30,$E35)*SUMIFS(AA$13:AA$30,$B$13:$B$30,$E35)/1000*$K35</f>
        <v>0</v>
      </c>
      <c r="V35" s="194">
        <f>SUMIFS(AH$13:AH$30,$B$13:$B$30,$E35)*SUMIFS(AB$13:AB$30,$B$13:$B$30,$E35)/1000*$K35</f>
        <v>0</v>
      </c>
      <c r="W35" s="197">
        <f>((SUMIFS(AI$13:AI$30,$B$13:$B$30,$C35)*SUMIFS(AC$13:AC$30,$B$13:$B$30,$C35)*$I35)+(SUMIFS(AI$13:AI$30,$B$13:$B$30,$D35)*SUMIFS(AC$13:AC$30,$B$13:$B$30,$D35)*$J35))/1000</f>
        <v>1.105230183297065</v>
      </c>
      <c r="X35" s="194">
        <f>((SUMIFS(AJ$13:AJ$30,$B$13:$B$30,$C35)*SUMIFS(AD$13:AD$30,$B$13:$B$30,$C35)*$I35)+(SUMIFS(AJ$13:AJ$30,$B$13:$B$30,$D35)*SUMIFS(AD$13:AD$30,$B$13:$B$30,$D35)*$J35))/1000</f>
        <v>2.1173518446623669</v>
      </c>
      <c r="Y35" s="198">
        <f>((SUMIFS(AK$13:AK$30,$B$13:$B$30,$C35)*SUMIFS(AE$13:AE$30,$B$13:$B$30,$C35)*$I35)+(SUMIFS(AK$13:AK$30,$B$13:$B$30,$D35)*SUMIFS(AE$13:AE$30,$B$13:$B$30,$D35)*$J35))/1000</f>
        <v>0</v>
      </c>
      <c r="Z35" s="221">
        <f>IFERROR(Q35/$H35*1000,0)</f>
        <v>0</v>
      </c>
      <c r="AA35" s="221">
        <f t="shared" ref="AA35" si="75">IFERROR(R35/$F35*1000,0)</f>
        <v>0.30439910717782043</v>
      </c>
      <c r="AC35" s="239"/>
      <c r="AD35" s="239"/>
      <c r="AE35" s="239"/>
      <c r="AF35" s="239"/>
      <c r="AN35" t="s">
        <v>72</v>
      </c>
      <c r="AO35" t="s">
        <v>66</v>
      </c>
      <c r="AP35" t="s">
        <v>66</v>
      </c>
      <c r="AQ35" t="s">
        <v>80</v>
      </c>
      <c r="AR35">
        <v>10586.7</v>
      </c>
      <c r="AS35">
        <v>1</v>
      </c>
      <c r="AT35">
        <v>10586.7</v>
      </c>
      <c r="AU35">
        <v>10586.7</v>
      </c>
      <c r="AV35">
        <v>0</v>
      </c>
      <c r="AW35">
        <v>0.59199999999999997</v>
      </c>
      <c r="AX35">
        <v>0</v>
      </c>
      <c r="AY35">
        <v>0</v>
      </c>
      <c r="AZ35">
        <v>10.206</v>
      </c>
      <c r="BA35">
        <v>3.7570000000000001</v>
      </c>
      <c r="BB35">
        <v>0</v>
      </c>
      <c r="BC35">
        <v>0</v>
      </c>
      <c r="BD35">
        <v>13.962</v>
      </c>
      <c r="BE35">
        <v>0</v>
      </c>
      <c r="BF35">
        <v>3.22</v>
      </c>
      <c r="BG35">
        <v>3.22</v>
      </c>
      <c r="BH35">
        <v>0</v>
      </c>
      <c r="BI35">
        <v>0</v>
      </c>
      <c r="BJ35">
        <v>0</v>
      </c>
      <c r="BK35">
        <v>1.105</v>
      </c>
      <c r="BL35">
        <v>2.1150000000000002</v>
      </c>
      <c r="BM35">
        <v>0</v>
      </c>
      <c r="BN35">
        <v>-99996</v>
      </c>
    </row>
    <row r="36" spans="2:69" x14ac:dyDescent="0.25">
      <c r="B36" s="1" t="str">
        <f t="shared" si="62"/>
        <v>Perimeter_bot_ZN_1 Thermal Zone</v>
      </c>
      <c r="C36" s="2" t="str">
        <f t="shared" si="63"/>
        <v>BottomVAV</v>
      </c>
      <c r="D36" s="2" t="str">
        <f t="shared" si="64"/>
        <v>BottomVAV</v>
      </c>
      <c r="E36" s="3" t="str">
        <f t="shared" si="65"/>
        <v>NONE</v>
      </c>
      <c r="F36" s="82">
        <f t="shared" ref="F36:F52" si="76">AT36</f>
        <v>2231.8000000000002</v>
      </c>
      <c r="G36" s="82">
        <f t="shared" si="66"/>
        <v>2231.8000000000002</v>
      </c>
      <c r="H36" s="207">
        <f t="shared" si="67"/>
        <v>0</v>
      </c>
      <c r="I36" s="196">
        <f t="shared" ref="I36:I52" si="77">IFERROR(F36/SUMIFS($D$13:$D$28,$B$13:$B$28,C36),0)</f>
        <v>0.12484965791932154</v>
      </c>
      <c r="J36" s="194">
        <f t="shared" si="68"/>
        <v>0</v>
      </c>
      <c r="K36" s="195">
        <f t="shared" si="69"/>
        <v>0</v>
      </c>
      <c r="L36" s="196">
        <f t="shared" si="70"/>
        <v>2.1514093052657488</v>
      </c>
      <c r="M36" s="194">
        <f t="shared" si="71"/>
        <v>0.79192138018225655</v>
      </c>
      <c r="N36" s="194">
        <f t="shared" si="72"/>
        <v>0</v>
      </c>
      <c r="O36" s="194">
        <f t="shared" si="73"/>
        <v>0</v>
      </c>
      <c r="P36" s="195">
        <f t="shared" ref="P36:P52" si="78">SUM(L36:O36)</f>
        <v>2.9433306854480055</v>
      </c>
      <c r="Q36" s="196">
        <f t="shared" ref="Q36:Q53" si="79">SUM(T36:V36)</f>
        <v>0</v>
      </c>
      <c r="R36" s="194">
        <f t="shared" ref="R36:R53" si="80">SUM(W36:Y36)</f>
        <v>0.67935792739945966</v>
      </c>
      <c r="S36" s="195">
        <f t="shared" ref="S36:S53" si="81">SUM(Q36:R36)</f>
        <v>0.67935792739945966</v>
      </c>
      <c r="T36" s="196">
        <f t="shared" ref="T36:T53" si="82">SUMIFS(AF$13:AF$30,$B$13:$B$30,$E36)*SUMIFS(Z$13:Z$30,$B$13:$B$30,$E36)/1000*$K36</f>
        <v>0</v>
      </c>
      <c r="U36" s="194">
        <f t="shared" ref="U36:U53" si="83">SUMIFS(AG$13:AG$30,$B$13:$B$30,$E36)*SUMIFS(AA$13:AA$30,$B$13:$B$30,$E36)/1000*$K36</f>
        <v>0</v>
      </c>
      <c r="V36" s="194">
        <f t="shared" ref="V36:V53" si="84">SUMIFS(AH$13:AH$30,$B$13:$B$30,$E36)*SUMIFS(AB$13:AB$30,$B$13:$B$30,$E36)/1000*$K36</f>
        <v>0</v>
      </c>
      <c r="W36" s="194">
        <f t="shared" ref="W36:W53" si="85">((SUMIFS(AI$13:AI$30,$B$13:$B$30,$C36)*SUMIFS(AC$13:AC$30,$B$13:$B$30,$C36)*$I36)+(SUMIFS(AI$13:AI$30,$B$13:$B$30,$D36)*SUMIFS(AC$13:AC$30,$B$13:$B$30,$D36)*$J36))/1000</f>
        <v>0.23299543040630122</v>
      </c>
      <c r="X36" s="194">
        <f t="shared" ref="X36:X53" si="86">((SUMIFS(AJ$13:AJ$30,$B$13:$B$30,$C36)*SUMIFS(AD$13:AD$30,$B$13:$B$30,$C36)*$I36)+(SUMIFS(AJ$13:AJ$30,$B$13:$B$30,$D36)*SUMIFS(AD$13:AD$30,$B$13:$B$30,$D36)*$J36))/1000</f>
        <v>0.44636249699315839</v>
      </c>
      <c r="Y36" s="198">
        <f t="shared" ref="Y36:Y53" si="87">((SUMIFS(AK$13:AK$30,$B$13:$B$30,$C36)*SUMIFS(AE$13:AE$30,$B$13:$B$30,$C36)*$I36)+(SUMIFS(AK$13:AK$30,$B$13:$B$30,$D36)*SUMIFS(AE$13:AE$30,$B$13:$B$30,$D36)*$J36))/1000</f>
        <v>0</v>
      </c>
      <c r="Z36" s="221">
        <f t="shared" ref="Z36:Z52" si="88">IFERROR(Q36/$H36*1000,0)</f>
        <v>0</v>
      </c>
      <c r="AA36" s="221">
        <f t="shared" ref="AA36:AA52" si="89">IFERROR(R36/$F36*1000,0)</f>
        <v>0.30439910717782037</v>
      </c>
      <c r="AC36" s="239"/>
      <c r="AD36" s="239"/>
      <c r="AE36" s="239"/>
      <c r="AF36" s="239"/>
      <c r="AN36" t="s">
        <v>73</v>
      </c>
      <c r="AO36" t="s">
        <v>66</v>
      </c>
      <c r="AP36" t="s">
        <v>66</v>
      </c>
      <c r="AQ36" t="s">
        <v>80</v>
      </c>
      <c r="AR36">
        <v>2231.8000000000002</v>
      </c>
      <c r="AS36">
        <v>1</v>
      </c>
      <c r="AT36">
        <v>2231.8000000000002</v>
      </c>
      <c r="AU36">
        <v>2231.8000000000002</v>
      </c>
      <c r="AV36">
        <v>0</v>
      </c>
      <c r="AW36">
        <v>0.125</v>
      </c>
      <c r="AX36">
        <v>0</v>
      </c>
      <c r="AY36">
        <v>0</v>
      </c>
      <c r="AZ36">
        <v>2.1509999999999998</v>
      </c>
      <c r="BA36">
        <v>0.79200000000000004</v>
      </c>
      <c r="BB36">
        <v>0</v>
      </c>
      <c r="BC36">
        <v>0</v>
      </c>
      <c r="BD36">
        <v>2.9430000000000001</v>
      </c>
      <c r="BE36">
        <v>0</v>
      </c>
      <c r="BF36">
        <v>0.67900000000000005</v>
      </c>
      <c r="BG36">
        <v>0.67900000000000005</v>
      </c>
      <c r="BH36">
        <v>0</v>
      </c>
      <c r="BI36">
        <v>0</v>
      </c>
      <c r="BJ36">
        <v>0</v>
      </c>
      <c r="BK36">
        <v>0.23300000000000001</v>
      </c>
      <c r="BL36">
        <v>0.44600000000000001</v>
      </c>
      <c r="BM36">
        <v>0</v>
      </c>
      <c r="BN36">
        <v>-99996</v>
      </c>
    </row>
    <row r="37" spans="2:69" x14ac:dyDescent="0.25">
      <c r="B37" s="1" t="str">
        <f t="shared" si="62"/>
        <v>Perimeter_bot_ZN_2 Thermal Zone</v>
      </c>
      <c r="C37" s="2" t="str">
        <f t="shared" si="63"/>
        <v>BottomVAV</v>
      </c>
      <c r="D37" s="2" t="str">
        <f t="shared" si="64"/>
        <v>BottomVAV</v>
      </c>
      <c r="E37" s="3" t="str">
        <f t="shared" si="65"/>
        <v>NONE</v>
      </c>
      <c r="F37" s="82">
        <f t="shared" si="76"/>
        <v>1412.9</v>
      </c>
      <c r="G37" s="82">
        <f t="shared" si="66"/>
        <v>1412.9</v>
      </c>
      <c r="H37" s="207">
        <f t="shared" si="67"/>
        <v>0</v>
      </c>
      <c r="I37" s="196">
        <f t="shared" si="77"/>
        <v>7.9039377038358907E-2</v>
      </c>
      <c r="J37" s="194">
        <f t="shared" si="68"/>
        <v>0</v>
      </c>
      <c r="K37" s="195">
        <f t="shared" si="69"/>
        <v>0</v>
      </c>
      <c r="L37" s="196">
        <f t="shared" si="70"/>
        <v>1.3620065451250007</v>
      </c>
      <c r="M37" s="194">
        <f t="shared" si="71"/>
        <v>0.5013467685543106</v>
      </c>
      <c r="N37" s="194">
        <f t="shared" si="72"/>
        <v>0</v>
      </c>
      <c r="O37" s="194">
        <f t="shared" si="73"/>
        <v>0</v>
      </c>
      <c r="P37" s="195">
        <f t="shared" si="78"/>
        <v>1.8633533136793115</v>
      </c>
      <c r="Q37" s="196">
        <f t="shared" si="79"/>
        <v>0</v>
      </c>
      <c r="R37" s="194">
        <f t="shared" si="80"/>
        <v>0.43008549853154243</v>
      </c>
      <c r="S37" s="195">
        <f t="shared" si="81"/>
        <v>0.43008549853154243</v>
      </c>
      <c r="T37" s="196">
        <f t="shared" si="82"/>
        <v>0</v>
      </c>
      <c r="U37" s="194">
        <f t="shared" si="83"/>
        <v>0</v>
      </c>
      <c r="V37" s="194">
        <f t="shared" si="84"/>
        <v>0</v>
      </c>
      <c r="W37" s="194">
        <f t="shared" si="85"/>
        <v>0.14750391774400171</v>
      </c>
      <c r="X37" s="194">
        <f t="shared" si="86"/>
        <v>0.28258158078754075</v>
      </c>
      <c r="Y37" s="198">
        <f t="shared" si="87"/>
        <v>0</v>
      </c>
      <c r="Z37" s="221">
        <f t="shared" si="88"/>
        <v>0</v>
      </c>
      <c r="AA37" s="221">
        <f t="shared" si="89"/>
        <v>0.30439910717782037</v>
      </c>
      <c r="AC37" s="239"/>
      <c r="AD37" s="239"/>
      <c r="AE37" s="239"/>
      <c r="AF37" s="239"/>
      <c r="AN37" t="s">
        <v>74</v>
      </c>
      <c r="AO37" t="s">
        <v>66</v>
      </c>
      <c r="AP37" t="s">
        <v>66</v>
      </c>
      <c r="AQ37" t="s">
        <v>80</v>
      </c>
      <c r="AR37">
        <v>1412.9</v>
      </c>
      <c r="AS37">
        <v>1</v>
      </c>
      <c r="AT37">
        <v>1412.9</v>
      </c>
      <c r="AU37">
        <v>1412.9</v>
      </c>
      <c r="AV37">
        <v>0</v>
      </c>
      <c r="AW37">
        <v>7.9000000000000001E-2</v>
      </c>
      <c r="AX37">
        <v>0</v>
      </c>
      <c r="AY37">
        <v>0</v>
      </c>
      <c r="AZ37">
        <v>1.3620000000000001</v>
      </c>
      <c r="BA37">
        <v>0.501</v>
      </c>
      <c r="BB37">
        <v>0</v>
      </c>
      <c r="BC37">
        <v>0</v>
      </c>
      <c r="BD37">
        <v>1.863</v>
      </c>
      <c r="BE37">
        <v>0</v>
      </c>
      <c r="BF37">
        <v>0.43</v>
      </c>
      <c r="BG37">
        <v>0.43</v>
      </c>
      <c r="BH37">
        <v>0</v>
      </c>
      <c r="BI37">
        <v>0</v>
      </c>
      <c r="BJ37">
        <v>0</v>
      </c>
      <c r="BK37">
        <v>0.14799999999999999</v>
      </c>
      <c r="BL37">
        <v>0.28199999999999997</v>
      </c>
      <c r="BM37">
        <v>0</v>
      </c>
      <c r="BN37">
        <v>-99996</v>
      </c>
    </row>
    <row r="38" spans="2:69" x14ac:dyDescent="0.25">
      <c r="B38" s="1" t="str">
        <f t="shared" si="62"/>
        <v>Perimeter_bot_ZN_3 Thermal Zone</v>
      </c>
      <c r="C38" s="2" t="str">
        <f t="shared" si="63"/>
        <v>BottomVAV</v>
      </c>
      <c r="D38" s="2" t="str">
        <f t="shared" si="64"/>
        <v>BottomVAV</v>
      </c>
      <c r="E38" s="3" t="str">
        <f t="shared" si="65"/>
        <v>NONE</v>
      </c>
      <c r="F38" s="82">
        <f t="shared" si="76"/>
        <v>2231.8000000000002</v>
      </c>
      <c r="G38" s="82">
        <f t="shared" si="66"/>
        <v>2231.8000000000002</v>
      </c>
      <c r="H38" s="207">
        <f t="shared" si="67"/>
        <v>0</v>
      </c>
      <c r="I38" s="196">
        <f t="shared" si="77"/>
        <v>0.12484965791932154</v>
      </c>
      <c r="J38" s="194">
        <f t="shared" si="68"/>
        <v>0</v>
      </c>
      <c r="K38" s="195">
        <f t="shared" si="69"/>
        <v>0</v>
      </c>
      <c r="L38" s="196">
        <f t="shared" si="70"/>
        <v>2.1514093052657488</v>
      </c>
      <c r="M38" s="194">
        <f t="shared" si="71"/>
        <v>0.79192138018225655</v>
      </c>
      <c r="N38" s="194">
        <f t="shared" si="72"/>
        <v>0</v>
      </c>
      <c r="O38" s="194">
        <f t="shared" si="73"/>
        <v>0</v>
      </c>
      <c r="P38" s="195">
        <f t="shared" si="78"/>
        <v>2.9433306854480055</v>
      </c>
      <c r="Q38" s="196">
        <f t="shared" si="79"/>
        <v>0</v>
      </c>
      <c r="R38" s="194">
        <f t="shared" si="80"/>
        <v>0.67935792739945966</v>
      </c>
      <c r="S38" s="195">
        <f t="shared" si="81"/>
        <v>0.67935792739945966</v>
      </c>
      <c r="T38" s="196">
        <f t="shared" si="82"/>
        <v>0</v>
      </c>
      <c r="U38" s="194">
        <f t="shared" si="83"/>
        <v>0</v>
      </c>
      <c r="V38" s="194">
        <f t="shared" si="84"/>
        <v>0</v>
      </c>
      <c r="W38" s="194">
        <f t="shared" si="85"/>
        <v>0.23299543040630122</v>
      </c>
      <c r="X38" s="194">
        <f t="shared" si="86"/>
        <v>0.44636249699315839</v>
      </c>
      <c r="Y38" s="198">
        <f t="shared" si="87"/>
        <v>0</v>
      </c>
      <c r="Z38" s="221">
        <f t="shared" si="88"/>
        <v>0</v>
      </c>
      <c r="AA38" s="221">
        <f t="shared" si="89"/>
        <v>0.30439910717782037</v>
      </c>
      <c r="AC38" s="239"/>
      <c r="AD38" s="239"/>
      <c r="AE38" s="239"/>
      <c r="AF38" s="239"/>
      <c r="AN38" t="s">
        <v>75</v>
      </c>
      <c r="AO38" t="s">
        <v>66</v>
      </c>
      <c r="AP38" t="s">
        <v>66</v>
      </c>
      <c r="AQ38" t="s">
        <v>80</v>
      </c>
      <c r="AR38">
        <v>2231.8000000000002</v>
      </c>
      <c r="AS38">
        <v>1</v>
      </c>
      <c r="AT38">
        <v>2231.8000000000002</v>
      </c>
      <c r="AU38">
        <v>2231.8000000000002</v>
      </c>
      <c r="AV38">
        <v>0</v>
      </c>
      <c r="AW38">
        <v>0.125</v>
      </c>
      <c r="AX38">
        <v>0</v>
      </c>
      <c r="AY38">
        <v>0</v>
      </c>
      <c r="AZ38">
        <v>2.1509999999999998</v>
      </c>
      <c r="BA38">
        <v>0.79200000000000004</v>
      </c>
      <c r="BB38">
        <v>0</v>
      </c>
      <c r="BC38">
        <v>0</v>
      </c>
      <c r="BD38">
        <v>2.9430000000000001</v>
      </c>
      <c r="BE38">
        <v>0</v>
      </c>
      <c r="BF38">
        <v>0.67900000000000005</v>
      </c>
      <c r="BG38">
        <v>0.67900000000000005</v>
      </c>
      <c r="BH38">
        <v>0</v>
      </c>
      <c r="BI38">
        <v>0</v>
      </c>
      <c r="BJ38">
        <v>0</v>
      </c>
      <c r="BK38">
        <v>0.23300000000000001</v>
      </c>
      <c r="BL38">
        <v>0.44600000000000001</v>
      </c>
      <c r="BM38">
        <v>0</v>
      </c>
      <c r="BN38">
        <v>-99996</v>
      </c>
    </row>
    <row r="39" spans="2:69" x14ac:dyDescent="0.25">
      <c r="B39" s="1" t="str">
        <f t="shared" si="62"/>
        <v>Perimeter_bot_ZN_4 Thermal Zone</v>
      </c>
      <c r="C39" s="2" t="str">
        <f t="shared" si="63"/>
        <v>BottomVAV</v>
      </c>
      <c r="D39" s="2" t="str">
        <f t="shared" si="64"/>
        <v>BottomVAV</v>
      </c>
      <c r="E39" s="3" t="str">
        <f t="shared" si="65"/>
        <v>NONE</v>
      </c>
      <c r="F39" s="82">
        <f t="shared" si="76"/>
        <v>1412.8</v>
      </c>
      <c r="G39" s="82">
        <f t="shared" si="66"/>
        <v>1412.8</v>
      </c>
      <c r="H39" s="207">
        <f t="shared" si="67"/>
        <v>0</v>
      </c>
      <c r="I39" s="196">
        <f t="shared" si="77"/>
        <v>7.9033782914426684E-2</v>
      </c>
      <c r="J39" s="194">
        <f t="shared" si="68"/>
        <v>0</v>
      </c>
      <c r="K39" s="195">
        <f t="shared" si="69"/>
        <v>0</v>
      </c>
      <c r="L39" s="196">
        <f t="shared" si="70"/>
        <v>1.3619101471814006</v>
      </c>
      <c r="M39" s="194">
        <f t="shared" si="71"/>
        <v>0.50131128502620848</v>
      </c>
      <c r="N39" s="194">
        <f t="shared" si="72"/>
        <v>0</v>
      </c>
      <c r="O39" s="194">
        <f t="shared" si="73"/>
        <v>0</v>
      </c>
      <c r="P39" s="195">
        <f t="shared" si="78"/>
        <v>1.8632214322076091</v>
      </c>
      <c r="Q39" s="196">
        <f t="shared" si="79"/>
        <v>0</v>
      </c>
      <c r="R39" s="194">
        <f t="shared" si="80"/>
        <v>0.43005505862082472</v>
      </c>
      <c r="S39" s="195">
        <f t="shared" si="81"/>
        <v>0.43005505862082472</v>
      </c>
      <c r="T39" s="196">
        <f t="shared" si="82"/>
        <v>0</v>
      </c>
      <c r="U39" s="194">
        <f t="shared" si="83"/>
        <v>0</v>
      </c>
      <c r="V39" s="194">
        <f t="shared" si="84"/>
        <v>0</v>
      </c>
      <c r="W39" s="194">
        <f t="shared" si="85"/>
        <v>0.1474934779451664</v>
      </c>
      <c r="X39" s="194">
        <f t="shared" si="86"/>
        <v>0.28256158067565834</v>
      </c>
      <c r="Y39" s="198">
        <f t="shared" si="87"/>
        <v>0</v>
      </c>
      <c r="Z39" s="221">
        <f t="shared" si="88"/>
        <v>0</v>
      </c>
      <c r="AA39" s="221">
        <f t="shared" si="89"/>
        <v>0.30439910717782043</v>
      </c>
      <c r="AC39" s="239"/>
      <c r="AD39" s="239"/>
      <c r="AE39" s="239"/>
      <c r="AF39" s="239"/>
      <c r="AN39" t="s">
        <v>76</v>
      </c>
      <c r="AO39" t="s">
        <v>66</v>
      </c>
      <c r="AP39" t="s">
        <v>66</v>
      </c>
      <c r="AQ39" t="s">
        <v>80</v>
      </c>
      <c r="AR39">
        <v>1412.8</v>
      </c>
      <c r="AS39">
        <v>1</v>
      </c>
      <c r="AT39">
        <v>1412.8</v>
      </c>
      <c r="AU39">
        <v>1412.8</v>
      </c>
      <c r="AV39">
        <v>0</v>
      </c>
      <c r="AW39">
        <v>7.9000000000000001E-2</v>
      </c>
      <c r="AX39">
        <v>0</v>
      </c>
      <c r="AY39">
        <v>0</v>
      </c>
      <c r="AZ39">
        <v>1.3620000000000001</v>
      </c>
      <c r="BA39">
        <v>0.501</v>
      </c>
      <c r="BB39">
        <v>0</v>
      </c>
      <c r="BC39">
        <v>0</v>
      </c>
      <c r="BD39">
        <v>1.863</v>
      </c>
      <c r="BE39">
        <v>0</v>
      </c>
      <c r="BF39">
        <v>0.43</v>
      </c>
      <c r="BG39">
        <v>0.43</v>
      </c>
      <c r="BH39">
        <v>0</v>
      </c>
      <c r="BI39">
        <v>0</v>
      </c>
      <c r="BJ39">
        <v>0</v>
      </c>
      <c r="BK39">
        <v>0.14699999999999999</v>
      </c>
      <c r="BL39">
        <v>0.28199999999999997</v>
      </c>
      <c r="BM39">
        <v>0</v>
      </c>
      <c r="BN39">
        <v>-99996</v>
      </c>
    </row>
    <row r="40" spans="2:69" x14ac:dyDescent="0.25">
      <c r="B40" s="4" t="str">
        <f t="shared" si="62"/>
        <v>FirstFloor_Plenum Thermal Zone</v>
      </c>
      <c r="C40" s="5" t="str">
        <f t="shared" si="63"/>
        <v>NONE</v>
      </c>
      <c r="D40" s="5" t="str">
        <f t="shared" si="64"/>
        <v>NONE</v>
      </c>
      <c r="E40" s="6" t="str">
        <f t="shared" si="65"/>
        <v>NONE</v>
      </c>
      <c r="F40" s="80">
        <f t="shared" si="76"/>
        <v>0</v>
      </c>
      <c r="G40" s="83">
        <f t="shared" si="66"/>
        <v>0</v>
      </c>
      <c r="H40" s="208">
        <f t="shared" si="67"/>
        <v>0</v>
      </c>
      <c r="I40" s="196">
        <f t="shared" si="77"/>
        <v>0</v>
      </c>
      <c r="J40" s="194">
        <f t="shared" si="68"/>
        <v>0</v>
      </c>
      <c r="K40" s="195">
        <f t="shared" si="69"/>
        <v>0</v>
      </c>
      <c r="L40" s="196">
        <f t="shared" si="70"/>
        <v>0</v>
      </c>
      <c r="M40" s="194">
        <f t="shared" si="71"/>
        <v>0</v>
      </c>
      <c r="N40" s="194">
        <f t="shared" si="72"/>
        <v>0</v>
      </c>
      <c r="O40" s="194">
        <f t="shared" si="73"/>
        <v>0</v>
      </c>
      <c r="P40" s="195">
        <f t="shared" si="78"/>
        <v>0</v>
      </c>
      <c r="Q40" s="196">
        <f t="shared" si="79"/>
        <v>0</v>
      </c>
      <c r="R40" s="194">
        <f t="shared" si="80"/>
        <v>0</v>
      </c>
      <c r="S40" s="195">
        <f t="shared" si="81"/>
        <v>0</v>
      </c>
      <c r="T40" s="196">
        <f t="shared" si="82"/>
        <v>0</v>
      </c>
      <c r="U40" s="194">
        <f t="shared" si="83"/>
        <v>0</v>
      </c>
      <c r="V40" s="194">
        <f t="shared" si="84"/>
        <v>0</v>
      </c>
      <c r="W40" s="194">
        <f t="shared" si="85"/>
        <v>0</v>
      </c>
      <c r="X40" s="194">
        <f t="shared" si="86"/>
        <v>0</v>
      </c>
      <c r="Y40" s="198">
        <f t="shared" si="87"/>
        <v>0</v>
      </c>
      <c r="Z40" s="221">
        <f t="shared" si="88"/>
        <v>0</v>
      </c>
      <c r="AA40" s="221">
        <f t="shared" si="89"/>
        <v>0</v>
      </c>
      <c r="AC40" s="239"/>
      <c r="AD40" s="239"/>
      <c r="AE40" s="239"/>
      <c r="AF40" s="239"/>
      <c r="AN40" t="s">
        <v>77</v>
      </c>
      <c r="AO40" t="s">
        <v>80</v>
      </c>
      <c r="AP40" t="s">
        <v>80</v>
      </c>
      <c r="AQ40" t="s">
        <v>80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-99996</v>
      </c>
    </row>
    <row r="41" spans="2:69" x14ac:dyDescent="0.25">
      <c r="B41" s="15" t="str">
        <f t="shared" si="62"/>
        <v>Core_mid Thermal Zone</v>
      </c>
      <c r="C41" s="16" t="str">
        <f t="shared" si="63"/>
        <v>Mid VAV NE_Core Zones</v>
      </c>
      <c r="D41" s="16" t="str">
        <f t="shared" si="64"/>
        <v>Mid VAV NE_Core Zones</v>
      </c>
      <c r="E41" s="10" t="str">
        <f t="shared" si="65"/>
        <v>NONE</v>
      </c>
      <c r="F41" s="81">
        <f t="shared" si="76"/>
        <v>10586.7</v>
      </c>
      <c r="G41" s="81">
        <f t="shared" si="66"/>
        <v>10586.7</v>
      </c>
      <c r="H41" s="209">
        <f t="shared" si="67"/>
        <v>0</v>
      </c>
      <c r="I41" s="196">
        <f t="shared" si="77"/>
        <v>0.74389729752519085</v>
      </c>
      <c r="J41" s="194">
        <f t="shared" si="68"/>
        <v>0</v>
      </c>
      <c r="K41" s="195">
        <f t="shared" si="69"/>
        <v>0</v>
      </c>
      <c r="L41" s="196">
        <f t="shared" si="70"/>
        <v>8.2847842025380505</v>
      </c>
      <c r="M41" s="194">
        <f t="shared" si="71"/>
        <v>0</v>
      </c>
      <c r="N41" s="194">
        <f t="shared" si="72"/>
        <v>2.501726611577217</v>
      </c>
      <c r="O41" s="194">
        <f t="shared" si="73"/>
        <v>0</v>
      </c>
      <c r="P41" s="195">
        <f t="shared" si="78"/>
        <v>10.786510814115267</v>
      </c>
      <c r="Q41" s="196">
        <f t="shared" si="79"/>
        <v>0</v>
      </c>
      <c r="R41" s="194">
        <f t="shared" si="80"/>
        <v>2.4454589638897093</v>
      </c>
      <c r="S41" s="195">
        <f t="shared" si="81"/>
        <v>2.4454589638897093</v>
      </c>
      <c r="T41" s="196">
        <f t="shared" si="82"/>
        <v>0</v>
      </c>
      <c r="U41" s="194">
        <f t="shared" si="83"/>
        <v>0</v>
      </c>
      <c r="V41" s="194">
        <f t="shared" si="84"/>
        <v>0</v>
      </c>
      <c r="W41" s="194">
        <f t="shared" si="85"/>
        <v>0</v>
      </c>
      <c r="X41" s="194">
        <f t="shared" si="86"/>
        <v>0</v>
      </c>
      <c r="Y41" s="198">
        <f t="shared" si="87"/>
        <v>2.4454589638897093</v>
      </c>
      <c r="Z41" s="221">
        <f t="shared" si="88"/>
        <v>0</v>
      </c>
      <c r="AA41" s="221">
        <f t="shared" si="89"/>
        <v>0.23099350731481097</v>
      </c>
      <c r="AC41" s="239"/>
      <c r="AD41" s="239"/>
      <c r="AE41" s="239"/>
      <c r="AF41" s="239"/>
      <c r="AN41" t="s">
        <v>19</v>
      </c>
      <c r="AO41" t="s">
        <v>68</v>
      </c>
      <c r="AP41" t="s">
        <v>68</v>
      </c>
      <c r="AQ41" t="s">
        <v>80</v>
      </c>
      <c r="AR41">
        <v>10586.7</v>
      </c>
      <c r="AS41">
        <v>1</v>
      </c>
      <c r="AT41">
        <v>10586.7</v>
      </c>
      <c r="AU41">
        <v>10586.7</v>
      </c>
      <c r="AV41">
        <v>0</v>
      </c>
      <c r="AW41">
        <v>0.74399999999999999</v>
      </c>
      <c r="AX41">
        <v>0</v>
      </c>
      <c r="AY41">
        <v>0</v>
      </c>
      <c r="AZ41">
        <v>8.2850000000000001</v>
      </c>
      <c r="BA41">
        <v>0</v>
      </c>
      <c r="BB41">
        <v>2.5019999999999998</v>
      </c>
      <c r="BC41">
        <v>0</v>
      </c>
      <c r="BD41">
        <v>10.786</v>
      </c>
      <c r="BE41">
        <v>0</v>
      </c>
      <c r="BF41">
        <v>2.4460000000000002</v>
      </c>
      <c r="BG41">
        <v>2.4460000000000002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2.4460000000000002</v>
      </c>
      <c r="BN41">
        <v>-99996</v>
      </c>
    </row>
    <row r="42" spans="2:69" x14ac:dyDescent="0.25">
      <c r="B42" s="1" t="str">
        <f t="shared" si="62"/>
        <v>Perimeter_mid_ZN_1 Thermal Zone</v>
      </c>
      <c r="C42" s="2" t="str">
        <f t="shared" si="63"/>
        <v>Mid VAV-SW Zones</v>
      </c>
      <c r="D42" s="2" t="str">
        <f t="shared" si="64"/>
        <v>Mid VAV-SW Zones</v>
      </c>
      <c r="E42" s="3" t="str">
        <f t="shared" si="65"/>
        <v>Mid SE Zones ExhSys</v>
      </c>
      <c r="F42" s="82">
        <f t="shared" si="76"/>
        <v>2678.1</v>
      </c>
      <c r="G42" s="82">
        <f t="shared" si="66"/>
        <v>2678.1</v>
      </c>
      <c r="H42" s="207">
        <f t="shared" si="67"/>
        <v>500</v>
      </c>
      <c r="I42" s="196">
        <f t="shared" si="77"/>
        <v>0.61234709043100488</v>
      </c>
      <c r="J42" s="194">
        <f t="shared" si="68"/>
        <v>0</v>
      </c>
      <c r="K42" s="195">
        <f t="shared" si="69"/>
        <v>0.19088340841414064</v>
      </c>
      <c r="L42" s="196">
        <f t="shared" si="70"/>
        <v>1.893377203612667</v>
      </c>
      <c r="M42" s="194">
        <f t="shared" si="71"/>
        <v>0.75563630959186001</v>
      </c>
      <c r="N42" s="194">
        <f t="shared" si="72"/>
        <v>0</v>
      </c>
      <c r="O42" s="194">
        <f t="shared" si="73"/>
        <v>0.40390929220432165</v>
      </c>
      <c r="P42" s="195">
        <f t="shared" si="78"/>
        <v>3.0529228054088486</v>
      </c>
      <c r="Q42" s="196">
        <f t="shared" si="79"/>
        <v>0.13497938459189127</v>
      </c>
      <c r="R42" s="194">
        <f t="shared" si="80"/>
        <v>0.42309142457985593</v>
      </c>
      <c r="S42" s="195">
        <f t="shared" si="81"/>
        <v>0.55807080917174723</v>
      </c>
      <c r="T42" s="196">
        <f t="shared" si="82"/>
        <v>4.5493051843933728E-2</v>
      </c>
      <c r="U42" s="194">
        <f t="shared" si="83"/>
        <v>0</v>
      </c>
      <c r="V42" s="194">
        <f t="shared" si="84"/>
        <v>8.9486332747957545E-2</v>
      </c>
      <c r="W42" s="194">
        <f t="shared" si="85"/>
        <v>0</v>
      </c>
      <c r="X42" s="194">
        <f t="shared" si="86"/>
        <v>0.42309142457985593</v>
      </c>
      <c r="Y42" s="198">
        <f t="shared" si="87"/>
        <v>0</v>
      </c>
      <c r="Z42" s="221">
        <f t="shared" si="88"/>
        <v>0.26995876918378253</v>
      </c>
      <c r="AA42" s="221">
        <f t="shared" si="89"/>
        <v>0.1579819366639991</v>
      </c>
      <c r="AC42" s="239"/>
      <c r="AD42" s="239"/>
      <c r="AE42" s="239"/>
      <c r="AF42" s="239"/>
      <c r="AN42" t="s">
        <v>20</v>
      </c>
      <c r="AO42" t="s">
        <v>24</v>
      </c>
      <c r="AP42" t="s">
        <v>24</v>
      </c>
      <c r="AQ42" t="s">
        <v>25</v>
      </c>
      <c r="AR42">
        <v>2231.8000000000002</v>
      </c>
      <c r="AS42">
        <v>1</v>
      </c>
      <c r="AT42">
        <v>2678.1</v>
      </c>
      <c r="AU42">
        <v>2678.1</v>
      </c>
      <c r="AV42">
        <v>500</v>
      </c>
      <c r="AW42">
        <v>0.61199999999999999</v>
      </c>
      <c r="AX42">
        <v>0</v>
      </c>
      <c r="AY42">
        <v>0.191</v>
      </c>
      <c r="AZ42">
        <v>1.893</v>
      </c>
      <c r="BA42">
        <v>0.75600000000000001</v>
      </c>
      <c r="BB42">
        <v>0</v>
      </c>
      <c r="BC42">
        <v>0.40400000000000003</v>
      </c>
      <c r="BD42">
        <v>3.0529999999999999</v>
      </c>
      <c r="BE42">
        <v>0.13500000000000001</v>
      </c>
      <c r="BF42">
        <v>0.42399999999999999</v>
      </c>
      <c r="BG42">
        <v>0.55900000000000005</v>
      </c>
      <c r="BH42">
        <v>4.4999999999999998E-2</v>
      </c>
      <c r="BI42">
        <v>0</v>
      </c>
      <c r="BJ42">
        <v>8.8999999999999996E-2</v>
      </c>
      <c r="BK42">
        <v>0</v>
      </c>
      <c r="BL42">
        <v>0.42399999999999999</v>
      </c>
      <c r="BM42">
        <v>0</v>
      </c>
      <c r="BN42">
        <v>0.48499999999999999</v>
      </c>
    </row>
    <row r="43" spans="2:69" x14ac:dyDescent="0.25">
      <c r="B43" s="1" t="str">
        <f t="shared" si="62"/>
        <v>Perimeter_mid_ZN_2 Thermal Zone</v>
      </c>
      <c r="C43" s="2" t="str">
        <f t="shared" si="63"/>
        <v>Mid VAV NE_Core Zones</v>
      </c>
      <c r="D43" s="2" t="str">
        <f t="shared" si="64"/>
        <v>NONE</v>
      </c>
      <c r="E43" s="3" t="str">
        <f t="shared" si="65"/>
        <v>Mid SE Zones ExhSys</v>
      </c>
      <c r="F43" s="82">
        <f t="shared" si="76"/>
        <v>1412.9</v>
      </c>
      <c r="G43" s="82">
        <f t="shared" si="66"/>
        <v>0</v>
      </c>
      <c r="H43" s="207">
        <f t="shared" si="67"/>
        <v>2119.4</v>
      </c>
      <c r="I43" s="196">
        <f t="shared" si="77"/>
        <v>9.9280464325365053E-2</v>
      </c>
      <c r="J43" s="194">
        <f t="shared" si="68"/>
        <v>0</v>
      </c>
      <c r="K43" s="195">
        <f t="shared" si="69"/>
        <v>0.80911659158585936</v>
      </c>
      <c r="L43" s="196">
        <f t="shared" si="70"/>
        <v>1.1056865311915907</v>
      </c>
      <c r="M43" s="194">
        <f t="shared" si="71"/>
        <v>0</v>
      </c>
      <c r="N43" s="194">
        <f t="shared" si="72"/>
        <v>0.33388020152620268</v>
      </c>
      <c r="O43" s="194">
        <f t="shared" si="73"/>
        <v>1.7120907077956784</v>
      </c>
      <c r="P43" s="195">
        <f t="shared" si="78"/>
        <v>3.1516574405134716</v>
      </c>
      <c r="Q43" s="196">
        <f t="shared" si="79"/>
        <v>0.57215061540810874</v>
      </c>
      <c r="R43" s="194">
        <f t="shared" si="80"/>
        <v>0.32637072648509646</v>
      </c>
      <c r="S43" s="195">
        <f t="shared" si="81"/>
        <v>0.89852134189320521</v>
      </c>
      <c r="T43" s="196">
        <f t="shared" si="82"/>
        <v>0.19283594815606628</v>
      </c>
      <c r="U43" s="194">
        <f t="shared" si="83"/>
        <v>0</v>
      </c>
      <c r="V43" s="194">
        <f t="shared" si="84"/>
        <v>0.37931466725204244</v>
      </c>
      <c r="W43" s="194">
        <f t="shared" si="85"/>
        <v>0</v>
      </c>
      <c r="X43" s="194">
        <f t="shared" si="86"/>
        <v>0</v>
      </c>
      <c r="Y43" s="198">
        <f t="shared" si="87"/>
        <v>0.32637072648509646</v>
      </c>
      <c r="Z43" s="221">
        <f t="shared" si="88"/>
        <v>0.26995876918378253</v>
      </c>
      <c r="AA43" s="221">
        <f t="shared" si="89"/>
        <v>0.230993507314811</v>
      </c>
      <c r="AC43" s="239"/>
      <c r="AD43" s="239"/>
      <c r="AE43" s="239"/>
      <c r="AF43" s="239"/>
      <c r="AN43" t="s">
        <v>21</v>
      </c>
      <c r="AO43" t="s">
        <v>68</v>
      </c>
      <c r="AP43" t="s">
        <v>80</v>
      </c>
      <c r="AQ43" t="s">
        <v>25</v>
      </c>
      <c r="AR43">
        <v>1412.9</v>
      </c>
      <c r="AS43">
        <v>1</v>
      </c>
      <c r="AT43">
        <v>1412.9</v>
      </c>
      <c r="AU43">
        <v>0</v>
      </c>
      <c r="AV43">
        <v>2119.4</v>
      </c>
      <c r="AW43">
        <v>9.9000000000000005E-2</v>
      </c>
      <c r="AX43">
        <v>0</v>
      </c>
      <c r="AY43">
        <v>0.80900000000000005</v>
      </c>
      <c r="AZ43">
        <v>1.1060000000000001</v>
      </c>
      <c r="BA43">
        <v>0</v>
      </c>
      <c r="BB43">
        <v>0.33400000000000002</v>
      </c>
      <c r="BC43">
        <v>1.712</v>
      </c>
      <c r="BD43">
        <v>3.1520000000000001</v>
      </c>
      <c r="BE43">
        <v>0.57199999999999995</v>
      </c>
      <c r="BF43">
        <v>0.32600000000000001</v>
      </c>
      <c r="BG43">
        <v>0.89900000000000002</v>
      </c>
      <c r="BH43">
        <v>0.193</v>
      </c>
      <c r="BI43">
        <v>0</v>
      </c>
      <c r="BJ43">
        <v>0.379</v>
      </c>
      <c r="BK43">
        <v>0</v>
      </c>
      <c r="BL43">
        <v>0</v>
      </c>
      <c r="BM43">
        <v>0.32600000000000001</v>
      </c>
      <c r="BN43">
        <v>2.0550000000000002</v>
      </c>
    </row>
    <row r="44" spans="2:69" x14ac:dyDescent="0.25">
      <c r="B44" s="1" t="str">
        <f t="shared" si="62"/>
        <v>Perimeter_mid_ZN_3 Thermal Zone</v>
      </c>
      <c r="C44" s="2" t="str">
        <f t="shared" si="63"/>
        <v>Mid VAV NE_Core Zones</v>
      </c>
      <c r="D44" s="2" t="str">
        <f t="shared" si="64"/>
        <v>Mid VAV NE_Core Zones</v>
      </c>
      <c r="E44" s="3" t="str">
        <f t="shared" si="65"/>
        <v>NONE</v>
      </c>
      <c r="F44" s="82">
        <f t="shared" si="76"/>
        <v>2231.8000000000002</v>
      </c>
      <c r="G44" s="82">
        <f t="shared" si="66"/>
        <v>2231.8000000000002</v>
      </c>
      <c r="H44" s="207">
        <f t="shared" si="67"/>
        <v>0</v>
      </c>
      <c r="I44" s="196">
        <f t="shared" si="77"/>
        <v>0.15682223814944421</v>
      </c>
      <c r="J44" s="194">
        <f t="shared" si="68"/>
        <v>0</v>
      </c>
      <c r="K44" s="195">
        <f t="shared" si="69"/>
        <v>0</v>
      </c>
      <c r="L44" s="196">
        <f t="shared" si="70"/>
        <v>1.7465292662703602</v>
      </c>
      <c r="M44" s="194">
        <f t="shared" si="71"/>
        <v>0</v>
      </c>
      <c r="N44" s="194">
        <f t="shared" si="72"/>
        <v>0.52739318689658088</v>
      </c>
      <c r="O44" s="194">
        <f t="shared" si="73"/>
        <v>0</v>
      </c>
      <c r="P44" s="195">
        <f t="shared" si="78"/>
        <v>2.2739224531669411</v>
      </c>
      <c r="Q44" s="196">
        <f t="shared" si="79"/>
        <v>0</v>
      </c>
      <c r="R44" s="194">
        <f t="shared" si="80"/>
        <v>0.51553130962519511</v>
      </c>
      <c r="S44" s="195">
        <f t="shared" si="81"/>
        <v>0.51553130962519511</v>
      </c>
      <c r="T44" s="196">
        <f t="shared" si="82"/>
        <v>0</v>
      </c>
      <c r="U44" s="194">
        <f t="shared" si="83"/>
        <v>0</v>
      </c>
      <c r="V44" s="194">
        <f t="shared" si="84"/>
        <v>0</v>
      </c>
      <c r="W44" s="194">
        <f t="shared" si="85"/>
        <v>0</v>
      </c>
      <c r="X44" s="194">
        <f t="shared" si="86"/>
        <v>0</v>
      </c>
      <c r="Y44" s="198">
        <f t="shared" si="87"/>
        <v>0.51553130962519511</v>
      </c>
      <c r="Z44" s="221">
        <f t="shared" si="88"/>
        <v>0</v>
      </c>
      <c r="AA44" s="221">
        <f t="shared" si="89"/>
        <v>0.23099350731481097</v>
      </c>
      <c r="AC44" s="239"/>
      <c r="AD44" s="239"/>
      <c r="AE44" s="239"/>
      <c r="AF44" s="239"/>
      <c r="AN44" t="s">
        <v>22</v>
      </c>
      <c r="AO44" t="s">
        <v>68</v>
      </c>
      <c r="AP44" t="s">
        <v>68</v>
      </c>
      <c r="AQ44" t="s">
        <v>80</v>
      </c>
      <c r="AR44">
        <v>2231.8000000000002</v>
      </c>
      <c r="AS44">
        <v>1</v>
      </c>
      <c r="AT44">
        <v>2231.8000000000002</v>
      </c>
      <c r="AU44">
        <v>2231.8000000000002</v>
      </c>
      <c r="AV44">
        <v>0</v>
      </c>
      <c r="AW44">
        <v>0.157</v>
      </c>
      <c r="AX44">
        <v>0</v>
      </c>
      <c r="AY44">
        <v>0</v>
      </c>
      <c r="AZ44">
        <v>1.746</v>
      </c>
      <c r="BA44">
        <v>0</v>
      </c>
      <c r="BB44">
        <v>0.52700000000000002</v>
      </c>
      <c r="BC44">
        <v>0</v>
      </c>
      <c r="BD44">
        <v>2.274</v>
      </c>
      <c r="BE44">
        <v>0</v>
      </c>
      <c r="BF44">
        <v>0.51600000000000001</v>
      </c>
      <c r="BG44">
        <v>0.51600000000000001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0.51600000000000001</v>
      </c>
      <c r="BN44">
        <v>-99996</v>
      </c>
    </row>
    <row r="45" spans="2:69" x14ac:dyDescent="0.25">
      <c r="B45" s="1" t="str">
        <f t="shared" si="62"/>
        <v>Perimeter_mid_ZN_4 Thermal Zone</v>
      </c>
      <c r="C45" s="2" t="str">
        <f t="shared" si="63"/>
        <v>Mid VAV-SW Zones</v>
      </c>
      <c r="D45" s="2" t="str">
        <f t="shared" si="64"/>
        <v>Mid VAV-SW Zones</v>
      </c>
      <c r="E45" s="3" t="str">
        <f t="shared" si="65"/>
        <v>NONE</v>
      </c>
      <c r="F45" s="82">
        <f t="shared" si="76"/>
        <v>1695.4</v>
      </c>
      <c r="G45" s="82">
        <f t="shared" si="66"/>
        <v>1695.4</v>
      </c>
      <c r="H45" s="207">
        <f t="shared" si="67"/>
        <v>0</v>
      </c>
      <c r="I45" s="196">
        <f t="shared" si="77"/>
        <v>0.38765290956899512</v>
      </c>
      <c r="J45" s="194">
        <f t="shared" si="68"/>
        <v>0</v>
      </c>
      <c r="K45" s="195">
        <f t="shared" si="69"/>
        <v>0</v>
      </c>
      <c r="L45" s="196">
        <f t="shared" si="70"/>
        <v>1.198622796387333</v>
      </c>
      <c r="M45" s="194">
        <f t="shared" si="71"/>
        <v>0.47836369040813997</v>
      </c>
      <c r="N45" s="194">
        <f t="shared" si="72"/>
        <v>0</v>
      </c>
      <c r="O45" s="194">
        <f t="shared" si="73"/>
        <v>0</v>
      </c>
      <c r="P45" s="195">
        <f t="shared" si="78"/>
        <v>1.6769864867954731</v>
      </c>
      <c r="Q45" s="196">
        <f t="shared" si="79"/>
        <v>0</v>
      </c>
      <c r="R45" s="194">
        <f t="shared" si="80"/>
        <v>0.26784257542014406</v>
      </c>
      <c r="S45" s="195">
        <f t="shared" si="81"/>
        <v>0.26784257542014406</v>
      </c>
      <c r="T45" s="196">
        <f t="shared" si="82"/>
        <v>0</v>
      </c>
      <c r="U45" s="194">
        <f t="shared" si="83"/>
        <v>0</v>
      </c>
      <c r="V45" s="194">
        <f t="shared" si="84"/>
        <v>0</v>
      </c>
      <c r="W45" s="194">
        <f t="shared" si="85"/>
        <v>0</v>
      </c>
      <c r="X45" s="194">
        <f t="shared" si="86"/>
        <v>0.26784257542014406</v>
      </c>
      <c r="Y45" s="198">
        <f t="shared" si="87"/>
        <v>0</v>
      </c>
      <c r="Z45" s="221">
        <f t="shared" si="88"/>
        <v>0</v>
      </c>
      <c r="AA45" s="221">
        <f t="shared" si="89"/>
        <v>0.1579819366639991</v>
      </c>
      <c r="AC45" s="239"/>
      <c r="AD45" s="239"/>
      <c r="AE45" s="239"/>
      <c r="AF45" s="239"/>
      <c r="AN45" t="s">
        <v>23</v>
      </c>
      <c r="AO45" t="s">
        <v>24</v>
      </c>
      <c r="AP45" t="s">
        <v>24</v>
      </c>
      <c r="AQ45" t="s">
        <v>80</v>
      </c>
      <c r="AR45">
        <v>1412.8</v>
      </c>
      <c r="AS45">
        <v>1</v>
      </c>
      <c r="AT45">
        <v>1695.4</v>
      </c>
      <c r="AU45">
        <v>1695.4</v>
      </c>
      <c r="AV45">
        <v>0</v>
      </c>
      <c r="AW45">
        <v>0.38800000000000001</v>
      </c>
      <c r="AX45">
        <v>0</v>
      </c>
      <c r="AY45">
        <v>0</v>
      </c>
      <c r="AZ45">
        <v>1.198</v>
      </c>
      <c r="BA45">
        <v>0.47799999999999998</v>
      </c>
      <c r="BB45">
        <v>0</v>
      </c>
      <c r="BC45">
        <v>0</v>
      </c>
      <c r="BD45">
        <v>1.677</v>
      </c>
      <c r="BE45">
        <v>0</v>
      </c>
      <c r="BF45">
        <v>0.26900000000000002</v>
      </c>
      <c r="BG45">
        <v>0.26900000000000002</v>
      </c>
      <c r="BH45">
        <v>0</v>
      </c>
      <c r="BI45">
        <v>0</v>
      </c>
      <c r="BJ45">
        <v>0</v>
      </c>
      <c r="BK45">
        <v>0</v>
      </c>
      <c r="BL45">
        <v>0.26900000000000002</v>
      </c>
      <c r="BM45">
        <v>0</v>
      </c>
      <c r="BN45">
        <v>-99996</v>
      </c>
    </row>
    <row r="46" spans="2:69" x14ac:dyDescent="0.25">
      <c r="B46" s="4" t="str">
        <f t="shared" si="62"/>
        <v>MidFloor_Plenum Thermal Zone</v>
      </c>
      <c r="C46" s="5" t="str">
        <f t="shared" si="63"/>
        <v>NONE</v>
      </c>
      <c r="D46" s="5" t="str">
        <f t="shared" si="64"/>
        <v>NONE</v>
      </c>
      <c r="E46" s="6" t="str">
        <f t="shared" si="65"/>
        <v>NONE</v>
      </c>
      <c r="F46" s="80">
        <f t="shared" si="76"/>
        <v>0</v>
      </c>
      <c r="G46" s="83">
        <f t="shared" si="66"/>
        <v>0</v>
      </c>
      <c r="H46" s="208">
        <f t="shared" si="67"/>
        <v>0</v>
      </c>
      <c r="I46" s="196">
        <f t="shared" si="77"/>
        <v>0</v>
      </c>
      <c r="J46" s="194">
        <f t="shared" si="68"/>
        <v>0</v>
      </c>
      <c r="K46" s="195">
        <f t="shared" si="69"/>
        <v>0</v>
      </c>
      <c r="L46" s="196">
        <f t="shared" si="70"/>
        <v>0</v>
      </c>
      <c r="M46" s="194">
        <f t="shared" si="71"/>
        <v>0</v>
      </c>
      <c r="N46" s="194">
        <f t="shared" si="72"/>
        <v>0</v>
      </c>
      <c r="O46" s="194">
        <f t="shared" si="73"/>
        <v>0</v>
      </c>
      <c r="P46" s="195">
        <f t="shared" si="78"/>
        <v>0</v>
      </c>
      <c r="Q46" s="196">
        <f t="shared" si="79"/>
        <v>0</v>
      </c>
      <c r="R46" s="194">
        <f t="shared" si="80"/>
        <v>0</v>
      </c>
      <c r="S46" s="195">
        <f t="shared" si="81"/>
        <v>0</v>
      </c>
      <c r="T46" s="196">
        <f t="shared" si="82"/>
        <v>0</v>
      </c>
      <c r="U46" s="194">
        <f t="shared" si="83"/>
        <v>0</v>
      </c>
      <c r="V46" s="194">
        <f t="shared" si="84"/>
        <v>0</v>
      </c>
      <c r="W46" s="194">
        <f t="shared" si="85"/>
        <v>0</v>
      </c>
      <c r="X46" s="194">
        <f t="shared" si="86"/>
        <v>0</v>
      </c>
      <c r="Y46" s="198">
        <f t="shared" si="87"/>
        <v>0</v>
      </c>
      <c r="Z46" s="221">
        <f t="shared" si="88"/>
        <v>0</v>
      </c>
      <c r="AA46" s="221">
        <f t="shared" si="89"/>
        <v>0</v>
      </c>
      <c r="AC46" s="239"/>
      <c r="AD46" s="239"/>
      <c r="AE46" s="239"/>
      <c r="AF46" s="239"/>
      <c r="AN46" t="s">
        <v>78</v>
      </c>
      <c r="AO46" t="s">
        <v>80</v>
      </c>
      <c r="AP46" t="s">
        <v>80</v>
      </c>
      <c r="AQ46" t="s">
        <v>80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-99996</v>
      </c>
    </row>
    <row r="47" spans="2:69" x14ac:dyDescent="0.25">
      <c r="B47" s="15" t="str">
        <f t="shared" si="62"/>
        <v>Core_top Thermal Zone</v>
      </c>
      <c r="C47" s="16" t="str">
        <f t="shared" si="63"/>
        <v>Core_TopZn_PTAC</v>
      </c>
      <c r="D47" s="16" t="str">
        <f t="shared" si="64"/>
        <v>TopFlrDOAS</v>
      </c>
      <c r="E47" s="10" t="str">
        <f t="shared" si="65"/>
        <v>NONE</v>
      </c>
      <c r="F47" s="81">
        <f t="shared" si="76"/>
        <v>10586.7</v>
      </c>
      <c r="G47" s="81">
        <f t="shared" si="66"/>
        <v>1588</v>
      </c>
      <c r="H47" s="209">
        <f t="shared" si="67"/>
        <v>0</v>
      </c>
      <c r="I47" s="196">
        <f t="shared" si="77"/>
        <v>1</v>
      </c>
      <c r="J47" s="194">
        <f t="shared" si="68"/>
        <v>0.74389844006183548</v>
      </c>
      <c r="K47" s="195">
        <f t="shared" si="69"/>
        <v>0</v>
      </c>
      <c r="L47" s="196">
        <f t="shared" si="70"/>
        <v>5.9252254649365259</v>
      </c>
      <c r="M47" s="194">
        <f t="shared" si="71"/>
        <v>0</v>
      </c>
      <c r="N47" s="194">
        <f t="shared" si="72"/>
        <v>0</v>
      </c>
      <c r="O47" s="194">
        <f t="shared" si="73"/>
        <v>0</v>
      </c>
      <c r="P47" s="195">
        <f t="shared" si="78"/>
        <v>5.9252254649365259</v>
      </c>
      <c r="Q47" s="196">
        <f t="shared" si="79"/>
        <v>0</v>
      </c>
      <c r="R47" s="194">
        <f t="shared" si="80"/>
        <v>0</v>
      </c>
      <c r="S47" s="195">
        <f t="shared" si="81"/>
        <v>0</v>
      </c>
      <c r="T47" s="196">
        <f t="shared" si="82"/>
        <v>0</v>
      </c>
      <c r="U47" s="194">
        <f t="shared" si="83"/>
        <v>0</v>
      </c>
      <c r="V47" s="194">
        <f t="shared" si="84"/>
        <v>0</v>
      </c>
      <c r="W47" s="194">
        <f t="shared" si="85"/>
        <v>0</v>
      </c>
      <c r="X47" s="194">
        <f t="shared" si="86"/>
        <v>0</v>
      </c>
      <c r="Y47" s="198">
        <f t="shared" si="87"/>
        <v>0</v>
      </c>
      <c r="Z47" s="221">
        <f t="shared" si="88"/>
        <v>0</v>
      </c>
      <c r="AA47" s="221">
        <f t="shared" si="89"/>
        <v>0</v>
      </c>
      <c r="AC47" s="239"/>
      <c r="AD47" s="239"/>
      <c r="AE47" s="239"/>
      <c r="AF47" s="239"/>
      <c r="AN47" t="s">
        <v>7</v>
      </c>
      <c r="AO47" t="s">
        <v>12</v>
      </c>
      <c r="AP47" t="s">
        <v>17</v>
      </c>
      <c r="AQ47" t="s">
        <v>80</v>
      </c>
      <c r="AR47">
        <v>10586.7</v>
      </c>
      <c r="AS47">
        <v>1</v>
      </c>
      <c r="AT47">
        <v>10586.7</v>
      </c>
      <c r="AU47">
        <v>1588</v>
      </c>
      <c r="AV47">
        <v>0</v>
      </c>
      <c r="AW47">
        <v>1</v>
      </c>
      <c r="AX47">
        <v>0.74399999999999999</v>
      </c>
      <c r="AY47">
        <v>0</v>
      </c>
      <c r="AZ47">
        <v>5.9260000000000002</v>
      </c>
      <c r="BA47">
        <v>0</v>
      </c>
      <c r="BB47">
        <v>0</v>
      </c>
      <c r="BC47">
        <v>0</v>
      </c>
      <c r="BD47">
        <v>5.9260000000000002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-99996</v>
      </c>
    </row>
    <row r="48" spans="2:69" x14ac:dyDescent="0.25">
      <c r="B48" s="1" t="str">
        <f t="shared" si="62"/>
        <v>Perimeter_top_ZN_1 Thermal Zone</v>
      </c>
      <c r="C48" s="2" t="str">
        <f t="shared" si="63"/>
        <v>Perim_TopZn1_PTAC</v>
      </c>
      <c r="D48" s="2" t="str">
        <f t="shared" si="64"/>
        <v>NONE</v>
      </c>
      <c r="E48" s="3" t="str">
        <f t="shared" si="65"/>
        <v>Restroom ExhSys</v>
      </c>
      <c r="F48" s="82">
        <f t="shared" si="76"/>
        <v>2231.8000000000002</v>
      </c>
      <c r="G48" s="82">
        <f t="shared" si="66"/>
        <v>0</v>
      </c>
      <c r="H48" s="207">
        <f t="shared" si="67"/>
        <v>400</v>
      </c>
      <c r="I48" s="196">
        <f t="shared" si="77"/>
        <v>1</v>
      </c>
      <c r="J48" s="194">
        <f t="shared" si="68"/>
        <v>0</v>
      </c>
      <c r="K48" s="195">
        <f t="shared" si="69"/>
        <v>1</v>
      </c>
      <c r="L48" s="196">
        <f t="shared" si="70"/>
        <v>1.004</v>
      </c>
      <c r="M48" s="194">
        <f t="shared" si="71"/>
        <v>0</v>
      </c>
      <c r="N48" s="194">
        <f t="shared" si="72"/>
        <v>0</v>
      </c>
      <c r="O48" s="194">
        <f t="shared" si="73"/>
        <v>0.21099999999999999</v>
      </c>
      <c r="P48" s="195">
        <f t="shared" si="78"/>
        <v>1.2150000000000001</v>
      </c>
      <c r="Q48" s="196">
        <f t="shared" si="79"/>
        <v>0</v>
      </c>
      <c r="R48" s="194">
        <f t="shared" si="80"/>
        <v>0</v>
      </c>
      <c r="S48" s="195">
        <f t="shared" si="81"/>
        <v>0</v>
      </c>
      <c r="T48" s="196">
        <f t="shared" si="82"/>
        <v>0</v>
      </c>
      <c r="U48" s="194">
        <f t="shared" si="83"/>
        <v>0</v>
      </c>
      <c r="V48" s="194">
        <f t="shared" si="84"/>
        <v>0</v>
      </c>
      <c r="W48" s="194">
        <f t="shared" si="85"/>
        <v>0</v>
      </c>
      <c r="X48" s="194">
        <f t="shared" si="86"/>
        <v>0</v>
      </c>
      <c r="Y48" s="198">
        <f t="shared" si="87"/>
        <v>0</v>
      </c>
      <c r="Z48" s="221">
        <f t="shared" si="88"/>
        <v>0</v>
      </c>
      <c r="AA48" s="221">
        <f t="shared" si="89"/>
        <v>0</v>
      </c>
      <c r="AC48" s="239"/>
      <c r="AD48" s="239"/>
      <c r="AE48" s="239"/>
      <c r="AF48" s="239"/>
      <c r="AN48" t="s">
        <v>8</v>
      </c>
      <c r="AO48" t="s">
        <v>13</v>
      </c>
      <c r="AP48" t="s">
        <v>80</v>
      </c>
      <c r="AQ48" t="s">
        <v>210</v>
      </c>
      <c r="AR48">
        <v>2231.8000000000002</v>
      </c>
      <c r="AS48">
        <v>1</v>
      </c>
      <c r="AT48">
        <v>2231.8000000000002</v>
      </c>
      <c r="AU48">
        <v>0</v>
      </c>
      <c r="AV48">
        <v>400</v>
      </c>
      <c r="AW48">
        <v>1</v>
      </c>
      <c r="AX48">
        <v>0</v>
      </c>
      <c r="AY48">
        <v>1</v>
      </c>
      <c r="AZ48">
        <v>1.004</v>
      </c>
      <c r="BA48">
        <v>0</v>
      </c>
      <c r="BB48">
        <v>0</v>
      </c>
      <c r="BC48">
        <v>0.21099999999999999</v>
      </c>
      <c r="BD48">
        <v>1.216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0.24199999999999999</v>
      </c>
    </row>
    <row r="49" spans="2:75" x14ac:dyDescent="0.25">
      <c r="B49" s="1" t="str">
        <f t="shared" si="62"/>
        <v>Perimeter_top_ZN_2 Thermal Zone</v>
      </c>
      <c r="C49" s="2" t="str">
        <f t="shared" si="63"/>
        <v>Perim_TopZn2_PTAC</v>
      </c>
      <c r="D49" s="2" t="str">
        <f t="shared" si="64"/>
        <v>NONE</v>
      </c>
      <c r="E49" s="3" t="str">
        <f t="shared" si="65"/>
        <v>CopyRoom ExhSys</v>
      </c>
      <c r="F49" s="82">
        <f t="shared" si="76"/>
        <v>1412.9</v>
      </c>
      <c r="G49" s="82">
        <f t="shared" si="66"/>
        <v>0</v>
      </c>
      <c r="H49" s="207">
        <f t="shared" si="67"/>
        <v>706.5</v>
      </c>
      <c r="I49" s="196">
        <f t="shared" si="77"/>
        <v>1</v>
      </c>
      <c r="J49" s="194">
        <f t="shared" si="68"/>
        <v>0</v>
      </c>
      <c r="K49" s="195">
        <f t="shared" si="69"/>
        <v>1</v>
      </c>
      <c r="L49" s="196">
        <f t="shared" si="70"/>
        <v>0.63600000000000001</v>
      </c>
      <c r="M49" s="194">
        <f t="shared" si="71"/>
        <v>0</v>
      </c>
      <c r="N49" s="194">
        <f t="shared" si="72"/>
        <v>0</v>
      </c>
      <c r="O49" s="194">
        <f t="shared" si="73"/>
        <v>0.373</v>
      </c>
      <c r="P49" s="195">
        <f t="shared" si="78"/>
        <v>1.0089999999999999</v>
      </c>
      <c r="Q49" s="196">
        <f t="shared" si="79"/>
        <v>0.12637399999999999</v>
      </c>
      <c r="R49" s="194">
        <f t="shared" si="80"/>
        <v>0</v>
      </c>
      <c r="S49" s="195">
        <f t="shared" si="81"/>
        <v>0.12637399999999999</v>
      </c>
      <c r="T49" s="196">
        <f t="shared" si="82"/>
        <v>0</v>
      </c>
      <c r="U49" s="194">
        <f t="shared" si="83"/>
        <v>0.12637399999999999</v>
      </c>
      <c r="V49" s="194">
        <f t="shared" si="84"/>
        <v>0</v>
      </c>
      <c r="W49" s="194">
        <f t="shared" si="85"/>
        <v>0</v>
      </c>
      <c r="X49" s="194">
        <f t="shared" si="86"/>
        <v>0</v>
      </c>
      <c r="Y49" s="198">
        <f t="shared" si="87"/>
        <v>0</v>
      </c>
      <c r="Z49" s="221">
        <f t="shared" si="88"/>
        <v>0.17887331917905164</v>
      </c>
      <c r="AA49" s="221">
        <f t="shared" si="89"/>
        <v>0</v>
      </c>
      <c r="AC49" s="239"/>
      <c r="AD49" s="239"/>
      <c r="AE49" s="239"/>
      <c r="AF49" s="239"/>
      <c r="AN49" t="s">
        <v>9</v>
      </c>
      <c r="AO49" t="s">
        <v>14</v>
      </c>
      <c r="AP49" t="s">
        <v>80</v>
      </c>
      <c r="AQ49" t="s">
        <v>211</v>
      </c>
      <c r="AR49">
        <v>1412.9</v>
      </c>
      <c r="AS49">
        <v>1</v>
      </c>
      <c r="AT49">
        <v>1412.9</v>
      </c>
      <c r="AU49">
        <v>0</v>
      </c>
      <c r="AV49">
        <v>706.5</v>
      </c>
      <c r="AW49">
        <v>1</v>
      </c>
      <c r="AX49">
        <v>0</v>
      </c>
      <c r="AY49">
        <v>1</v>
      </c>
      <c r="AZ49">
        <v>0.63600000000000001</v>
      </c>
      <c r="BA49">
        <v>0</v>
      </c>
      <c r="BB49">
        <v>0</v>
      </c>
      <c r="BC49">
        <v>0.373</v>
      </c>
      <c r="BD49">
        <v>1.0089999999999999</v>
      </c>
      <c r="BE49" s="139">
        <v>0.126</v>
      </c>
      <c r="BF49" s="139">
        <v>0</v>
      </c>
      <c r="BG49" s="139">
        <v>0.126</v>
      </c>
      <c r="BH49">
        <v>0</v>
      </c>
      <c r="BI49">
        <v>0.126</v>
      </c>
      <c r="BJ49">
        <v>0</v>
      </c>
      <c r="BK49">
        <v>0</v>
      </c>
      <c r="BL49">
        <v>0</v>
      </c>
      <c r="BM49">
        <v>0</v>
      </c>
      <c r="BN49">
        <v>0.42799999999999999</v>
      </c>
    </row>
    <row r="50" spans="2:75" x14ac:dyDescent="0.25">
      <c r="B50" s="1" t="str">
        <f t="shared" si="62"/>
        <v>Perimeter_top_ZN_3 Thermal Zone</v>
      </c>
      <c r="C50" s="2" t="str">
        <f t="shared" si="63"/>
        <v>Perim_TopZn3_PTAC</v>
      </c>
      <c r="D50" s="2" t="str">
        <f t="shared" si="64"/>
        <v>TopFlrDOAS</v>
      </c>
      <c r="E50" s="3" t="str">
        <f t="shared" si="65"/>
        <v>NONE</v>
      </c>
      <c r="F50" s="82">
        <f t="shared" si="76"/>
        <v>2231.8000000000002</v>
      </c>
      <c r="G50" s="82">
        <f t="shared" si="66"/>
        <v>334.8</v>
      </c>
      <c r="H50" s="207">
        <f t="shared" si="67"/>
        <v>0</v>
      </c>
      <c r="I50" s="196">
        <f t="shared" si="77"/>
        <v>1</v>
      </c>
      <c r="J50" s="194">
        <f t="shared" si="68"/>
        <v>0.15683702628003937</v>
      </c>
      <c r="K50" s="195">
        <f t="shared" si="69"/>
        <v>0</v>
      </c>
      <c r="L50" s="196">
        <f t="shared" si="70"/>
        <v>1.2488225980231413</v>
      </c>
      <c r="M50" s="194">
        <f t="shared" si="71"/>
        <v>0</v>
      </c>
      <c r="N50" s="194">
        <f t="shared" si="72"/>
        <v>0</v>
      </c>
      <c r="O50" s="194">
        <f t="shared" si="73"/>
        <v>0</v>
      </c>
      <c r="P50" s="195">
        <f t="shared" si="78"/>
        <v>1.2488225980231413</v>
      </c>
      <c r="Q50" s="196">
        <f t="shared" si="79"/>
        <v>0</v>
      </c>
      <c r="R50" s="194">
        <f t="shared" si="80"/>
        <v>0</v>
      </c>
      <c r="S50" s="195">
        <f t="shared" si="81"/>
        <v>0</v>
      </c>
      <c r="T50" s="196">
        <f t="shared" si="82"/>
        <v>0</v>
      </c>
      <c r="U50" s="194">
        <f t="shared" si="83"/>
        <v>0</v>
      </c>
      <c r="V50" s="194">
        <f t="shared" si="84"/>
        <v>0</v>
      </c>
      <c r="W50" s="194">
        <f t="shared" si="85"/>
        <v>0</v>
      </c>
      <c r="X50" s="194">
        <f t="shared" si="86"/>
        <v>0</v>
      </c>
      <c r="Y50" s="198">
        <f t="shared" si="87"/>
        <v>0</v>
      </c>
      <c r="Z50" s="221">
        <f t="shared" si="88"/>
        <v>0</v>
      </c>
      <c r="AA50" s="221">
        <f t="shared" si="89"/>
        <v>0</v>
      </c>
      <c r="AC50" s="239"/>
      <c r="AD50" s="239"/>
      <c r="AE50" s="239"/>
      <c r="AF50" s="239"/>
      <c r="AN50" t="s">
        <v>10</v>
      </c>
      <c r="AO50" t="s">
        <v>15</v>
      </c>
      <c r="AP50" t="s">
        <v>17</v>
      </c>
      <c r="AQ50" t="s">
        <v>80</v>
      </c>
      <c r="AR50">
        <v>2231.8000000000002</v>
      </c>
      <c r="AS50">
        <v>1</v>
      </c>
      <c r="AT50">
        <v>2231.8000000000002</v>
      </c>
      <c r="AU50">
        <v>334.8</v>
      </c>
      <c r="AV50">
        <v>0</v>
      </c>
      <c r="AW50">
        <v>1</v>
      </c>
      <c r="AX50">
        <v>0.157</v>
      </c>
      <c r="AY50">
        <v>0</v>
      </c>
      <c r="AZ50">
        <v>1.2490000000000001</v>
      </c>
      <c r="BA50">
        <v>0</v>
      </c>
      <c r="BB50">
        <v>0</v>
      </c>
      <c r="BC50">
        <v>0</v>
      </c>
      <c r="BD50">
        <v>1.2490000000000001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-99996</v>
      </c>
    </row>
    <row r="51" spans="2:75" x14ac:dyDescent="0.25">
      <c r="B51" s="1" t="str">
        <f t="shared" si="62"/>
        <v>Perimeter_top_ZN_4 Thermal Zone</v>
      </c>
      <c r="C51" s="2" t="str">
        <f t="shared" si="63"/>
        <v>Perim_TopZn4_PTAC</v>
      </c>
      <c r="D51" s="2" t="str">
        <f t="shared" si="64"/>
        <v>TopFlrDOAS</v>
      </c>
      <c r="E51" s="3" t="str">
        <f t="shared" si="65"/>
        <v>NONE</v>
      </c>
      <c r="F51" s="143">
        <f t="shared" si="76"/>
        <v>1412.8</v>
      </c>
      <c r="G51" s="143">
        <f t="shared" si="66"/>
        <v>211.9</v>
      </c>
      <c r="H51" s="210">
        <f t="shared" si="67"/>
        <v>0</v>
      </c>
      <c r="I51" s="201">
        <f t="shared" si="77"/>
        <v>1</v>
      </c>
      <c r="J51" s="199">
        <f t="shared" si="68"/>
        <v>9.9264533658125279E-2</v>
      </c>
      <c r="K51" s="200">
        <f t="shared" si="69"/>
        <v>0</v>
      </c>
      <c r="L51" s="196">
        <f t="shared" si="70"/>
        <v>0.79095193704033351</v>
      </c>
      <c r="M51" s="199">
        <f t="shared" si="71"/>
        <v>0</v>
      </c>
      <c r="N51" s="199">
        <f t="shared" si="72"/>
        <v>0</v>
      </c>
      <c r="O51" s="194">
        <f t="shared" si="73"/>
        <v>0</v>
      </c>
      <c r="P51" s="200">
        <f t="shared" si="78"/>
        <v>0.79095193704033351</v>
      </c>
      <c r="Q51" s="201">
        <f t="shared" si="79"/>
        <v>0</v>
      </c>
      <c r="R51" s="199">
        <f t="shared" si="80"/>
        <v>0</v>
      </c>
      <c r="S51" s="200">
        <f t="shared" si="81"/>
        <v>0</v>
      </c>
      <c r="T51" s="201">
        <f t="shared" si="82"/>
        <v>0</v>
      </c>
      <c r="U51" s="199">
        <f t="shared" si="83"/>
        <v>0</v>
      </c>
      <c r="V51" s="199">
        <f t="shared" si="84"/>
        <v>0</v>
      </c>
      <c r="W51" s="199">
        <f t="shared" si="85"/>
        <v>0</v>
      </c>
      <c r="X51" s="199">
        <f t="shared" si="86"/>
        <v>0</v>
      </c>
      <c r="Y51" s="202">
        <f t="shared" si="87"/>
        <v>0</v>
      </c>
      <c r="Z51" s="221">
        <f t="shared" si="88"/>
        <v>0</v>
      </c>
      <c r="AA51" s="221">
        <f t="shared" si="89"/>
        <v>0</v>
      </c>
      <c r="AC51" s="239"/>
      <c r="AD51" s="239"/>
      <c r="AE51" s="239"/>
      <c r="AF51" s="239"/>
      <c r="AN51" t="s">
        <v>11</v>
      </c>
      <c r="AO51" t="s">
        <v>16</v>
      </c>
      <c r="AP51" t="s">
        <v>17</v>
      </c>
      <c r="AQ51" t="s">
        <v>80</v>
      </c>
      <c r="AR51">
        <v>1412.8</v>
      </c>
      <c r="AS51">
        <v>1</v>
      </c>
      <c r="AT51">
        <v>1412.8</v>
      </c>
      <c r="AU51">
        <v>211.9</v>
      </c>
      <c r="AV51">
        <v>0</v>
      </c>
      <c r="AW51">
        <v>1</v>
      </c>
      <c r="AX51">
        <v>9.9000000000000005E-2</v>
      </c>
      <c r="AY51">
        <v>0</v>
      </c>
      <c r="AZ51">
        <v>0.79100000000000004</v>
      </c>
      <c r="BA51">
        <v>0</v>
      </c>
      <c r="BB51">
        <v>0</v>
      </c>
      <c r="BC51">
        <v>0</v>
      </c>
      <c r="BD51">
        <v>0.79100000000000004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-99996</v>
      </c>
    </row>
    <row r="52" spans="2:75" x14ac:dyDescent="0.25">
      <c r="B52" s="1" t="str">
        <f t="shared" si="62"/>
        <v>TopFloor_Plenum Thermal Zone</v>
      </c>
      <c r="C52" s="2" t="str">
        <f t="shared" si="63"/>
        <v>NONE</v>
      </c>
      <c r="D52" s="2" t="str">
        <f t="shared" si="64"/>
        <v>NONE</v>
      </c>
      <c r="E52" s="3" t="str">
        <f t="shared" si="65"/>
        <v>NONE</v>
      </c>
      <c r="F52" s="82">
        <f t="shared" si="76"/>
        <v>0</v>
      </c>
      <c r="G52" s="82">
        <f t="shared" si="66"/>
        <v>0</v>
      </c>
      <c r="H52" s="207">
        <f t="shared" si="67"/>
        <v>0</v>
      </c>
      <c r="I52" s="196">
        <f t="shared" si="77"/>
        <v>0</v>
      </c>
      <c r="J52" s="194">
        <f t="shared" si="68"/>
        <v>0</v>
      </c>
      <c r="K52" s="195">
        <f t="shared" si="69"/>
        <v>0</v>
      </c>
      <c r="L52" s="196">
        <f t="shared" si="70"/>
        <v>0</v>
      </c>
      <c r="M52" s="194">
        <f t="shared" si="71"/>
        <v>0</v>
      </c>
      <c r="N52" s="194">
        <f t="shared" si="72"/>
        <v>0</v>
      </c>
      <c r="O52" s="194">
        <f t="shared" si="73"/>
        <v>0</v>
      </c>
      <c r="P52" s="195">
        <f t="shared" si="78"/>
        <v>0</v>
      </c>
      <c r="Q52" s="196">
        <f t="shared" si="79"/>
        <v>0</v>
      </c>
      <c r="R52" s="194">
        <f t="shared" si="80"/>
        <v>0</v>
      </c>
      <c r="S52" s="195">
        <f t="shared" si="81"/>
        <v>0</v>
      </c>
      <c r="T52" s="196">
        <f t="shared" si="82"/>
        <v>0</v>
      </c>
      <c r="U52" s="194">
        <f t="shared" si="83"/>
        <v>0</v>
      </c>
      <c r="V52" s="194">
        <f t="shared" si="84"/>
        <v>0</v>
      </c>
      <c r="W52" s="194">
        <f t="shared" si="85"/>
        <v>0</v>
      </c>
      <c r="X52" s="194">
        <f t="shared" si="86"/>
        <v>0</v>
      </c>
      <c r="Y52" s="198">
        <f t="shared" si="87"/>
        <v>0</v>
      </c>
      <c r="Z52" s="221">
        <f t="shared" si="88"/>
        <v>0</v>
      </c>
      <c r="AA52" s="221">
        <f t="shared" si="89"/>
        <v>0</v>
      </c>
      <c r="AC52" s="239"/>
      <c r="AD52" s="239"/>
      <c r="AE52" s="239"/>
      <c r="AF52" s="239"/>
      <c r="AN52" t="s">
        <v>79</v>
      </c>
      <c r="AO52" t="s">
        <v>80</v>
      </c>
      <c r="AP52" t="s">
        <v>80</v>
      </c>
      <c r="AQ52" t="s">
        <v>80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-99996</v>
      </c>
    </row>
    <row r="53" spans="2:75" x14ac:dyDescent="0.25">
      <c r="B53" s="1">
        <f t="shared" ref="B53" si="90">AN53</f>
        <v>0</v>
      </c>
      <c r="C53" s="2">
        <f t="shared" ref="C53" si="91">AO53</f>
        <v>0</v>
      </c>
      <c r="D53" s="2">
        <f t="shared" ref="D53" si="92">AP53</f>
        <v>0</v>
      </c>
      <c r="E53" s="3">
        <f t="shared" ref="E53" si="93">AQ53</f>
        <v>0</v>
      </c>
      <c r="F53" s="82">
        <f t="shared" ref="F53" si="94">AT53</f>
        <v>0</v>
      </c>
      <c r="G53" s="82">
        <f t="shared" ref="G53" si="95">AU53</f>
        <v>0</v>
      </c>
      <c r="H53" s="207">
        <f t="shared" ref="H53" si="96">AV53</f>
        <v>0</v>
      </c>
      <c r="I53" s="196">
        <f t="shared" ref="I53" si="97">IFERROR(F53/SUMIFS($D$13:$D$28,$B$13:$B$28,C53),0)</f>
        <v>0</v>
      </c>
      <c r="J53" s="194">
        <f t="shared" ref="J53" si="98">IF($C53=$D53,0,IFERROR(G53/SUMIFS($D$13:$D$30,$B$13:$B$30,D53),0))</f>
        <v>0</v>
      </c>
      <c r="K53" s="195">
        <f t="shared" ref="K53" si="99">IFERROR(H53/SUMIFS($G$13:$G$30,$B$13:$B$30,E53),0)</f>
        <v>0</v>
      </c>
      <c r="L53" s="196">
        <f t="shared" si="70"/>
        <v>0</v>
      </c>
      <c r="M53" s="194">
        <f t="shared" si="71"/>
        <v>0</v>
      </c>
      <c r="N53" s="194">
        <f t="shared" si="72"/>
        <v>0</v>
      </c>
      <c r="O53" s="194">
        <f t="shared" si="73"/>
        <v>0</v>
      </c>
      <c r="P53" s="195">
        <f t="shared" ref="P53" si="100">SUM(L53:O53)</f>
        <v>0</v>
      </c>
      <c r="Q53" s="196">
        <f t="shared" si="79"/>
        <v>0</v>
      </c>
      <c r="R53" s="194">
        <f t="shared" si="80"/>
        <v>0</v>
      </c>
      <c r="S53" s="195">
        <f t="shared" si="81"/>
        <v>0</v>
      </c>
      <c r="T53" s="196">
        <f t="shared" si="82"/>
        <v>0</v>
      </c>
      <c r="U53" s="194">
        <f t="shared" si="83"/>
        <v>0</v>
      </c>
      <c r="V53" s="194">
        <f t="shared" si="84"/>
        <v>0</v>
      </c>
      <c r="W53" s="194">
        <f t="shared" si="85"/>
        <v>0</v>
      </c>
      <c r="X53" s="194">
        <f t="shared" si="86"/>
        <v>0</v>
      </c>
      <c r="Y53" s="198">
        <f t="shared" si="87"/>
        <v>0</v>
      </c>
      <c r="Z53" s="221">
        <f t="shared" ref="Z53" si="101">IFERROR(Q53/$H53*1000,0)</f>
        <v>0</v>
      </c>
      <c r="AA53" s="221">
        <f t="shared" ref="AA53" si="102">IFERROR(R53/$F53*1000,0)</f>
        <v>0</v>
      </c>
    </row>
    <row r="54" spans="2:75" x14ac:dyDescent="0.25">
      <c r="O54" s="239"/>
      <c r="P54" s="239"/>
    </row>
    <row r="58" spans="2:75" x14ac:dyDescent="0.25">
      <c r="S58" s="48"/>
    </row>
    <row r="60" spans="2:75" ht="28.5" x14ac:dyDescent="0.45">
      <c r="B60" s="56" t="s">
        <v>45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161"/>
      <c r="AM60" s="162" t="s">
        <v>170</v>
      </c>
      <c r="AN60" s="139" t="s">
        <v>119</v>
      </c>
    </row>
    <row r="61" spans="2:75" ht="23.25" x14ac:dyDescent="0.35">
      <c r="B61" s="159" t="s">
        <v>174</v>
      </c>
      <c r="N61" s="184"/>
      <c r="O61" s="184"/>
      <c r="P61" s="184"/>
      <c r="Q61" s="184"/>
      <c r="R61" s="184"/>
      <c r="AL61" s="161"/>
      <c r="AM61" s="161"/>
      <c r="AP61" t="s">
        <v>120</v>
      </c>
      <c r="AT61" t="s">
        <v>121</v>
      </c>
      <c r="AY61" t="s">
        <v>122</v>
      </c>
      <c r="BC61" t="s">
        <v>123</v>
      </c>
    </row>
    <row r="62" spans="2:75" s="238" customFormat="1" ht="213.75" customHeight="1" x14ac:dyDescent="0.25">
      <c r="B62" s="282" t="s">
        <v>65</v>
      </c>
      <c r="C62" s="284" t="s">
        <v>88</v>
      </c>
      <c r="D62" s="302" t="str">
        <f>D22</f>
        <v>SupFanCap</v>
      </c>
      <c r="E62" s="302" t="str">
        <f t="shared" ref="E62:G62" si="103">E22</f>
        <v>RetFanCap</v>
      </c>
      <c r="F62" s="302" t="str">
        <f t="shared" si="103"/>
        <v>ReliefFanCap</v>
      </c>
      <c r="G62" s="302" t="str">
        <f t="shared" si="103"/>
        <v>ExhFanCap</v>
      </c>
      <c r="H62" s="296" t="s">
        <v>64</v>
      </c>
      <c r="I62" s="296" t="s">
        <v>60</v>
      </c>
      <c r="J62" s="295" t="s">
        <v>50</v>
      </c>
      <c r="K62" s="296" t="s">
        <v>47</v>
      </c>
      <c r="L62" s="296" t="s">
        <v>48</v>
      </c>
      <c r="M62" s="296" t="s">
        <v>49</v>
      </c>
      <c r="N62" s="296" t="s">
        <v>105</v>
      </c>
      <c r="O62" s="296" t="s">
        <v>105</v>
      </c>
      <c r="P62" s="296" t="s">
        <v>338</v>
      </c>
      <c r="Q62" s="303" t="s">
        <v>95</v>
      </c>
      <c r="R62" s="304" t="s">
        <v>96</v>
      </c>
      <c r="S62" s="305" t="s">
        <v>97</v>
      </c>
      <c r="T62" s="306" t="s">
        <v>108</v>
      </c>
      <c r="U62" s="307" t="s">
        <v>109</v>
      </c>
      <c r="V62" s="307" t="s">
        <v>110</v>
      </c>
      <c r="W62" s="308" t="s">
        <v>111</v>
      </c>
      <c r="X62" s="309" t="s">
        <v>113</v>
      </c>
      <c r="Y62" s="306" t="s">
        <v>108</v>
      </c>
      <c r="Z62" s="308" t="s">
        <v>111</v>
      </c>
      <c r="AA62" s="238" t="s">
        <v>289</v>
      </c>
      <c r="AB62" s="238" t="s">
        <v>215</v>
      </c>
      <c r="AC62" s="238" t="s">
        <v>214</v>
      </c>
      <c r="AL62" s="285"/>
      <c r="AM62" s="285"/>
      <c r="AN62" s="225" t="s">
        <v>65</v>
      </c>
      <c r="AO62" s="225" t="s">
        <v>88</v>
      </c>
      <c r="AP62" s="225" t="s">
        <v>124</v>
      </c>
      <c r="AQ62" s="225" t="s">
        <v>125</v>
      </c>
      <c r="AR62" s="225" t="s">
        <v>126</v>
      </c>
      <c r="AS62" s="225" t="s">
        <v>127</v>
      </c>
      <c r="AT62" s="225" t="s">
        <v>128</v>
      </c>
      <c r="AU62" s="225" t="s">
        <v>129</v>
      </c>
      <c r="AV62" s="225" t="s">
        <v>130</v>
      </c>
      <c r="AW62" s="225" t="s">
        <v>131</v>
      </c>
      <c r="AX62" s="225" t="s">
        <v>132</v>
      </c>
      <c r="AY62" s="225" t="s">
        <v>133</v>
      </c>
      <c r="AZ62" s="225" t="s">
        <v>134</v>
      </c>
      <c r="BA62" s="225" t="s">
        <v>135</v>
      </c>
      <c r="BB62" s="225" t="s">
        <v>136</v>
      </c>
      <c r="BC62" s="225" t="s">
        <v>137</v>
      </c>
      <c r="BD62" s="225" t="s">
        <v>138</v>
      </c>
      <c r="BE62" s="225" t="s">
        <v>139</v>
      </c>
      <c r="BF62" s="225" t="s">
        <v>202</v>
      </c>
      <c r="BG62" s="225" t="s">
        <v>183</v>
      </c>
      <c r="BH62" s="225" t="s">
        <v>184</v>
      </c>
      <c r="BI62" s="225" t="s">
        <v>185</v>
      </c>
      <c r="BJ62" s="225" t="s">
        <v>186</v>
      </c>
      <c r="BK62" s="225" t="s">
        <v>187</v>
      </c>
      <c r="BL62" s="225" t="s">
        <v>204</v>
      </c>
      <c r="BM62" s="225" t="s">
        <v>205</v>
      </c>
      <c r="BN62" s="225" t="s">
        <v>206</v>
      </c>
      <c r="BO62" s="225" t="s">
        <v>207</v>
      </c>
      <c r="BP62" s="225" t="s">
        <v>208</v>
      </c>
      <c r="BQ62" s="225" t="s">
        <v>209</v>
      </c>
      <c r="BR62" s="225"/>
    </row>
    <row r="63" spans="2:75" s="243" customFormat="1" ht="15.75" thickBot="1" x14ac:dyDescent="0.3">
      <c r="B63" s="241"/>
      <c r="C63" s="245"/>
      <c r="D63" s="249" t="s">
        <v>0</v>
      </c>
      <c r="E63" s="245"/>
      <c r="F63" s="245"/>
      <c r="G63" s="242"/>
      <c r="H63" s="241" t="s">
        <v>39</v>
      </c>
      <c r="I63" s="245" t="s">
        <v>39</v>
      </c>
      <c r="J63" s="241" t="s">
        <v>38</v>
      </c>
      <c r="K63" s="245" t="s">
        <v>38</v>
      </c>
      <c r="L63" s="245" t="s">
        <v>38</v>
      </c>
      <c r="M63" s="245" t="s">
        <v>38</v>
      </c>
      <c r="N63" s="245" t="s">
        <v>217</v>
      </c>
      <c r="O63" s="245" t="s">
        <v>39</v>
      </c>
      <c r="P63" s="245" t="s">
        <v>39</v>
      </c>
      <c r="Q63" s="250" t="s">
        <v>39</v>
      </c>
      <c r="R63" s="251" t="s">
        <v>39</v>
      </c>
      <c r="S63" s="248" t="s">
        <v>39</v>
      </c>
      <c r="T63" s="252" t="s">
        <v>39</v>
      </c>
      <c r="U63" s="253" t="s">
        <v>39</v>
      </c>
      <c r="V63" s="253" t="s">
        <v>39</v>
      </c>
      <c r="W63" s="254" t="s">
        <v>39</v>
      </c>
      <c r="X63" s="286" t="s">
        <v>39</v>
      </c>
      <c r="Y63" s="252" t="s">
        <v>288</v>
      </c>
      <c r="Z63" s="254" t="s">
        <v>288</v>
      </c>
      <c r="AN63"/>
      <c r="AO63"/>
      <c r="AP63" t="s">
        <v>0</v>
      </c>
      <c r="AQ63" t="s">
        <v>0</v>
      </c>
      <c r="AR63" t="s">
        <v>0</v>
      </c>
      <c r="AS63" t="s">
        <v>0</v>
      </c>
      <c r="AT63" t="s">
        <v>39</v>
      </c>
      <c r="AU63" t="s">
        <v>39</v>
      </c>
      <c r="AV63" t="s">
        <v>39</v>
      </c>
      <c r="AW63" t="s">
        <v>39</v>
      </c>
      <c r="AX63" t="s">
        <v>39</v>
      </c>
      <c r="AY63" t="s">
        <v>94</v>
      </c>
      <c r="AZ63" t="s">
        <v>94</v>
      </c>
      <c r="BA63" t="s">
        <v>94</v>
      </c>
      <c r="BB63" t="s">
        <v>94</v>
      </c>
      <c r="BC63" t="s">
        <v>39</v>
      </c>
      <c r="BD63" t="s">
        <v>39</v>
      </c>
      <c r="BE63" t="s">
        <v>39</v>
      </c>
      <c r="BF63" t="s">
        <v>337</v>
      </c>
      <c r="BG63" t="s">
        <v>337</v>
      </c>
      <c r="BH63" t="s">
        <v>337</v>
      </c>
      <c r="BI63" t="s">
        <v>337</v>
      </c>
      <c r="BJ63" t="s">
        <v>337</v>
      </c>
      <c r="BK63" t="s">
        <v>337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/>
    </row>
    <row r="64" spans="2:75" ht="16.5" thickTop="1" thickBot="1" x14ac:dyDescent="0.3">
      <c r="B64" s="1" t="str">
        <f>AN64</f>
        <v>BaseAirSys5</v>
      </c>
      <c r="C64" s="2"/>
      <c r="D64" s="224">
        <f>AP64</f>
        <v>13773.7</v>
      </c>
      <c r="E64" s="288">
        <f>AQ64</f>
        <v>12396.4</v>
      </c>
      <c r="F64" s="288">
        <f>AR64</f>
        <v>0</v>
      </c>
      <c r="G64" s="289">
        <f>SUMIFS(H$72:H$89,$C$72:$C$89,$B64)</f>
        <v>0</v>
      </c>
      <c r="H64" s="212">
        <f>SUMIFS(M$72:M$89,$C$72:$C$89,$B64)</f>
        <v>23.575131881471705</v>
      </c>
      <c r="I64" s="213">
        <f>SUMIFS($L$72:$L$89,$C$72:$C$89,$B64)</f>
        <v>0</v>
      </c>
      <c r="J64" s="214">
        <f t="shared" ref="J64:M66" si="104">SUMIFS(I$72:I$89,$C$72:$C$89,$B64)/$H64</f>
        <v>0.73094379639448559</v>
      </c>
      <c r="K64" s="212">
        <f t="shared" si="104"/>
        <v>0.2690562036055143</v>
      </c>
      <c r="L64" s="212">
        <f t="shared" si="104"/>
        <v>0</v>
      </c>
      <c r="M64" s="212">
        <f t="shared" si="104"/>
        <v>0</v>
      </c>
      <c r="N64" s="215">
        <f>PwrIdAdjTable!$G$18</f>
        <v>0.96399999999999997</v>
      </c>
      <c r="O64" s="194">
        <f>N64*D64/1000</f>
        <v>13.277846800000001</v>
      </c>
      <c r="P64" s="194">
        <f>$O64+$S64</f>
        <v>17.47060966235658</v>
      </c>
      <c r="Q64" s="310">
        <f>SUMIFS($Q$72:$Q$90,$C$72:$C$90,$B64)</f>
        <v>0</v>
      </c>
      <c r="R64" s="311">
        <f>SUMIFS($R$72:$R$90,$C$72:$C$90,$B64)</f>
        <v>4.1927628623565809</v>
      </c>
      <c r="S64" s="211">
        <f>SUMIFS($S$72:$S$90,$C$72:$C$90,$B64)</f>
        <v>4.1927628623565809</v>
      </c>
      <c r="T64" s="315">
        <f>ROUND($P64*J64,3)</f>
        <v>12.77</v>
      </c>
      <c r="U64" s="315">
        <f t="shared" ref="U64:U66" si="105">ROUND($P64*K64,3)</f>
        <v>4.7009999999999996</v>
      </c>
      <c r="V64" s="315">
        <f t="shared" ref="V64:V66" si="106">ROUND($P64*L64,3)</f>
        <v>0</v>
      </c>
      <c r="W64" s="315">
        <f>ROUND($P64*M64,3)</f>
        <v>0</v>
      </c>
      <c r="X64" s="287">
        <f>SUM(U64:V64)</f>
        <v>4.7009999999999996</v>
      </c>
      <c r="Y64" s="239">
        <f>P64*1000/D64</f>
        <v>1.2684035271827161</v>
      </c>
      <c r="Z64" s="258">
        <f>IFERROR(W64*1000/G64,0)</f>
        <v>0</v>
      </c>
      <c r="AA64">
        <v>0.93</v>
      </c>
      <c r="AC64" s="240">
        <f>SUMIFS($AB$72:$AB$89,$C$72:$C$89,$B64)</f>
        <v>0</v>
      </c>
      <c r="AN64" t="s">
        <v>171</v>
      </c>
      <c r="AO64" t="s">
        <v>67</v>
      </c>
      <c r="AP64">
        <v>13773.7</v>
      </c>
      <c r="AQ64">
        <v>12396.4</v>
      </c>
      <c r="AR64">
        <v>0</v>
      </c>
      <c r="AS64">
        <v>0</v>
      </c>
      <c r="AT64" s="48">
        <v>12.768000000000001</v>
      </c>
      <c r="AU64" s="48">
        <v>4.7</v>
      </c>
      <c r="AV64" s="48">
        <v>0</v>
      </c>
      <c r="AW64" s="48">
        <v>0</v>
      </c>
      <c r="AX64" s="48">
        <v>23.574999999999999</v>
      </c>
      <c r="AY64" s="48">
        <v>0.73099999999999998</v>
      </c>
      <c r="AZ64" s="48">
        <v>0.26900000000000002</v>
      </c>
      <c r="BA64" s="48">
        <v>0</v>
      </c>
      <c r="BB64" s="48">
        <v>0</v>
      </c>
      <c r="BC64" s="48">
        <v>0</v>
      </c>
      <c r="BD64" s="48">
        <v>4.1900000000000004</v>
      </c>
      <c r="BE64" s="48">
        <v>4.1900000000000004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</row>
    <row r="65" spans="2:75" ht="16.5" thickTop="1" thickBot="1" x14ac:dyDescent="0.3">
      <c r="B65" s="1" t="str">
        <f>AN65</f>
        <v>BaseAirSys5-2</v>
      </c>
      <c r="C65" s="2"/>
      <c r="D65" s="224">
        <f>AP65</f>
        <v>14639.5</v>
      </c>
      <c r="E65" s="224">
        <f>AQ65</f>
        <v>13175.6</v>
      </c>
      <c r="F65" s="224">
        <f>AR65</f>
        <v>13175.6</v>
      </c>
      <c r="G65" s="259">
        <f t="shared" ref="G65:G66" si="107">SUMIFS(H$72:H$89,$C$72:$C$89,$B65)</f>
        <v>2619.4</v>
      </c>
      <c r="H65" s="216">
        <f>SUMIFS($M$72:$M$89,$C$72:$C$89,$B65)</f>
        <v>20.942000000000004</v>
      </c>
      <c r="I65" s="217">
        <f>SUMIFS($L$72:$L$89,$C$72:$C$89,$B65)</f>
        <v>2.1160000000000001</v>
      </c>
      <c r="J65" s="218">
        <f t="shared" si="104"/>
        <v>0.67944799923598509</v>
      </c>
      <c r="K65" s="216">
        <f t="shared" si="104"/>
        <v>5.8924649030656084E-2</v>
      </c>
      <c r="L65" s="216">
        <f t="shared" si="104"/>
        <v>0.16058638143443796</v>
      </c>
      <c r="M65" s="216">
        <f t="shared" si="104"/>
        <v>0.10104097029892081</v>
      </c>
      <c r="N65" s="219">
        <f>PwrIdAdjTable!$G$18</f>
        <v>0.96399999999999997</v>
      </c>
      <c r="O65" s="194">
        <f t="shared" ref="O65:O66" si="108">N65*D65/1000</f>
        <v>14.112477999999999</v>
      </c>
      <c r="P65" s="199">
        <f>$O65+$S65</f>
        <v>17.841005661901136</v>
      </c>
      <c r="Q65" s="312">
        <f t="shared" ref="Q65:Q66" si="109">SUMIFS($Q$72:$Q$90,$C$72:$C$90,$B65)</f>
        <v>0.70713000000000004</v>
      </c>
      <c r="R65" s="313">
        <f t="shared" ref="R65:R66" si="110">SUMIFS($R$72:$R$90,$C$72:$C$90,$B65)</f>
        <v>3.0213976619011347</v>
      </c>
      <c r="S65" s="314">
        <f t="shared" ref="S65:S66" si="111">SUMIFS($S$72:$S$90,$C$72:$C$90,$B65)</f>
        <v>3.7285276619011345</v>
      </c>
      <c r="T65" s="315">
        <f t="shared" ref="T65:T66" si="112">ROUND($P65*J65,3)</f>
        <v>12.122</v>
      </c>
      <c r="U65" s="315">
        <f t="shared" si="105"/>
        <v>1.0509999999999999</v>
      </c>
      <c r="V65" s="315">
        <f t="shared" si="106"/>
        <v>2.8650000000000002</v>
      </c>
      <c r="W65" s="315">
        <f t="shared" ref="W65:W66" si="113">ROUND($P65*M65,3)</f>
        <v>1.8029999999999999</v>
      </c>
      <c r="X65" s="287">
        <f>SUM(U65:V65)</f>
        <v>3.9160000000000004</v>
      </c>
      <c r="Y65" s="258">
        <f>P65*1000/D65</f>
        <v>1.2186895496363357</v>
      </c>
      <c r="Z65" s="258">
        <f>IFERROR(W65*1000/G65,0)</f>
        <v>0.68832557074139111</v>
      </c>
      <c r="AA65">
        <v>0.93</v>
      </c>
      <c r="AC65" s="240">
        <f t="shared" ref="AC65:AC66" si="114">SUMIFS($AB$72:$AB$89,$C$72:$C$89,$B65)</f>
        <v>1.8029999999999999</v>
      </c>
      <c r="AN65" t="s">
        <v>172</v>
      </c>
      <c r="AO65" t="s">
        <v>67</v>
      </c>
      <c r="AP65">
        <v>14639.5</v>
      </c>
      <c r="AQ65">
        <v>13175.6</v>
      </c>
      <c r="AR65">
        <v>13175.6</v>
      </c>
      <c r="AS65">
        <v>0</v>
      </c>
      <c r="AT65" s="48">
        <v>12.122999999999999</v>
      </c>
      <c r="AU65" s="48">
        <v>1.0509999999999999</v>
      </c>
      <c r="AV65" s="48">
        <v>2.8650000000000002</v>
      </c>
      <c r="AW65" s="48">
        <v>0</v>
      </c>
      <c r="AX65" s="48">
        <v>20.942</v>
      </c>
      <c r="AY65" s="48">
        <v>0.67900000000000005</v>
      </c>
      <c r="AZ65" s="48">
        <v>5.8999999999999997E-2</v>
      </c>
      <c r="BA65" s="48">
        <v>0.161</v>
      </c>
      <c r="BB65" s="48">
        <v>0.10100000000000001</v>
      </c>
      <c r="BC65" s="48">
        <v>0.70699999999999996</v>
      </c>
      <c r="BD65" s="48">
        <v>3.024</v>
      </c>
      <c r="BE65" s="48">
        <v>3.7309999999999999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2:75" ht="15.75" thickTop="1" x14ac:dyDescent="0.25">
      <c r="B66" s="1" t="str">
        <f>AN66</f>
        <v>BaseAirSys5-3</v>
      </c>
      <c r="C66" s="2"/>
      <c r="D66" s="224">
        <f>AP66</f>
        <v>14414.5</v>
      </c>
      <c r="E66" s="224">
        <f>AQ66</f>
        <v>0</v>
      </c>
      <c r="F66" s="224">
        <f>AR66</f>
        <v>0</v>
      </c>
      <c r="G66" s="259">
        <f t="shared" si="107"/>
        <v>1106.5</v>
      </c>
      <c r="H66" s="216">
        <f>SUMIFS($M$72:$M$89,$C$72:$C$89,$B66)</f>
        <v>10.189</v>
      </c>
      <c r="I66" s="217">
        <f>SUMIFS($L$72:$L$89,$C$72:$C$89,$B66)</f>
        <v>0.58399999999999996</v>
      </c>
      <c r="J66" s="218">
        <f t="shared" si="104"/>
        <v>0.94268328589655515</v>
      </c>
      <c r="K66" s="216">
        <f t="shared" si="104"/>
        <v>0</v>
      </c>
      <c r="L66" s="216">
        <f t="shared" si="104"/>
        <v>0</v>
      </c>
      <c r="M66" s="216">
        <f t="shared" si="104"/>
        <v>5.7316714103444889E-2</v>
      </c>
      <c r="N66" s="219">
        <f>PwrIdAdjTable!$G$18</f>
        <v>0.96399999999999997</v>
      </c>
      <c r="O66" s="194">
        <f t="shared" si="108"/>
        <v>13.895577999999999</v>
      </c>
      <c r="P66" s="199">
        <f>$O66+$S66</f>
        <v>14.021951999999999</v>
      </c>
      <c r="Q66" s="312">
        <f t="shared" si="109"/>
        <v>0.12637399999999999</v>
      </c>
      <c r="R66" s="313">
        <f t="shared" si="110"/>
        <v>0</v>
      </c>
      <c r="S66" s="314">
        <f t="shared" si="111"/>
        <v>0.12637399999999999</v>
      </c>
      <c r="T66" s="315">
        <f t="shared" si="112"/>
        <v>13.218</v>
      </c>
      <c r="U66" s="315">
        <f t="shared" si="105"/>
        <v>0</v>
      </c>
      <c r="V66" s="315">
        <f t="shared" si="106"/>
        <v>0</v>
      </c>
      <c r="W66" s="315">
        <f t="shared" si="113"/>
        <v>0.80400000000000005</v>
      </c>
      <c r="X66" s="287">
        <f>SUM(U66:V66)</f>
        <v>0</v>
      </c>
      <c r="Y66" s="258">
        <f>P66*1000/D66</f>
        <v>0.97276714419508126</v>
      </c>
      <c r="Z66" s="258">
        <f>IFERROR(W66*1000/G66,0)</f>
        <v>0.72661545413465889</v>
      </c>
      <c r="AA66">
        <v>0.93</v>
      </c>
      <c r="AC66" s="240">
        <f t="shared" si="114"/>
        <v>0.80400000000000005</v>
      </c>
      <c r="AN66" t="s">
        <v>173</v>
      </c>
      <c r="AO66" t="s">
        <v>67</v>
      </c>
      <c r="AP66">
        <v>14414.5</v>
      </c>
      <c r="AQ66">
        <v>0</v>
      </c>
      <c r="AR66">
        <v>0</v>
      </c>
      <c r="AS66">
        <v>0</v>
      </c>
      <c r="AT66" s="48">
        <v>13.217000000000001</v>
      </c>
      <c r="AU66" s="48">
        <v>0</v>
      </c>
      <c r="AV66" s="48">
        <v>0</v>
      </c>
      <c r="AW66" s="48">
        <v>0</v>
      </c>
      <c r="AX66" s="48">
        <v>10.19</v>
      </c>
      <c r="AY66" s="48">
        <v>0.94299999999999995</v>
      </c>
      <c r="AZ66" s="48">
        <v>0</v>
      </c>
      <c r="BA66" s="48">
        <v>0</v>
      </c>
      <c r="BB66" s="48">
        <v>5.7000000000000002E-2</v>
      </c>
      <c r="BC66" s="48">
        <v>0.126</v>
      </c>
      <c r="BD66" s="48">
        <v>0</v>
      </c>
      <c r="BE66" s="48">
        <v>0.126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2:75" x14ac:dyDescent="0.25">
      <c r="D67" s="84"/>
      <c r="K67" s="48"/>
    </row>
    <row r="68" spans="2:75" x14ac:dyDescent="0.25">
      <c r="D68" s="84"/>
      <c r="AN68" t="s">
        <v>43</v>
      </c>
    </row>
    <row r="69" spans="2:75" x14ac:dyDescent="0.25">
      <c r="D69" s="84"/>
      <c r="AT69" t="s">
        <v>120</v>
      </c>
      <c r="AW69" t="s">
        <v>145</v>
      </c>
      <c r="AZ69" t="s">
        <v>146</v>
      </c>
      <c r="BE69" t="s">
        <v>123</v>
      </c>
    </row>
    <row r="70" spans="2:75" s="238" customFormat="1" ht="207" customHeight="1" x14ac:dyDescent="0.25">
      <c r="B70" s="282" t="s">
        <v>43</v>
      </c>
      <c r="C70" s="283" t="s">
        <v>40</v>
      </c>
      <c r="F70" s="290" t="str">
        <f>F33</f>
        <v>PriAirCondgSysDsgnFlow</v>
      </c>
      <c r="G70" s="291" t="str">
        <f t="shared" ref="G70:H70" si="115">G33</f>
        <v>VentSysDsgnFlow</v>
      </c>
      <c r="H70" s="291" t="str">
        <f t="shared" si="115"/>
        <v>ExhFlow</v>
      </c>
      <c r="I70" s="292" t="s">
        <v>53</v>
      </c>
      <c r="J70" s="292" t="s">
        <v>56</v>
      </c>
      <c r="K70" s="292" t="s">
        <v>59</v>
      </c>
      <c r="L70" s="293" t="s">
        <v>60</v>
      </c>
      <c r="M70" s="294" t="s">
        <v>46</v>
      </c>
      <c r="N70" s="227" t="s">
        <v>213</v>
      </c>
      <c r="O70" s="226" t="s">
        <v>212</v>
      </c>
      <c r="P70" s="226" t="s">
        <v>216</v>
      </c>
      <c r="Q70" s="228" t="s">
        <v>99</v>
      </c>
      <c r="R70" s="229" t="s">
        <v>100</v>
      </c>
      <c r="S70" s="230" t="s">
        <v>93</v>
      </c>
      <c r="T70" s="231" t="s">
        <v>201</v>
      </c>
      <c r="U70" s="232" t="s">
        <v>89</v>
      </c>
      <c r="V70" s="233" t="s">
        <v>179</v>
      </c>
      <c r="W70" s="234" t="s">
        <v>182</v>
      </c>
      <c r="X70" s="235" t="s">
        <v>90</v>
      </c>
      <c r="Y70" s="235" t="s">
        <v>91</v>
      </c>
      <c r="Z70" s="236" t="s">
        <v>99</v>
      </c>
      <c r="AA70" s="229" t="s">
        <v>100</v>
      </c>
      <c r="AB70" s="237" t="s">
        <v>339</v>
      </c>
      <c r="AN70" s="225" t="s">
        <v>142</v>
      </c>
      <c r="AO70" s="225" t="s">
        <v>326</v>
      </c>
      <c r="AP70" s="225" t="s">
        <v>327</v>
      </c>
      <c r="AQ70" s="225" t="s">
        <v>328</v>
      </c>
      <c r="AR70" s="225" t="s">
        <v>150</v>
      </c>
      <c r="AS70" s="225" t="s">
        <v>151</v>
      </c>
      <c r="AT70" s="225" t="s">
        <v>152</v>
      </c>
      <c r="AU70" s="225" t="s">
        <v>153</v>
      </c>
      <c r="AV70" s="225" t="s">
        <v>154</v>
      </c>
      <c r="AW70" s="225" t="s">
        <v>329</v>
      </c>
      <c r="AX70" s="225" t="s">
        <v>330</v>
      </c>
      <c r="AY70" s="225" t="s">
        <v>331</v>
      </c>
      <c r="AZ70" s="225" t="s">
        <v>332</v>
      </c>
      <c r="BA70" s="225" t="s">
        <v>333</v>
      </c>
      <c r="BB70" s="225" t="s">
        <v>334</v>
      </c>
      <c r="BC70" s="225" t="s">
        <v>335</v>
      </c>
      <c r="BD70" s="225" t="s">
        <v>336</v>
      </c>
      <c r="BE70" s="225" t="s">
        <v>137</v>
      </c>
      <c r="BF70" s="225" t="s">
        <v>138</v>
      </c>
      <c r="BG70" s="225" t="s">
        <v>144</v>
      </c>
      <c r="BH70" s="225" t="s">
        <v>203</v>
      </c>
      <c r="BI70" s="225" t="s">
        <v>194</v>
      </c>
      <c r="BJ70" s="225" t="s">
        <v>195</v>
      </c>
      <c r="BK70" s="225" t="s">
        <v>196</v>
      </c>
      <c r="BL70" s="225" t="s">
        <v>197</v>
      </c>
      <c r="BM70" s="225" t="s">
        <v>198</v>
      </c>
      <c r="BN70" s="225" t="s">
        <v>199</v>
      </c>
      <c r="BO70" s="225"/>
      <c r="BP70" s="225"/>
      <c r="BQ70" s="225"/>
      <c r="BR70" s="225"/>
    </row>
    <row r="71" spans="2:75" s="243" customFormat="1" ht="15.75" thickBot="1" x14ac:dyDescent="0.3">
      <c r="B71" s="241"/>
      <c r="C71" s="242"/>
      <c r="D71" s="241"/>
      <c r="E71" s="242"/>
      <c r="F71" s="244" t="s">
        <v>0</v>
      </c>
      <c r="G71" s="245"/>
      <c r="H71" s="242"/>
      <c r="I71" s="241" t="s">
        <v>39</v>
      </c>
      <c r="J71" s="245" t="s">
        <v>39</v>
      </c>
      <c r="K71" s="245" t="s">
        <v>39</v>
      </c>
      <c r="L71" s="245" t="s">
        <v>39</v>
      </c>
      <c r="M71" s="245" t="s">
        <v>39</v>
      </c>
      <c r="N71" s="246" t="s">
        <v>94</v>
      </c>
      <c r="O71" s="246" t="s">
        <v>94</v>
      </c>
      <c r="P71" s="246" t="s">
        <v>94</v>
      </c>
      <c r="Q71" s="245" t="s">
        <v>39</v>
      </c>
      <c r="R71" s="245" t="s">
        <v>39</v>
      </c>
      <c r="S71" s="241" t="s">
        <v>39</v>
      </c>
      <c r="T71" s="241" t="s">
        <v>39</v>
      </c>
      <c r="U71" s="245" t="s">
        <v>39</v>
      </c>
      <c r="V71" s="245" t="s">
        <v>39</v>
      </c>
      <c r="W71" s="245" t="s">
        <v>39</v>
      </c>
      <c r="X71" s="245" t="s">
        <v>39</v>
      </c>
      <c r="Y71" s="245" t="s">
        <v>39</v>
      </c>
      <c r="Z71" s="246" t="s">
        <v>288</v>
      </c>
      <c r="AA71" s="247" t="s">
        <v>288</v>
      </c>
      <c r="AB71" s="248" t="s">
        <v>39</v>
      </c>
      <c r="AC71" s="243" t="s">
        <v>217</v>
      </c>
      <c r="AN71"/>
      <c r="AO71"/>
      <c r="AP71"/>
      <c r="AQ71"/>
      <c r="AR71" t="s">
        <v>166</v>
      </c>
      <c r="AS71"/>
      <c r="AT71" t="s">
        <v>0</v>
      </c>
      <c r="AU71" t="s">
        <v>0</v>
      </c>
      <c r="AV71" t="s">
        <v>0</v>
      </c>
      <c r="AW71" t="s">
        <v>94</v>
      </c>
      <c r="AX71" t="s">
        <v>94</v>
      </c>
      <c r="AY71" t="s">
        <v>94</v>
      </c>
      <c r="AZ71" t="s">
        <v>39</v>
      </c>
      <c r="BA71" t="s">
        <v>39</v>
      </c>
      <c r="BB71" t="s">
        <v>39</v>
      </c>
      <c r="BC71" t="s">
        <v>39</v>
      </c>
      <c r="BD71" t="s">
        <v>39</v>
      </c>
      <c r="BE71" t="s">
        <v>39</v>
      </c>
      <c r="BF71" t="s">
        <v>39</v>
      </c>
      <c r="BG71" t="s">
        <v>39</v>
      </c>
      <c r="BH71" t="s">
        <v>39</v>
      </c>
      <c r="BI71" t="s">
        <v>39</v>
      </c>
      <c r="BJ71" t="s">
        <v>39</v>
      </c>
      <c r="BK71" t="s">
        <v>39</v>
      </c>
      <c r="BL71" t="s">
        <v>39</v>
      </c>
      <c r="BM71" t="s">
        <v>39</v>
      </c>
      <c r="BN71" t="s">
        <v>39</v>
      </c>
      <c r="BO71"/>
      <c r="BP71"/>
      <c r="BQ71"/>
      <c r="BR71"/>
    </row>
    <row r="72" spans="2:75" ht="16.5" thickTop="1" thickBot="1" x14ac:dyDescent="0.3">
      <c r="B72" s="1" t="str">
        <f t="shared" ref="B72:C89" si="116">AN72</f>
        <v>Core_bottom Thermal Zone</v>
      </c>
      <c r="C72" s="3" t="str">
        <f t="shared" si="116"/>
        <v>BaseAirSys5</v>
      </c>
      <c r="F72" s="288">
        <f>AT72</f>
        <v>7739.9</v>
      </c>
      <c r="G72" s="288">
        <f t="shared" ref="G72:H72" si="117">AU72</f>
        <v>7739.9</v>
      </c>
      <c r="H72" s="288">
        <f t="shared" si="117"/>
        <v>0</v>
      </c>
      <c r="I72" s="194">
        <f t="shared" ref="I72:I90" si="118">L35</f>
        <v>10.205361095105701</v>
      </c>
      <c r="J72" s="194">
        <f t="shared" ref="J72:J90" si="119">M35</f>
        <v>3.7565346695830701</v>
      </c>
      <c r="K72" s="194">
        <f t="shared" ref="K72:K90" si="120">N35</f>
        <v>0</v>
      </c>
      <c r="L72" s="194">
        <f t="shared" ref="L72:L90" si="121">O35</f>
        <v>0</v>
      </c>
      <c r="M72" s="195">
        <f t="shared" ref="M72:M90" si="122">P35</f>
        <v>13.961895764688771</v>
      </c>
      <c r="N72" s="196">
        <f t="shared" ref="N72:N90" si="123">IFERROR(F72/MAX(F35,G35),0)</f>
        <v>0.73109656455741634</v>
      </c>
      <c r="O72" s="194">
        <f t="shared" ref="O72:O89" si="124">IFERROR(L72/SUMIFS($I$64:$I$66,B$64:B$66,$C72),0)</f>
        <v>0</v>
      </c>
      <c r="P72" s="194">
        <f t="shared" ref="P72:P90" si="125">IFERROR(H72/H35,0)</f>
        <v>0</v>
      </c>
      <c r="Q72" s="194">
        <f>SUM(T72:V72)</f>
        <v>0</v>
      </c>
      <c r="R72" s="194">
        <f t="shared" ref="R72:R89" si="126">SUM(W72:Y72)</f>
        <v>2.3560186496456126</v>
      </c>
      <c r="S72" s="195">
        <f>SUM(T72:V72,W72:Y72)</f>
        <v>2.3560186496456126</v>
      </c>
      <c r="T72" s="194">
        <f>T35</f>
        <v>0</v>
      </c>
      <c r="U72" s="194">
        <f t="shared" ref="U72:V72" si="127">U35</f>
        <v>0</v>
      </c>
      <c r="V72" s="194">
        <f t="shared" si="127"/>
        <v>0</v>
      </c>
      <c r="W72" s="194">
        <f t="shared" ref="W72:Y90" si="128">W35*$N72</f>
        <v>0.80802999005364784</v>
      </c>
      <c r="X72" s="194">
        <f t="shared" si="128"/>
        <v>1.5479886595919647</v>
      </c>
      <c r="Y72" s="195">
        <f t="shared" si="128"/>
        <v>0</v>
      </c>
      <c r="Z72" s="222">
        <f>IFERROR(Q72*1000/$H72,0)</f>
        <v>0</v>
      </c>
      <c r="AA72" s="221">
        <f>IFERROR(R72*1000/$F72,0)</f>
        <v>0.30439910717782048</v>
      </c>
      <c r="AB72" s="211">
        <f>IF(O72*SUMIFS($W$64:$W$66,$B$64:$B$66,$C72)=0,0,O72*SUMIFS($W$64:$W$66,$B$64:$B$66,$C72))</f>
        <v>0</v>
      </c>
      <c r="AN72" t="s">
        <v>72</v>
      </c>
      <c r="AO72" t="s">
        <v>171</v>
      </c>
      <c r="AP72" t="s">
        <v>171</v>
      </c>
      <c r="AQ72" t="s">
        <v>80</v>
      </c>
      <c r="AR72">
        <v>10586.7</v>
      </c>
      <c r="AS72">
        <v>1</v>
      </c>
      <c r="AT72">
        <v>7739.9</v>
      </c>
      <c r="AU72">
        <v>7739.9</v>
      </c>
      <c r="AV72">
        <v>0</v>
      </c>
      <c r="AW72">
        <v>0.59199999999999997</v>
      </c>
      <c r="AX72">
        <v>0</v>
      </c>
      <c r="AY72">
        <v>0</v>
      </c>
      <c r="AZ72">
        <v>10.206</v>
      </c>
      <c r="BA72">
        <v>3.7570000000000001</v>
      </c>
      <c r="BB72">
        <v>0</v>
      </c>
      <c r="BC72">
        <v>0</v>
      </c>
      <c r="BD72">
        <v>13.962</v>
      </c>
      <c r="BE72">
        <v>0</v>
      </c>
      <c r="BF72">
        <v>2.3540000000000001</v>
      </c>
      <c r="BG72">
        <v>2.3540000000000001</v>
      </c>
      <c r="BH72">
        <v>0</v>
      </c>
      <c r="BI72">
        <v>0</v>
      </c>
      <c r="BJ72">
        <v>0</v>
      </c>
      <c r="BK72">
        <v>0.80800000000000005</v>
      </c>
      <c r="BL72">
        <v>1.546</v>
      </c>
      <c r="BM72">
        <v>0</v>
      </c>
      <c r="BN72">
        <v>0</v>
      </c>
    </row>
    <row r="73" spans="2:75" ht="16.5" thickTop="1" thickBot="1" x14ac:dyDescent="0.3">
      <c r="B73" s="1" t="str">
        <f t="shared" si="116"/>
        <v>Perimeter_bot_ZN_1 Thermal Zone</v>
      </c>
      <c r="C73" s="3" t="str">
        <f t="shared" si="116"/>
        <v>BaseAirSys5</v>
      </c>
      <c r="F73" s="224">
        <f t="shared" ref="F73:F89" si="129">AT73</f>
        <v>1973.4</v>
      </c>
      <c r="G73" s="224">
        <f t="shared" ref="G73:G89" si="130">AU73</f>
        <v>1973.4</v>
      </c>
      <c r="H73" s="224">
        <f t="shared" ref="H73:H89" si="131">AV73</f>
        <v>0</v>
      </c>
      <c r="I73" s="194">
        <f t="shared" si="118"/>
        <v>2.1514093052657488</v>
      </c>
      <c r="J73" s="194">
        <f t="shared" si="119"/>
        <v>0.79192138018225655</v>
      </c>
      <c r="K73" s="194">
        <f t="shared" si="120"/>
        <v>0</v>
      </c>
      <c r="L73" s="194">
        <f t="shared" si="121"/>
        <v>0</v>
      </c>
      <c r="M73" s="195">
        <f t="shared" si="122"/>
        <v>2.9433306854480055</v>
      </c>
      <c r="N73" s="196">
        <f t="shared" si="123"/>
        <v>0.88421901604086384</v>
      </c>
      <c r="O73" s="194">
        <f t="shared" si="124"/>
        <v>0</v>
      </c>
      <c r="P73" s="194">
        <f t="shared" si="125"/>
        <v>0</v>
      </c>
      <c r="Q73" s="194">
        <f t="shared" ref="Q73:Q89" si="132">SUM(T73:V73)</f>
        <v>0</v>
      </c>
      <c r="R73" s="194">
        <f t="shared" si="126"/>
        <v>0.60070119810471079</v>
      </c>
      <c r="S73" s="195">
        <f t="shared" ref="S73:S89" si="133">SUM(T73:V73,W73:Y73)</f>
        <v>0.60070119810471079</v>
      </c>
      <c r="T73" s="194">
        <f t="shared" ref="T73:V73" si="134">T36</f>
        <v>0</v>
      </c>
      <c r="U73" s="194">
        <f t="shared" si="134"/>
        <v>0</v>
      </c>
      <c r="V73" s="194">
        <f t="shared" si="134"/>
        <v>0</v>
      </c>
      <c r="W73" s="194">
        <f t="shared" si="128"/>
        <v>0.20601899021587722</v>
      </c>
      <c r="X73" s="194">
        <f t="shared" si="128"/>
        <v>0.39468220788883357</v>
      </c>
      <c r="Y73" s="195">
        <f t="shared" si="128"/>
        <v>0</v>
      </c>
      <c r="Z73" s="222">
        <f t="shared" ref="Z73:Z90" si="135">IFERROR(Q73*1000/$H73,0)</f>
        <v>0</v>
      </c>
      <c r="AA73" s="221">
        <f t="shared" ref="AA73:AA90" si="136">IFERROR(R73*1000/$F73,0)</f>
        <v>0.30439910717782037</v>
      </c>
      <c r="AB73" s="211">
        <f>IF(O73*SUMIFS($W$64:$W$66,$B$64:$B$66,$C73)=0,0,O73*SUMIFS($W$64:$W$66,$B$64:$B$66,$C73))</f>
        <v>0</v>
      </c>
      <c r="AN73" t="s">
        <v>73</v>
      </c>
      <c r="AO73" t="s">
        <v>171</v>
      </c>
      <c r="AP73" t="s">
        <v>171</v>
      </c>
      <c r="AQ73" t="s">
        <v>80</v>
      </c>
      <c r="AR73">
        <v>2231.8000000000002</v>
      </c>
      <c r="AS73">
        <v>1</v>
      </c>
      <c r="AT73">
        <v>1973.4</v>
      </c>
      <c r="AU73">
        <v>1973.4</v>
      </c>
      <c r="AV73">
        <v>0</v>
      </c>
      <c r="AW73">
        <v>0.125</v>
      </c>
      <c r="AX73">
        <v>0</v>
      </c>
      <c r="AY73">
        <v>0</v>
      </c>
      <c r="AZ73">
        <v>2.1509999999999998</v>
      </c>
      <c r="BA73">
        <v>0.79200000000000004</v>
      </c>
      <c r="BB73">
        <v>0</v>
      </c>
      <c r="BC73">
        <v>0</v>
      </c>
      <c r="BD73">
        <v>2.9430000000000001</v>
      </c>
      <c r="BE73">
        <v>0</v>
      </c>
      <c r="BF73">
        <v>0.6</v>
      </c>
      <c r="BG73">
        <v>0.6</v>
      </c>
      <c r="BH73">
        <v>0</v>
      </c>
      <c r="BI73">
        <v>0</v>
      </c>
      <c r="BJ73">
        <v>0</v>
      </c>
      <c r="BK73">
        <v>0.20599999999999999</v>
      </c>
      <c r="BL73">
        <v>0.39400000000000002</v>
      </c>
      <c r="BM73">
        <v>0</v>
      </c>
      <c r="BN73">
        <v>0</v>
      </c>
    </row>
    <row r="74" spans="2:75" ht="16.5" thickTop="1" thickBot="1" x14ac:dyDescent="0.3">
      <c r="B74" s="1" t="str">
        <f t="shared" si="116"/>
        <v>Perimeter_bot_ZN_2 Thermal Zone</v>
      </c>
      <c r="C74" s="3" t="str">
        <f t="shared" si="116"/>
        <v>BaseAirSys5</v>
      </c>
      <c r="F74" s="224">
        <f t="shared" si="129"/>
        <v>1264.5</v>
      </c>
      <c r="G74" s="224">
        <f t="shared" si="130"/>
        <v>1264.5</v>
      </c>
      <c r="H74" s="224">
        <f t="shared" si="131"/>
        <v>0</v>
      </c>
      <c r="I74" s="194">
        <f t="shared" si="118"/>
        <v>1.3620065451250007</v>
      </c>
      <c r="J74" s="194">
        <f t="shared" si="119"/>
        <v>0.5013467685543106</v>
      </c>
      <c r="K74" s="194">
        <f t="shared" si="120"/>
        <v>0</v>
      </c>
      <c r="L74" s="194">
        <f t="shared" si="121"/>
        <v>0</v>
      </c>
      <c r="M74" s="195">
        <f t="shared" si="122"/>
        <v>1.8633533136793115</v>
      </c>
      <c r="N74" s="196">
        <f t="shared" si="123"/>
        <v>0.89496779673012949</v>
      </c>
      <c r="O74" s="194">
        <f t="shared" si="124"/>
        <v>0</v>
      </c>
      <c r="P74" s="194">
        <f t="shared" si="125"/>
        <v>0</v>
      </c>
      <c r="Q74" s="194">
        <f t="shared" si="132"/>
        <v>0</v>
      </c>
      <c r="R74" s="194">
        <f t="shared" si="126"/>
        <v>0.3849126710263539</v>
      </c>
      <c r="S74" s="195">
        <f t="shared" si="133"/>
        <v>0.3849126710263539</v>
      </c>
      <c r="T74" s="194">
        <f t="shared" ref="T74:V74" si="137">T37</f>
        <v>0</v>
      </c>
      <c r="U74" s="194">
        <f t="shared" si="137"/>
        <v>0</v>
      </c>
      <c r="V74" s="194">
        <f t="shared" si="137"/>
        <v>0</v>
      </c>
      <c r="W74" s="194">
        <f t="shared" si="128"/>
        <v>0.13201125627241145</v>
      </c>
      <c r="X74" s="194">
        <f t="shared" si="128"/>
        <v>0.25290141475394246</v>
      </c>
      <c r="Y74" s="195">
        <f t="shared" si="128"/>
        <v>0</v>
      </c>
      <c r="Z74" s="222">
        <f t="shared" si="135"/>
        <v>0</v>
      </c>
      <c r="AA74" s="221">
        <f t="shared" si="136"/>
        <v>0.30439910717782043</v>
      </c>
      <c r="AB74" s="211">
        <f>IF(O74*SUMIFS($W$64:$W$66,$B$64:$B$66,$C74)=0,0,O74*SUMIFS($W$64:$W$66,$B$64:$B$66,$C74))</f>
        <v>0</v>
      </c>
      <c r="AN74" t="s">
        <v>74</v>
      </c>
      <c r="AO74" t="s">
        <v>171</v>
      </c>
      <c r="AP74" t="s">
        <v>171</v>
      </c>
      <c r="AQ74" t="s">
        <v>80</v>
      </c>
      <c r="AR74">
        <v>1412.9</v>
      </c>
      <c r="AS74">
        <v>1</v>
      </c>
      <c r="AT74">
        <v>1264.5</v>
      </c>
      <c r="AU74">
        <v>1264.5</v>
      </c>
      <c r="AV74">
        <v>0</v>
      </c>
      <c r="AW74">
        <v>7.9000000000000001E-2</v>
      </c>
      <c r="AX74">
        <v>0</v>
      </c>
      <c r="AY74">
        <v>0</v>
      </c>
      <c r="AZ74">
        <v>1.3620000000000001</v>
      </c>
      <c r="BA74">
        <v>0.501</v>
      </c>
      <c r="BB74">
        <v>0</v>
      </c>
      <c r="BC74">
        <v>0</v>
      </c>
      <c r="BD74">
        <v>1.863</v>
      </c>
      <c r="BE74">
        <v>0</v>
      </c>
      <c r="BF74">
        <v>0.38500000000000001</v>
      </c>
      <c r="BG74">
        <v>0.38500000000000001</v>
      </c>
      <c r="BH74">
        <v>0</v>
      </c>
      <c r="BI74">
        <v>0</v>
      </c>
      <c r="BJ74">
        <v>0</v>
      </c>
      <c r="BK74">
        <v>0.13200000000000001</v>
      </c>
      <c r="BL74">
        <v>0.253</v>
      </c>
      <c r="BM74">
        <v>0</v>
      </c>
      <c r="BN74">
        <v>0</v>
      </c>
    </row>
    <row r="75" spans="2:75" ht="16.5" thickTop="1" thickBot="1" x14ac:dyDescent="0.3">
      <c r="B75" s="1" t="str">
        <f t="shared" si="116"/>
        <v>Perimeter_bot_ZN_3 Thermal Zone</v>
      </c>
      <c r="C75" s="3" t="str">
        <f t="shared" si="116"/>
        <v>BaseAirSys5</v>
      </c>
      <c r="F75" s="224">
        <f t="shared" si="129"/>
        <v>1438.9</v>
      </c>
      <c r="G75" s="224">
        <f t="shared" si="130"/>
        <v>1438.9</v>
      </c>
      <c r="H75" s="224">
        <f t="shared" si="131"/>
        <v>0</v>
      </c>
      <c r="I75" s="194">
        <f t="shared" si="118"/>
        <v>2.1514093052657488</v>
      </c>
      <c r="J75" s="194">
        <f t="shared" si="119"/>
        <v>0.79192138018225655</v>
      </c>
      <c r="K75" s="194">
        <f t="shared" si="120"/>
        <v>0</v>
      </c>
      <c r="L75" s="194">
        <f t="shared" si="121"/>
        <v>0</v>
      </c>
      <c r="M75" s="195">
        <f t="shared" si="122"/>
        <v>2.9433306854480055</v>
      </c>
      <c r="N75" s="196">
        <f t="shared" si="123"/>
        <v>0.64472622994892015</v>
      </c>
      <c r="O75" s="194">
        <f t="shared" si="124"/>
        <v>0</v>
      </c>
      <c r="P75" s="194">
        <f t="shared" si="125"/>
        <v>0</v>
      </c>
      <c r="Q75" s="194">
        <f t="shared" si="132"/>
        <v>0</v>
      </c>
      <c r="R75" s="194">
        <f t="shared" si="126"/>
        <v>0.43799987531816575</v>
      </c>
      <c r="S75" s="195">
        <f t="shared" si="133"/>
        <v>0.43799987531816575</v>
      </c>
      <c r="T75" s="194">
        <f t="shared" ref="T75:V75" si="138">T38</f>
        <v>0</v>
      </c>
      <c r="U75" s="194">
        <f t="shared" si="138"/>
        <v>0</v>
      </c>
      <c r="V75" s="194">
        <f t="shared" si="138"/>
        <v>0</v>
      </c>
      <c r="W75" s="194">
        <f t="shared" si="128"/>
        <v>0.15021826544118058</v>
      </c>
      <c r="X75" s="194">
        <f t="shared" si="128"/>
        <v>0.2877816098769852</v>
      </c>
      <c r="Y75" s="195">
        <f t="shared" si="128"/>
        <v>0</v>
      </c>
      <c r="Z75" s="222">
        <f t="shared" si="135"/>
        <v>0</v>
      </c>
      <c r="AA75" s="221">
        <f t="shared" si="136"/>
        <v>0.30439910717782037</v>
      </c>
      <c r="AB75" s="211">
        <f>IF(O75*SUMIFS($W$64:$W$66,$B$64:$B$66,$C75)=0,0,O75*SUMIFS($W$64:$W$66,$B$64:$B$66,$C75))</f>
        <v>0</v>
      </c>
      <c r="AN75" t="s">
        <v>75</v>
      </c>
      <c r="AO75" t="s">
        <v>171</v>
      </c>
      <c r="AP75" t="s">
        <v>171</v>
      </c>
      <c r="AQ75" t="s">
        <v>80</v>
      </c>
      <c r="AR75">
        <v>2231.8000000000002</v>
      </c>
      <c r="AS75">
        <v>1</v>
      </c>
      <c r="AT75">
        <v>1438.9</v>
      </c>
      <c r="AU75">
        <v>1438.9</v>
      </c>
      <c r="AV75">
        <v>0</v>
      </c>
      <c r="AW75">
        <v>0.125</v>
      </c>
      <c r="AX75">
        <v>0</v>
      </c>
      <c r="AY75">
        <v>0</v>
      </c>
      <c r="AZ75">
        <v>2.1509999999999998</v>
      </c>
      <c r="BA75">
        <v>0.79200000000000004</v>
      </c>
      <c r="BB75">
        <v>0</v>
      </c>
      <c r="BC75">
        <v>0</v>
      </c>
      <c r="BD75">
        <v>2.9430000000000001</v>
      </c>
      <c r="BE75">
        <v>0</v>
      </c>
      <c r="BF75">
        <v>0.438</v>
      </c>
      <c r="BG75">
        <v>0.438</v>
      </c>
      <c r="BH75">
        <v>0</v>
      </c>
      <c r="BI75">
        <v>0</v>
      </c>
      <c r="BJ75">
        <v>0</v>
      </c>
      <c r="BK75">
        <v>0.15</v>
      </c>
      <c r="BL75">
        <v>0.28699999999999998</v>
      </c>
      <c r="BM75">
        <v>0</v>
      </c>
      <c r="BN75">
        <v>0</v>
      </c>
    </row>
    <row r="76" spans="2:75" ht="16.5" thickTop="1" thickBot="1" x14ac:dyDescent="0.3">
      <c r="B76" s="1" t="str">
        <f t="shared" si="116"/>
        <v>Perimeter_bot_ZN_4 Thermal Zone</v>
      </c>
      <c r="C76" s="3" t="str">
        <f t="shared" si="116"/>
        <v>BaseAirSys5</v>
      </c>
      <c r="F76" s="224">
        <f t="shared" si="129"/>
        <v>1357.2</v>
      </c>
      <c r="G76" s="224">
        <f t="shared" si="130"/>
        <v>1357.2</v>
      </c>
      <c r="H76" s="224">
        <f t="shared" si="131"/>
        <v>0</v>
      </c>
      <c r="I76" s="194">
        <f t="shared" si="118"/>
        <v>1.3619101471814006</v>
      </c>
      <c r="J76" s="194">
        <f t="shared" si="119"/>
        <v>0.50131128502620848</v>
      </c>
      <c r="K76" s="194">
        <f t="shared" si="120"/>
        <v>0</v>
      </c>
      <c r="L76" s="194">
        <f t="shared" si="121"/>
        <v>0</v>
      </c>
      <c r="M76" s="195">
        <f t="shared" si="122"/>
        <v>1.8632214322076091</v>
      </c>
      <c r="N76" s="196">
        <f t="shared" si="123"/>
        <v>0.96064552661381664</v>
      </c>
      <c r="O76" s="194">
        <f t="shared" si="124"/>
        <v>0</v>
      </c>
      <c r="P76" s="194">
        <f t="shared" si="125"/>
        <v>0</v>
      </c>
      <c r="Q76" s="194">
        <f t="shared" si="132"/>
        <v>0</v>
      </c>
      <c r="R76" s="194">
        <f t="shared" si="126"/>
        <v>0.41313046826173794</v>
      </c>
      <c r="S76" s="195">
        <f t="shared" si="133"/>
        <v>0.41313046826173794</v>
      </c>
      <c r="T76" s="194">
        <f t="shared" ref="T76:V76" si="139">T39</f>
        <v>0</v>
      </c>
      <c r="U76" s="194">
        <f t="shared" si="139"/>
        <v>0</v>
      </c>
      <c r="V76" s="194">
        <f t="shared" si="139"/>
        <v>0</v>
      </c>
      <c r="W76" s="194">
        <f t="shared" si="128"/>
        <v>0.14168894979273772</v>
      </c>
      <c r="X76" s="194">
        <f t="shared" si="128"/>
        <v>0.27144151846900022</v>
      </c>
      <c r="Y76" s="195">
        <f t="shared" si="128"/>
        <v>0</v>
      </c>
      <c r="Z76" s="222">
        <f t="shared" si="135"/>
        <v>0</v>
      </c>
      <c r="AA76" s="221">
        <f t="shared" si="136"/>
        <v>0.30439910717782043</v>
      </c>
      <c r="AB76" s="211">
        <f>IF(O76*SUMIFS($W$64:$W$66,$B$64:$B$66,$C76)=0,0,O76*SUMIFS($W$64:$W$66,$B$64:$B$66,$C76))</f>
        <v>0</v>
      </c>
      <c r="AN76" t="s">
        <v>76</v>
      </c>
      <c r="AO76" t="s">
        <v>171</v>
      </c>
      <c r="AP76" t="s">
        <v>171</v>
      </c>
      <c r="AQ76" t="s">
        <v>80</v>
      </c>
      <c r="AR76">
        <v>1412.8</v>
      </c>
      <c r="AS76">
        <v>1</v>
      </c>
      <c r="AT76">
        <v>1357.2</v>
      </c>
      <c r="AU76">
        <v>1357.2</v>
      </c>
      <c r="AV76">
        <v>0</v>
      </c>
      <c r="AW76">
        <v>7.9000000000000001E-2</v>
      </c>
      <c r="AX76">
        <v>0</v>
      </c>
      <c r="AY76">
        <v>0</v>
      </c>
      <c r="AZ76">
        <v>1.3620000000000001</v>
      </c>
      <c r="BA76">
        <v>0.501</v>
      </c>
      <c r="BB76">
        <v>0</v>
      </c>
      <c r="BC76">
        <v>0</v>
      </c>
      <c r="BD76">
        <v>1.863</v>
      </c>
      <c r="BE76">
        <v>0</v>
      </c>
      <c r="BF76">
        <v>0.41299999999999998</v>
      </c>
      <c r="BG76">
        <v>0.41299999999999998</v>
      </c>
      <c r="BH76">
        <v>0</v>
      </c>
      <c r="BI76">
        <v>0</v>
      </c>
      <c r="BJ76">
        <v>0</v>
      </c>
      <c r="BK76">
        <v>0.14199999999999999</v>
      </c>
      <c r="BL76">
        <v>0.27100000000000002</v>
      </c>
      <c r="BM76">
        <v>0</v>
      </c>
      <c r="BN76">
        <v>0</v>
      </c>
    </row>
    <row r="77" spans="2:75" ht="16.5" thickTop="1" thickBot="1" x14ac:dyDescent="0.3">
      <c r="B77" s="4" t="str">
        <f t="shared" si="116"/>
        <v>FirstFloor_Plenum Thermal Zone</v>
      </c>
      <c r="C77" s="6" t="str">
        <f t="shared" si="116"/>
        <v>NONE</v>
      </c>
      <c r="F77" s="224">
        <f t="shared" si="129"/>
        <v>0</v>
      </c>
      <c r="G77" s="224">
        <f t="shared" si="130"/>
        <v>0</v>
      </c>
      <c r="H77" s="224">
        <f t="shared" si="131"/>
        <v>0</v>
      </c>
      <c r="I77" s="194">
        <f t="shared" si="118"/>
        <v>0</v>
      </c>
      <c r="J77" s="194">
        <f t="shared" si="119"/>
        <v>0</v>
      </c>
      <c r="K77" s="194">
        <f t="shared" si="120"/>
        <v>0</v>
      </c>
      <c r="L77" s="194">
        <f t="shared" si="121"/>
        <v>0</v>
      </c>
      <c r="M77" s="195">
        <f t="shared" si="122"/>
        <v>0</v>
      </c>
      <c r="N77" s="196">
        <f t="shared" si="123"/>
        <v>0</v>
      </c>
      <c r="O77" s="194">
        <f t="shared" si="124"/>
        <v>0</v>
      </c>
      <c r="P77" s="194">
        <f t="shared" si="125"/>
        <v>0</v>
      </c>
      <c r="Q77" s="194">
        <f t="shared" si="132"/>
        <v>0</v>
      </c>
      <c r="R77" s="194">
        <f t="shared" si="126"/>
        <v>0</v>
      </c>
      <c r="S77" s="195">
        <f t="shared" si="133"/>
        <v>0</v>
      </c>
      <c r="T77" s="194">
        <f t="shared" ref="T77:V77" si="140">T40</f>
        <v>0</v>
      </c>
      <c r="U77" s="194">
        <f t="shared" si="140"/>
        <v>0</v>
      </c>
      <c r="V77" s="194">
        <f t="shared" si="140"/>
        <v>0</v>
      </c>
      <c r="W77" s="194">
        <f t="shared" si="128"/>
        <v>0</v>
      </c>
      <c r="X77" s="194">
        <f t="shared" si="128"/>
        <v>0</v>
      </c>
      <c r="Y77" s="195">
        <f t="shared" si="128"/>
        <v>0</v>
      </c>
      <c r="Z77" s="222">
        <f t="shared" si="135"/>
        <v>0</v>
      </c>
      <c r="AA77" s="221">
        <f t="shared" si="136"/>
        <v>0</v>
      </c>
      <c r="AB77" s="211">
        <f>IF(O77*SUMIFS($W$64:$W$66,$B$64:$B$66,$C77)=0,0,O77*SUMIFS($W$64:$W$66,$B$64:$B$66,$C77))</f>
        <v>0</v>
      </c>
      <c r="AN77" t="s">
        <v>77</v>
      </c>
      <c r="AO77" t="s">
        <v>80</v>
      </c>
      <c r="AP77" t="s">
        <v>80</v>
      </c>
      <c r="AQ77" t="s">
        <v>80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</row>
    <row r="78" spans="2:75" ht="16.5" thickTop="1" thickBot="1" x14ac:dyDescent="0.3">
      <c r="B78" s="15" t="str">
        <f t="shared" si="116"/>
        <v>Core_mid Thermal Zone</v>
      </c>
      <c r="C78" s="10" t="str">
        <f t="shared" si="116"/>
        <v>BaseAirSys5-2</v>
      </c>
      <c r="F78" s="224">
        <f t="shared" si="129"/>
        <v>7204.5</v>
      </c>
      <c r="G78" s="224">
        <f t="shared" si="130"/>
        <v>7204.5</v>
      </c>
      <c r="H78" s="224">
        <f t="shared" si="131"/>
        <v>0</v>
      </c>
      <c r="I78" s="194">
        <f t="shared" si="118"/>
        <v>8.2847842025380505</v>
      </c>
      <c r="J78" s="194">
        <f t="shared" si="119"/>
        <v>0</v>
      </c>
      <c r="K78" s="194">
        <f t="shared" si="120"/>
        <v>2.501726611577217</v>
      </c>
      <c r="L78" s="194">
        <f t="shared" si="121"/>
        <v>0</v>
      </c>
      <c r="M78" s="195">
        <f t="shared" si="122"/>
        <v>10.786510814115267</v>
      </c>
      <c r="N78" s="196">
        <f t="shared" si="123"/>
        <v>0.68052367593301022</v>
      </c>
      <c r="O78" s="194">
        <f t="shared" si="124"/>
        <v>0</v>
      </c>
      <c r="P78" s="194">
        <f t="shared" si="125"/>
        <v>0</v>
      </c>
      <c r="Q78" s="194">
        <f t="shared" si="132"/>
        <v>0</v>
      </c>
      <c r="R78" s="194">
        <f t="shared" si="126"/>
        <v>1.6641927234495555</v>
      </c>
      <c r="S78" s="195">
        <f t="shared" si="133"/>
        <v>1.6641927234495555</v>
      </c>
      <c r="T78" s="194">
        <f t="shared" ref="T78:V78" si="141">T41</f>
        <v>0</v>
      </c>
      <c r="U78" s="194">
        <f t="shared" si="141"/>
        <v>0</v>
      </c>
      <c r="V78" s="194">
        <f t="shared" si="141"/>
        <v>0</v>
      </c>
      <c r="W78" s="194">
        <f t="shared" si="128"/>
        <v>0</v>
      </c>
      <c r="X78" s="194">
        <f t="shared" si="128"/>
        <v>0</v>
      </c>
      <c r="Y78" s="195">
        <f t="shared" si="128"/>
        <v>1.6641927234495555</v>
      </c>
      <c r="Z78" s="222">
        <f t="shared" si="135"/>
        <v>0</v>
      </c>
      <c r="AA78" s="221">
        <f t="shared" si="136"/>
        <v>0.23099350731481094</v>
      </c>
      <c r="AB78" s="211">
        <f>IF(O78*SUMIFS($W$64:$W$66,$B$64:$B$66,$C78)=0,0,O78*SUMIFS($W$64:$W$66,$B$64:$B$66,$C78))</f>
        <v>0</v>
      </c>
      <c r="AN78" t="s">
        <v>19</v>
      </c>
      <c r="AO78" t="s">
        <v>172</v>
      </c>
      <c r="AP78" t="s">
        <v>172</v>
      </c>
      <c r="AQ78" t="s">
        <v>80</v>
      </c>
      <c r="AR78">
        <v>10586.7</v>
      </c>
      <c r="AS78">
        <v>1</v>
      </c>
      <c r="AT78">
        <v>7204.5</v>
      </c>
      <c r="AU78">
        <v>7204.5</v>
      </c>
      <c r="AV78">
        <v>0</v>
      </c>
      <c r="AW78">
        <v>0.74399999999999999</v>
      </c>
      <c r="AX78">
        <v>0</v>
      </c>
      <c r="AY78">
        <v>0</v>
      </c>
      <c r="AZ78">
        <v>8.2850000000000001</v>
      </c>
      <c r="BA78">
        <v>0</v>
      </c>
      <c r="BB78">
        <v>2.5019999999999998</v>
      </c>
      <c r="BC78">
        <v>0</v>
      </c>
      <c r="BD78">
        <v>10.786</v>
      </c>
      <c r="BE78">
        <v>0</v>
      </c>
      <c r="BF78">
        <v>1.6639999999999999</v>
      </c>
      <c r="BG78">
        <v>1.6639999999999999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1.6639999999999999</v>
      </c>
      <c r="BN78">
        <v>0</v>
      </c>
    </row>
    <row r="79" spans="2:75" ht="16.5" thickTop="1" thickBot="1" x14ac:dyDescent="0.3">
      <c r="B79" s="1" t="str">
        <f t="shared" si="116"/>
        <v>Perimeter_mid_ZN_1 Thermal Zone</v>
      </c>
      <c r="C79" s="3" t="str">
        <f t="shared" si="116"/>
        <v>BaseAirSys5-2</v>
      </c>
      <c r="F79" s="224">
        <f t="shared" si="129"/>
        <v>3386.9</v>
      </c>
      <c r="G79" s="224">
        <f t="shared" si="130"/>
        <v>3386.9</v>
      </c>
      <c r="H79" s="224">
        <f t="shared" si="131"/>
        <v>500</v>
      </c>
      <c r="I79" s="194">
        <f t="shared" si="118"/>
        <v>1.893377203612667</v>
      </c>
      <c r="J79" s="194">
        <f t="shared" si="119"/>
        <v>0.75563630959186001</v>
      </c>
      <c r="K79" s="194">
        <f t="shared" si="120"/>
        <v>0</v>
      </c>
      <c r="L79" s="194">
        <f t="shared" si="121"/>
        <v>0.40390929220432165</v>
      </c>
      <c r="M79" s="195">
        <f t="shared" si="122"/>
        <v>3.0529228054088486</v>
      </c>
      <c r="N79" s="196">
        <f t="shared" si="123"/>
        <v>1.2646652477502709</v>
      </c>
      <c r="O79" s="194">
        <f t="shared" si="124"/>
        <v>0.19088340841414064</v>
      </c>
      <c r="P79" s="194">
        <f t="shared" si="125"/>
        <v>1</v>
      </c>
      <c r="Q79" s="194">
        <f t="shared" si="132"/>
        <v>0.13497938459189127</v>
      </c>
      <c r="R79" s="194">
        <f t="shared" si="126"/>
        <v>0.53506902128729861</v>
      </c>
      <c r="S79" s="195">
        <f t="shared" si="133"/>
        <v>0.6700484058791899</v>
      </c>
      <c r="T79" s="194">
        <f t="shared" ref="T79:V79" si="142">T42</f>
        <v>4.5493051843933728E-2</v>
      </c>
      <c r="U79" s="194">
        <f t="shared" si="142"/>
        <v>0</v>
      </c>
      <c r="V79" s="194">
        <f t="shared" si="142"/>
        <v>8.9486332747957545E-2</v>
      </c>
      <c r="W79" s="194">
        <f t="shared" si="128"/>
        <v>0</v>
      </c>
      <c r="X79" s="194">
        <f t="shared" si="128"/>
        <v>0.53506902128729861</v>
      </c>
      <c r="Y79" s="195">
        <f t="shared" si="128"/>
        <v>0</v>
      </c>
      <c r="Z79" s="222">
        <f t="shared" si="135"/>
        <v>0.26995876918378253</v>
      </c>
      <c r="AA79" s="221">
        <f t="shared" si="136"/>
        <v>0.1579819366639991</v>
      </c>
      <c r="AB79" s="211">
        <f>IF(O79*SUMIFS($W$64:$W$66,$B$64:$B$66,$C79)=0,0,O79*SUMIFS($W$64:$W$66,$B$64:$B$66,$C79))</f>
        <v>0.34416278537069556</v>
      </c>
      <c r="AN79" t="s">
        <v>20</v>
      </c>
      <c r="AO79" t="s">
        <v>172</v>
      </c>
      <c r="AP79" t="s">
        <v>172</v>
      </c>
      <c r="AQ79" t="s">
        <v>80</v>
      </c>
      <c r="AR79">
        <v>2231.8000000000002</v>
      </c>
      <c r="AS79">
        <v>1</v>
      </c>
      <c r="AT79">
        <v>3386.9</v>
      </c>
      <c r="AU79">
        <v>3386.9</v>
      </c>
      <c r="AV79">
        <v>500</v>
      </c>
      <c r="AW79">
        <v>0.61199999999999999</v>
      </c>
      <c r="AX79">
        <v>0</v>
      </c>
      <c r="AY79">
        <v>0.191</v>
      </c>
      <c r="AZ79">
        <v>1.893</v>
      </c>
      <c r="BA79">
        <v>0.75600000000000001</v>
      </c>
      <c r="BB79">
        <v>0</v>
      </c>
      <c r="BC79">
        <v>0.40400000000000003</v>
      </c>
      <c r="BD79">
        <v>3.0529999999999999</v>
      </c>
      <c r="BE79">
        <v>0.13500000000000001</v>
      </c>
      <c r="BF79">
        <v>0.53600000000000003</v>
      </c>
      <c r="BG79">
        <v>0.67100000000000004</v>
      </c>
      <c r="BH79">
        <v>4.4999999999999998E-2</v>
      </c>
      <c r="BI79">
        <v>0</v>
      </c>
      <c r="BJ79">
        <v>8.8999999999999996E-2</v>
      </c>
      <c r="BK79">
        <v>0</v>
      </c>
      <c r="BL79">
        <v>0.53600000000000003</v>
      </c>
      <c r="BM79">
        <v>0</v>
      </c>
      <c r="BN79">
        <v>0.34399999999999997</v>
      </c>
    </row>
    <row r="80" spans="2:75" ht="16.5" thickTop="1" thickBot="1" x14ac:dyDescent="0.3">
      <c r="B80" s="1" t="str">
        <f t="shared" si="116"/>
        <v>Perimeter_mid_ZN_2 Thermal Zone</v>
      </c>
      <c r="C80" s="3" t="str">
        <f t="shared" si="116"/>
        <v>BaseAirSys5-2</v>
      </c>
      <c r="F80" s="224">
        <f t="shared" si="129"/>
        <v>1067.7</v>
      </c>
      <c r="G80" s="224">
        <f t="shared" si="130"/>
        <v>0</v>
      </c>
      <c r="H80" s="224">
        <f t="shared" si="131"/>
        <v>2119.4</v>
      </c>
      <c r="I80" s="194">
        <f t="shared" si="118"/>
        <v>1.1056865311915907</v>
      </c>
      <c r="J80" s="194">
        <f t="shared" si="119"/>
        <v>0</v>
      </c>
      <c r="K80" s="194">
        <f t="shared" si="120"/>
        <v>0.33388020152620268</v>
      </c>
      <c r="L80" s="194">
        <f t="shared" si="121"/>
        <v>1.7120907077956784</v>
      </c>
      <c r="M80" s="195">
        <f t="shared" si="122"/>
        <v>3.1516574405134716</v>
      </c>
      <c r="N80" s="196">
        <f t="shared" si="123"/>
        <v>0.75567980748814489</v>
      </c>
      <c r="O80" s="194">
        <f t="shared" si="124"/>
        <v>0.80911659158585936</v>
      </c>
      <c r="P80" s="194">
        <f t="shared" si="125"/>
        <v>1</v>
      </c>
      <c r="Q80" s="194">
        <f t="shared" si="132"/>
        <v>0.57215061540810874</v>
      </c>
      <c r="R80" s="194">
        <f t="shared" si="126"/>
        <v>0.24663176776002368</v>
      </c>
      <c r="S80" s="195">
        <f t="shared" si="133"/>
        <v>0.81878238316813245</v>
      </c>
      <c r="T80" s="194">
        <f t="shared" ref="T80:V80" si="143">T43</f>
        <v>0.19283594815606628</v>
      </c>
      <c r="U80" s="194">
        <f t="shared" si="143"/>
        <v>0</v>
      </c>
      <c r="V80" s="194">
        <f t="shared" si="143"/>
        <v>0.37931466725204244</v>
      </c>
      <c r="W80" s="194">
        <f t="shared" si="128"/>
        <v>0</v>
      </c>
      <c r="X80" s="194">
        <f t="shared" si="128"/>
        <v>0</v>
      </c>
      <c r="Y80" s="195">
        <f t="shared" si="128"/>
        <v>0.24663176776002368</v>
      </c>
      <c r="Z80" s="222">
        <f t="shared" si="135"/>
        <v>0.26995876918378253</v>
      </c>
      <c r="AA80" s="221">
        <f t="shared" si="136"/>
        <v>0.23099350731481097</v>
      </c>
      <c r="AB80" s="211">
        <f>IF(O80*SUMIFS($W$64:$W$66,$B$64:$B$66,$C80)=0,0,O80*SUMIFS($W$64:$W$66,$B$64:$B$66,$C80))</f>
        <v>1.4588372146293043</v>
      </c>
      <c r="AN80" t="s">
        <v>21</v>
      </c>
      <c r="AO80" t="s">
        <v>172</v>
      </c>
      <c r="AP80" t="s">
        <v>80</v>
      </c>
      <c r="AQ80" t="s">
        <v>80</v>
      </c>
      <c r="AR80">
        <v>1412.9</v>
      </c>
      <c r="AS80">
        <v>1</v>
      </c>
      <c r="AT80">
        <v>1067.7</v>
      </c>
      <c r="AU80">
        <v>0</v>
      </c>
      <c r="AV80">
        <v>2119.4</v>
      </c>
      <c r="AW80">
        <v>9.9000000000000005E-2</v>
      </c>
      <c r="AX80">
        <v>0</v>
      </c>
      <c r="AY80">
        <v>0.80900000000000005</v>
      </c>
      <c r="AZ80">
        <v>1.1060000000000001</v>
      </c>
      <c r="BA80">
        <v>0</v>
      </c>
      <c r="BB80">
        <v>0.33400000000000002</v>
      </c>
      <c r="BC80">
        <v>1.712</v>
      </c>
      <c r="BD80">
        <v>3.1520000000000001</v>
      </c>
      <c r="BE80">
        <v>0.57199999999999995</v>
      </c>
      <c r="BF80">
        <v>0.247</v>
      </c>
      <c r="BG80">
        <v>0.81899999999999995</v>
      </c>
      <c r="BH80">
        <v>0.193</v>
      </c>
      <c r="BI80">
        <v>0</v>
      </c>
      <c r="BJ80">
        <v>0.379</v>
      </c>
      <c r="BK80">
        <v>0</v>
      </c>
      <c r="BL80">
        <v>0</v>
      </c>
      <c r="BM80">
        <v>0.247</v>
      </c>
      <c r="BN80">
        <v>1.4590000000000001</v>
      </c>
    </row>
    <row r="81" spans="2:66" ht="16.5" thickTop="1" thickBot="1" x14ac:dyDescent="0.3">
      <c r="B81" s="1" t="str">
        <f t="shared" si="116"/>
        <v>Perimeter_mid_ZN_3 Thermal Zone</v>
      </c>
      <c r="C81" s="3" t="str">
        <f t="shared" si="116"/>
        <v>BaseAirSys5-2</v>
      </c>
      <c r="F81" s="224">
        <f t="shared" si="129"/>
        <v>1433.4</v>
      </c>
      <c r="G81" s="224">
        <f t="shared" si="130"/>
        <v>1433.4</v>
      </c>
      <c r="H81" s="224">
        <f t="shared" si="131"/>
        <v>0</v>
      </c>
      <c r="I81" s="194">
        <f t="shared" si="118"/>
        <v>1.7465292662703602</v>
      </c>
      <c r="J81" s="194">
        <f t="shared" si="119"/>
        <v>0</v>
      </c>
      <c r="K81" s="194">
        <f t="shared" si="120"/>
        <v>0.52739318689658088</v>
      </c>
      <c r="L81" s="194">
        <f t="shared" si="121"/>
        <v>0</v>
      </c>
      <c r="M81" s="195">
        <f t="shared" si="122"/>
        <v>2.2739224531669411</v>
      </c>
      <c r="N81" s="196">
        <f t="shared" si="123"/>
        <v>0.64226185142037817</v>
      </c>
      <c r="O81" s="194">
        <f t="shared" si="124"/>
        <v>0</v>
      </c>
      <c r="P81" s="194">
        <f t="shared" si="125"/>
        <v>0</v>
      </c>
      <c r="Q81" s="194">
        <f t="shared" si="132"/>
        <v>0</v>
      </c>
      <c r="R81" s="194">
        <f t="shared" si="126"/>
        <v>0.33110609338505004</v>
      </c>
      <c r="S81" s="195">
        <f t="shared" si="133"/>
        <v>0.33110609338505004</v>
      </c>
      <c r="T81" s="194">
        <f t="shared" ref="T81:V81" si="144">T44</f>
        <v>0</v>
      </c>
      <c r="U81" s="194">
        <f t="shared" si="144"/>
        <v>0</v>
      </c>
      <c r="V81" s="194">
        <f t="shared" si="144"/>
        <v>0</v>
      </c>
      <c r="W81" s="194">
        <f t="shared" si="128"/>
        <v>0</v>
      </c>
      <c r="X81" s="194">
        <f t="shared" si="128"/>
        <v>0</v>
      </c>
      <c r="Y81" s="195">
        <f t="shared" si="128"/>
        <v>0.33110609338505004</v>
      </c>
      <c r="Z81" s="222">
        <f t="shared" si="135"/>
        <v>0</v>
      </c>
      <c r="AA81" s="221">
        <f t="shared" si="136"/>
        <v>0.23099350731481094</v>
      </c>
      <c r="AB81" s="211">
        <f>IF(O81*SUMIFS($W$64:$W$66,$B$64:$B$66,$C81)=0,0,O81*SUMIFS($W$64:$W$66,$B$64:$B$66,$C81))</f>
        <v>0</v>
      </c>
      <c r="AC81" s="48"/>
      <c r="AN81" t="s">
        <v>22</v>
      </c>
      <c r="AO81" t="s">
        <v>172</v>
      </c>
      <c r="AP81" t="s">
        <v>172</v>
      </c>
      <c r="AQ81" t="s">
        <v>80</v>
      </c>
      <c r="AR81">
        <v>2231.8000000000002</v>
      </c>
      <c r="AS81">
        <v>1</v>
      </c>
      <c r="AT81">
        <v>1433.4</v>
      </c>
      <c r="AU81">
        <v>1433.4</v>
      </c>
      <c r="AV81">
        <v>0</v>
      </c>
      <c r="AW81">
        <v>0.157</v>
      </c>
      <c r="AX81">
        <v>0</v>
      </c>
      <c r="AY81">
        <v>0</v>
      </c>
      <c r="AZ81">
        <v>1.746</v>
      </c>
      <c r="BA81">
        <v>0</v>
      </c>
      <c r="BB81">
        <v>0.52700000000000002</v>
      </c>
      <c r="BC81">
        <v>0</v>
      </c>
      <c r="BD81">
        <v>2.274</v>
      </c>
      <c r="BE81">
        <v>0</v>
      </c>
      <c r="BF81">
        <v>0.33100000000000002</v>
      </c>
      <c r="BG81">
        <v>0.33100000000000002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0.33100000000000002</v>
      </c>
      <c r="BN81">
        <v>0</v>
      </c>
    </row>
    <row r="82" spans="2:66" ht="16.5" thickTop="1" thickBot="1" x14ac:dyDescent="0.3">
      <c r="B82" s="1" t="str">
        <f t="shared" si="116"/>
        <v>Perimeter_mid_ZN_4 Thermal Zone</v>
      </c>
      <c r="C82" s="3" t="str">
        <f t="shared" si="116"/>
        <v>BaseAirSys5-2</v>
      </c>
      <c r="F82" s="224">
        <f t="shared" si="129"/>
        <v>1547</v>
      </c>
      <c r="G82" s="224">
        <f t="shared" si="130"/>
        <v>1547</v>
      </c>
      <c r="H82" s="224">
        <f t="shared" si="131"/>
        <v>0</v>
      </c>
      <c r="I82" s="194">
        <f t="shared" si="118"/>
        <v>1.198622796387333</v>
      </c>
      <c r="J82" s="194">
        <f t="shared" si="119"/>
        <v>0.47836369040813997</v>
      </c>
      <c r="K82" s="194">
        <f t="shared" si="120"/>
        <v>0</v>
      </c>
      <c r="L82" s="194">
        <f t="shared" si="121"/>
        <v>0</v>
      </c>
      <c r="M82" s="195">
        <f t="shared" si="122"/>
        <v>1.6769864867954731</v>
      </c>
      <c r="N82" s="196">
        <f t="shared" si="123"/>
        <v>0.91246903385631706</v>
      </c>
      <c r="O82" s="194">
        <f t="shared" si="124"/>
        <v>0</v>
      </c>
      <c r="P82" s="194">
        <f t="shared" si="125"/>
        <v>0</v>
      </c>
      <c r="Q82" s="194">
        <f t="shared" si="132"/>
        <v>0</v>
      </c>
      <c r="R82" s="194">
        <f t="shared" si="126"/>
        <v>0.24439805601920658</v>
      </c>
      <c r="S82" s="195">
        <f t="shared" si="133"/>
        <v>0.24439805601920658</v>
      </c>
      <c r="T82" s="194">
        <f t="shared" ref="T82:V82" si="145">T45</f>
        <v>0</v>
      </c>
      <c r="U82" s="194">
        <f t="shared" si="145"/>
        <v>0</v>
      </c>
      <c r="V82" s="194">
        <f t="shared" si="145"/>
        <v>0</v>
      </c>
      <c r="W82" s="194">
        <f t="shared" si="128"/>
        <v>0</v>
      </c>
      <c r="X82" s="194">
        <f t="shared" si="128"/>
        <v>0.24439805601920658</v>
      </c>
      <c r="Y82" s="195">
        <f t="shared" si="128"/>
        <v>0</v>
      </c>
      <c r="Z82" s="222">
        <f t="shared" si="135"/>
        <v>0</v>
      </c>
      <c r="AA82" s="221">
        <f t="shared" si="136"/>
        <v>0.1579819366639991</v>
      </c>
      <c r="AB82" s="211">
        <f>IF(O82*SUMIFS($W$64:$W$66,$B$64:$B$66,$C82)=0,0,O82*SUMIFS($W$64:$W$66,$B$64:$B$66,$C82))</f>
        <v>0</v>
      </c>
      <c r="AN82" t="s">
        <v>23</v>
      </c>
      <c r="AO82" t="s">
        <v>172</v>
      </c>
      <c r="AP82" t="s">
        <v>172</v>
      </c>
      <c r="AQ82" t="s">
        <v>80</v>
      </c>
      <c r="AR82">
        <v>1412.8</v>
      </c>
      <c r="AS82">
        <v>1</v>
      </c>
      <c r="AT82">
        <v>1547</v>
      </c>
      <c r="AU82">
        <v>1547</v>
      </c>
      <c r="AV82">
        <v>0</v>
      </c>
      <c r="AW82">
        <v>0.38800000000000001</v>
      </c>
      <c r="AX82">
        <v>0</v>
      </c>
      <c r="AY82">
        <v>0</v>
      </c>
      <c r="AZ82">
        <v>1.198</v>
      </c>
      <c r="BA82">
        <v>0.47799999999999998</v>
      </c>
      <c r="BB82">
        <v>0</v>
      </c>
      <c r="BC82">
        <v>0</v>
      </c>
      <c r="BD82">
        <v>1.677</v>
      </c>
      <c r="BE82">
        <v>0</v>
      </c>
      <c r="BF82">
        <v>0.245</v>
      </c>
      <c r="BG82">
        <v>0.245</v>
      </c>
      <c r="BH82">
        <v>0</v>
      </c>
      <c r="BI82">
        <v>0</v>
      </c>
      <c r="BJ82">
        <v>0</v>
      </c>
      <c r="BK82">
        <v>0</v>
      </c>
      <c r="BL82">
        <v>0.245</v>
      </c>
      <c r="BM82">
        <v>0</v>
      </c>
      <c r="BN82">
        <v>0</v>
      </c>
    </row>
    <row r="83" spans="2:66" ht="16.5" thickTop="1" thickBot="1" x14ac:dyDescent="0.3">
      <c r="B83" s="4" t="str">
        <f t="shared" si="116"/>
        <v>MidFloor_Plenum Thermal Zone</v>
      </c>
      <c r="C83" s="6" t="str">
        <f t="shared" si="116"/>
        <v>NONE</v>
      </c>
      <c r="F83" s="224">
        <f t="shared" si="129"/>
        <v>0</v>
      </c>
      <c r="G83" s="224">
        <f t="shared" si="130"/>
        <v>0</v>
      </c>
      <c r="H83" s="224">
        <f t="shared" si="131"/>
        <v>0</v>
      </c>
      <c r="I83" s="194">
        <f t="shared" si="118"/>
        <v>0</v>
      </c>
      <c r="J83" s="194">
        <f t="shared" si="119"/>
        <v>0</v>
      </c>
      <c r="K83" s="194">
        <f t="shared" si="120"/>
        <v>0</v>
      </c>
      <c r="L83" s="194">
        <f t="shared" si="121"/>
        <v>0</v>
      </c>
      <c r="M83" s="195">
        <f t="shared" si="122"/>
        <v>0</v>
      </c>
      <c r="N83" s="196">
        <f t="shared" si="123"/>
        <v>0</v>
      </c>
      <c r="O83" s="194">
        <f t="shared" si="124"/>
        <v>0</v>
      </c>
      <c r="P83" s="194">
        <f t="shared" si="125"/>
        <v>0</v>
      </c>
      <c r="Q83" s="194">
        <f t="shared" si="132"/>
        <v>0</v>
      </c>
      <c r="R83" s="194">
        <f t="shared" si="126"/>
        <v>0</v>
      </c>
      <c r="S83" s="195">
        <f t="shared" si="133"/>
        <v>0</v>
      </c>
      <c r="T83" s="194">
        <f t="shared" ref="T83:V83" si="146">T46</f>
        <v>0</v>
      </c>
      <c r="U83" s="194">
        <f t="shared" si="146"/>
        <v>0</v>
      </c>
      <c r="V83" s="194">
        <f t="shared" si="146"/>
        <v>0</v>
      </c>
      <c r="W83" s="194">
        <f t="shared" si="128"/>
        <v>0</v>
      </c>
      <c r="X83" s="194">
        <f t="shared" si="128"/>
        <v>0</v>
      </c>
      <c r="Y83" s="195">
        <f t="shared" si="128"/>
        <v>0</v>
      </c>
      <c r="Z83" s="222">
        <f t="shared" si="135"/>
        <v>0</v>
      </c>
      <c r="AA83" s="221">
        <f t="shared" si="136"/>
        <v>0</v>
      </c>
      <c r="AB83" s="211">
        <f>IF(O83*SUMIFS($W$64:$W$66,$B$64:$B$66,$C83)=0,0,O83*SUMIFS($W$64:$W$66,$B$64:$B$66,$C83))</f>
        <v>0</v>
      </c>
      <c r="AN83" t="s">
        <v>78</v>
      </c>
      <c r="AO83" t="s">
        <v>80</v>
      </c>
      <c r="AP83" t="s">
        <v>80</v>
      </c>
      <c r="AQ83" t="s">
        <v>80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</row>
    <row r="84" spans="2:66" ht="16.5" thickTop="1" thickBot="1" x14ac:dyDescent="0.3">
      <c r="B84" s="15" t="str">
        <f t="shared" si="116"/>
        <v>Core_top Thermal Zone</v>
      </c>
      <c r="C84" s="10" t="str">
        <f t="shared" si="116"/>
        <v>BaseAirSys5-3</v>
      </c>
      <c r="F84" s="224">
        <f t="shared" si="129"/>
        <v>7758.8</v>
      </c>
      <c r="G84" s="224">
        <f t="shared" si="130"/>
        <v>7758.8</v>
      </c>
      <c r="H84" s="224">
        <f t="shared" si="131"/>
        <v>0</v>
      </c>
      <c r="I84" s="194">
        <f t="shared" si="118"/>
        <v>5.9252254649365259</v>
      </c>
      <c r="J84" s="194">
        <f t="shared" si="119"/>
        <v>0</v>
      </c>
      <c r="K84" s="194">
        <f t="shared" si="120"/>
        <v>0</v>
      </c>
      <c r="L84" s="194">
        <f t="shared" si="121"/>
        <v>0</v>
      </c>
      <c r="M84" s="195">
        <f t="shared" si="122"/>
        <v>5.9252254649365259</v>
      </c>
      <c r="N84" s="196">
        <f t="shared" si="123"/>
        <v>0.73288182341995145</v>
      </c>
      <c r="O84" s="194">
        <f t="shared" si="124"/>
        <v>0</v>
      </c>
      <c r="P84" s="194">
        <f t="shared" si="125"/>
        <v>0</v>
      </c>
      <c r="Q84" s="194">
        <f t="shared" si="132"/>
        <v>0</v>
      </c>
      <c r="R84" s="194">
        <f t="shared" si="126"/>
        <v>0</v>
      </c>
      <c r="S84" s="195">
        <f t="shared" si="133"/>
        <v>0</v>
      </c>
      <c r="T84" s="194">
        <f t="shared" ref="T84:V84" si="147">T47</f>
        <v>0</v>
      </c>
      <c r="U84" s="194">
        <f t="shared" si="147"/>
        <v>0</v>
      </c>
      <c r="V84" s="194">
        <f t="shared" si="147"/>
        <v>0</v>
      </c>
      <c r="W84" s="194">
        <f t="shared" si="128"/>
        <v>0</v>
      </c>
      <c r="X84" s="194">
        <f t="shared" si="128"/>
        <v>0</v>
      </c>
      <c r="Y84" s="195">
        <f t="shared" si="128"/>
        <v>0</v>
      </c>
      <c r="Z84" s="222">
        <f t="shared" si="135"/>
        <v>0</v>
      </c>
      <c r="AA84" s="221">
        <f t="shared" si="136"/>
        <v>0</v>
      </c>
      <c r="AB84" s="211">
        <f>IF(O84*SUMIFS($W$64:$W$66,$B$64:$B$66,$C84)=0,0,O84*SUMIFS($W$64:$W$66,$B$64:$B$66,$C84))</f>
        <v>0</v>
      </c>
      <c r="AN84" t="s">
        <v>7</v>
      </c>
      <c r="AO84" t="s">
        <v>173</v>
      </c>
      <c r="AP84" t="s">
        <v>173</v>
      </c>
      <c r="AQ84" t="s">
        <v>80</v>
      </c>
      <c r="AR84">
        <v>10586.7</v>
      </c>
      <c r="AS84">
        <v>1</v>
      </c>
      <c r="AT84">
        <v>7758.8</v>
      </c>
      <c r="AU84">
        <v>7758.8</v>
      </c>
      <c r="AV84">
        <v>0</v>
      </c>
      <c r="AW84">
        <v>1</v>
      </c>
      <c r="AX84">
        <v>0.74399999999999999</v>
      </c>
      <c r="AY84">
        <v>0</v>
      </c>
      <c r="AZ84">
        <v>5.9260000000000002</v>
      </c>
      <c r="BA84">
        <v>0</v>
      </c>
      <c r="BB84">
        <v>0</v>
      </c>
      <c r="BC84">
        <v>0</v>
      </c>
      <c r="BD84">
        <v>5.9260000000000002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</row>
    <row r="85" spans="2:66" ht="16.5" thickTop="1" thickBot="1" x14ac:dyDescent="0.3">
      <c r="B85" s="1" t="str">
        <f t="shared" si="116"/>
        <v>Perimeter_top_ZN_1 Thermal Zone</v>
      </c>
      <c r="C85" s="3" t="str">
        <f t="shared" si="116"/>
        <v>BaseAirSys5-3</v>
      </c>
      <c r="F85" s="224">
        <f t="shared" si="129"/>
        <v>1959.3</v>
      </c>
      <c r="G85" s="224">
        <f t="shared" si="130"/>
        <v>0</v>
      </c>
      <c r="H85" s="224">
        <f t="shared" si="131"/>
        <v>400</v>
      </c>
      <c r="I85" s="194">
        <f t="shared" si="118"/>
        <v>1.004</v>
      </c>
      <c r="J85" s="194">
        <f t="shared" si="119"/>
        <v>0</v>
      </c>
      <c r="K85" s="194">
        <f t="shared" si="120"/>
        <v>0</v>
      </c>
      <c r="L85" s="194">
        <f t="shared" si="121"/>
        <v>0.21099999999999999</v>
      </c>
      <c r="M85" s="195">
        <f t="shared" si="122"/>
        <v>1.2150000000000001</v>
      </c>
      <c r="N85" s="196">
        <f t="shared" si="123"/>
        <v>0.87790124563132887</v>
      </c>
      <c r="O85" s="194">
        <f t="shared" si="124"/>
        <v>0.3613013698630137</v>
      </c>
      <c r="P85" s="194">
        <f t="shared" si="125"/>
        <v>1</v>
      </c>
      <c r="Q85" s="194">
        <f t="shared" si="132"/>
        <v>0</v>
      </c>
      <c r="R85" s="194">
        <f t="shared" si="126"/>
        <v>0</v>
      </c>
      <c r="S85" s="195">
        <f t="shared" si="133"/>
        <v>0</v>
      </c>
      <c r="T85" s="194">
        <f t="shared" ref="T85:V85" si="148">T48</f>
        <v>0</v>
      </c>
      <c r="U85" s="194">
        <f t="shared" si="148"/>
        <v>0</v>
      </c>
      <c r="V85" s="194">
        <f t="shared" si="148"/>
        <v>0</v>
      </c>
      <c r="W85" s="194">
        <f t="shared" si="128"/>
        <v>0</v>
      </c>
      <c r="X85" s="194">
        <f t="shared" si="128"/>
        <v>0</v>
      </c>
      <c r="Y85" s="195">
        <f t="shared" si="128"/>
        <v>0</v>
      </c>
      <c r="Z85" s="222">
        <f t="shared" si="135"/>
        <v>0</v>
      </c>
      <c r="AA85" s="221">
        <f t="shared" si="136"/>
        <v>0</v>
      </c>
      <c r="AB85" s="211">
        <f>IF(O85*SUMIFS($W$64:$W$66,$B$64:$B$66,$C85)=0,0,O85*SUMIFS($W$64:$W$66,$B$64:$B$66,$C85))</f>
        <v>0.29048630136986303</v>
      </c>
      <c r="AN85" t="s">
        <v>8</v>
      </c>
      <c r="AO85" t="s">
        <v>173</v>
      </c>
      <c r="AP85" t="s">
        <v>80</v>
      </c>
      <c r="AQ85" t="s">
        <v>80</v>
      </c>
      <c r="AR85">
        <v>2231.8000000000002</v>
      </c>
      <c r="AS85">
        <v>1</v>
      </c>
      <c r="AT85">
        <v>1959.3</v>
      </c>
      <c r="AU85">
        <v>0</v>
      </c>
      <c r="AV85">
        <v>400</v>
      </c>
      <c r="AW85">
        <v>1</v>
      </c>
      <c r="AX85">
        <v>0</v>
      </c>
      <c r="AY85">
        <v>1</v>
      </c>
      <c r="AZ85">
        <v>1.004</v>
      </c>
      <c r="BA85">
        <v>0</v>
      </c>
      <c r="BB85">
        <v>0</v>
      </c>
      <c r="BC85">
        <v>0.21099999999999999</v>
      </c>
      <c r="BD85">
        <v>1.216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0.29099999999999998</v>
      </c>
    </row>
    <row r="86" spans="2:66" ht="16.5" thickTop="1" thickBot="1" x14ac:dyDescent="0.3">
      <c r="B86" s="1" t="str">
        <f t="shared" si="116"/>
        <v>Perimeter_top_ZN_2 Thermal Zone</v>
      </c>
      <c r="C86" s="3" t="str">
        <f t="shared" si="116"/>
        <v>BaseAirSys5-3</v>
      </c>
      <c r="F86" s="224">
        <f t="shared" si="129"/>
        <v>1355.9</v>
      </c>
      <c r="G86" s="224">
        <f t="shared" si="130"/>
        <v>0</v>
      </c>
      <c r="H86" s="224">
        <f t="shared" si="131"/>
        <v>706.5</v>
      </c>
      <c r="I86" s="194">
        <f t="shared" si="118"/>
        <v>0.63600000000000001</v>
      </c>
      <c r="J86" s="194">
        <f t="shared" si="119"/>
        <v>0</v>
      </c>
      <c r="K86" s="194">
        <f t="shared" si="120"/>
        <v>0</v>
      </c>
      <c r="L86" s="194">
        <f t="shared" si="121"/>
        <v>0.373</v>
      </c>
      <c r="M86" s="195">
        <f t="shared" si="122"/>
        <v>1.0089999999999999</v>
      </c>
      <c r="N86" s="196">
        <f t="shared" si="123"/>
        <v>0.95965744214027882</v>
      </c>
      <c r="O86" s="194">
        <f t="shared" si="124"/>
        <v>0.63869863013698636</v>
      </c>
      <c r="P86" s="194">
        <f t="shared" si="125"/>
        <v>1</v>
      </c>
      <c r="Q86" s="194">
        <f t="shared" si="132"/>
        <v>0.12637399999999999</v>
      </c>
      <c r="R86" s="194">
        <f t="shared" si="126"/>
        <v>0</v>
      </c>
      <c r="S86" s="195">
        <f t="shared" si="133"/>
        <v>0.12637399999999999</v>
      </c>
      <c r="T86" s="194">
        <f t="shared" ref="T86:V86" si="149">T49</f>
        <v>0</v>
      </c>
      <c r="U86" s="194">
        <f t="shared" si="149"/>
        <v>0.12637399999999999</v>
      </c>
      <c r="V86" s="194">
        <f t="shared" si="149"/>
        <v>0</v>
      </c>
      <c r="W86" s="194">
        <f t="shared" si="128"/>
        <v>0</v>
      </c>
      <c r="X86" s="194">
        <f t="shared" si="128"/>
        <v>0</v>
      </c>
      <c r="Y86" s="195">
        <f t="shared" si="128"/>
        <v>0</v>
      </c>
      <c r="Z86" s="222">
        <f t="shared" si="135"/>
        <v>0.17887331917905164</v>
      </c>
      <c r="AA86" s="221">
        <f t="shared" si="136"/>
        <v>0</v>
      </c>
      <c r="AB86" s="211">
        <f>IF(O86*SUMIFS($W$64:$W$66,$B$64:$B$66,$C86)=0,0,O86*SUMIFS($W$64:$W$66,$B$64:$B$66,$C86))</f>
        <v>0.51351369863013707</v>
      </c>
      <c r="AN86" t="s">
        <v>9</v>
      </c>
      <c r="AO86" t="s">
        <v>173</v>
      </c>
      <c r="AP86" t="s">
        <v>80</v>
      </c>
      <c r="AQ86" t="s">
        <v>80</v>
      </c>
      <c r="AR86">
        <v>1412.9</v>
      </c>
      <c r="AS86">
        <v>1</v>
      </c>
      <c r="AT86">
        <v>1355.9</v>
      </c>
      <c r="AU86">
        <v>0</v>
      </c>
      <c r="AV86">
        <v>706.5</v>
      </c>
      <c r="AW86">
        <v>1</v>
      </c>
      <c r="AX86">
        <v>0</v>
      </c>
      <c r="AY86">
        <v>1</v>
      </c>
      <c r="AZ86">
        <v>0.63600000000000001</v>
      </c>
      <c r="BA86">
        <v>0</v>
      </c>
      <c r="BB86">
        <v>0</v>
      </c>
      <c r="BC86">
        <v>0.373</v>
      </c>
      <c r="BD86">
        <v>1.0089999999999999</v>
      </c>
      <c r="BE86">
        <v>0.126</v>
      </c>
      <c r="BF86">
        <v>0</v>
      </c>
      <c r="BG86">
        <v>0.126</v>
      </c>
      <c r="BH86">
        <v>0</v>
      </c>
      <c r="BI86">
        <v>0.126</v>
      </c>
      <c r="BJ86">
        <v>0</v>
      </c>
      <c r="BK86">
        <v>0</v>
      </c>
      <c r="BL86">
        <v>0</v>
      </c>
      <c r="BM86">
        <v>0</v>
      </c>
      <c r="BN86">
        <v>0.51400000000000001</v>
      </c>
    </row>
    <row r="87" spans="2:66" ht="16.5" thickTop="1" thickBot="1" x14ac:dyDescent="0.3">
      <c r="B87" s="1" t="str">
        <f t="shared" si="116"/>
        <v>Perimeter_top_ZN_3 Thermal Zone</v>
      </c>
      <c r="C87" s="3" t="str">
        <f t="shared" si="116"/>
        <v>BaseAirSys5-3</v>
      </c>
      <c r="F87" s="224">
        <f t="shared" si="129"/>
        <v>1606.6</v>
      </c>
      <c r="G87" s="224">
        <f t="shared" si="130"/>
        <v>1606.6</v>
      </c>
      <c r="H87" s="224">
        <f t="shared" si="131"/>
        <v>0</v>
      </c>
      <c r="I87" s="194">
        <f t="shared" si="118"/>
        <v>1.2488225980231413</v>
      </c>
      <c r="J87" s="194">
        <f t="shared" si="119"/>
        <v>0</v>
      </c>
      <c r="K87" s="194">
        <f t="shared" si="120"/>
        <v>0</v>
      </c>
      <c r="L87" s="194">
        <f t="shared" si="121"/>
        <v>0</v>
      </c>
      <c r="M87" s="195">
        <f t="shared" si="122"/>
        <v>1.2488225980231413</v>
      </c>
      <c r="N87" s="196">
        <f t="shared" si="123"/>
        <v>0.71986737162828196</v>
      </c>
      <c r="O87" s="194">
        <f t="shared" si="124"/>
        <v>0</v>
      </c>
      <c r="P87" s="194">
        <f t="shared" si="125"/>
        <v>0</v>
      </c>
      <c r="Q87" s="194">
        <f t="shared" si="132"/>
        <v>0</v>
      </c>
      <c r="R87" s="194">
        <f t="shared" si="126"/>
        <v>0</v>
      </c>
      <c r="S87" s="195">
        <f t="shared" si="133"/>
        <v>0</v>
      </c>
      <c r="T87" s="194">
        <f t="shared" ref="T87:V87" si="150">T50</f>
        <v>0</v>
      </c>
      <c r="U87" s="194">
        <f t="shared" si="150"/>
        <v>0</v>
      </c>
      <c r="V87" s="194">
        <f t="shared" si="150"/>
        <v>0</v>
      </c>
      <c r="W87" s="194">
        <f t="shared" si="128"/>
        <v>0</v>
      </c>
      <c r="X87" s="194">
        <f t="shared" si="128"/>
        <v>0</v>
      </c>
      <c r="Y87" s="195">
        <f t="shared" si="128"/>
        <v>0</v>
      </c>
      <c r="Z87" s="222">
        <f t="shared" si="135"/>
        <v>0</v>
      </c>
      <c r="AA87" s="221">
        <f t="shared" si="136"/>
        <v>0</v>
      </c>
      <c r="AB87" s="211">
        <f>IF(O87*SUMIFS($W$64:$W$66,$B$64:$B$66,$C87)=0,0,O87*SUMIFS($W$64:$W$66,$B$64:$B$66,$C87))</f>
        <v>0</v>
      </c>
      <c r="AN87" t="s">
        <v>10</v>
      </c>
      <c r="AO87" t="s">
        <v>173</v>
      </c>
      <c r="AP87" t="s">
        <v>173</v>
      </c>
      <c r="AQ87" t="s">
        <v>80</v>
      </c>
      <c r="AR87">
        <v>2231.8000000000002</v>
      </c>
      <c r="AS87">
        <v>1</v>
      </c>
      <c r="AT87">
        <v>1606.6</v>
      </c>
      <c r="AU87">
        <v>1606.6</v>
      </c>
      <c r="AV87">
        <v>0</v>
      </c>
      <c r="AW87">
        <v>1</v>
      </c>
      <c r="AX87">
        <v>0.157</v>
      </c>
      <c r="AY87">
        <v>0</v>
      </c>
      <c r="AZ87">
        <v>1.2490000000000001</v>
      </c>
      <c r="BA87">
        <v>0</v>
      </c>
      <c r="BB87">
        <v>0</v>
      </c>
      <c r="BC87">
        <v>0</v>
      </c>
      <c r="BD87">
        <v>1.2490000000000001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</row>
    <row r="88" spans="2:66" ht="16.5" thickTop="1" thickBot="1" x14ac:dyDescent="0.3">
      <c r="B88" s="1" t="str">
        <f t="shared" si="116"/>
        <v>Perimeter_top_ZN_4 Thermal Zone</v>
      </c>
      <c r="C88" s="3" t="str">
        <f t="shared" si="116"/>
        <v>BaseAirSys5-3</v>
      </c>
      <c r="F88" s="224">
        <f t="shared" si="129"/>
        <v>1733.9</v>
      </c>
      <c r="G88" s="224">
        <f t="shared" si="130"/>
        <v>1733.9</v>
      </c>
      <c r="H88" s="224">
        <f t="shared" si="131"/>
        <v>0</v>
      </c>
      <c r="I88" s="199">
        <f t="shared" si="118"/>
        <v>0.79095193704033351</v>
      </c>
      <c r="J88" s="199">
        <f t="shared" si="119"/>
        <v>0</v>
      </c>
      <c r="K88" s="199">
        <f t="shared" si="120"/>
        <v>0</v>
      </c>
      <c r="L88" s="199">
        <f t="shared" si="121"/>
        <v>0</v>
      </c>
      <c r="M88" s="200">
        <f t="shared" si="122"/>
        <v>0.79095193704033351</v>
      </c>
      <c r="N88" s="201">
        <f t="shared" si="123"/>
        <v>1.2272791619479049</v>
      </c>
      <c r="O88" s="199">
        <f t="shared" si="124"/>
        <v>0</v>
      </c>
      <c r="P88" s="199">
        <f t="shared" si="125"/>
        <v>0</v>
      </c>
      <c r="Q88" s="199">
        <f t="shared" si="132"/>
        <v>0</v>
      </c>
      <c r="R88" s="199">
        <f t="shared" si="126"/>
        <v>0</v>
      </c>
      <c r="S88" s="200">
        <f t="shared" si="133"/>
        <v>0</v>
      </c>
      <c r="T88" s="194">
        <f t="shared" ref="T88:V88" si="151">T51</f>
        <v>0</v>
      </c>
      <c r="U88" s="194">
        <f t="shared" si="151"/>
        <v>0</v>
      </c>
      <c r="V88" s="194">
        <f t="shared" si="151"/>
        <v>0</v>
      </c>
      <c r="W88" s="199">
        <f t="shared" si="128"/>
        <v>0</v>
      </c>
      <c r="X88" s="199">
        <f t="shared" si="128"/>
        <v>0</v>
      </c>
      <c r="Y88" s="200">
        <f t="shared" si="128"/>
        <v>0</v>
      </c>
      <c r="Z88" s="222">
        <f t="shared" si="135"/>
        <v>0</v>
      </c>
      <c r="AA88" s="223">
        <f t="shared" si="136"/>
        <v>0</v>
      </c>
      <c r="AB88" s="211">
        <f>IF(O88*SUMIFS($W$64:$W$66,$B$64:$B$66,$C88)=0,0,O88*SUMIFS($W$64:$W$66,$B$64:$B$66,$C88))</f>
        <v>0</v>
      </c>
      <c r="AN88" t="s">
        <v>11</v>
      </c>
      <c r="AO88" t="s">
        <v>173</v>
      </c>
      <c r="AP88" t="s">
        <v>173</v>
      </c>
      <c r="AQ88" t="s">
        <v>80</v>
      </c>
      <c r="AR88">
        <v>1412.8</v>
      </c>
      <c r="AS88">
        <v>1</v>
      </c>
      <c r="AT88">
        <v>1733.9</v>
      </c>
      <c r="AU88">
        <v>1733.9</v>
      </c>
      <c r="AV88">
        <v>0</v>
      </c>
      <c r="AW88">
        <v>1</v>
      </c>
      <c r="AX88">
        <v>9.9000000000000005E-2</v>
      </c>
      <c r="AY88">
        <v>0</v>
      </c>
      <c r="AZ88">
        <v>0.79100000000000004</v>
      </c>
      <c r="BA88">
        <v>0</v>
      </c>
      <c r="BB88">
        <v>0</v>
      </c>
      <c r="BC88">
        <v>0</v>
      </c>
      <c r="BD88">
        <v>0.79100000000000004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</row>
    <row r="89" spans="2:66" ht="16.5" thickTop="1" thickBot="1" x14ac:dyDescent="0.3">
      <c r="B89" s="1" t="str">
        <f t="shared" si="116"/>
        <v>TopFloor_Plenum Thermal Zone</v>
      </c>
      <c r="C89" s="3" t="str">
        <f t="shared" si="116"/>
        <v>NONE</v>
      </c>
      <c r="F89" s="224">
        <f t="shared" si="129"/>
        <v>0</v>
      </c>
      <c r="G89" s="224">
        <f t="shared" si="130"/>
        <v>0</v>
      </c>
      <c r="H89" s="224">
        <f t="shared" si="131"/>
        <v>0</v>
      </c>
      <c r="I89" s="194">
        <f t="shared" si="118"/>
        <v>0</v>
      </c>
      <c r="J89" s="194">
        <f t="shared" si="119"/>
        <v>0</v>
      </c>
      <c r="K89" s="194">
        <f t="shared" si="120"/>
        <v>0</v>
      </c>
      <c r="L89" s="194">
        <f t="shared" si="121"/>
        <v>0</v>
      </c>
      <c r="M89" s="195">
        <f t="shared" si="122"/>
        <v>0</v>
      </c>
      <c r="N89" s="196">
        <f t="shared" si="123"/>
        <v>0</v>
      </c>
      <c r="O89" s="194">
        <f t="shared" si="124"/>
        <v>0</v>
      </c>
      <c r="P89" s="194">
        <f t="shared" si="125"/>
        <v>0</v>
      </c>
      <c r="Q89" s="194">
        <f t="shared" si="132"/>
        <v>0</v>
      </c>
      <c r="R89" s="194">
        <f t="shared" si="126"/>
        <v>0</v>
      </c>
      <c r="S89" s="195">
        <f t="shared" si="133"/>
        <v>0</v>
      </c>
      <c r="T89" s="194">
        <f t="shared" ref="T89:V90" si="152">T52</f>
        <v>0</v>
      </c>
      <c r="U89" s="194">
        <f t="shared" si="152"/>
        <v>0</v>
      </c>
      <c r="V89" s="194">
        <f t="shared" si="152"/>
        <v>0</v>
      </c>
      <c r="W89" s="194">
        <f t="shared" si="128"/>
        <v>0</v>
      </c>
      <c r="X89" s="194">
        <f t="shared" si="128"/>
        <v>0</v>
      </c>
      <c r="Y89" s="195">
        <f t="shared" si="128"/>
        <v>0</v>
      </c>
      <c r="Z89" s="222">
        <f t="shared" si="135"/>
        <v>0</v>
      </c>
      <c r="AA89" s="221">
        <f t="shared" si="136"/>
        <v>0</v>
      </c>
      <c r="AB89" s="211">
        <f>IF(O89*SUMIFS($W$64:$W$66,$B$64:$B$66,$C89)=0,0,O89*SUMIFS($W$64:$W$66,$B$64:$B$66,$C89))</f>
        <v>0</v>
      </c>
      <c r="AN89" t="s">
        <v>79</v>
      </c>
      <c r="AO89" t="s">
        <v>80</v>
      </c>
      <c r="AP89" t="s">
        <v>80</v>
      </c>
      <c r="AQ89" t="s">
        <v>80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</row>
    <row r="90" spans="2:66" ht="16.5" thickTop="1" thickBot="1" x14ac:dyDescent="0.3">
      <c r="B90" s="1">
        <f t="shared" ref="B90" si="153">AN90</f>
        <v>0</v>
      </c>
      <c r="C90" s="3">
        <f t="shared" ref="C90" si="154">AO90</f>
        <v>0</v>
      </c>
      <c r="F90" s="224">
        <f t="shared" ref="F90" si="155">AT90</f>
        <v>0</v>
      </c>
      <c r="G90" s="224">
        <f t="shared" ref="G90" si="156">AU90</f>
        <v>0</v>
      </c>
      <c r="H90" s="224">
        <f t="shared" ref="H90" si="157">AV90</f>
        <v>0</v>
      </c>
      <c r="I90" s="194">
        <f t="shared" si="118"/>
        <v>0</v>
      </c>
      <c r="J90" s="194">
        <f t="shared" si="119"/>
        <v>0</v>
      </c>
      <c r="K90" s="194">
        <f t="shared" si="120"/>
        <v>0</v>
      </c>
      <c r="L90" s="194">
        <f t="shared" si="121"/>
        <v>0</v>
      </c>
      <c r="M90" s="195">
        <f t="shared" si="122"/>
        <v>0</v>
      </c>
      <c r="N90" s="196">
        <f t="shared" si="123"/>
        <v>0</v>
      </c>
      <c r="O90" s="194">
        <f t="shared" ref="O90" si="158">IFERROR(L90/SUMIFS($I$64:$I$66,B$64:B$66,$C90),0)</f>
        <v>0</v>
      </c>
      <c r="P90" s="194">
        <f t="shared" si="125"/>
        <v>0</v>
      </c>
      <c r="Q90" s="194">
        <f t="shared" ref="Q90" si="159">SUM(T90:V90)</f>
        <v>0</v>
      </c>
      <c r="R90" s="194">
        <f t="shared" ref="R90" si="160">SUM(W90:Y90)</f>
        <v>0</v>
      </c>
      <c r="S90" s="195">
        <f t="shared" ref="S90" si="161">SUM(T90:V90,W90:Y90)</f>
        <v>0</v>
      </c>
      <c r="T90" s="194">
        <f t="shared" si="152"/>
        <v>0</v>
      </c>
      <c r="U90" s="194">
        <f t="shared" si="152"/>
        <v>0</v>
      </c>
      <c r="V90" s="194">
        <f t="shared" si="152"/>
        <v>0</v>
      </c>
      <c r="W90" s="194">
        <f t="shared" si="128"/>
        <v>0</v>
      </c>
      <c r="X90" s="194">
        <f t="shared" si="128"/>
        <v>0</v>
      </c>
      <c r="Y90" s="195">
        <f t="shared" si="128"/>
        <v>0</v>
      </c>
      <c r="Z90" s="222">
        <f t="shared" si="135"/>
        <v>0</v>
      </c>
      <c r="AA90" s="221">
        <f t="shared" si="136"/>
        <v>0</v>
      </c>
      <c r="AB90" s="211">
        <f>IF(O90*SUMIFS($W$64:$W$66,$B$64:$B$66,$C90)=0,0,O90*SUMIFS($W$64:$W$66,$B$64:$B$66,$C90))</f>
        <v>0</v>
      </c>
    </row>
    <row r="91" spans="2:66" ht="15.75" thickTop="1" x14ac:dyDescent="0.25">
      <c r="B91" s="2"/>
      <c r="D91" s="8"/>
      <c r="E91" s="8"/>
      <c r="F91" s="8"/>
      <c r="G91" s="8"/>
      <c r="H91" s="8"/>
      <c r="L91" s="239"/>
      <c r="M91" s="239"/>
    </row>
  </sheetData>
  <conditionalFormatting sqref="D19:Z21 D13:P18 D30:Z31 D22:P29 R22:Z29 R13:Z18">
    <cfRule type="expression" dxfId="32" priority="23">
      <formula>ABS(D13-AP13)/D13&gt;$B$7</formula>
    </cfRule>
  </conditionalFormatting>
  <conditionalFormatting sqref="F35:F52">
    <cfRule type="expression" dxfId="31" priority="22">
      <formula>ABS(F35-AT35)/F35&gt;$B$7</formula>
    </cfRule>
  </conditionalFormatting>
  <conditionalFormatting sqref="E67">
    <cfRule type="expression" dxfId="30" priority="20">
      <formula>ABS(E67-AX67)/E67&gt;$B$7</formula>
    </cfRule>
  </conditionalFormatting>
  <conditionalFormatting sqref="H64:H66">
    <cfRule type="expression" dxfId="29" priority="16">
      <formula>ABS(H64-AX64)/H64&gt;$B$7</formula>
    </cfRule>
  </conditionalFormatting>
  <conditionalFormatting sqref="Z91:AA91">
    <cfRule type="expression" dxfId="28" priority="15">
      <formula>ABS(Z91-Z54)/Z54&gt;$B$7</formula>
    </cfRule>
  </conditionalFormatting>
  <conditionalFormatting sqref="Q35:S52 Q72:S89 Q54:S54 Q91:S91">
    <cfRule type="expression" dxfId="27" priority="14">
      <formula>ABS(BE35-Q35)/Q35&gt;$B$7</formula>
    </cfRule>
  </conditionalFormatting>
  <conditionalFormatting sqref="Q64:S66">
    <cfRule type="expression" dxfId="26" priority="13">
      <formula>ABS(Q64-BC64)/Q64&gt;$B$7</formula>
    </cfRule>
  </conditionalFormatting>
  <conditionalFormatting sqref="Z72:AA89">
    <cfRule type="expression" dxfId="25" priority="84">
      <formula>ABS(Z72-Z35)/Z35&gt;$B$7</formula>
    </cfRule>
  </conditionalFormatting>
  <conditionalFormatting sqref="F53">
    <cfRule type="expression" dxfId="24" priority="10">
      <formula>ABS(F53-AT53)/F53&gt;$B$7</formula>
    </cfRule>
  </conditionalFormatting>
  <conditionalFormatting sqref="Q53:S53">
    <cfRule type="expression" dxfId="23" priority="9">
      <formula>ABS(BE53-Q53)/Q53&gt;$B$7</formula>
    </cfRule>
  </conditionalFormatting>
  <conditionalFormatting sqref="Q90:S90">
    <cfRule type="expression" dxfId="22" priority="7">
      <formula>ABS(BE90-Q90)/Q90&gt;$B$7</formula>
    </cfRule>
  </conditionalFormatting>
  <conditionalFormatting sqref="Z90:AA90">
    <cfRule type="expression" dxfId="21" priority="8">
      <formula>ABS(Z90-Z53)/Z53&gt;$B$7</formula>
    </cfRule>
  </conditionalFormatting>
  <conditionalFormatting sqref="AF13:AF18">
    <cfRule type="expression" dxfId="20" priority="6">
      <formula>ABS(AF13-BR13)/AF13&gt;$B$7</formula>
    </cfRule>
  </conditionalFormatting>
  <conditionalFormatting sqref="AF22:AK23">
    <cfRule type="expression" dxfId="19" priority="5">
      <formula>ABS(AF22-BR22)/AF22&gt;$B$7</formula>
    </cfRule>
  </conditionalFormatting>
  <conditionalFormatting sqref="AF24:AF29">
    <cfRule type="expression" dxfId="18" priority="3">
      <formula>ABS(AF24-BR24)/AF24&gt;$B$7</formula>
    </cfRule>
  </conditionalFormatting>
  <conditionalFormatting sqref="T64:V66">
    <cfRule type="expression" dxfId="17" priority="2">
      <formula>IF(ROUND(T64,2)&lt;&gt;ROUND(AT64,2),TRUE,FALSE)</formula>
    </cfRule>
  </conditionalFormatting>
  <conditionalFormatting sqref="AB72:AB90">
    <cfRule type="expression" dxfId="0" priority="1">
      <formula>IF(ROUND(AB72,2)&lt;&gt;ROUND(BN72,2),TRUE,FALSE)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3A54-1DEB-44CB-ADE8-D4125C492EC1}">
  <dimension ref="A1:K19"/>
  <sheetViews>
    <sheetView workbookViewId="0">
      <selection activeCell="C28" sqref="C28"/>
    </sheetView>
  </sheetViews>
  <sheetFormatPr defaultRowHeight="15" x14ac:dyDescent="0.25"/>
  <cols>
    <col min="2" max="2" width="17.42578125" customWidth="1"/>
    <col min="3" max="3" width="11" customWidth="1"/>
    <col min="4" max="11" width="20" customWidth="1"/>
  </cols>
  <sheetData>
    <row r="1" spans="1:11" x14ac:dyDescent="0.25">
      <c r="A1" t="s">
        <v>240</v>
      </c>
    </row>
    <row r="2" spans="1:11" x14ac:dyDescent="0.25">
      <c r="A2" t="s">
        <v>241</v>
      </c>
    </row>
    <row r="3" spans="1:11" s="265" customFormat="1" ht="105" x14ac:dyDescent="0.25">
      <c r="A3" s="265" t="s">
        <v>240</v>
      </c>
      <c r="D3" s="265" t="s">
        <v>242</v>
      </c>
      <c r="E3" s="265" t="s">
        <v>243</v>
      </c>
      <c r="F3" s="265" t="s">
        <v>244</v>
      </c>
      <c r="G3" s="265" t="s">
        <v>245</v>
      </c>
      <c r="H3" s="265" t="s">
        <v>246</v>
      </c>
      <c r="I3" s="265" t="s">
        <v>247</v>
      </c>
      <c r="J3" s="265" t="s">
        <v>248</v>
      </c>
      <c r="K3" s="265" t="s">
        <v>249</v>
      </c>
    </row>
    <row r="4" spans="1:11" x14ac:dyDescent="0.25">
      <c r="B4" t="s">
        <v>250</v>
      </c>
      <c r="C4" t="s">
        <v>251</v>
      </c>
      <c r="D4" t="s">
        <v>252</v>
      </c>
      <c r="E4" t="s">
        <v>253</v>
      </c>
      <c r="F4" t="s">
        <v>254</v>
      </c>
      <c r="G4" t="s">
        <v>255</v>
      </c>
      <c r="H4" t="s">
        <v>256</v>
      </c>
      <c r="I4" t="s">
        <v>257</v>
      </c>
      <c r="J4" t="s">
        <v>258</v>
      </c>
      <c r="K4" t="s">
        <v>259</v>
      </c>
    </row>
    <row r="5" spans="1:11" x14ac:dyDescent="0.25">
      <c r="B5" t="s">
        <v>260</v>
      </c>
      <c r="C5" t="s">
        <v>261</v>
      </c>
      <c r="D5" s="48">
        <v>8.8999999999999996E-2</v>
      </c>
      <c r="E5" s="48">
        <v>8.8999999999999996E-2</v>
      </c>
      <c r="F5" s="48">
        <v>0.17699999999999999</v>
      </c>
      <c r="G5" s="48">
        <v>0.26500000000000001</v>
      </c>
      <c r="H5" s="48">
        <v>0.17599999999999999</v>
      </c>
      <c r="I5" s="48">
        <v>0.17699999999999999</v>
      </c>
      <c r="J5" s="48">
        <v>0.374</v>
      </c>
      <c r="K5" s="48">
        <v>0</v>
      </c>
    </row>
    <row r="6" spans="1:11" x14ac:dyDescent="0.25">
      <c r="B6" t="s">
        <v>260</v>
      </c>
      <c r="C6" t="s">
        <v>262</v>
      </c>
      <c r="D6" s="48">
        <v>0.1</v>
      </c>
      <c r="E6" s="48">
        <v>0.1</v>
      </c>
      <c r="F6" s="48">
        <v>0.19800000000000001</v>
      </c>
      <c r="G6" s="48">
        <v>0.28000000000000003</v>
      </c>
      <c r="H6" s="48">
        <v>0.188</v>
      </c>
      <c r="I6" s="48">
        <v>0.19800000000000001</v>
      </c>
      <c r="J6" s="48">
        <v>0.318</v>
      </c>
      <c r="K6" s="48">
        <v>0</v>
      </c>
    </row>
    <row r="7" spans="1:11" x14ac:dyDescent="0.25">
      <c r="B7" t="s">
        <v>260</v>
      </c>
      <c r="C7" t="s">
        <v>263</v>
      </c>
      <c r="D7" s="48">
        <v>0.11600000000000001</v>
      </c>
      <c r="E7" s="48">
        <v>0.11600000000000001</v>
      </c>
      <c r="F7" s="48">
        <v>0.23100000000000001</v>
      </c>
      <c r="G7" s="48">
        <v>0.33300000000000002</v>
      </c>
      <c r="H7" s="48">
        <v>0.224</v>
      </c>
      <c r="I7" s="48">
        <v>0.23100000000000001</v>
      </c>
      <c r="J7" s="48">
        <v>0.28899999999999998</v>
      </c>
      <c r="K7" s="48">
        <v>0</v>
      </c>
    </row>
    <row r="8" spans="1:11" x14ac:dyDescent="0.25">
      <c r="B8" t="s">
        <v>264</v>
      </c>
      <c r="C8" t="s">
        <v>261</v>
      </c>
      <c r="D8" s="48">
        <v>9.0999999999999998E-2</v>
      </c>
      <c r="E8" s="48">
        <v>9.0999999999999998E-2</v>
      </c>
      <c r="F8" s="48">
        <v>0.17899999999999999</v>
      </c>
      <c r="G8" s="48">
        <v>0.26400000000000001</v>
      </c>
      <c r="H8" s="48">
        <v>0.17699999999999999</v>
      </c>
      <c r="I8" s="48">
        <v>0.17899999999999999</v>
      </c>
      <c r="J8" s="48">
        <v>0.38100000000000001</v>
      </c>
      <c r="K8" s="48">
        <v>7.0000000000000007E-2</v>
      </c>
    </row>
    <row r="9" spans="1:11" x14ac:dyDescent="0.25">
      <c r="B9" t="s">
        <v>264</v>
      </c>
      <c r="C9" t="s">
        <v>262</v>
      </c>
      <c r="D9" s="48">
        <v>0.10199999999999999</v>
      </c>
      <c r="E9" s="48">
        <v>0.10199999999999999</v>
      </c>
      <c r="F9" s="48">
        <v>0.20200000000000001</v>
      </c>
      <c r="G9" s="48">
        <v>0.29199999999999998</v>
      </c>
      <c r="H9" s="48">
        <v>0.19700000000000001</v>
      </c>
      <c r="I9" s="48">
        <v>0.20200000000000001</v>
      </c>
      <c r="J9" s="48">
        <v>0.32900000000000001</v>
      </c>
      <c r="K9" s="48">
        <v>0.1</v>
      </c>
    </row>
    <row r="10" spans="1:11" x14ac:dyDescent="0.25">
      <c r="B10" t="s">
        <v>264</v>
      </c>
      <c r="C10" t="s">
        <v>263</v>
      </c>
      <c r="D10" s="48">
        <v>0.11600000000000001</v>
      </c>
      <c r="E10" s="48">
        <v>0.11600000000000001</v>
      </c>
      <c r="F10" s="48">
        <v>0.23200000000000001</v>
      </c>
      <c r="G10" s="48">
        <v>0.34200000000000003</v>
      </c>
      <c r="H10" s="48">
        <v>0.23100000000000001</v>
      </c>
      <c r="I10" s="48">
        <v>0.23200000000000001</v>
      </c>
      <c r="J10" s="48">
        <v>0.29299999999999998</v>
      </c>
      <c r="K10" s="48">
        <v>8.8999999999999996E-2</v>
      </c>
    </row>
    <row r="11" spans="1:11" x14ac:dyDescent="0.25">
      <c r="A11" t="s">
        <v>265</v>
      </c>
    </row>
    <row r="12" spans="1:11" x14ac:dyDescent="0.25">
      <c r="A12" t="s">
        <v>240</v>
      </c>
    </row>
    <row r="13" spans="1:11" x14ac:dyDescent="0.25">
      <c r="A13" t="s">
        <v>266</v>
      </c>
    </row>
    <row r="14" spans="1:11" s="39" customFormat="1" ht="30" x14ac:dyDescent="0.25">
      <c r="A14" s="39" t="s">
        <v>240</v>
      </c>
      <c r="D14" s="39" t="s">
        <v>267</v>
      </c>
      <c r="E14" s="39" t="s">
        <v>268</v>
      </c>
      <c r="F14" s="39" t="s">
        <v>269</v>
      </c>
      <c r="G14" s="39" t="s">
        <v>270</v>
      </c>
      <c r="H14" s="39" t="s">
        <v>271</v>
      </c>
      <c r="I14" s="39" t="s">
        <v>272</v>
      </c>
      <c r="J14" s="39" t="s">
        <v>273</v>
      </c>
      <c r="K14" s="39" t="s">
        <v>274</v>
      </c>
    </row>
    <row r="15" spans="1:11" x14ac:dyDescent="0.25">
      <c r="C15" t="s">
        <v>251</v>
      </c>
      <c r="D15" t="s">
        <v>275</v>
      </c>
      <c r="E15" t="s">
        <v>276</v>
      </c>
      <c r="F15" t="s">
        <v>277</v>
      </c>
      <c r="G15" t="s">
        <v>278</v>
      </c>
      <c r="H15" t="s">
        <v>279</v>
      </c>
      <c r="I15" t="s">
        <v>280</v>
      </c>
      <c r="J15" t="s">
        <v>281</v>
      </c>
      <c r="K15" t="s">
        <v>282</v>
      </c>
    </row>
    <row r="16" spans="1:11" x14ac:dyDescent="0.25">
      <c r="C16" t="s">
        <v>261</v>
      </c>
      <c r="D16">
        <v>0.75600000000000001</v>
      </c>
      <c r="E16">
        <v>0.74399999999999999</v>
      </c>
      <c r="F16">
        <v>0.80200000000000005</v>
      </c>
      <c r="G16">
        <v>1</v>
      </c>
      <c r="H16">
        <v>0.97699999999999998</v>
      </c>
      <c r="I16">
        <v>0.74399999999999999</v>
      </c>
      <c r="J16">
        <v>0.80200000000000005</v>
      </c>
      <c r="K16">
        <v>0.61599999999999999</v>
      </c>
    </row>
    <row r="17" spans="1:11" x14ac:dyDescent="0.25">
      <c r="C17" t="s">
        <v>262</v>
      </c>
      <c r="D17">
        <v>0.74</v>
      </c>
      <c r="E17">
        <v>0.72</v>
      </c>
      <c r="F17">
        <v>0.78</v>
      </c>
      <c r="G17">
        <v>1.022</v>
      </c>
      <c r="H17">
        <v>1.0129999999999999</v>
      </c>
      <c r="I17">
        <v>0.72</v>
      </c>
      <c r="J17">
        <v>0.78</v>
      </c>
      <c r="K17">
        <v>0.62</v>
      </c>
    </row>
    <row r="18" spans="1:11" x14ac:dyDescent="0.25">
      <c r="C18" t="s">
        <v>263</v>
      </c>
      <c r="D18">
        <v>0.71199999999999997</v>
      </c>
      <c r="E18">
        <v>0.67600000000000005</v>
      </c>
      <c r="F18">
        <v>0.748</v>
      </c>
      <c r="G18">
        <v>0.96399999999999997</v>
      </c>
      <c r="H18">
        <v>0.94699999999999995</v>
      </c>
      <c r="I18">
        <v>0.67600000000000005</v>
      </c>
      <c r="J18">
        <v>0.748</v>
      </c>
      <c r="K18">
        <v>0.60499999999999998</v>
      </c>
    </row>
    <row r="19" spans="1:11" x14ac:dyDescent="0.25">
      <c r="A19" t="s">
        <v>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CCDD-AA91-4145-BA8A-A9E9BEA4A126}">
  <dimension ref="B1:O35"/>
  <sheetViews>
    <sheetView zoomScale="70" zoomScaleNormal="70" workbookViewId="0">
      <selection activeCell="N22" sqref="N22"/>
    </sheetView>
  </sheetViews>
  <sheetFormatPr defaultRowHeight="15" outlineLevelCol="1" x14ac:dyDescent="0.25"/>
  <cols>
    <col min="3" max="3" width="17.42578125" customWidth="1"/>
    <col min="4" max="4" width="6.42578125" customWidth="1"/>
    <col min="5" max="5" width="13.42578125" hidden="1" customWidth="1" outlineLevel="1"/>
    <col min="6" max="6" width="4.42578125" hidden="1" customWidth="1" outlineLevel="1"/>
    <col min="7" max="7" width="9" hidden="1" customWidth="1" outlineLevel="1"/>
    <col min="8" max="8" width="13.42578125" hidden="1" customWidth="1" outlineLevel="1"/>
    <col min="9" max="9" width="9.140625" hidden="1" customWidth="1" outlineLevel="1"/>
    <col min="10" max="10" width="3.5703125" customWidth="1" collapsed="1"/>
    <col min="11" max="11" width="13.42578125" customWidth="1"/>
    <col min="12" max="12" width="4.42578125" customWidth="1"/>
    <col min="13" max="13" width="9" customWidth="1"/>
    <col min="14" max="14" width="13.42578125" customWidth="1"/>
  </cols>
  <sheetData>
    <row r="1" spans="3:15" x14ac:dyDescent="0.25">
      <c r="E1" t="s">
        <v>238</v>
      </c>
      <c r="G1" s="262"/>
      <c r="K1" t="s">
        <v>237</v>
      </c>
      <c r="M1" s="262"/>
    </row>
    <row r="2" spans="3:15" x14ac:dyDescent="0.25">
      <c r="G2" s="262" t="s">
        <v>220</v>
      </c>
      <c r="H2">
        <v>0.94</v>
      </c>
      <c r="I2" t="s">
        <v>230</v>
      </c>
      <c r="M2" s="262" t="s">
        <v>220</v>
      </c>
      <c r="N2" s="14">
        <v>1.3</v>
      </c>
      <c r="O2" t="s">
        <v>230</v>
      </c>
    </row>
    <row r="3" spans="3:15" x14ac:dyDescent="0.25">
      <c r="G3" s="262" t="s">
        <v>231</v>
      </c>
      <c r="H3" s="260">
        <f>H10/1000*H2</f>
        <v>5.1718799999999998</v>
      </c>
      <c r="M3" s="262" t="s">
        <v>231</v>
      </c>
      <c r="N3" s="260">
        <f>N10/1000*N2</f>
        <v>7.1525999999999996</v>
      </c>
    </row>
    <row r="4" spans="3:15" x14ac:dyDescent="0.25">
      <c r="G4" s="262" t="s">
        <v>221</v>
      </c>
      <c r="H4" s="260">
        <v>0</v>
      </c>
      <c r="I4" t="s">
        <v>222</v>
      </c>
      <c r="M4" s="262" t="s">
        <v>221</v>
      </c>
      <c r="N4" s="260">
        <v>0</v>
      </c>
      <c r="O4" t="s">
        <v>222</v>
      </c>
    </row>
    <row r="5" spans="3:15" x14ac:dyDescent="0.25">
      <c r="G5" s="262" t="s">
        <v>223</v>
      </c>
      <c r="H5" s="260">
        <f>H3+H4</f>
        <v>5.1718799999999998</v>
      </c>
      <c r="I5" t="s">
        <v>222</v>
      </c>
      <c r="M5" s="262" t="s">
        <v>223</v>
      </c>
      <c r="N5" s="260">
        <f>N3+N4</f>
        <v>7.1525999999999996</v>
      </c>
      <c r="O5" t="s">
        <v>222</v>
      </c>
    </row>
    <row r="8" spans="3:15" x14ac:dyDescent="0.25">
      <c r="E8" t="s">
        <v>218</v>
      </c>
      <c r="H8" t="s">
        <v>219</v>
      </c>
      <c r="K8" t="s">
        <v>218</v>
      </c>
      <c r="N8" t="s">
        <v>219</v>
      </c>
    </row>
    <row r="9" spans="3:15" x14ac:dyDescent="0.25">
      <c r="C9" t="s">
        <v>239</v>
      </c>
      <c r="K9">
        <v>2</v>
      </c>
      <c r="N9">
        <v>2</v>
      </c>
    </row>
    <row r="10" spans="3:15" x14ac:dyDescent="0.25">
      <c r="C10" t="s">
        <v>26</v>
      </c>
      <c r="E10">
        <v>5502</v>
      </c>
      <c r="F10">
        <f>E10/SUM($E$10:$E$11)</f>
        <v>0.5</v>
      </c>
      <c r="H10">
        <v>5502</v>
      </c>
      <c r="K10">
        <v>5502</v>
      </c>
      <c r="L10">
        <f>K10/SUM($E$10:$E$11)</f>
        <v>0.5</v>
      </c>
      <c r="N10">
        <f>K10</f>
        <v>5502</v>
      </c>
    </row>
    <row r="11" spans="3:15" x14ac:dyDescent="0.25">
      <c r="C11" t="s">
        <v>81</v>
      </c>
      <c r="E11">
        <v>5502</v>
      </c>
      <c r="F11">
        <f>E11/SUM($E$10:$E$11)</f>
        <v>0.5</v>
      </c>
      <c r="H11">
        <v>5502</v>
      </c>
      <c r="K11">
        <v>5502</v>
      </c>
      <c r="L11">
        <f>K11/SUM($E$10:$E$11)</f>
        <v>0.5</v>
      </c>
      <c r="N11">
        <f>K11</f>
        <v>5502</v>
      </c>
    </row>
    <row r="14" spans="3:15" x14ac:dyDescent="0.25">
      <c r="C14" t="s">
        <v>34</v>
      </c>
      <c r="E14">
        <v>2.7509999999999999</v>
      </c>
      <c r="F14">
        <f>($E$10*E14)/SUMPRODUCT($E$10:$E$11,$E$14:$E$15)</f>
        <v>0.5</v>
      </c>
      <c r="H14" s="260">
        <f>$H$5*F14</f>
        <v>2.5859399999999999</v>
      </c>
      <c r="I14" t="s">
        <v>222</v>
      </c>
      <c r="K14">
        <v>2.7509999999999999</v>
      </c>
      <c r="L14">
        <f>($E$10*K14)/SUMPRODUCT($E$10:$E$11,$E$14:$E$15)</f>
        <v>0.5</v>
      </c>
      <c r="N14" s="260">
        <f>N$5*L14</f>
        <v>3.5762999999999998</v>
      </c>
      <c r="O14" t="s">
        <v>222</v>
      </c>
    </row>
    <row r="15" spans="3:15" x14ac:dyDescent="0.25">
      <c r="C15" t="s">
        <v>37</v>
      </c>
      <c r="E15">
        <v>2.7509999999999999</v>
      </c>
      <c r="F15">
        <f>($E$10*E15)/SUMPRODUCT($E$10:$E$11,$E$14:$E$15)</f>
        <v>0.5</v>
      </c>
      <c r="H15" s="260">
        <f>$H$5*F15</f>
        <v>2.5859399999999999</v>
      </c>
      <c r="I15" t="s">
        <v>222</v>
      </c>
      <c r="K15">
        <v>2.7509999999999999</v>
      </c>
      <c r="L15">
        <f>($E$10*K15)/SUMPRODUCT($E$10:$E$11,$E$14:$E$15)</f>
        <v>0.5</v>
      </c>
      <c r="N15" s="260">
        <f>N$5*L15</f>
        <v>3.5762999999999998</v>
      </c>
      <c r="O15" t="s">
        <v>222</v>
      </c>
    </row>
    <row r="16" spans="3:15" x14ac:dyDescent="0.25">
      <c r="H16" s="260">
        <f>SUM(H14:H15)</f>
        <v>5.1718799999999998</v>
      </c>
      <c r="I16" t="s">
        <v>222</v>
      </c>
      <c r="N16" s="260">
        <f>SUM(N14:N15)</f>
        <v>7.1525999999999996</v>
      </c>
      <c r="O16" t="s">
        <v>222</v>
      </c>
    </row>
    <row r="17" spans="2:14" x14ac:dyDescent="0.25">
      <c r="H17" s="260"/>
      <c r="N17" s="260"/>
    </row>
    <row r="18" spans="2:14" x14ac:dyDescent="0.25">
      <c r="H18" s="261">
        <f>H10</f>
        <v>5502</v>
      </c>
      <c r="N18" s="261">
        <f>N10</f>
        <v>5502</v>
      </c>
    </row>
    <row r="19" spans="2:14" x14ac:dyDescent="0.25">
      <c r="B19" t="s">
        <v>236</v>
      </c>
      <c r="C19" t="s">
        <v>232</v>
      </c>
      <c r="H19" s="260">
        <v>0.89500000000000002</v>
      </c>
      <c r="N19" s="263">
        <v>0.91700000000000004</v>
      </c>
    </row>
    <row r="20" spans="2:14" x14ac:dyDescent="0.25">
      <c r="C20" t="s">
        <v>233</v>
      </c>
      <c r="H20" s="260">
        <v>0.58174999999999999</v>
      </c>
      <c r="N20" s="263">
        <v>0.59604999999999997</v>
      </c>
    </row>
    <row r="21" spans="2:14" x14ac:dyDescent="0.25">
      <c r="C21" t="s">
        <v>234</v>
      </c>
      <c r="H21" s="260">
        <v>1.9385600000000001</v>
      </c>
      <c r="N21" s="263">
        <v>5.3619700000000003</v>
      </c>
    </row>
    <row r="22" spans="2:14" x14ac:dyDescent="0.25">
      <c r="C22" t="s">
        <v>34</v>
      </c>
      <c r="H22" s="261">
        <f>H18*H21*0.1175/H20</f>
        <v>2154.2758256983243</v>
      </c>
      <c r="N22" s="261">
        <f>N18*N21*0.1175/N20</f>
        <v>5815.675153846154</v>
      </c>
    </row>
    <row r="23" spans="2:14" x14ac:dyDescent="0.25">
      <c r="C23" t="s">
        <v>235</v>
      </c>
      <c r="H23" s="260">
        <f>H22/H18</f>
        <v>0.39154413407821231</v>
      </c>
      <c r="N23" s="260">
        <f>N22/N18</f>
        <v>1.0570111148393591</v>
      </c>
    </row>
    <row r="24" spans="2:14" x14ac:dyDescent="0.25">
      <c r="C24" t="s">
        <v>107</v>
      </c>
      <c r="H24" s="260">
        <f>H22/745.6*H19</f>
        <v>2.5859400000000003</v>
      </c>
      <c r="N24" s="260">
        <f>N22/745.6*N19</f>
        <v>7.1525940398027403</v>
      </c>
    </row>
    <row r="25" spans="2:14" x14ac:dyDescent="0.25">
      <c r="H25" s="260"/>
      <c r="N25" s="260"/>
    </row>
    <row r="26" spans="2:14" x14ac:dyDescent="0.25">
      <c r="H26" s="260"/>
      <c r="N26" s="260"/>
    </row>
    <row r="27" spans="2:14" x14ac:dyDescent="0.25">
      <c r="B27" t="s">
        <v>69</v>
      </c>
      <c r="C27" t="s">
        <v>3</v>
      </c>
      <c r="D27" t="s">
        <v>225</v>
      </c>
      <c r="E27">
        <f>E11</f>
        <v>5502</v>
      </c>
      <c r="H27" s="261">
        <f>H11</f>
        <v>5502</v>
      </c>
      <c r="K27">
        <f>K11</f>
        <v>5502</v>
      </c>
      <c r="N27" s="261">
        <f>N11</f>
        <v>5502</v>
      </c>
    </row>
    <row r="28" spans="2:14" x14ac:dyDescent="0.25">
      <c r="C28" t="s">
        <v>224</v>
      </c>
      <c r="H28" s="260">
        <v>0.89500000000000002</v>
      </c>
      <c r="N28" s="263">
        <v>0.89500000000000002</v>
      </c>
    </row>
    <row r="29" spans="2:14" x14ac:dyDescent="0.25">
      <c r="C29" t="s">
        <v>226</v>
      </c>
      <c r="E29">
        <v>0.56225000000000003</v>
      </c>
      <c r="H29" s="260">
        <v>0.55489999999999995</v>
      </c>
      <c r="K29">
        <v>0.56225000000000003</v>
      </c>
      <c r="N29" s="263">
        <v>0.55489999999999995</v>
      </c>
    </row>
    <row r="30" spans="2:14" x14ac:dyDescent="0.25">
      <c r="C30" t="s">
        <v>227</v>
      </c>
      <c r="D30" t="s">
        <v>228</v>
      </c>
      <c r="E30">
        <v>2.77536</v>
      </c>
      <c r="H30" s="260">
        <v>1.8490899999999999</v>
      </c>
      <c r="K30">
        <v>2.77536</v>
      </c>
      <c r="N30" s="263">
        <v>3.0696599999999998</v>
      </c>
    </row>
    <row r="31" spans="2:14" x14ac:dyDescent="0.25">
      <c r="C31" t="s">
        <v>37</v>
      </c>
      <c r="E31">
        <f>E27*E30*0.1175/E29</f>
        <v>3191.1580428634948</v>
      </c>
      <c r="H31" s="261">
        <f>H27*H30*0.1175/H29</f>
        <v>2154.278155793837</v>
      </c>
      <c r="K31">
        <f>K27*K30*0.1175/K29</f>
        <v>3191.1580428634948</v>
      </c>
      <c r="N31" s="261">
        <f>N27*N30*0.1175/N29</f>
        <v>3576.3004957650028</v>
      </c>
    </row>
    <row r="32" spans="2:14" x14ac:dyDescent="0.25">
      <c r="C32" t="s">
        <v>229</v>
      </c>
      <c r="E32">
        <f>E31/E27</f>
        <v>0.57999964428634943</v>
      </c>
      <c r="H32" s="260">
        <f>H31/H27</f>
        <v>0.39154455757794199</v>
      </c>
      <c r="K32">
        <f>K31/K27</f>
        <v>0.57999964428634943</v>
      </c>
      <c r="N32" s="260">
        <f>N31/N27</f>
        <v>0.65000009010632542</v>
      </c>
    </row>
    <row r="33" spans="3:14" x14ac:dyDescent="0.25">
      <c r="C33" t="s">
        <v>112</v>
      </c>
      <c r="H33" s="260">
        <f>H31/745.6*H28</f>
        <v>2.5859427969896513</v>
      </c>
      <c r="N33" s="260">
        <f>N31/745.6*N28</f>
        <v>4.2929036262200606</v>
      </c>
    </row>
    <row r="35" spans="3:14" x14ac:dyDescent="0.25">
      <c r="H35" s="258">
        <f>H24+H33</f>
        <v>5.1718827969896513</v>
      </c>
      <c r="N35" s="258">
        <f>N24+N33</f>
        <v>11.445497666022801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A0CA-D033-4ED9-A2F0-EBC676AAA446}">
  <dimension ref="A2:AE20"/>
  <sheetViews>
    <sheetView zoomScale="70" zoomScaleNormal="70" workbookViewId="0">
      <selection activeCell="X7" sqref="X7"/>
    </sheetView>
  </sheetViews>
  <sheetFormatPr defaultRowHeight="15" x14ac:dyDescent="0.25"/>
  <cols>
    <col min="1" max="1" width="9.140625" style="266"/>
    <col min="2" max="3" width="17.28515625" style="266" customWidth="1"/>
    <col min="4" max="31" width="10.28515625" style="266" customWidth="1"/>
    <col min="32" max="16384" width="9.140625" style="266"/>
  </cols>
  <sheetData>
    <row r="2" spans="2:31" x14ac:dyDescent="0.25">
      <c r="B2" s="267" t="s">
        <v>119</v>
      </c>
    </row>
    <row r="3" spans="2:31" x14ac:dyDescent="0.25">
      <c r="D3" s="266" t="s">
        <v>120</v>
      </c>
      <c r="H3" s="266" t="s">
        <v>121</v>
      </c>
      <c r="M3" s="266" t="s">
        <v>122</v>
      </c>
      <c r="Q3" s="266" t="s">
        <v>123</v>
      </c>
    </row>
    <row r="4" spans="2:31" s="270" customFormat="1" ht="63" x14ac:dyDescent="0.25">
      <c r="B4" s="271" t="s">
        <v>65</v>
      </c>
      <c r="C4" s="271" t="s">
        <v>88</v>
      </c>
      <c r="D4" s="271" t="s">
        <v>124</v>
      </c>
      <c r="E4" s="271" t="s">
        <v>125</v>
      </c>
      <c r="F4" s="271" t="s">
        <v>126</v>
      </c>
      <c r="G4" s="271" t="s">
        <v>127</v>
      </c>
      <c r="H4" s="271" t="s">
        <v>128</v>
      </c>
      <c r="I4" s="271" t="s">
        <v>129</v>
      </c>
      <c r="J4" s="271" t="s">
        <v>130</v>
      </c>
      <c r="K4" s="271" t="s">
        <v>131</v>
      </c>
      <c r="L4" s="271" t="s">
        <v>132</v>
      </c>
      <c r="M4" s="271" t="s">
        <v>133</v>
      </c>
      <c r="N4" s="271" t="s">
        <v>134</v>
      </c>
      <c r="O4" s="271" t="s">
        <v>135</v>
      </c>
      <c r="P4" s="271" t="s">
        <v>136</v>
      </c>
      <c r="Q4" s="271" t="s">
        <v>137</v>
      </c>
      <c r="R4" s="271" t="s">
        <v>138</v>
      </c>
      <c r="S4" s="271" t="s">
        <v>139</v>
      </c>
      <c r="T4" s="271" t="s">
        <v>202</v>
      </c>
      <c r="U4" s="271" t="s">
        <v>183</v>
      </c>
      <c r="V4" s="271" t="s">
        <v>184</v>
      </c>
      <c r="W4" s="271" t="s">
        <v>185</v>
      </c>
      <c r="X4" s="271" t="s">
        <v>186</v>
      </c>
      <c r="Y4" s="271" t="s">
        <v>187</v>
      </c>
      <c r="Z4" s="271" t="s">
        <v>204</v>
      </c>
      <c r="AA4" s="271" t="s">
        <v>205</v>
      </c>
      <c r="AB4" s="271" t="s">
        <v>206</v>
      </c>
      <c r="AC4" s="271" t="s">
        <v>207</v>
      </c>
      <c r="AD4" s="271" t="s">
        <v>208</v>
      </c>
      <c r="AE4" s="271" t="s">
        <v>209</v>
      </c>
    </row>
    <row r="5" spans="2:31" x14ac:dyDescent="0.25">
      <c r="B5" s="268"/>
      <c r="C5" s="268"/>
      <c r="D5" s="268" t="s">
        <v>0</v>
      </c>
      <c r="E5" s="268" t="s">
        <v>0</v>
      </c>
      <c r="F5" s="268" t="s">
        <v>0</v>
      </c>
      <c r="G5" s="268" t="s">
        <v>0</v>
      </c>
      <c r="H5" s="268" t="s">
        <v>39</v>
      </c>
      <c r="I5" s="268" t="s">
        <v>39</v>
      </c>
      <c r="J5" s="268" t="s">
        <v>39</v>
      </c>
      <c r="K5" s="268" t="s">
        <v>39</v>
      </c>
      <c r="L5" s="268" t="s">
        <v>39</v>
      </c>
      <c r="M5" s="268" t="s">
        <v>38</v>
      </c>
      <c r="N5" s="268" t="s">
        <v>38</v>
      </c>
      <c r="O5" s="268" t="s">
        <v>38</v>
      </c>
      <c r="P5" s="268" t="s">
        <v>38</v>
      </c>
      <c r="Q5" s="264" t="s">
        <v>92</v>
      </c>
      <c r="R5" s="264" t="s">
        <v>92</v>
      </c>
      <c r="S5" s="264" t="s">
        <v>92</v>
      </c>
      <c r="T5" s="268" t="s">
        <v>337</v>
      </c>
      <c r="U5" s="268" t="s">
        <v>337</v>
      </c>
      <c r="V5" s="268" t="s">
        <v>337</v>
      </c>
      <c r="W5" s="268" t="s">
        <v>337</v>
      </c>
      <c r="X5" s="268" t="s">
        <v>337</v>
      </c>
      <c r="Y5" s="268" t="s">
        <v>337</v>
      </c>
      <c r="Z5" s="268" t="s">
        <v>0</v>
      </c>
      <c r="AA5" s="268" t="s">
        <v>0</v>
      </c>
      <c r="AB5" s="268" t="s">
        <v>0</v>
      </c>
      <c r="AC5" s="268" t="s">
        <v>0</v>
      </c>
      <c r="AD5" s="268" t="s">
        <v>0</v>
      </c>
      <c r="AE5" s="268" t="s">
        <v>0</v>
      </c>
    </row>
    <row r="6" spans="2:31" x14ac:dyDescent="0.25">
      <c r="B6" s="39" t="s">
        <v>290</v>
      </c>
      <c r="C6" s="39" t="s">
        <v>290</v>
      </c>
      <c r="D6" s="266" t="s">
        <v>291</v>
      </c>
    </row>
    <row r="7" spans="2:31" s="270" customFormat="1" ht="45" x14ac:dyDescent="0.25">
      <c r="B7" s="269" t="s">
        <v>142</v>
      </c>
      <c r="C7" s="269" t="s">
        <v>88</v>
      </c>
      <c r="D7" s="270" t="s">
        <v>26</v>
      </c>
      <c r="E7" s="270" t="s">
        <v>27</v>
      </c>
      <c r="F7" s="270" t="s">
        <v>28</v>
      </c>
      <c r="G7" s="270" t="s">
        <v>81</v>
      </c>
      <c r="H7" s="270" t="s">
        <v>34</v>
      </c>
      <c r="I7" s="270" t="s">
        <v>35</v>
      </c>
      <c r="J7" s="270" t="s">
        <v>36</v>
      </c>
      <c r="K7" s="270" t="s">
        <v>37</v>
      </c>
      <c r="L7" s="270" t="s">
        <v>64</v>
      </c>
      <c r="M7" s="270" t="s">
        <v>294</v>
      </c>
      <c r="N7" s="270" t="s">
        <v>295</v>
      </c>
      <c r="O7" s="270" t="s">
        <v>296</v>
      </c>
      <c r="P7" s="270" t="s">
        <v>297</v>
      </c>
      <c r="Q7" s="270" t="s">
        <v>95</v>
      </c>
      <c r="R7" s="270" t="s">
        <v>96</v>
      </c>
      <c r="S7" s="270" t="s">
        <v>97</v>
      </c>
      <c r="T7" s="270" t="s">
        <v>299</v>
      </c>
      <c r="U7" s="270" t="s">
        <v>176</v>
      </c>
      <c r="V7" s="270" t="s">
        <v>300</v>
      </c>
      <c r="W7" s="270" t="s">
        <v>301</v>
      </c>
      <c r="X7" s="270" t="s">
        <v>302</v>
      </c>
      <c r="Y7" s="270" t="s">
        <v>303</v>
      </c>
      <c r="Z7" s="270" t="s">
        <v>200</v>
      </c>
      <c r="AA7" s="270" t="s">
        <v>304</v>
      </c>
      <c r="AB7" s="270" t="s">
        <v>305</v>
      </c>
      <c r="AC7" s="270" t="s">
        <v>306</v>
      </c>
      <c r="AD7" s="270" t="s">
        <v>307</v>
      </c>
      <c r="AE7" s="270" t="s">
        <v>308</v>
      </c>
    </row>
    <row r="8" spans="2:31" x14ac:dyDescent="0.25">
      <c r="B8" t="str">
        <f t="shared" ref="B8:C8" si="0">IF(B6="Float","%g",IF(B6="String","%c%s%c",""))</f>
        <v>%c%s%c</v>
      </c>
      <c r="C8" t="str">
        <f t="shared" si="0"/>
        <v>%c%s%c</v>
      </c>
      <c r="D8" t="s">
        <v>292</v>
      </c>
      <c r="E8" t="s">
        <v>292</v>
      </c>
      <c r="F8" t="s">
        <v>292</v>
      </c>
      <c r="G8" t="s">
        <v>292</v>
      </c>
      <c r="H8" t="s">
        <v>293</v>
      </c>
      <c r="I8" t="s">
        <v>293</v>
      </c>
      <c r="J8" t="s">
        <v>293</v>
      </c>
      <c r="K8" t="s">
        <v>293</v>
      </c>
      <c r="L8" t="s">
        <v>293</v>
      </c>
      <c r="M8" s="266" t="s">
        <v>293</v>
      </c>
      <c r="N8" s="266" t="s">
        <v>293</v>
      </c>
      <c r="O8" s="266" t="s">
        <v>293</v>
      </c>
      <c r="P8" s="266" t="s">
        <v>293</v>
      </c>
      <c r="Q8" s="266" t="s">
        <v>293</v>
      </c>
      <c r="R8" s="266" t="s">
        <v>293</v>
      </c>
      <c r="S8" s="266" t="s">
        <v>293</v>
      </c>
      <c r="T8" s="266" t="s">
        <v>292</v>
      </c>
      <c r="U8" s="266" t="s">
        <v>292</v>
      </c>
      <c r="V8" s="266" t="s">
        <v>292</v>
      </c>
      <c r="W8" s="266" t="s">
        <v>292</v>
      </c>
      <c r="X8" s="266" t="s">
        <v>292</v>
      </c>
      <c r="Y8" s="266" t="s">
        <v>292</v>
      </c>
      <c r="Z8" s="266" t="s">
        <v>298</v>
      </c>
      <c r="AA8" s="266" t="s">
        <v>298</v>
      </c>
      <c r="AB8" s="266" t="s">
        <v>298</v>
      </c>
      <c r="AC8" s="266" t="s">
        <v>298</v>
      </c>
      <c r="AD8" s="266" t="s">
        <v>298</v>
      </c>
      <c r="AE8" s="266" t="s">
        <v>298</v>
      </c>
    </row>
    <row r="9" spans="2:31" x14ac:dyDescent="0.25">
      <c r="B9"/>
      <c r="C9"/>
    </row>
    <row r="10" spans="2:31" x14ac:dyDescent="0.25">
      <c r="B10"/>
      <c r="C10"/>
    </row>
    <row r="11" spans="2:31" x14ac:dyDescent="0.25">
      <c r="B11"/>
      <c r="C11"/>
    </row>
    <row r="12" spans="2:31" x14ac:dyDescent="0.25">
      <c r="B12"/>
      <c r="C12"/>
    </row>
    <row r="13" spans="2:31" x14ac:dyDescent="0.25">
      <c r="B13"/>
      <c r="C13"/>
    </row>
    <row r="14" spans="2:31" x14ac:dyDescent="0.25">
      <c r="B14"/>
      <c r="C14"/>
    </row>
    <row r="15" spans="2:31" x14ac:dyDescent="0.25">
      <c r="B15" t="s">
        <v>43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2:31" x14ac:dyDescent="0.25">
      <c r="B16"/>
      <c r="C16"/>
      <c r="D16"/>
      <c r="E16"/>
      <c r="F16"/>
      <c r="G16"/>
      <c r="H16" t="s">
        <v>120</v>
      </c>
      <c r="I16"/>
      <c r="J16"/>
      <c r="K16" t="s">
        <v>145</v>
      </c>
      <c r="L16"/>
      <c r="M16"/>
      <c r="N16" t="s">
        <v>146</v>
      </c>
      <c r="O16"/>
      <c r="P16"/>
      <c r="Q16"/>
      <c r="R16"/>
      <c r="S16" t="s">
        <v>123</v>
      </c>
      <c r="T16"/>
      <c r="U16"/>
      <c r="V16"/>
      <c r="W16"/>
      <c r="X16"/>
      <c r="Y16"/>
      <c r="Z16"/>
      <c r="AA16"/>
      <c r="AB16"/>
    </row>
    <row r="17" spans="1:28" s="270" customFormat="1" ht="78.75" x14ac:dyDescent="0.25">
      <c r="A17" s="272"/>
      <c r="B17" s="273" t="s">
        <v>142</v>
      </c>
      <c r="C17" s="273" t="s">
        <v>147</v>
      </c>
      <c r="D17" s="273" t="s">
        <v>148</v>
      </c>
      <c r="E17" s="273" t="s">
        <v>149</v>
      </c>
      <c r="F17" s="273" t="s">
        <v>150</v>
      </c>
      <c r="G17" s="273" t="s">
        <v>151</v>
      </c>
      <c r="H17" s="273" t="s">
        <v>152</v>
      </c>
      <c r="I17" s="273" t="s">
        <v>153</v>
      </c>
      <c r="J17" s="273" t="s">
        <v>154</v>
      </c>
      <c r="K17" s="273" t="s">
        <v>155</v>
      </c>
      <c r="L17" s="273" t="s">
        <v>156</v>
      </c>
      <c r="M17" s="273" t="s">
        <v>157</v>
      </c>
      <c r="N17" s="273" t="s">
        <v>158</v>
      </c>
      <c r="O17" s="273" t="s">
        <v>159</v>
      </c>
      <c r="P17" s="273" t="s">
        <v>160</v>
      </c>
      <c r="Q17" s="273" t="s">
        <v>161</v>
      </c>
      <c r="R17" s="273" t="s">
        <v>162</v>
      </c>
      <c r="S17" s="274" t="s">
        <v>163</v>
      </c>
      <c r="T17" s="275" t="s">
        <v>164</v>
      </c>
      <c r="U17" s="276" t="s">
        <v>165</v>
      </c>
      <c r="V17" s="273" t="s">
        <v>203</v>
      </c>
      <c r="W17" s="273" t="s">
        <v>194</v>
      </c>
      <c r="X17" s="273" t="s">
        <v>195</v>
      </c>
      <c r="Y17" s="273" t="s">
        <v>196</v>
      </c>
      <c r="Z17" s="273" t="s">
        <v>197</v>
      </c>
      <c r="AA17" s="273" t="s">
        <v>198</v>
      </c>
      <c r="AB17" s="273" t="s">
        <v>199</v>
      </c>
    </row>
    <row r="18" spans="1:28" s="270" customFormat="1" x14ac:dyDescent="0.25">
      <c r="B18" s="243"/>
      <c r="C18" s="243"/>
      <c r="D18" s="243"/>
      <c r="E18" s="243"/>
      <c r="F18" s="243" t="s">
        <v>166</v>
      </c>
      <c r="G18" s="243"/>
      <c r="H18" s="243" t="s">
        <v>0</v>
      </c>
      <c r="I18" s="243" t="s">
        <v>0</v>
      </c>
      <c r="J18" s="243" t="s">
        <v>0</v>
      </c>
      <c r="K18" s="243" t="s">
        <v>38</v>
      </c>
      <c r="L18" s="243" t="s">
        <v>38</v>
      </c>
      <c r="M18" s="243" t="s">
        <v>38</v>
      </c>
      <c r="N18" s="243" t="s">
        <v>39</v>
      </c>
      <c r="O18" s="243" t="s">
        <v>39</v>
      </c>
      <c r="P18" s="243" t="s">
        <v>39</v>
      </c>
      <c r="Q18" s="243" t="s">
        <v>39</v>
      </c>
      <c r="R18" s="243" t="s">
        <v>39</v>
      </c>
      <c r="S18" s="264" t="s">
        <v>92</v>
      </c>
      <c r="T18" s="264" t="s">
        <v>92</v>
      </c>
      <c r="U18" s="264" t="s">
        <v>92</v>
      </c>
      <c r="V18" s="264" t="s">
        <v>92</v>
      </c>
      <c r="W18" s="264" t="s">
        <v>92</v>
      </c>
      <c r="X18" s="264" t="s">
        <v>92</v>
      </c>
      <c r="Y18" s="264" t="s">
        <v>92</v>
      </c>
      <c r="Z18" s="264" t="s">
        <v>92</v>
      </c>
      <c r="AA18" s="264" t="s">
        <v>92</v>
      </c>
      <c r="AB18" s="264" t="s">
        <v>92</v>
      </c>
    </row>
    <row r="19" spans="1:28" s="270" customFormat="1" ht="60" x14ac:dyDescent="0.25">
      <c r="B19" s="270" t="s">
        <v>142</v>
      </c>
      <c r="C19" s="270" t="s">
        <v>311</v>
      </c>
      <c r="D19" s="270" t="s">
        <v>312</v>
      </c>
      <c r="E19" s="270" t="s">
        <v>313</v>
      </c>
      <c r="F19" s="270" t="s">
        <v>314</v>
      </c>
      <c r="G19" s="270" t="s">
        <v>315</v>
      </c>
      <c r="H19" s="270" t="s">
        <v>316</v>
      </c>
      <c r="I19" s="270" t="s">
        <v>317</v>
      </c>
      <c r="J19" s="270" t="s">
        <v>318</v>
      </c>
      <c r="K19" s="270" t="s">
        <v>103</v>
      </c>
      <c r="L19" s="270" t="s">
        <v>104</v>
      </c>
      <c r="M19" s="270" t="s">
        <v>319</v>
      </c>
      <c r="N19" s="270" t="s">
        <v>53</v>
      </c>
      <c r="O19" s="270" t="s">
        <v>56</v>
      </c>
      <c r="P19" s="270" t="s">
        <v>59</v>
      </c>
      <c r="Q19" s="270" t="s">
        <v>60</v>
      </c>
      <c r="R19" s="270" t="s">
        <v>46</v>
      </c>
      <c r="S19" s="270" t="s">
        <v>99</v>
      </c>
      <c r="T19" s="270" t="s">
        <v>100</v>
      </c>
      <c r="U19" s="270" t="s">
        <v>93</v>
      </c>
      <c r="V19" s="270" t="s">
        <v>201</v>
      </c>
      <c r="W19" s="270" t="s">
        <v>320</v>
      </c>
      <c r="X19" s="270" t="s">
        <v>321</v>
      </c>
      <c r="Y19" s="270" t="s">
        <v>322</v>
      </c>
      <c r="Z19" s="270" t="s">
        <v>323</v>
      </c>
      <c r="AA19" s="270" t="s">
        <v>324</v>
      </c>
      <c r="AB19" s="270" t="s">
        <v>325</v>
      </c>
    </row>
    <row r="20" spans="1:28" x14ac:dyDescent="0.25">
      <c r="B20" s="266" t="s">
        <v>309</v>
      </c>
      <c r="C20" s="266" t="s">
        <v>309</v>
      </c>
      <c r="D20" s="266" t="s">
        <v>309</v>
      </c>
      <c r="E20" s="266" t="s">
        <v>309</v>
      </c>
      <c r="F20" s="266" t="s">
        <v>292</v>
      </c>
      <c r="G20" s="266" t="s">
        <v>310</v>
      </c>
      <c r="H20" s="266" t="s">
        <v>292</v>
      </c>
      <c r="I20" s="266" t="s">
        <v>292</v>
      </c>
      <c r="J20" s="266" t="s">
        <v>292</v>
      </c>
      <c r="K20" s="266" t="s">
        <v>293</v>
      </c>
      <c r="L20" s="266" t="s">
        <v>293</v>
      </c>
      <c r="M20" s="266" t="s">
        <v>293</v>
      </c>
      <c r="N20" s="266" t="s">
        <v>293</v>
      </c>
      <c r="O20" s="266" t="s">
        <v>293</v>
      </c>
      <c r="P20" s="266" t="s">
        <v>293</v>
      </c>
      <c r="Q20" s="266" t="s">
        <v>293</v>
      </c>
      <c r="R20" s="266" t="s">
        <v>293</v>
      </c>
      <c r="S20" s="266" t="s">
        <v>293</v>
      </c>
      <c r="T20" s="266" t="s">
        <v>293</v>
      </c>
      <c r="U20" s="266" t="s">
        <v>293</v>
      </c>
      <c r="V20" s="266" t="s">
        <v>293</v>
      </c>
      <c r="W20" s="266" t="s">
        <v>293</v>
      </c>
      <c r="X20" s="266" t="s">
        <v>293</v>
      </c>
      <c r="Y20" s="266" t="s">
        <v>293</v>
      </c>
      <c r="Z20" s="266" t="s">
        <v>293</v>
      </c>
      <c r="AA20" s="266" t="s">
        <v>293</v>
      </c>
      <c r="AB20" s="266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Fan Static Pressure Adj_Backup</vt:lpstr>
      <vt:lpstr>Fan Power Ratios - SP_Backup</vt:lpstr>
      <vt:lpstr>Fan Static Pressure Adj</vt:lpstr>
      <vt:lpstr>PwrIdAdjTable</vt:lpstr>
      <vt:lpstr>Single-zone</vt:lpstr>
      <vt:lpstr>2019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Hovee</dc:creator>
  <cp:lastModifiedBy>David Reddy</cp:lastModifiedBy>
  <dcterms:created xsi:type="dcterms:W3CDTF">2015-09-14T23:55:25Z</dcterms:created>
  <dcterms:modified xsi:type="dcterms:W3CDTF">2022-05-13T02:11:48Z</dcterms:modified>
</cp:coreProperties>
</file>