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MJM Documents\Service delivery\Document Templates\Technical Templates\Healthcare Planning\SoA Template\"/>
    </mc:Choice>
  </mc:AlternateContent>
  <xr:revisionPtr revIDLastSave="0" documentId="13_ncr:1_{6933FDE6-6BD6-4EE3-9A60-C596E230BCBF}" xr6:coauthVersionLast="47" xr6:coauthVersionMax="47" xr10:uidLastSave="{00000000-0000-0000-0000-000000000000}"/>
  <bookViews>
    <workbookView xWindow="-120" yWindow="-120" windowWidth="20730" windowHeight="11160" tabRatio="995" activeTab="2" xr2:uid="{EFB60CAF-F067-4BFE-A635-FD5D0EC0DA1D}"/>
  </bookViews>
  <sheets>
    <sheet name="Principles" sheetId="21" r:id="rId1"/>
    <sheet name="Room List" sheetId="1" r:id="rId2"/>
    <sheet name="Collect Sheet" sheetId="2" r:id="rId3"/>
    <sheet name=" Inpatients" sheetId="35" r:id="rId4"/>
    <sheet name="Critical Care Unit" sheetId="27" r:id="rId5"/>
    <sheet name="Paediatric Inpatients" sheetId="29" r:id="rId6"/>
    <sheet name="Urgent and Emergency Care" sheetId="28" r:id="rId7"/>
    <sheet name="Imaging" sheetId="30" r:id="rId8"/>
    <sheet name="Maternity" sheetId="5" r:id="rId9"/>
    <sheet name="Neonatal Unit 18 SFRs" sheetId="15" r:id="rId10"/>
    <sheet name="Theatres" sheetId="32" r:id="rId11"/>
    <sheet name="Outpatients" sheetId="9" r:id="rId12"/>
    <sheet name="Renal Dialysis" sheetId="36" r:id="rId13"/>
    <sheet name="Standard Naming Conventions" sheetId="24" r:id="rId14"/>
  </sheets>
  <externalReferences>
    <externalReference r:id="rId15"/>
    <externalReference r:id="rId16"/>
  </externalReferences>
  <definedNames>
    <definedName name="____________New1" hidden="1">{#N/A,#N/A,FALSE,"Aging Summary";#N/A,#N/A,FALSE,"Ratio Analysis";#N/A,#N/A,FALSE,"Test 120 Day Accts";#N/A,#N/A,FALSE,"Tickmarks"}</definedName>
    <definedName name="___________New1" hidden="1">{#N/A,#N/A,FALSE,"Aging Summary";#N/A,#N/A,FALSE,"Ratio Analysis";#N/A,#N/A,FALSE,"Test 120 Day Accts";#N/A,#N/A,FALSE,"Tickmarks"}</definedName>
    <definedName name="__________New1" hidden="1">{#N/A,#N/A,FALSE,"Aging Summary";#N/A,#N/A,FALSE,"Ratio Analysis";#N/A,#N/A,FALSE,"Test 120 Day Accts";#N/A,#N/A,FALSE,"Tickmarks"}</definedName>
    <definedName name="_________New1" hidden="1">{#N/A,#N/A,FALSE,"Aging Summary";#N/A,#N/A,FALSE,"Ratio Analysis";#N/A,#N/A,FALSE,"Test 120 Day Accts";#N/A,#N/A,FALSE,"Tickmarks"}</definedName>
    <definedName name="________New1" hidden="1">{#N/A,#N/A,FALSE,"Aging Summary";#N/A,#N/A,FALSE,"Ratio Analysis";#N/A,#N/A,FALSE,"Test 120 Day Accts";#N/A,#N/A,FALSE,"Tickmarks"}</definedName>
    <definedName name="_______New1" hidden="1">{#N/A,#N/A,FALSE,"Aging Summary";#N/A,#N/A,FALSE,"Ratio Analysis";#N/A,#N/A,FALSE,"Test 120 Day Accts";#N/A,#N/A,FALSE,"Tickmarks"}</definedName>
    <definedName name="______New1" hidden="1">{#N/A,#N/A,FALSE,"Aging Summary";#N/A,#N/A,FALSE,"Ratio Analysis";#N/A,#N/A,FALSE,"Test 120 Day Accts";#N/A,#N/A,FALSE,"Tickmarks"}</definedName>
    <definedName name="_____New1" hidden="1">{#N/A,#N/A,FALSE,"Aging Summary";#N/A,#N/A,FALSE,"Ratio Analysis";#N/A,#N/A,FALSE,"Test 120 Day Accts";#N/A,#N/A,FALSE,"Tickmarks"}</definedName>
    <definedName name="____New1" hidden="1">{#N/A,#N/A,FALSE,"Aging Summary";#N/A,#N/A,FALSE,"Ratio Analysis";#N/A,#N/A,FALSE,"Test 120 Day Accts";#N/A,#N/A,FALSE,"Tickmarks"}</definedName>
    <definedName name="___New1" hidden="1">{#N/A,#N/A,FALSE,"Aging Summary";#N/A,#N/A,FALSE,"Ratio Analysis";#N/A,#N/A,FALSE,"Test 120 Day Accts";#N/A,#N/A,FALSE,"Tickmarks"}</definedName>
    <definedName name="__New1" hidden="1">{#N/A,#N/A,FALSE,"Aging Summary";#N/A,#N/A,FALSE,"Ratio Analysis";#N/A,#N/A,FALSE,"Test 120 Day Accts";#N/A,#N/A,FALSE,"Tickmarks"}</definedName>
    <definedName name="_1__123Graph_ACHART_12" hidden="1">[1]Demand!#REF!</definedName>
    <definedName name="_10__123Graph_ACHART_18" hidden="1">[1]Demand!#REF!</definedName>
    <definedName name="_10__123Graph_BCHART_16" hidden="1">[1]Occ!#REF!</definedName>
    <definedName name="_11__123Graph_BCHART_17" hidden="1">[1]Occ!#REF!</definedName>
    <definedName name="_12__123Graph_ACHART_19" hidden="1">[1]Demand!#REF!</definedName>
    <definedName name="_12__123Graph_BCHART_22" hidden="1">[1]Occ!#REF!</definedName>
    <definedName name="_13__123Graph_CCHART_15" hidden="1">[1]Occ!#REF!</definedName>
    <definedName name="_14__123Graph_ACHART_21" hidden="1">[1]Occ!#REF!</definedName>
    <definedName name="_14__123Graph_CCHART_16" hidden="1">[1]Occ!#REF!</definedName>
    <definedName name="_15__123Graph_CCHART_17" hidden="1">[1]Occ!#REF!</definedName>
    <definedName name="_16__123Graph_ASEG_PIE" hidden="1">[1]Demand!#REF!</definedName>
    <definedName name="_16__123Graph_CCHART_22" hidden="1">[1]Occ!#REF!</definedName>
    <definedName name="_17__123Graph_CSEG_PIE" hidden="1">[1]Demand!#REF!</definedName>
    <definedName name="_18__123Graph_BCHART_15" hidden="1">[1]Occ!#REF!</definedName>
    <definedName name="_18__123Graph_DCHART_15" hidden="1">[1]Occ!#REF!</definedName>
    <definedName name="_19__123Graph_DCHART_16" hidden="1">[1]Occ!#REF!</definedName>
    <definedName name="_2__123Graph_ACHART_12" hidden="1">[1]Demand!#REF!</definedName>
    <definedName name="_2__123Graph_ACHART_15" hidden="1">[1]Occ!#REF!</definedName>
    <definedName name="_20__123Graph_BCHART_16" hidden="1">[1]Occ!#REF!</definedName>
    <definedName name="_20__123Graph_DCHART_17" hidden="1">[1]Occ!#REF!</definedName>
    <definedName name="_21__123Graph_DCHART_22" hidden="1">[1]Occ!#REF!</definedName>
    <definedName name="_22__123Graph_BCHART_17" hidden="1">[1]Occ!#REF!</definedName>
    <definedName name="_22__123Graph_ECHART_15" hidden="1">[1]Occ!#REF!</definedName>
    <definedName name="_23__123Graph_ECHART_16" hidden="1">[1]Occ!#REF!</definedName>
    <definedName name="_24__123Graph_BCHART_22" hidden="1">[1]Occ!#REF!</definedName>
    <definedName name="_24__123Graph_ECHART_17" hidden="1">[1]Occ!#REF!</definedName>
    <definedName name="_25__123Graph_ECHART_22" hidden="1">[1]Occ!#REF!</definedName>
    <definedName name="_26__123Graph_CCHART_15" hidden="1">[1]Occ!#REF!</definedName>
    <definedName name="_26__123Graph_FCHART_15" hidden="1">[1]Occ!#REF!</definedName>
    <definedName name="_27__123Graph_FCHART_16" hidden="1">[1]Occ!#REF!</definedName>
    <definedName name="_28__123Graph_CCHART_16" hidden="1">[1]Occ!#REF!</definedName>
    <definedName name="_28__123Graph_FCHART_17" hidden="1">[1]Occ!#REF!</definedName>
    <definedName name="_29__123Graph_FCHART_22" hidden="1">[1]Occ!#REF!</definedName>
    <definedName name="_3__123Graph_ACHART_16" hidden="1">[1]Occ!#REF!</definedName>
    <definedName name="_30__123Graph_CCHART_17" hidden="1">[1]Occ!#REF!</definedName>
    <definedName name="_30__123Graph_XCHART_15" hidden="1">[1]Occ!#REF!</definedName>
    <definedName name="_31__123Graph_XCHART_16" hidden="1">[1]Occ!#REF!</definedName>
    <definedName name="_32__123Graph_CCHART_22" hidden="1">[1]Occ!#REF!</definedName>
    <definedName name="_32__123Graph_XCHART_17" hidden="1">[1]Occ!#REF!</definedName>
    <definedName name="_33__123Graph_XCHART_18" hidden="1">[1]Demand!#REF!</definedName>
    <definedName name="_34__123Graph_CSEG_PIE" hidden="1">[1]Demand!#REF!</definedName>
    <definedName name="_34__123Graph_XCHART_19" hidden="1">[1]Demand!#REF!</definedName>
    <definedName name="_35__123Graph_XCHART_22" hidden="1">[1]Occ!#REF!</definedName>
    <definedName name="_36__123Graph_DCHART_15" hidden="1">[1]Occ!#REF!</definedName>
    <definedName name="_36__123Graph_XSEG_PIE" hidden="1">[1]Demand!#REF!</definedName>
    <definedName name="_38__123Graph_DCHART_16" hidden="1">[1]Occ!#REF!</definedName>
    <definedName name="_4__123Graph_ACHART_15" hidden="1">[1]Occ!#REF!</definedName>
    <definedName name="_4__123Graph_ACHART_17" hidden="1">[1]Occ!#REF!</definedName>
    <definedName name="_40__123Graph_DCHART_17" hidden="1">[1]Occ!#REF!</definedName>
    <definedName name="_42__123Graph_DCHART_22" hidden="1">[1]Occ!#REF!</definedName>
    <definedName name="_44__123Graph_ECHART_15" hidden="1">[1]Occ!#REF!</definedName>
    <definedName name="_46__123Graph_ECHART_16" hidden="1">[1]Occ!#REF!</definedName>
    <definedName name="_48__123Graph_ECHART_17" hidden="1">[1]Occ!#REF!</definedName>
    <definedName name="_5__123Graph_ACHART_18" hidden="1">[1]Demand!#REF!</definedName>
    <definedName name="_50__123Graph_ECHART_22" hidden="1">[1]Occ!#REF!</definedName>
    <definedName name="_52__123Graph_FCHART_15" hidden="1">[1]Occ!#REF!</definedName>
    <definedName name="_54__123Graph_FCHART_16" hidden="1">[1]Occ!#REF!</definedName>
    <definedName name="_56__123Graph_FCHART_17" hidden="1">[1]Occ!#REF!</definedName>
    <definedName name="_58__123Graph_FCHART_22" hidden="1">[1]Occ!#REF!</definedName>
    <definedName name="_6__123Graph_ACHART_16" hidden="1">[1]Occ!#REF!</definedName>
    <definedName name="_6__123Graph_ACHART_19" hidden="1">[1]Demand!#REF!</definedName>
    <definedName name="_60__123Graph_XCHART_15" hidden="1">[1]Occ!#REF!</definedName>
    <definedName name="_62__123Graph_XCHART_16" hidden="1">[1]Occ!#REF!</definedName>
    <definedName name="_64__123Graph_XCHART_17" hidden="1">[1]Occ!#REF!</definedName>
    <definedName name="_66__123Graph_XCHART_18" hidden="1">[1]Demand!#REF!</definedName>
    <definedName name="_68__123Graph_XCHART_19" hidden="1">[1]Demand!#REF!</definedName>
    <definedName name="_7__123Graph_ACHART_21" hidden="1">[1]Occ!#REF!</definedName>
    <definedName name="_70__123Graph_XCHART_22" hidden="1">[1]Occ!#REF!</definedName>
    <definedName name="_72__123Graph_XSEG_PIE" hidden="1">[1]Demand!#REF!</definedName>
    <definedName name="_8__123Graph_ACHART_17" hidden="1">[1]Occ!#REF!</definedName>
    <definedName name="_8__123Graph_ASEG_PIE" hidden="1">[1]Demand!#REF!</definedName>
    <definedName name="_9__123Graph_BCHART_15" hidden="1">[1]Occ!#REF!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1</definedName>
    <definedName name="_AtRisk_SimSetting_StdRecalcWithoutRiskStatic" hidden="1">0</definedName>
    <definedName name="_AtRisk_SimSetting_StdRecalcWithoutRiskStaticPercentile" hidden="1">0.5</definedName>
    <definedName name="_Fill" hidden="1">#REF!</definedName>
    <definedName name="_xlnm._FilterDatabase" localSheetId="8" hidden="1">Maternity!$A$1:$G$163</definedName>
    <definedName name="_xlnm._FilterDatabase" localSheetId="11" hidden="1">Outpatients!$A$1:$G$91</definedName>
    <definedName name="_xlnm._FilterDatabase" localSheetId="12" hidden="1">'Renal Dialysis'!$A$1:$G$1</definedName>
    <definedName name="_xlnm._FilterDatabase" localSheetId="1" hidden="1">'Room List'!$B$2:$L$317</definedName>
    <definedName name="_Key1" hidden="1">#REF!</definedName>
    <definedName name="_New1" hidden="1">{#N/A,#N/A,FALSE,"Aging Summary";#N/A,#N/A,FALSE,"Ratio Analysis";#N/A,#N/A,FALSE,"Test 120 Day Accts";#N/A,#N/A,FALSE,"Tickmarks"}</definedName>
    <definedName name="_Order1" hidden="1">255</definedName>
    <definedName name="_Sort" hidden="1">#REF!</definedName>
    <definedName name="_Table1_In1" hidden="1">#REF!</definedName>
    <definedName name="a" hidden="1">{#N/A,#N/A,FALSE,"Aging Summary";#N/A,#N/A,FALSE,"Ratio Analysis";#N/A,#N/A,FALSE,"Test 120 Day Accts";#N/A,#N/A,FALSE,"Tickmarks"}</definedName>
    <definedName name="aa" hidden="1">{#N/A,#N/A,FALSE,"Aging Summary";#N/A,#N/A,FALSE,"Ratio Analysis";#N/A,#N/A,FALSE,"Test 120 Day Accts";#N/A,#N/A,FALSE,"Tickmarks"}</definedName>
    <definedName name="aaa" hidden="1">{#N/A,#N/A,FALSE,"Aging Summary";#N/A,#N/A,FALSE,"Ratio Analysis";#N/A,#N/A,FALSE,"Test 120 Day Accts";#N/A,#N/A,FALSE,"Tickmarks"}</definedName>
    <definedName name="AccessDatabase" hidden="1">"C:\AA-MEDIUM PROJECTS\Khaleej Times - GO 14017\Submittals Status.mdb"</definedName>
    <definedName name="AS2DocOpenMode" hidden="1">"AS2DocumentEdit"</definedName>
    <definedName name="b" hidden="1">{#N/A,#N/A,FALSE,"Aging Summary";#N/A,#N/A,FALSE,"Ratio Analysis";#N/A,#N/A,FALSE,"Test 120 Day Accts";#N/A,#N/A,FALSE,"Tickmarks"}</definedName>
    <definedName name="Balust" hidden="1">{#N/A,#N/A,FALSE,"Aging Summary";#N/A,#N/A,FALSE,"Ratio Analysis";#N/A,#N/A,FALSE,"Test 120 Day Accts";#N/A,#N/A,FALSE,"Tickmarks"}</definedName>
    <definedName name="Bay_Airwayequip">'Room List'!$F$281</definedName>
    <definedName name="Bay_Ambulance_Clean">'Room List'!$F$313</definedName>
    <definedName name="Bay_Ambulance_Park">'Room List'!$F$314</definedName>
    <definedName name="Bay_Beverage">'Room List'!$F$282</definedName>
    <definedName name="Bay_BloodBank">#REF!</definedName>
    <definedName name="Bay_Bloodbankfridge">'Room List'!$F$283</definedName>
    <definedName name="Bay_ECG">'Room List'!$F$284</definedName>
    <definedName name="Bay_Endoscopy">#REF!</definedName>
    <definedName name="Bay_Equip">'Room List'!$F$285</definedName>
    <definedName name="Bay_Equipment">#REF!</definedName>
    <definedName name="Bay_Foodtroll">'Room List'!$F$286</definedName>
    <definedName name="Bay_Icemachine">'Room List'!$F$287</definedName>
    <definedName name="Bay_Linen">#REF!</definedName>
    <definedName name="Bay_Linentroll">'Room List'!$F$288</definedName>
    <definedName name="Bay_Mobile_Endo">'Room List'!$F$289</definedName>
    <definedName name="Bay_Mobile_Equip">'Room List'!$F$290</definedName>
    <definedName name="Bay_Mobile_Hoist">'Room List'!$F$291</definedName>
    <definedName name="Bay_Mobile_Imaging">'Room List'!$F$292</definedName>
    <definedName name="Bay_MobileImaging">#REF!</definedName>
    <definedName name="Bay_MobilePC">'Room List'!$F$293</definedName>
    <definedName name="Bay_Resus">#REF!</definedName>
    <definedName name="Bay_Resustroll">'Room List'!$F$294</definedName>
    <definedName name="Bay_Scrubdispens">'Room List'!$F$295</definedName>
    <definedName name="Bay_Suppliestroll">'Room List'!$F$296</definedName>
    <definedName name="Bay_Transportincub">'Room List'!$F$297</definedName>
    <definedName name="Bay_Trolley_Dualside">'Room List'!$F$300</definedName>
    <definedName name="Bay_Trolley_Singleside">'Room List'!$F$301</definedName>
    <definedName name="Bay_Vending">'Room List'!$F$298</definedName>
    <definedName name="Bay_XrayUS">'Room List'!$F$299</definedName>
    <definedName name="bbbb" hidden="1">{#N/A,#N/A,FALSE,"Aging Summary";#N/A,#N/A,FALSE,"Ratio Analysis";#N/A,#N/A,FALSE,"Test 120 Day Accts";#N/A,#N/A,FALSE,"Tickmarks"}</definedName>
    <definedName name="BMGHIndex" hidden="1">"O"</definedName>
    <definedName name="Cath_Lab">#REF!</definedName>
    <definedName name="cc" hidden="1">{#N/A,#N/A,FALSE,"Aging Summary";#N/A,#N/A,FALSE,"Ratio Analysis";#N/A,#N/A,FALSE,"Test 120 Day Accts";#N/A,#N/A,FALSE,"Tickmarks"}</definedName>
    <definedName name="ccc" hidden="1">{#N/A,#N/A,FALSE,"Aging Summary";#N/A,#N/A,FALSE,"Ratio Analysis";#N/A,#N/A,FALSE,"Test 120 Day Accts";#N/A,#N/A,FALSE,"Tickmarks"}</definedName>
    <definedName name="Change_ambulant">#REF!</definedName>
    <definedName name="Clean_Supply">#REF!</definedName>
    <definedName name="Cleaners_Room">#REF!</definedName>
    <definedName name="Consult_Exam">#REF!</definedName>
    <definedName name="Control_Room">#REF!</definedName>
    <definedName name="_xlnm.database">[2]!Table1[#All]</definedName>
    <definedName name="Datacollection" hidden="1">{#N/A,#N/A,FALSE,"Aging Summary";#N/A,#N/A,FALSE,"Ratio Analysis";#N/A,#N/A,FALSE,"Test 120 Day Accts";#N/A,#N/A,FALSE,"Tickmarks"}</definedName>
    <definedName name="ddd" hidden="1">{#N/A,#N/A,FALSE,"Aging Summary";#N/A,#N/A,FALSE,"Ratio Analysis";#N/A,#N/A,FALSE,"Test 120 Day Accts";#N/A,#N/A,FALSE,"Tickmarks"}</definedName>
    <definedName name="ddddd"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Decon_Clinequip_Lrg">'Room List'!$F$219</definedName>
    <definedName name="Decon_Clinequip_Small">'Room List'!$F$220</definedName>
    <definedName name="Dirty_Utility">#REF!</definedName>
    <definedName name="ED_Cabin_Lrg">'Room List'!$F$78</definedName>
    <definedName name="ED_Cabin_SDEC_Lrg">'Room List'!$F$80</definedName>
    <definedName name="ED_Cabin_SDEC_Stand">'Room List'!$F$79</definedName>
    <definedName name="ED_Cabin_Stand">'Room List'!$F$77</definedName>
    <definedName name="ED_Decon_Rm">'Room List'!$F$82</definedName>
    <definedName name="ED_Decon_Shower">'Room List'!$F$87</definedName>
    <definedName name="ED_DigTriage">'Room List'!$F$81</definedName>
    <definedName name="ED_MH_Rm">'Room List'!$F$83</definedName>
    <definedName name="ED_Recliner_Assesstreat">'Room List'!$F$84</definedName>
    <definedName name="ED_Resus_Lrg">'Room List'!$F$85</definedName>
    <definedName name="ED_Resus_Stand">'Room List'!$F$86</definedName>
    <definedName name="ED_Triage">'Room List'!$F$88</definedName>
    <definedName name="Education_Classrm_pp">'Room List'!$F$221</definedName>
    <definedName name="Education_Haptics_pp">'Room List'!$F$222</definedName>
    <definedName name="Education_Skillslab_pp">'Room List'!$F$223</definedName>
    <definedName name="Endo_Decon_Dirty">'Room List'!$F$90</definedName>
    <definedName name="Endo_Decon_Endocollect">'Room List'!$F$91</definedName>
    <definedName name="Endo_Decon_Usedscope">'Room List'!$F$92</definedName>
    <definedName name="Endo_Procedure">'Room List'!$F$93</definedName>
    <definedName name="Ensuite_large">#REF!</definedName>
    <definedName name="Exit_bay">#REF!</definedName>
    <definedName name="Findit" hidden="1">{#N/A,#N/A,FALSE,"Aging Summary";#N/A,#N/A,FALSE,"Ratio Analysis";#N/A,#N/A,FALSE,"Test 120 Day Accts";#N/A,#N/A,FALSE,"Tickmarks"}</definedName>
    <definedName name="Handwash_station">'Room List'!$F$224</definedName>
    <definedName name="Helipad">'Room List'!$F$315</definedName>
    <definedName name="Hold_disposal">#REF!</definedName>
    <definedName name="Holding_bay">#REF!</definedName>
    <definedName name="Hotlab_Lrg">'Room List'!$F$225</definedName>
    <definedName name="Hotlab_Med">'Room List'!$F$226</definedName>
    <definedName name="Hotlab_Small">'Room List'!$F$227</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CU_Bedsingle">'Room List'!$F$73</definedName>
    <definedName name="ICU_ensuite_isoneg">'Room List'!$F$74</definedName>
    <definedName name="ICU_rehabspace">'Room List'!$F$75</definedName>
    <definedName name="Imaging_Anaesth_inc_Recov">'Room List'!$F$112</definedName>
    <definedName name="Imaging_Bay_Handfoot">'Room List'!$F$95</definedName>
    <definedName name="Imaging_Bookingarea_Radioact">'Room List'!$F$108</definedName>
    <definedName name="Imaging_Cannul">'Room List'!$F$96</definedName>
    <definedName name="Imaging_Conebeam">'Room List'!$F$97</definedName>
    <definedName name="Imaging_Control_Dbl">'Room List'!$F$98</definedName>
    <definedName name="Imaging_Control_Sngl">'Room List'!$F$99</definedName>
    <definedName name="Imaging_CTscan">'Room List'!$F$100</definedName>
    <definedName name="Imaging_Deliveryrm_Radioact">'Room List'!$F$101</definedName>
    <definedName name="Imaging_DEXA">'Room List'!$F$102</definedName>
    <definedName name="Imaging_Disphol_Radioact">'Room List'!$F$103</definedName>
    <definedName name="Imaging_Fluroscopy">'Room List'!$F$104</definedName>
    <definedName name="Imaging_Hold_Leadapron">'Room List'!$F$106</definedName>
    <definedName name="Imaging_Injection_Radioact">'Room List'!$F$107</definedName>
    <definedName name="Imaging_Lobby_Innercontr">'Room List'!$F$116</definedName>
    <definedName name="Imaging_Maintenance_MobXray">'Room List'!$F$111</definedName>
    <definedName name="Imaging_Mammography">'Room List'!$F$113</definedName>
    <definedName name="Imaging_MRI_Rm">'Room List'!$F$114</definedName>
    <definedName name="Imaging_MRI_Transfer">'Room List'!$F$115</definedName>
    <definedName name="Imaging_PET_Scan">'Room List'!$F$117</definedName>
    <definedName name="Imaging_Prep_Bariumsw">'Room List'!$F$118</definedName>
    <definedName name="Imaging_Prep_Radiopharma">'Room List'!$F$109</definedName>
    <definedName name="Imaging_Reporting_pp">'Room List'!$F$119</definedName>
    <definedName name="Imaging_Samplecount">'Room List'!$F$120</definedName>
    <definedName name="Imaging_SPECTCT_Gammacam">'Room List'!$F$121</definedName>
    <definedName name="Imaging_Store_Radioactinjec">'Room List'!$F$110</definedName>
    <definedName name="Imaging_Technical_Lrg">'Room List'!$F$122</definedName>
    <definedName name="Imaging_Technical_Small">'Room List'!$F$123</definedName>
    <definedName name="Imaging_Ultrasound">'Room List'!$F$105</definedName>
    <definedName name="Imaging_Viewing">'Room List'!$F$124</definedName>
    <definedName name="Imaging_Wait_Hotpostinjec">'Room List'!$F$125</definedName>
    <definedName name="Imaging_WCaccess_Radioact">'Room List'!$F$127</definedName>
    <definedName name="Imaging_WCshower_Radioact">'Room List'!$F$126</definedName>
    <definedName name="Imaging_Xray_Fluoroscopy">'Room List'!$F$128</definedName>
    <definedName name="Imaging_Xray_General">'Room List'!$F$129</definedName>
    <definedName name="Imaging_Xray_OPG">'Room List'!$F$130</definedName>
    <definedName name="Intervention_Room">#REF!</definedName>
    <definedName name="IP_Bedsingle">'Room List'!$F$132</definedName>
    <definedName name="IP_Bedsingle_HDU">'Room List'!$F$134</definedName>
    <definedName name="IP_Bedsingle_Iso">'Room List'!$F$135</definedName>
    <definedName name="IP_Bedsingle_Lrg">'Room List'!$F$133</definedName>
    <definedName name="IP_Bedsingle_MH">'Room List'!$F$136</definedName>
    <definedName name="IP_Bedsingle_relative">'Room List'!$F$137</definedName>
    <definedName name="IP_Breakoutpt">'Room List'!$F$138</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41514.4074768519</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39224.667337963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_Suite">#REF!</definedName>
    <definedName name="jhkjh" hidden="1">{#N/A,#N/A,FALSE,"Aging Summary";#N/A,#N/A,FALSE,"Ratio Analysis";#N/A,#N/A,FALSE,"Test 120 Day Accts";#N/A,#N/A,FALSE,"Tickmarks"}</definedName>
    <definedName name="jkljlj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kk" hidden="1">{#N/A,#N/A,FALSE,"Aging Summary";#N/A,#N/A,FALSE,"Ratio Analysis";#N/A,#N/A,FALSE,"Test 120 Day Accts";#N/A,#N/A,FALSE,"Tickmarks"}</definedName>
    <definedName name="kkk"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kkkk"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Lab_Bloodbank">'Room List'!$F$228</definedName>
    <definedName name="Lab_Cat3">'Room List'!$F$229</definedName>
    <definedName name="Lab_Cat4">'Room List'!$F$230</definedName>
    <definedName name="Lab_Coldroom">'Room List'!$F$231</definedName>
    <definedName name="Lab_Generalautotest">'Room List'!$F$233</definedName>
    <definedName name="Lab_Generalchem_immun">'Room List'!$F$234</definedName>
    <definedName name="Lab_Haematology">'Room List'!$F$235</definedName>
    <definedName name="Lab_Histopath_Frozensect">'Room List'!$F$236</definedName>
    <definedName name="Lab_Histopath_Sortprocesscut">'Room List'!$F$237</definedName>
    <definedName name="Lab_Sortingproc_Specimen">'Room List'!$F$238</definedName>
    <definedName name="Lab_Specimen_Receiv">'Room List'!$F$239</definedName>
    <definedName name="Lab_Sterilesupp">'Room List'!$F$232</definedName>
    <definedName name="Lab_Tissueroom">'Room List'!$F$240</definedName>
    <definedName name="lkj" hidden="1">{#N/A,#N/A,FALSE,"Aging Summary";#N/A,#N/A,FALSE,"Ratio Analysis";#N/A,#N/A,FALSE,"Test 120 Day Accts";#N/A,#N/A,FALSE,"Tickmarks"}</definedName>
    <definedName name="lkk" hidden="1">{#N/A,#N/A,FALSE,"Aging Summary";#N/A,#N/A,FALSE,"Ratio Analysis";#N/A,#N/A,FALSE,"Test 120 Day Accts";#N/A,#N/A,FALSE,"Tickmarks"}</definedName>
    <definedName name="Lobby_Ambulance_Transfer">'Room List'!$F$316</definedName>
    <definedName name="Lockers">#REF!</definedName>
    <definedName name="m" hidden="1">{#N/A,#N/A,FALSE,"Aging Summary";#N/A,#N/A,FALSE,"Ratio Analysis";#N/A,#N/A,FALSE,"Test 120 Day Accts";#N/A,#N/A,FALSE,"Tickmarks"}</definedName>
    <definedName name="Maternity_LDRP">'Room List'!$F$140</definedName>
    <definedName name="Maternity_LDRP_Bereav">'Room List'!$F$141</definedName>
    <definedName name="Maternity_LDRP_Pool">'Room List'!$F$142</definedName>
    <definedName name="Maternity_Lobby_LDRP">'Room List'!$F$143</definedName>
    <definedName name="Medicines_Prep">#REF!</definedName>
    <definedName name="mm" hidden="1">{#N/A,#N/A,FALSE,"Aging Summary";#N/A,#N/A,FALSE,"Ratio Analysis";#N/A,#N/A,FALSE,"Test 120 Day Accts";#N/A,#N/A,FALSE,"Tickmarks"}</definedName>
    <definedName name="mmm" hidden="1">{#N/A,#N/A,FALSE,"Aging Summary";#N/A,#N/A,FALSE,"Ratio Analysis";#N/A,#N/A,FALSE,"Test 120 Day Accts";#N/A,#N/A,FALSE,"Tickmarks"}</definedName>
    <definedName name="mmmm" hidden="1">{#N/A,#N/A,FALSE,"Aging Summary";#N/A,#N/A,FALSE,"Ratio Analysis";#N/A,#N/A,FALSE,"Test 120 Day Accts";#N/A,#N/A,FALSE,"Tickmarks"}</definedName>
    <definedName name="mmmmm" hidden="1">{#N/A,#N/A,FALSE,"Aging Summary";#N/A,#N/A,FALSE,"Ratio Analysis";#N/A,#N/A,FALSE,"Test 120 Day Accts";#N/A,#N/A,FALSE,"Tickmarks"}</definedName>
    <definedName name="mmmmmmm" hidden="1">{#N/A,#N/A,FALSE,"Aging Summary";#N/A,#N/A,FALSE,"Ratio Analysis";#N/A,#N/A,FALSE,"Test 120 Day Accts";#N/A,#N/A,FALSE,"Tickmarks"}</definedName>
    <definedName name="mmmmmmmm" hidden="1">{#N/A,#N/A,FALSE,"Aging Summary";#N/A,#N/A,FALSE,"Ratio Analysis";#N/A,#N/A,FALSE,"Test 120 Day Accts";#N/A,#N/A,FALSE,"Tickmarks"}</definedName>
    <definedName name="Mortuary_Bier">'Room List'!$F$241</definedName>
    <definedName name="Mortuary_Bodystorehandle_30">'Room List'!$F$242</definedName>
    <definedName name="Mortuary_Observation">'Room List'!$F$243</definedName>
    <definedName name="Mortuary_Postmort_2">'Room List'!$F$244</definedName>
    <definedName name="Mortuary_Trolley_Xray">'Room List'!$F$245</definedName>
    <definedName name="Mortuary_Viewing_Fam">'Room List'!$F$246</definedName>
    <definedName name="NCS_AGV_cartwash">'Room List'!$F$260</definedName>
    <definedName name="NCS_AGV_Charge">'Room List'!$F$261</definedName>
    <definedName name="NCS_AGV_Cleanhub">'Room List'!$F$262</definedName>
    <definedName name="NCS_AGV_dirtyhub">'Room List'!$F$263</definedName>
    <definedName name="NCS_AGV_parkload">'Room List'!$F$264</definedName>
    <definedName name="NCS_CSSD_Centralwash">'Room List'!$F$265</definedName>
    <definedName name="NCS_CSSD_Steriliser">'Room List'!$F$266</definedName>
    <definedName name="NCS_Equiplibrary">'Room List'!$F$268</definedName>
    <definedName name="NCS_Estateworkshop">'Room List'!$F$269</definedName>
    <definedName name="NCS_Housekeeping">'Room List'!$F$270</definedName>
    <definedName name="NCS_Infocentre_Lrg">'Room List'!$F$271</definedName>
    <definedName name="NCS_Infocentre_Small">'Room List'!$F$272</definedName>
    <definedName name="NCS_Laundry">'Room List'!$F$273</definedName>
    <definedName name="NCS_Medicalphysics">'Room List'!$F$274</definedName>
    <definedName name="NCS_Multifaith">'Room List'!$F$275</definedName>
    <definedName name="NCS_Portering">'Room List'!$F$276</definedName>
    <definedName name="NCS_Retailcafe">'Room List'!$F$277</definedName>
    <definedName name="NCS_Retailshop">'Room List'!$F$278</definedName>
    <definedName name="NCS_Securitydesk">'Room List'!$F$267</definedName>
    <definedName name="NCS_Wastemanage">'Room List'!$F$279</definedName>
    <definedName name="Neonate_Bedfam_Access">'Room List'!$F$145</definedName>
    <definedName name="Neonate_Bedfam_Amb">'Room List'!$F$146</definedName>
    <definedName name="Neonate_Cotsingle">'Room List'!$F$147</definedName>
    <definedName name="Neonate_Ensuite_Access">'Room List'!$F$148</definedName>
    <definedName name="Neonate_Ensuite_Amb">'Room List'!$F$149</definedName>
    <definedName name="Neonate_Expressing">'Room List'!$F$150</definedName>
    <definedName name="Neonate_Store_Donormilk">'Room List'!$F$151</definedName>
    <definedName name="New" hidden="1">{#N/A,#N/A,FALSE,"Aging Summary";#N/A,#N/A,FALSE,"Ratio Analysis";#N/A,#N/A,FALSE,"Test 120 Day Accts";#N/A,#N/A,FALSE,"Tickmarks"}</definedName>
    <definedName name="OPD_Audiobooth">'Room List'!$F$174</definedName>
    <definedName name="OPD_Bathroom_Dermat">'Room List'!$F$175</definedName>
    <definedName name="OPD_Cabinrecl_Medday_Stand">'Room List'!$F$178</definedName>
    <definedName name="OPD_Cabintroll_Medday_Stand">'Room List'!$F$177</definedName>
    <definedName name="OPD_Cameraroom">'Room List'!$F$176</definedName>
    <definedName name="OPD_CPEX">'Room List'!$F$179</definedName>
    <definedName name="OPD_Dental_Lab">'Room List'!$F$188</definedName>
    <definedName name="OPD_Dentalchair_1">'Room List'!$F$180</definedName>
    <definedName name="OPD_Grouproom">'Room List'!$F$181</definedName>
    <definedName name="OPD_Gym_Small">'Room List'!$F$182</definedName>
    <definedName name="OPD_Gym_Therapies">'Room List'!$F$183</definedName>
    <definedName name="OPD_Handtherapy">'Room List'!$F$184</definedName>
    <definedName name="OPD_Investdiag_Lrg">'Room List'!$F$186</definedName>
    <definedName name="OPD_Investdiag_Med">'Room List'!$F$187</definedName>
    <definedName name="OPD_Laserroom">'Room List'!$F$189</definedName>
    <definedName name="OPD_Lungfunction">'Room List'!$F$190</definedName>
    <definedName name="OPD_Machine_Disinfect">'Room List'!$F$191</definedName>
    <definedName name="OPD_Medprep_Cytotox">'Room List'!$F$192</definedName>
    <definedName name="OPD_Minorprocedure">'Room List'!$F$196</definedName>
    <definedName name="OPD_Orthoptics">'Room List'!$F$193</definedName>
    <definedName name="OPD_Phlebotomy">'Room List'!$F$194</definedName>
    <definedName name="OPD_Plaster">'Room List'!$F$195</definedName>
    <definedName name="OPD_Pool_Hydrotherapy">'Room List'!$F$185</definedName>
    <definedName name="OPD_PUVA">'Room List'!$F$197</definedName>
    <definedName name="OPD_Technical_Dialysis">'Room List'!$F$198</definedName>
    <definedName name="OPD_Visualfields">'Room List'!$F$199</definedName>
    <definedName name="OPD_Watertreatment">'Room List'!$F$200</definedName>
    <definedName name="Paeds_kitchen_milkspecialfeed">'Room List'!$F$202</definedName>
    <definedName name="Paeds_Lounge_Adoles_pp">'Room List'!$F$203</definedName>
    <definedName name="Paeds_Lounge_Fam_pp">'Room List'!$F$204</definedName>
    <definedName name="Paeds_Playroom">'Room List'!$F$205</definedName>
    <definedName name="Paeds_Schoolrm_Lrg">'Room List'!$F$207</definedName>
    <definedName name="Paeds_Schoolrm_Small">'Room List'!$F$206</definedName>
    <definedName name="Paeds_Sensoryroom">'Room List'!$F$208</definedName>
    <definedName name="Pantry">#REF!</definedName>
    <definedName name="Patient_Cabin">#REF!</definedName>
    <definedName name="Patient_CabinLarge">#REF!</definedName>
    <definedName name="Percent2" hidden="1">{#N/A,#N/A,FALSE,"Aging Summary";#N/A,#N/A,FALSE,"Ratio Analysis";#N/A,#N/A,FALSE,"Test 120 Day Accts";#N/A,#N/A,FALSE,"Tickmarks"}</definedName>
    <definedName name="Pharmacy_Aseptic">'Room List'!$F$247</definedName>
    <definedName name="Pharmacy_IVperitoneal">'Room List'!$F$248</definedName>
    <definedName name="Pharmacy_Loadingbay">'Room List'!$F$249</definedName>
    <definedName name="Pharmacy_Maindispens">'Room List'!$F$250</definedName>
    <definedName name="Pharmacy_OP">'Room List'!$F$251</definedName>
    <definedName name="Pharmacy_Repacking">'Room List'!$F$252</definedName>
    <definedName name="Pharmacy_Research">'Room List'!$F$253</definedName>
    <definedName name="Pneumatic_Tube">#REF!</definedName>
    <definedName name="POCT">#REF!</definedName>
    <definedName name="ppp" hidden="1">[1]Occ!#REF!</definedName>
    <definedName name="Prep_Room">#REF!</definedName>
    <definedName name="qq" hidden="1">{#N/A,#N/A,FALSE,"Aging Summary";#N/A,#N/A,FALSE,"Ratio Analysis";#N/A,#N/A,FALSE,"Test 120 Day Accts";#N/A,#N/A,FALSE,"Tickmarks"}</definedName>
    <definedName name="Reception_2ppl">#REF!</definedName>
    <definedName name="Reporting_Room">#REF!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TU_Gascylinder_Lrg">'Room List'!$F$254</definedName>
    <definedName name="RTU_Gascylinder_Small">'Room List'!$F$255</definedName>
    <definedName name="Scrub">#REF!</definedName>
    <definedName name="SCS_CE_Dual">'Room List'!$F$10</definedName>
    <definedName name="SCS_CE_Sing">'Room List'!$F$11</definedName>
    <definedName name="SCS_Cleaner_Cup">'Room List'!$F$8</definedName>
    <definedName name="SCS_Cleaner_Rm">'Room List'!$F$9</definedName>
    <definedName name="SCS_Cleansupply_ICU">'Room List'!$F$7</definedName>
    <definedName name="SCS_Cleansupply_lrg">'Room List'!$F$4</definedName>
    <definedName name="SCS_Cleansupply_Med">'Room List'!$F$5</definedName>
    <definedName name="SCS_Cleansupply_Small">'Room List'!$F$6</definedName>
    <definedName name="SCS_Controlhub">'Room List'!$F$12</definedName>
    <definedName name="SCS_Dirtyutil_Lrg">'Room List'!$F$13</definedName>
    <definedName name="SCS_Dirtyutil_Med">'Room List'!$F$14</definedName>
    <definedName name="SCS_Disphol_Med">'Room List'!$F$16</definedName>
    <definedName name="SCS_Disphol_Small">'Room List'!$F$17</definedName>
    <definedName name="SCS_Disphold_Lrg">'Room List'!$F$15</definedName>
    <definedName name="SCS_Fluidroom">'Room List'!$F$18</definedName>
    <definedName name="SCS_Hifidel_ICU">'Room List'!$F$19</definedName>
    <definedName name="SCS_Hifidel_NICU">'Room List'!$F$20</definedName>
    <definedName name="SCS_Hifidel_Theatre">'Room List'!$F$21</definedName>
    <definedName name="SCS_Interview">'Room List'!$F$22</definedName>
    <definedName name="SCS_Lobby_Iso">'Room List'!$F$23</definedName>
    <definedName name="SCS_MDT_15">'Room List'!$F$26</definedName>
    <definedName name="SCS_MDT_30">'Room List'!$F$27</definedName>
    <definedName name="SCS_Medprep_Lrg">'Room List'!$F$24</definedName>
    <definedName name="SCS_Medprep_Med">'Room List'!$F$25</definedName>
    <definedName name="SCS_Plaster">'Room List'!$F$28</definedName>
    <definedName name="SCS_POCT">'Room List'!$F$30</definedName>
    <definedName name="SCS_PTS">'Room List'!$F$29</definedName>
    <definedName name="SCS_Recliner_pp">'Room List'!$F$31</definedName>
    <definedName name="SCS_Therapyroom">'Room List'!$F$32</definedName>
    <definedName name="SCS_Treatment_Lrg">'Room List'!$F$33</definedName>
    <definedName name="SCS_Treatment_Stand">'Room List'!$F$34</definedName>
    <definedName name="Self_CheckIn">#REF!</definedName>
    <definedName name="Seminar_30ppl">#REF!</definedName>
    <definedName name="Service_Room">#REF!</definedName>
    <definedName name="Serviceroom_Equip_Lrg">'Room List'!$F$256</definedName>
    <definedName name="Serviceroom_Equip_Small">'Room List'!$F$257</definedName>
    <definedName name="Shower_Staff">#REF!</definedName>
    <definedName name="SRS_Bath_Assist">'Room List'!$F$36</definedName>
    <definedName name="SRS_Bay_Wheelstor">'Room List'!$F$37</definedName>
    <definedName name="SRS_CE_Dual">'Room List'!$F$10</definedName>
    <definedName name="SRS_CE_Sing">'Room List'!$F$11</definedName>
    <definedName name="SRS_Change_Accesspt">'Room List'!$F$38</definedName>
    <definedName name="SRS_Change_Ambpt">'Room List'!$F$39</definedName>
    <definedName name="SRS_Cleaner_Cup">'Room List'!$F$8</definedName>
    <definedName name="SRS_Cleaner_Rm">'Room List'!$F$9</definedName>
    <definedName name="SRS_Cleansupply_ICU">'Room List'!$F$7</definedName>
    <definedName name="SRS_Cleansupply_lrg">'Room List'!$F$4</definedName>
    <definedName name="SRS_Cleansupply_Med">'Room List'!$F$5</definedName>
    <definedName name="SRS_Cleansupply_Small">'Room List'!$F$6</definedName>
    <definedName name="SRS_Controlhub">'Room List'!$F$12</definedName>
    <definedName name="SRS_Delivhub_Med">'Room List'!$F$40</definedName>
    <definedName name="SRS_Delivhub_Small">'Room List'!$F$41</definedName>
    <definedName name="SRS_Dirtyutil_Lrg">'Room List'!$F$13</definedName>
    <definedName name="SRS_Dirtyutil_Med">'Room List'!$F$14</definedName>
    <definedName name="SRS_Disphol_Med">'Room List'!$F$16</definedName>
    <definedName name="SRS_Disphol_Small">'Room List'!$F$17</definedName>
    <definedName name="SRS_Disphold_Lrg">'Room List'!$F$15</definedName>
    <definedName name="SRS_Ensuite_Amb">'Room List'!$F$44</definedName>
    <definedName name="SRS_Ensuite_lrg">'Room List'!$F$43</definedName>
    <definedName name="SRS_Fluidroom">'Room List'!$F$18</definedName>
    <definedName name="SRS_Hifidel_ICU">'Room List'!$F$19</definedName>
    <definedName name="SRS_Hifidel_NICU">'Room List'!$F$20</definedName>
    <definedName name="SRS_Hifidel_Theatre">'Room List'!$F$21</definedName>
    <definedName name="SRS_Infantfeed">'Room List'!$F$45</definedName>
    <definedName name="SRS_Interview">'Room List'!$F$22</definedName>
    <definedName name="SRS_Kitchen_IP">'Room List'!$F$46</definedName>
    <definedName name="SRS_Lobby_Iso">'Room List'!$F$23</definedName>
    <definedName name="SRS_Locker_4">'Room List'!$F$47</definedName>
    <definedName name="SRS_MDT_15">'Room List'!$F$26</definedName>
    <definedName name="SRS_MDT_30">'Room List'!$F$27</definedName>
    <definedName name="SRS_Medprep_Lrg">'Room List'!$F$24</definedName>
    <definedName name="SRS_Medprep_Med">'Room List'!$F$25</definedName>
    <definedName name="SRS_Nappychange">'Room List'!$F$48</definedName>
    <definedName name="SRS_Oncallroom">'Room List'!$F$49</definedName>
    <definedName name="SRS_Pantry_Lrg">'Room List'!$F$50</definedName>
    <definedName name="SRS_Pantry_Med">'Room List'!$F$51</definedName>
    <definedName name="SRS_Pantry_Small">'Room List'!$F$52</definedName>
    <definedName name="SRS_Plaster">'Room List'!$F$28</definedName>
    <definedName name="SRS_POCT">'Room List'!$F$30</definedName>
    <definedName name="SRS_PTS">'Room List'!$F$29</definedName>
    <definedName name="SRS_Recept_pp">'Room List'!$F$53</definedName>
    <definedName name="SRS_Recliner_pp">'Room List'!$F$31</definedName>
    <definedName name="SRS_Selfcheckin">'Room List'!$F$54</definedName>
    <definedName name="SRS_Seminar_15">'Room List'!$F$55</definedName>
    <definedName name="SRS_Seminar_30">'Room List'!$F$56</definedName>
    <definedName name="SRS_Staff_Shower">'Room List'!$F$61</definedName>
    <definedName name="SRS_Staffbase_pp">'Room List'!$F$57</definedName>
    <definedName name="SRS_Staffbreakout_pp">'Room List'!$F$58</definedName>
    <definedName name="SRS_Staffchange_pp">'Room List'!$F$59</definedName>
    <definedName name="SRS_Staffrestbev_pp">'Room List'!$F$60</definedName>
    <definedName name="SRS_Therapyroom">'Room List'!$F$32</definedName>
    <definedName name="SRS_Touchdown_pp">'Room List'!$F$62</definedName>
    <definedName name="SRS_Treatment_Lrg">'Room List'!$F$33</definedName>
    <definedName name="SRS_Treatment_Stand">'Room List'!$F$34</definedName>
    <definedName name="SRS_Treatment_Stnd">'Room List'!$F$34</definedName>
    <definedName name="SRS_Virtualconsult_1">'Room List'!$F$63</definedName>
    <definedName name="SRS_Virtualconsult_2">'Room List'!$F$64</definedName>
    <definedName name="SRS_Wait_Amb_pp">'Room List'!$F$67</definedName>
    <definedName name="SRS_Wait_Child_pp">'Room List'!$F$65</definedName>
    <definedName name="SRS_Wait_Wheel_pp">'Room List'!$F$66</definedName>
    <definedName name="SRS_Waterdispenser">'Room List'!$F$42</definedName>
    <definedName name="SRS_WC_Access">'Room List'!$F$68</definedName>
    <definedName name="SRS_WC_Amb">'Room List'!$F$69</definedName>
    <definedName name="SRS_WC_Changingplace">'Room List'!$F$70</definedName>
    <definedName name="SRS_WC_Shower_Assist">'Room List'!$F$71</definedName>
    <definedName name="Staff_Base2ppl">#REF!</definedName>
    <definedName name="Staff_ChangePP">#REF!</definedName>
    <definedName name="Staff_Commandcentre_pp">'Room List'!$F$210</definedName>
    <definedName name="Staff_Diningroom">'Room List'!$F$211</definedName>
    <definedName name="Staff_Meetingbooth">'Room List'!$F$212</definedName>
    <definedName name="Staff_Meetingroom_pp">'Room List'!$F$213</definedName>
    <definedName name="Staff_Office_1">'Room List'!$F$214</definedName>
    <definedName name="Staff_Privac_phonebooth">'Room List'!$F$215</definedName>
    <definedName name="Staff_RoomPP">#REF!</definedName>
    <definedName name="Staff_Wellbeinglact">'Room List'!$F$216</definedName>
    <definedName name="Staff_Workstn_pp">'Room List'!$F$217</definedName>
    <definedName name="standardrooms">#REF!</definedName>
    <definedName name="Store_10">'Room List'!$F$306</definedName>
    <definedName name="Store_15">'Room List'!$F$307</definedName>
    <definedName name="Store_20">'Room List'!$F$308</definedName>
    <definedName name="Store_30">'Room List'!$F$309</definedName>
    <definedName name="Store_5">'Room List'!$F$311</definedName>
    <definedName name="Store_50">'Room List'!$F$310</definedName>
    <definedName name="Store_Anaesth">'Room List'!$F$304</definedName>
    <definedName name="Store_CleanSSD_6">'Room List'!$F$302</definedName>
    <definedName name="Store_DirtySSD_6">'Room List'!$F$303</definedName>
    <definedName name="Store_Large">#REF!</definedName>
    <definedName name="Store_Medium">#REF!</definedName>
    <definedName name="Store_Plaster">'Room List'!$F$305</definedName>
    <definedName name="Store_Small">#REF!</definedName>
    <definedName name="Studyroom">'Room List'!$F$258</definedName>
    <definedName name="temp" hidden="1">{"'Break down'!$A$4"}</definedName>
    <definedName name="test" hidden="1">{#N/A,#N/A,FALSE,"Aging Summary";#N/A,#N/A,FALSE,"Ratio Analysis";#N/A,#N/A,FALSE,"Test 120 Day Accts";#N/A,#N/A,FALSE,"Tickmarks"}</definedName>
    <definedName name="Theatre_Emergency">#REF!</definedName>
    <definedName name="Theatre_Hybrid">#REF!</definedName>
    <definedName name="Theatre_Obstetric">#REF!</definedName>
    <definedName name="Theatre_Standard">#REF!</definedName>
    <definedName name="Theatres_Anaesth">'Room List'!$F$153</definedName>
    <definedName name="Theatres_Bay_Exit">'Room List'!$F$154</definedName>
    <definedName name="Theatres_Blockroom_pp">'Room List'!$F$155</definedName>
    <definedName name="Theatres_Cabin_Stage1_Lrg">'Room List'!$F$157</definedName>
    <definedName name="Theatres_Cabin_Stage1_Stand">'Room List'!$F$156</definedName>
    <definedName name="Theatres_Cabin_Stage2_Lrg">'Room List'!$F$159</definedName>
    <definedName name="Theatres_Cabin_Stage2_Stand">'Room List'!$F$158</definedName>
    <definedName name="Theatres_Cathlab">'Room List'!$F$160</definedName>
    <definedName name="Theatres_Footwash">'Room List'!$F$161</definedName>
    <definedName name="Theatres_IRsuite">'Room List'!$F$162</definedName>
    <definedName name="Theatres_Lobby_Emerg">'Room List'!$F$172</definedName>
    <definedName name="Theatres_Lobby_IP">'Room List'!$F$171</definedName>
    <definedName name="Theatres_OT_Emerg">'Room List'!$F$163</definedName>
    <definedName name="Theatres_OT_Hybrid">'Room List'!$F$164</definedName>
    <definedName name="Theatres_OT_IntraopMRI">'Room List'!$F$165</definedName>
    <definedName name="Theatres_OT_Obstetric">'Room List'!$F$166</definedName>
    <definedName name="Theatres_OT_Obstettric">'Room List'!$F$166</definedName>
    <definedName name="Theatres_OT_Standard">'Room List'!$F$167</definedName>
    <definedName name="Theatres_Preparation">'Room List'!$F$168</definedName>
    <definedName name="Theatres_Samplefrozen">'Room List'!$F$169</definedName>
    <definedName name="Theatres_Scrubroom">'Room List'!$F$170</definedName>
    <definedName name="treeList" hidden="1">"10000000000000000000000000000000000000000000000000000000000000000000000000000000000000000000000000000000000000000000000000000000000000000000000000000000000000000000000000000000000000000000000000000000"</definedName>
    <definedName name="v" hidden="1">{#N/A,#N/A,FALSE,"Aging Summary";#N/A,#N/A,FALSE,"Ratio Analysis";#N/A,#N/A,FALSE,"Test 120 Day Accts";#N/A,#N/A,FALSE,"Tickmarks"}</definedName>
    <definedName name="Wait_pp">#REF!</definedName>
    <definedName name="WC_Accessible">#REF!</definedName>
    <definedName name="WC_Ambulant">#REF!</definedName>
    <definedName name="WC_Shower_Ambulant">#REF!</definedName>
    <definedName name="WC_Shower_Assisted">#REF!</definedName>
    <definedName name="WC_Staff">#REF!</definedName>
    <definedName name="Workstation_pp">#REF!</definedName>
    <definedName name="wrn.Aging._.and._.Trend._.Analysis." hidden="1">{#N/A,#N/A,FALSE,"Aging Summary";#N/A,#N/A,FALSE,"Ratio Analysis";#N/A,#N/A,FALSE,"Test 120 Day Accts";#N/A,#N/A,FALSE,"Tickmarks"}</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offices." hidden="1">{"off p1",#N/A,TRUE,"Regions";"off p2",#N/A,TRUE,"Regions";"off p3",#N/A,TRUE,"Regions";"off p4",#N/A,TRUE,"Regions"}</definedName>
    <definedName name="wrn.print." hidden="1">{"page1",#N/A,FALSE,"Sheet1";"page2",#N/A,FALSE,"Sheet1"}</definedName>
    <definedName name="wrn.retail." hidden="1">{"retail page1",#N/A,FALSE,"Regions";"retail page2",#N/A,FALSE,"Regions";"retail page3",#N/A,FALSE,"Regions";"retail page4",#N/A,FALSE,"Regions"}</definedName>
    <definedName name="wrn.retail2." hidden="1">{"retail page1",#N/A,FALSE,"Regions";"retail page2",#N/A,FALSE,"Regions";"retail page3",#N/A,FALSE,"Regions";"retail page4",#N/A,FALSE,"Regions"}</definedName>
    <definedName name="wrn.ruth." hidden="1">{"retail p1",#N/A,FALSE,"Regions"}</definedName>
    <definedName name="wrn.ruth2." hidden="1">{"retail p1",#N/A,FALSE,"Regions"}</definedName>
    <definedName name="www" hidden="1">[1]Demand!#REF!</definedName>
    <definedName name="Z_1DAD538E_C0BA_42B8_9C50_53EFCA5247FC_.wvu.FilterData" localSheetId="12" hidden="1">'Renal Dialysis'!$A$1:$G$1</definedName>
    <definedName name="Z_42ADDCB0_77ED_4223_86BD_4C190ABCA9AC_.wvu.FilterData" localSheetId="12" hidden="1">'Renal Dialysis'!$A$1:$G$1</definedName>
    <definedName name="Z_B762377F_6D94_423F_A688_1320CBE8BF5C_.wvu.FilterData" localSheetId="12" hidden="1">'Renal Dialysis'!$A$1:$G$1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36" l="1"/>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5" i="36"/>
  <c r="F4" i="36"/>
  <c r="F3" i="36"/>
  <c r="F2" i="36"/>
  <c r="F132" i="5" l="1"/>
  <c r="E131" i="5"/>
  <c r="F131" i="5" s="1"/>
  <c r="E130" i="5"/>
  <c r="F130" i="5" s="1"/>
  <c r="E129" i="5"/>
  <c r="F129" i="5" s="1"/>
  <c r="E128" i="5"/>
  <c r="F128" i="5" s="1"/>
  <c r="E127" i="5"/>
  <c r="F127" i="5" s="1"/>
  <c r="E126" i="5"/>
  <c r="F126" i="5" s="1"/>
  <c r="E125" i="5"/>
  <c r="F125" i="5" s="1"/>
  <c r="F124" i="5"/>
  <c r="E123" i="5"/>
  <c r="F123" i="5" s="1"/>
  <c r="F92" i="5"/>
  <c r="F122" i="5"/>
  <c r="F114" i="5"/>
  <c r="E113" i="5"/>
  <c r="F113" i="5" s="1"/>
  <c r="F91" i="5"/>
  <c r="F82" i="5"/>
  <c r="E81" i="5"/>
  <c r="F81" i="5" s="1"/>
  <c r="F80" i="5"/>
  <c r="E25" i="29" l="1"/>
  <c r="F29" i="29"/>
  <c r="E110" i="30"/>
  <c r="E48" i="30"/>
  <c r="E36" i="30"/>
  <c r="E22" i="30"/>
  <c r="E109" i="30" l="1"/>
  <c r="E54" i="30"/>
  <c r="F54" i="30" s="1"/>
  <c r="E26" i="30"/>
  <c r="F26" i="30" s="1"/>
  <c r="E14" i="30"/>
  <c r="F14" i="30" s="1"/>
  <c r="E11" i="35" l="1"/>
  <c r="F11" i="35" s="1"/>
  <c r="E53" i="35"/>
  <c r="F53" i="35" s="1"/>
  <c r="E52" i="35"/>
  <c r="F52" i="35" s="1"/>
  <c r="E51" i="35"/>
  <c r="F51" i="35" s="1"/>
  <c r="E50" i="35"/>
  <c r="F50" i="35" s="1"/>
  <c r="E49" i="35"/>
  <c r="F49" i="35" s="1"/>
  <c r="E48" i="35"/>
  <c r="F48" i="35" s="1"/>
  <c r="E47" i="35"/>
  <c r="F47" i="35" s="1"/>
  <c r="E46" i="35"/>
  <c r="F46" i="35" s="1"/>
  <c r="E45" i="35"/>
  <c r="F45" i="35" s="1"/>
  <c r="E44" i="35"/>
  <c r="F44" i="35" s="1"/>
  <c r="E43" i="35"/>
  <c r="F43" i="35" s="1"/>
  <c r="E42" i="35"/>
  <c r="F42" i="35" s="1"/>
  <c r="E41" i="35"/>
  <c r="F41" i="35" s="1"/>
  <c r="E40" i="35"/>
  <c r="F40" i="35" s="1"/>
  <c r="E39" i="35"/>
  <c r="F39" i="35" s="1"/>
  <c r="E38" i="35"/>
  <c r="F38" i="35" s="1"/>
  <c r="E37" i="35"/>
  <c r="F37" i="35" s="1"/>
  <c r="E36" i="35"/>
  <c r="F36" i="35" s="1"/>
  <c r="E35" i="35"/>
  <c r="F35" i="35" s="1"/>
  <c r="E34" i="35"/>
  <c r="F34" i="35" s="1"/>
  <c r="E33" i="35"/>
  <c r="F33" i="35" s="1"/>
  <c r="E32" i="35"/>
  <c r="F32" i="35" s="1"/>
  <c r="E31" i="35"/>
  <c r="F31" i="35" s="1"/>
  <c r="E30" i="35"/>
  <c r="F30" i="35" s="1"/>
  <c r="E29" i="35"/>
  <c r="F29" i="35" s="1"/>
  <c r="E28" i="35"/>
  <c r="F28" i="35" s="1"/>
  <c r="E27" i="35"/>
  <c r="F27" i="35" s="1"/>
  <c r="E26" i="35"/>
  <c r="F26" i="35" s="1"/>
  <c r="E25" i="35"/>
  <c r="F25" i="35" s="1"/>
  <c r="E24" i="35"/>
  <c r="F24" i="35" s="1"/>
  <c r="E23" i="35"/>
  <c r="F23" i="35" s="1"/>
  <c r="E22" i="35"/>
  <c r="F22" i="35" s="1"/>
  <c r="E21" i="35"/>
  <c r="F21" i="35" s="1"/>
  <c r="E20" i="35"/>
  <c r="F20" i="35" s="1"/>
  <c r="E19" i="35"/>
  <c r="F19" i="35" s="1"/>
  <c r="E18" i="35"/>
  <c r="F18" i="35" s="1"/>
  <c r="E17" i="35"/>
  <c r="F17" i="35" s="1"/>
  <c r="E16" i="35"/>
  <c r="F16" i="35" s="1"/>
  <c r="E15" i="35"/>
  <c r="F15" i="35" s="1"/>
  <c r="E14" i="35"/>
  <c r="F14" i="35" s="1"/>
  <c r="E13" i="35"/>
  <c r="F13" i="35" s="1"/>
  <c r="E12" i="35"/>
  <c r="F12" i="35" s="1"/>
  <c r="E10" i="35"/>
  <c r="F10" i="35" s="1"/>
  <c r="E9" i="35"/>
  <c r="F9" i="35" s="1"/>
  <c r="E8" i="35"/>
  <c r="F8" i="35" s="1"/>
  <c r="E7" i="35"/>
  <c r="F7" i="35" s="1"/>
  <c r="E6" i="35"/>
  <c r="F6" i="35" s="1"/>
  <c r="E5" i="35"/>
  <c r="F5" i="35" s="1"/>
  <c r="E4" i="35"/>
  <c r="F4" i="35" s="1"/>
  <c r="E3" i="35"/>
  <c r="F3" i="35" s="1"/>
  <c r="E2" i="35"/>
  <c r="F2" i="35" s="1"/>
  <c r="E187" i="28"/>
  <c r="F187" i="28" s="1"/>
  <c r="E89" i="28"/>
  <c r="E43" i="30"/>
  <c r="F43" i="30" s="1"/>
  <c r="E186" i="28"/>
  <c r="F186" i="28" s="1"/>
  <c r="E185" i="28"/>
  <c r="F185" i="28" s="1"/>
  <c r="E167" i="28"/>
  <c r="F167" i="28" s="1"/>
  <c r="E50" i="30"/>
  <c r="F50" i="30" s="1"/>
  <c r="E23" i="30"/>
  <c r="F23" i="30" s="1"/>
  <c r="E25" i="30"/>
  <c r="F25" i="30" s="1"/>
  <c r="E24" i="27"/>
  <c r="D5" i="2" l="1"/>
  <c r="D4" i="2"/>
  <c r="D3" i="2" l="1"/>
  <c r="E48" i="28" l="1"/>
  <c r="F48" i="28" s="1"/>
  <c r="F7" i="28" l="1"/>
  <c r="E179" i="28" l="1"/>
  <c r="F179" i="28" s="1"/>
  <c r="E165" i="28"/>
  <c r="F165" i="28" s="1"/>
  <c r="E131" i="28"/>
  <c r="F131" i="28" s="1"/>
  <c r="E108" i="28"/>
  <c r="F108" i="28" s="1"/>
  <c r="E76" i="28"/>
  <c r="F76" i="28" s="1"/>
  <c r="E149" i="32"/>
  <c r="F149" i="32" s="1"/>
  <c r="F34" i="32"/>
  <c r="E26" i="32"/>
  <c r="E25" i="32"/>
  <c r="F25" i="32" s="1"/>
  <c r="E53" i="29" l="1"/>
  <c r="F53" i="29" s="1"/>
  <c r="E32" i="27"/>
  <c r="F32" i="27" s="1"/>
  <c r="E31" i="29"/>
  <c r="F31" i="29" s="1"/>
  <c r="E8" i="15"/>
  <c r="E33" i="29"/>
  <c r="E51" i="27"/>
  <c r="F51" i="27" s="1"/>
  <c r="E142" i="32"/>
  <c r="F142" i="32" s="1"/>
  <c r="E141" i="32"/>
  <c r="F141" i="32" s="1"/>
  <c r="E61" i="32"/>
  <c r="E60" i="32"/>
  <c r="E149" i="9"/>
  <c r="F149" i="9" s="1"/>
  <c r="E158" i="9"/>
  <c r="E157" i="9"/>
  <c r="E156" i="9"/>
  <c r="E155" i="9"/>
  <c r="E154" i="9"/>
  <c r="E153" i="9"/>
  <c r="E86" i="9"/>
  <c r="E126" i="9"/>
  <c r="E152" i="9"/>
  <c r="E151" i="9"/>
  <c r="E150" i="9"/>
  <c r="E148" i="9"/>
  <c r="E147" i="9"/>
  <c r="E146" i="9"/>
  <c r="E145" i="9"/>
  <c r="E143" i="9"/>
  <c r="E141" i="9"/>
  <c r="E142" i="9"/>
  <c r="E140" i="9"/>
  <c r="E139" i="9"/>
  <c r="E137" i="9"/>
  <c r="E133" i="9"/>
  <c r="E132" i="9"/>
  <c r="E131" i="9"/>
  <c r="E130" i="9"/>
  <c r="E129" i="9"/>
  <c r="E128" i="9"/>
  <c r="F128" i="9" s="1"/>
  <c r="E127" i="9"/>
  <c r="E125" i="9"/>
  <c r="E124" i="9"/>
  <c r="E123" i="9"/>
  <c r="E122" i="9"/>
  <c r="E121" i="9"/>
  <c r="E120" i="9"/>
  <c r="E119" i="9"/>
  <c r="E118" i="9"/>
  <c r="E117" i="9"/>
  <c r="E116" i="9"/>
  <c r="E115" i="9"/>
  <c r="E114" i="9"/>
  <c r="E113" i="9"/>
  <c r="E112" i="9"/>
  <c r="E111" i="9"/>
  <c r="E110" i="9"/>
  <c r="E109" i="9"/>
  <c r="E108" i="9"/>
  <c r="E106" i="9"/>
  <c r="E105" i="9"/>
  <c r="E103" i="9"/>
  <c r="E99" i="9"/>
  <c r="E98" i="9"/>
  <c r="E97" i="9"/>
  <c r="E96" i="9"/>
  <c r="E90" i="9"/>
  <c r="E91" i="9"/>
  <c r="E89" i="9"/>
  <c r="E88" i="9"/>
  <c r="E87" i="9"/>
  <c r="E85" i="9"/>
  <c r="E84" i="9"/>
  <c r="E83" i="9"/>
  <c r="E82" i="9"/>
  <c r="E81" i="9"/>
  <c r="E80" i="9"/>
  <c r="E79" i="9"/>
  <c r="E75" i="9"/>
  <c r="F75" i="9" s="1"/>
  <c r="E74" i="9"/>
  <c r="F74" i="9" s="1"/>
  <c r="F73" i="9"/>
  <c r="E72" i="9"/>
  <c r="F72" i="9" s="1"/>
  <c r="E71" i="9"/>
  <c r="F71" i="9" s="1"/>
  <c r="E70" i="9"/>
  <c r="F70" i="9" s="1"/>
  <c r="E69" i="9"/>
  <c r="F69" i="9" s="1"/>
  <c r="E68" i="9"/>
  <c r="F68" i="9" s="1"/>
  <c r="E67" i="9"/>
  <c r="F67" i="9" s="1"/>
  <c r="E66" i="9"/>
  <c r="F66" i="9" s="1"/>
  <c r="E65" i="9"/>
  <c r="F65" i="9" s="1"/>
  <c r="D64" i="9"/>
  <c r="F64" i="9" s="1"/>
  <c r="E63" i="9"/>
  <c r="F63" i="9" s="1"/>
  <c r="E61" i="9"/>
  <c r="F61" i="9" s="1"/>
  <c r="E60" i="9"/>
  <c r="F60" i="9" s="1"/>
  <c r="F59" i="9"/>
  <c r="E58" i="9"/>
  <c r="F58" i="9" s="1"/>
  <c r="E57" i="9"/>
  <c r="F57" i="9" s="1"/>
  <c r="E56" i="9"/>
  <c r="F56" i="9" s="1"/>
  <c r="E55" i="9"/>
  <c r="F55" i="9" s="1"/>
  <c r="E54" i="9"/>
  <c r="F54" i="9" s="1"/>
  <c r="E53" i="9"/>
  <c r="F53" i="9" s="1"/>
  <c r="E52" i="9"/>
  <c r="F52" i="9" s="1"/>
  <c r="E51" i="9"/>
  <c r="F51" i="9" s="1"/>
  <c r="D50" i="9"/>
  <c r="F50" i="9" s="1"/>
  <c r="E49" i="9"/>
  <c r="F49" i="9" s="1"/>
  <c r="E47" i="9"/>
  <c r="F47" i="9" s="1"/>
  <c r="E46" i="9"/>
  <c r="F46" i="9" s="1"/>
  <c r="F45" i="9"/>
  <c r="E44" i="9"/>
  <c r="F44" i="9" s="1"/>
  <c r="E43" i="9"/>
  <c r="F43" i="9" s="1"/>
  <c r="E42" i="9"/>
  <c r="F42" i="9" s="1"/>
  <c r="E41" i="9"/>
  <c r="F41" i="9" s="1"/>
  <c r="E40" i="9"/>
  <c r="E39" i="9"/>
  <c r="E38" i="9"/>
  <c r="E37" i="9"/>
  <c r="E35" i="9"/>
  <c r="E33" i="9"/>
  <c r="E32" i="9"/>
  <c r="E28" i="9"/>
  <c r="E30" i="9"/>
  <c r="E29" i="9"/>
  <c r="E27" i="9"/>
  <c r="E26" i="9"/>
  <c r="F10" i="9"/>
  <c r="E25" i="9"/>
  <c r="E24" i="9"/>
  <c r="E23" i="9"/>
  <c r="E21" i="9"/>
  <c r="E17" i="9"/>
  <c r="E16" i="9"/>
  <c r="E15" i="9"/>
  <c r="E14" i="9"/>
  <c r="E13" i="9"/>
  <c r="E12" i="9"/>
  <c r="F62" i="9" l="1"/>
  <c r="F76" i="9"/>
  <c r="E8" i="9"/>
  <c r="E7" i="9"/>
  <c r="E6" i="9"/>
  <c r="E5" i="9"/>
  <c r="E4" i="9"/>
  <c r="E3" i="9"/>
  <c r="E150" i="32" l="1"/>
  <c r="F150" i="32" s="1"/>
  <c r="E148" i="32"/>
  <c r="F148" i="32" s="1"/>
  <c r="E147" i="32"/>
  <c r="F147" i="32" s="1"/>
  <c r="E146" i="32"/>
  <c r="F146" i="32" s="1"/>
  <c r="E145" i="32"/>
  <c r="F145" i="32" s="1"/>
  <c r="E144" i="32"/>
  <c r="E143" i="32"/>
  <c r="F143" i="32" s="1"/>
  <c r="E140" i="32"/>
  <c r="F140" i="32" s="1"/>
  <c r="E139" i="32"/>
  <c r="F139" i="32" s="1"/>
  <c r="E138" i="32"/>
  <c r="F138" i="32" s="1"/>
  <c r="E137" i="32"/>
  <c r="F137" i="32" s="1"/>
  <c r="E136" i="32"/>
  <c r="F136" i="32" s="1"/>
  <c r="E135" i="32"/>
  <c r="F135" i="32" s="1"/>
  <c r="E134" i="32"/>
  <c r="F134" i="32" s="1"/>
  <c r="E133" i="32"/>
  <c r="F133" i="32" s="1"/>
  <c r="E132" i="32"/>
  <c r="F132" i="32" s="1"/>
  <c r="E131" i="32"/>
  <c r="F131" i="32" s="1"/>
  <c r="E130" i="32"/>
  <c r="F130" i="32" s="1"/>
  <c r="E129" i="32"/>
  <c r="F129" i="32" s="1"/>
  <c r="E128" i="32"/>
  <c r="F128" i="32" s="1"/>
  <c r="E127" i="32"/>
  <c r="F127" i="32" s="1"/>
  <c r="E126" i="32"/>
  <c r="F126" i="32" s="1"/>
  <c r="E125" i="32"/>
  <c r="F125" i="32" s="1"/>
  <c r="E124" i="32"/>
  <c r="F124" i="32" s="1"/>
  <c r="E123" i="32"/>
  <c r="F123" i="32" s="1"/>
  <c r="E122" i="32"/>
  <c r="F122" i="32" s="1"/>
  <c r="E121" i="32"/>
  <c r="F121" i="32" s="1"/>
  <c r="E120" i="32"/>
  <c r="F120" i="32" s="1"/>
  <c r="E119" i="32"/>
  <c r="F119" i="32" s="1"/>
  <c r="E118" i="32"/>
  <c r="F118" i="32" s="1"/>
  <c r="E117" i="32"/>
  <c r="F117" i="32" s="1"/>
  <c r="E116" i="32"/>
  <c r="F116" i="32" s="1"/>
  <c r="E115" i="32"/>
  <c r="F115" i="32" s="1"/>
  <c r="E114" i="32"/>
  <c r="F114" i="32" s="1"/>
  <c r="E113" i="32"/>
  <c r="F113" i="32" s="1"/>
  <c r="E110" i="32"/>
  <c r="F110" i="32" s="1"/>
  <c r="E112" i="32"/>
  <c r="F112" i="32" s="1"/>
  <c r="E111" i="32"/>
  <c r="F111" i="32" s="1"/>
  <c r="E109" i="32"/>
  <c r="F109" i="32" s="1"/>
  <c r="E108" i="32"/>
  <c r="F108" i="32" s="1"/>
  <c r="E107" i="32"/>
  <c r="F107" i="32" s="1"/>
  <c r="E106" i="32"/>
  <c r="F106" i="32" s="1"/>
  <c r="E105" i="32"/>
  <c r="F105" i="32" s="1"/>
  <c r="E104" i="32"/>
  <c r="F104" i="32" s="1"/>
  <c r="E103" i="32"/>
  <c r="F103" i="32" s="1"/>
  <c r="E102" i="32"/>
  <c r="F102" i="32" s="1"/>
  <c r="E101" i="32"/>
  <c r="F101" i="32" s="1"/>
  <c r="E100" i="32"/>
  <c r="F100" i="32" s="1"/>
  <c r="E99" i="32"/>
  <c r="F99" i="32" s="1"/>
  <c r="E98" i="32"/>
  <c r="F98" i="32" s="1"/>
  <c r="E97" i="32"/>
  <c r="F97" i="32" s="1"/>
  <c r="E96" i="32"/>
  <c r="F96" i="32" s="1"/>
  <c r="E95" i="32"/>
  <c r="F95" i="32" s="1"/>
  <c r="E94" i="32"/>
  <c r="F94" i="32" s="1"/>
  <c r="E93" i="32"/>
  <c r="F93" i="32" s="1"/>
  <c r="E92" i="32"/>
  <c r="F92" i="32" s="1"/>
  <c r="E91" i="32"/>
  <c r="F91" i="32" s="1"/>
  <c r="E90" i="32"/>
  <c r="F90" i="32" s="1"/>
  <c r="E89" i="32"/>
  <c r="F89" i="32" s="1"/>
  <c r="E88" i="32"/>
  <c r="F88" i="32" s="1"/>
  <c r="E87" i="32"/>
  <c r="F87" i="32" s="1"/>
  <c r="E86" i="32"/>
  <c r="F86" i="32" s="1"/>
  <c r="E85" i="32"/>
  <c r="F85" i="32" s="1"/>
  <c r="E84" i="32"/>
  <c r="F84" i="32" s="1"/>
  <c r="E83" i="32"/>
  <c r="F83" i="32" s="1"/>
  <c r="E82" i="32"/>
  <c r="F82" i="32" s="1"/>
  <c r="E81" i="32"/>
  <c r="F81" i="32" s="1"/>
  <c r="E80" i="32"/>
  <c r="F80" i="32" s="1"/>
  <c r="E79" i="32"/>
  <c r="F79" i="32" s="1"/>
  <c r="E78" i="32"/>
  <c r="F78" i="32" s="1"/>
  <c r="E77" i="32"/>
  <c r="F77" i="32" s="1"/>
  <c r="E76" i="32"/>
  <c r="F76" i="32" s="1"/>
  <c r="E75" i="32"/>
  <c r="F75" i="32" s="1"/>
  <c r="E74" i="32"/>
  <c r="F74" i="32" s="1"/>
  <c r="E73" i="32"/>
  <c r="F73" i="32" s="1"/>
  <c r="E72" i="32"/>
  <c r="F72" i="32" s="1"/>
  <c r="E71" i="32"/>
  <c r="E70" i="32"/>
  <c r="F70" i="32" s="1"/>
  <c r="E69" i="32"/>
  <c r="F69" i="32" s="1"/>
  <c r="E68" i="32"/>
  <c r="F68" i="32" s="1"/>
  <c r="E67" i="32"/>
  <c r="F67" i="32" s="1"/>
  <c r="E66" i="32"/>
  <c r="F66" i="32" s="1"/>
  <c r="F64" i="32"/>
  <c r="E63" i="32"/>
  <c r="F63" i="32" s="1"/>
  <c r="E62" i="32"/>
  <c r="F62" i="32" s="1"/>
  <c r="F60" i="32"/>
  <c r="E59" i="32"/>
  <c r="F59" i="32" s="1"/>
  <c r="E58" i="32"/>
  <c r="F58" i="32" s="1"/>
  <c r="E57" i="32"/>
  <c r="F57" i="32" s="1"/>
  <c r="E56" i="32"/>
  <c r="E55" i="32"/>
  <c r="F55" i="32" s="1"/>
  <c r="F54" i="32"/>
  <c r="F53" i="32"/>
  <c r="E52" i="32"/>
  <c r="F52" i="32" s="1"/>
  <c r="E51" i="32"/>
  <c r="F51" i="32" s="1"/>
  <c r="E50" i="32"/>
  <c r="F50" i="32" s="1"/>
  <c r="E49" i="32"/>
  <c r="F49" i="32" s="1"/>
  <c r="E48" i="32"/>
  <c r="F48" i="32" s="1"/>
  <c r="E47" i="32"/>
  <c r="F47" i="32" s="1"/>
  <c r="E46" i="32"/>
  <c r="F46" i="32" s="1"/>
  <c r="E45" i="32"/>
  <c r="F45" i="32" s="1"/>
  <c r="E44" i="32"/>
  <c r="F44" i="32" s="1"/>
  <c r="E43" i="32"/>
  <c r="F43" i="32" s="1"/>
  <c r="E42" i="32"/>
  <c r="F42" i="32" s="1"/>
  <c r="E41" i="32"/>
  <c r="E40" i="32"/>
  <c r="F40" i="32" s="1"/>
  <c r="E39" i="32"/>
  <c r="F39" i="32" s="1"/>
  <c r="E38" i="32"/>
  <c r="F38" i="32" s="1"/>
  <c r="E37" i="32"/>
  <c r="F37" i="32" s="1"/>
  <c r="E36" i="32"/>
  <c r="F36" i="32" s="1"/>
  <c r="E35" i="32"/>
  <c r="F35" i="32" s="1"/>
  <c r="F33" i="32"/>
  <c r="E32" i="32"/>
  <c r="F32" i="32" s="1"/>
  <c r="E31" i="32"/>
  <c r="F31" i="32" s="1"/>
  <c r="E30" i="32"/>
  <c r="F30" i="32" s="1"/>
  <c r="E29" i="32"/>
  <c r="F29" i="32" s="1"/>
  <c r="E28" i="32"/>
  <c r="F28" i="32" s="1"/>
  <c r="E27" i="32"/>
  <c r="F27" i="32" s="1"/>
  <c r="E24" i="32"/>
  <c r="F24" i="32" s="1"/>
  <c r="E23" i="32"/>
  <c r="F23" i="32" s="1"/>
  <c r="E22" i="32"/>
  <c r="F22" i="32" s="1"/>
  <c r="E21" i="32"/>
  <c r="F21" i="32" s="1"/>
  <c r="E20" i="32"/>
  <c r="F20" i="32" s="1"/>
  <c r="E19" i="32"/>
  <c r="F19" i="32" s="1"/>
  <c r="E18" i="32"/>
  <c r="F18" i="32" s="1"/>
  <c r="E17" i="32"/>
  <c r="F17" i="32" s="1"/>
  <c r="E16" i="32"/>
  <c r="F16" i="32" s="1"/>
  <c r="E15" i="32"/>
  <c r="F15" i="32" s="1"/>
  <c r="E14" i="32"/>
  <c r="F14" i="32" s="1"/>
  <c r="E13" i="32"/>
  <c r="F13" i="32" s="1"/>
  <c r="E12" i="32"/>
  <c r="F12" i="32" s="1"/>
  <c r="E11" i="32"/>
  <c r="F11" i="32" s="1"/>
  <c r="E10" i="32"/>
  <c r="F10" i="32" s="1"/>
  <c r="E9" i="32"/>
  <c r="F9" i="32" s="1"/>
  <c r="E8" i="32"/>
  <c r="F8" i="32" s="1"/>
  <c r="E7" i="32"/>
  <c r="F7" i="32" s="1"/>
  <c r="E6" i="32"/>
  <c r="F6" i="32" s="1"/>
  <c r="E5" i="32"/>
  <c r="F5" i="32" s="1"/>
  <c r="E4" i="32"/>
  <c r="F4" i="32" s="1"/>
  <c r="E3" i="32"/>
  <c r="F3" i="32" s="1"/>
  <c r="E2" i="32"/>
  <c r="F2" i="32" s="1"/>
  <c r="F144" i="32"/>
  <c r="F65" i="32"/>
  <c r="F61" i="32"/>
  <c r="F26" i="32"/>
  <c r="D59" i="2" l="1"/>
  <c r="D62" i="2"/>
  <c r="D61" i="2"/>
  <c r="D60" i="2" l="1"/>
  <c r="E50" i="15"/>
  <c r="E49" i="15"/>
  <c r="E48" i="15"/>
  <c r="E47" i="15"/>
  <c r="E46" i="15"/>
  <c r="E45" i="15"/>
  <c r="E44" i="15"/>
  <c r="E43" i="15"/>
  <c r="E42" i="15"/>
  <c r="E41" i="15"/>
  <c r="E40" i="15"/>
  <c r="E39" i="15"/>
  <c r="E38" i="15"/>
  <c r="E37" i="15"/>
  <c r="E36" i="15"/>
  <c r="E35" i="15"/>
  <c r="E34" i="15"/>
  <c r="E33" i="15"/>
  <c r="E32" i="15"/>
  <c r="E31" i="15"/>
  <c r="E30" i="15"/>
  <c r="E28" i="15"/>
  <c r="E27" i="15"/>
  <c r="E26" i="15"/>
  <c r="E25" i="15"/>
  <c r="E24" i="15"/>
  <c r="E23" i="15"/>
  <c r="E21" i="15"/>
  <c r="E20" i="15"/>
  <c r="E19" i="15"/>
  <c r="E18" i="15"/>
  <c r="E17" i="15"/>
  <c r="E16" i="15"/>
  <c r="E15" i="15"/>
  <c r="E14" i="15"/>
  <c r="E13" i="15"/>
  <c r="E12" i="15"/>
  <c r="E11" i="15"/>
  <c r="E10" i="15"/>
  <c r="E9" i="15"/>
  <c r="E7" i="15"/>
  <c r="E5" i="15"/>
  <c r="E4" i="15"/>
  <c r="E3" i="15"/>
  <c r="E2" i="15"/>
  <c r="E163" i="5" l="1"/>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5" i="5"/>
  <c r="E134" i="5"/>
  <c r="E133" i="5"/>
  <c r="E93" i="5"/>
  <c r="E121" i="5"/>
  <c r="E120" i="5"/>
  <c r="E119" i="5"/>
  <c r="E118" i="5"/>
  <c r="E117" i="5"/>
  <c r="E116" i="5"/>
  <c r="E115" i="5"/>
  <c r="E112" i="5"/>
  <c r="E111" i="5"/>
  <c r="E110" i="5"/>
  <c r="E109" i="5"/>
  <c r="E108" i="5"/>
  <c r="E107" i="5"/>
  <c r="E106" i="5"/>
  <c r="E105" i="5"/>
  <c r="E104" i="5"/>
  <c r="E103" i="5"/>
  <c r="E102" i="5"/>
  <c r="E101" i="5"/>
  <c r="E100" i="5"/>
  <c r="E99" i="5"/>
  <c r="E98" i="5"/>
  <c r="E97" i="5"/>
  <c r="E96" i="5"/>
  <c r="E95" i="5"/>
  <c r="E94" i="5"/>
  <c r="E90" i="5"/>
  <c r="E89" i="5"/>
  <c r="E88" i="5"/>
  <c r="E87" i="5"/>
  <c r="E86" i="5"/>
  <c r="E85" i="5"/>
  <c r="E84" i="5"/>
  <c r="E83" i="5"/>
  <c r="E79" i="5"/>
  <c r="E78" i="5"/>
  <c r="E77" i="5"/>
  <c r="E76" i="5"/>
  <c r="E75" i="5"/>
  <c r="E74" i="5"/>
  <c r="E73" i="5"/>
  <c r="E70" i="5"/>
  <c r="E72" i="5"/>
  <c r="E69" i="5"/>
  <c r="E67" i="5"/>
  <c r="E66" i="5"/>
  <c r="E65" i="5"/>
  <c r="E64" i="5"/>
  <c r="E63" i="5"/>
  <c r="E62" i="5"/>
  <c r="E61" i="5"/>
  <c r="E60" i="5"/>
  <c r="E59" i="5"/>
  <c r="E58" i="5"/>
  <c r="E57" i="5"/>
  <c r="E56" i="5"/>
  <c r="E55" i="5"/>
  <c r="E54" i="5"/>
  <c r="E53" i="5"/>
  <c r="E52" i="5" l="1"/>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F22" i="5" s="1"/>
  <c r="E21" i="5"/>
  <c r="E19" i="5"/>
  <c r="E18" i="5"/>
  <c r="E17" i="5"/>
  <c r="E16" i="5"/>
  <c r="E15" i="5"/>
  <c r="E14" i="5"/>
  <c r="E13" i="5"/>
  <c r="E12" i="5"/>
  <c r="E11" i="5"/>
  <c r="E10" i="5"/>
  <c r="E9" i="5"/>
  <c r="E8" i="5"/>
  <c r="E7" i="5"/>
  <c r="E6" i="5"/>
  <c r="E5" i="5"/>
  <c r="E4" i="5"/>
  <c r="E3" i="5"/>
  <c r="E2" i="5"/>
  <c r="F23" i="5" l="1"/>
  <c r="E35" i="29" l="1"/>
  <c r="E74" i="29" l="1"/>
  <c r="F74" i="29" s="1"/>
  <c r="E73" i="29"/>
  <c r="F73" i="29" s="1"/>
  <c r="E72" i="29"/>
  <c r="F72" i="29" s="1"/>
  <c r="E71" i="29"/>
  <c r="F71" i="29" s="1"/>
  <c r="E70" i="29"/>
  <c r="F70" i="29" s="1"/>
  <c r="E69" i="29"/>
  <c r="F69" i="29" s="1"/>
  <c r="E68" i="29"/>
  <c r="F68" i="29" s="1"/>
  <c r="E67" i="29"/>
  <c r="F67" i="29" s="1"/>
  <c r="E66" i="29"/>
  <c r="F66" i="29" s="1"/>
  <c r="E65" i="29"/>
  <c r="F65" i="29" s="1"/>
  <c r="E64" i="29"/>
  <c r="F64" i="29" s="1"/>
  <c r="E63" i="29"/>
  <c r="F63" i="29" s="1"/>
  <c r="E62" i="29"/>
  <c r="F62" i="29" s="1"/>
  <c r="E61" i="29"/>
  <c r="F61" i="29" s="1"/>
  <c r="E60" i="29"/>
  <c r="F60" i="29" s="1"/>
  <c r="E59" i="29"/>
  <c r="F59" i="29" s="1"/>
  <c r="E58" i="29"/>
  <c r="F58" i="29" s="1"/>
  <c r="E57" i="29"/>
  <c r="F57" i="29" s="1"/>
  <c r="E56" i="29"/>
  <c r="F56" i="29" s="1"/>
  <c r="E55" i="29"/>
  <c r="F55" i="29" s="1"/>
  <c r="E54" i="29"/>
  <c r="F54" i="29" s="1"/>
  <c r="E52" i="29"/>
  <c r="F52" i="29" s="1"/>
  <c r="E51" i="29"/>
  <c r="F51" i="29" s="1"/>
  <c r="E50" i="29"/>
  <c r="F50" i="29" s="1"/>
  <c r="E49" i="29"/>
  <c r="F49" i="29" s="1"/>
  <c r="E48" i="29"/>
  <c r="F48" i="29" s="1"/>
  <c r="E47" i="29"/>
  <c r="F47" i="29" s="1"/>
  <c r="E46" i="29"/>
  <c r="F46" i="29" s="1"/>
  <c r="E45" i="29"/>
  <c r="F45" i="29" s="1"/>
  <c r="E44" i="29"/>
  <c r="F44" i="29" s="1"/>
  <c r="E43" i="29"/>
  <c r="F43" i="29" s="1"/>
  <c r="E42" i="29"/>
  <c r="F42" i="29" s="1"/>
  <c r="E41" i="29"/>
  <c r="F41" i="29" s="1"/>
  <c r="E40" i="29"/>
  <c r="F40" i="29" s="1"/>
  <c r="E39" i="29"/>
  <c r="F39" i="29" s="1"/>
  <c r="E38" i="29"/>
  <c r="F38" i="29" s="1"/>
  <c r="E37" i="29"/>
  <c r="F37" i="29" s="1"/>
  <c r="F34" i="29"/>
  <c r="F33" i="29"/>
  <c r="E32" i="29"/>
  <c r="F32" i="29" s="1"/>
  <c r="E30" i="29"/>
  <c r="F30" i="29" s="1"/>
  <c r="F28" i="29"/>
  <c r="E36" i="29"/>
  <c r="F36" i="29" s="1"/>
  <c r="E27" i="29"/>
  <c r="F27" i="29" s="1"/>
  <c r="E26" i="29"/>
  <c r="F26" i="29" s="1"/>
  <c r="F25" i="29"/>
  <c r="E22" i="29" l="1"/>
  <c r="F22" i="29" s="1"/>
  <c r="E19" i="29"/>
  <c r="F19" i="29" s="1"/>
  <c r="E15" i="29"/>
  <c r="F15" i="29" s="1"/>
  <c r="E11" i="29"/>
  <c r="E10" i="29"/>
  <c r="F10" i="29" s="1"/>
  <c r="E5" i="29"/>
  <c r="F5" i="29" s="1"/>
  <c r="E42" i="28" l="1"/>
  <c r="E122" i="30" l="1"/>
  <c r="F122" i="30" s="1"/>
  <c r="E121" i="30"/>
  <c r="F121" i="30" s="1"/>
  <c r="E120" i="30"/>
  <c r="F120" i="30" s="1"/>
  <c r="E119" i="30"/>
  <c r="F119" i="30" s="1"/>
  <c r="E118" i="30"/>
  <c r="F118" i="30" s="1"/>
  <c r="E117" i="30"/>
  <c r="F117" i="30" s="1"/>
  <c r="E116" i="30"/>
  <c r="F116" i="30" s="1"/>
  <c r="E115" i="30"/>
  <c r="F115" i="30" s="1"/>
  <c r="E114" i="30"/>
  <c r="F114" i="30" s="1"/>
  <c r="E113" i="30"/>
  <c r="F113" i="30" s="1"/>
  <c r="E112" i="30"/>
  <c r="F112" i="30" s="1"/>
  <c r="E111" i="30"/>
  <c r="F111" i="30" s="1"/>
  <c r="F110" i="30"/>
  <c r="F109" i="30"/>
  <c r="E108" i="30"/>
  <c r="F108" i="30" s="1"/>
  <c r="E107" i="30"/>
  <c r="F107" i="30" s="1"/>
  <c r="E106" i="30"/>
  <c r="F106" i="30" s="1"/>
  <c r="E105" i="30"/>
  <c r="F105" i="30" s="1"/>
  <c r="E104" i="30"/>
  <c r="F104" i="30" s="1"/>
  <c r="E103" i="30"/>
  <c r="F103" i="30" s="1"/>
  <c r="E102" i="30"/>
  <c r="F102" i="30" s="1"/>
  <c r="E101" i="30"/>
  <c r="F101" i="30" s="1"/>
  <c r="E100" i="30"/>
  <c r="F100" i="30" s="1"/>
  <c r="E99" i="30"/>
  <c r="F99" i="30" s="1"/>
  <c r="E98" i="30"/>
  <c r="F98" i="30" s="1"/>
  <c r="E94" i="30"/>
  <c r="F94" i="30" s="1"/>
  <c r="E93" i="30"/>
  <c r="F93" i="30" s="1"/>
  <c r="E92" i="30"/>
  <c r="F92" i="30" s="1"/>
  <c r="E91" i="30"/>
  <c r="F91" i="30" s="1"/>
  <c r="E90" i="30"/>
  <c r="F90" i="30" s="1"/>
  <c r="E89" i="30"/>
  <c r="F89" i="30" s="1"/>
  <c r="E86" i="30"/>
  <c r="F86" i="30" s="1"/>
  <c r="E85" i="30"/>
  <c r="F85" i="30" s="1"/>
  <c r="E84" i="30"/>
  <c r="F84" i="30" s="1"/>
  <c r="E83" i="30"/>
  <c r="F83" i="30" s="1"/>
  <c r="E82" i="30"/>
  <c r="F82" i="30" s="1"/>
  <c r="E80" i="30"/>
  <c r="E79" i="30"/>
  <c r="F79" i="30" s="1"/>
  <c r="E78" i="30"/>
  <c r="F78" i="30" s="1"/>
  <c r="E77" i="30"/>
  <c r="F77" i="30" s="1"/>
  <c r="E76" i="30"/>
  <c r="F76" i="30" s="1"/>
  <c r="E75" i="30"/>
  <c r="F75" i="30" s="1"/>
  <c r="E74" i="30"/>
  <c r="F74" i="30" s="1"/>
  <c r="E73" i="30"/>
  <c r="F73" i="30" s="1"/>
  <c r="E72" i="30"/>
  <c r="F72" i="30" s="1"/>
  <c r="E71" i="30"/>
  <c r="F71" i="30" s="1"/>
  <c r="E70" i="30"/>
  <c r="F70" i="30" s="1"/>
  <c r="E69" i="30"/>
  <c r="F69" i="30" s="1"/>
  <c r="E68" i="30"/>
  <c r="F68" i="30" s="1"/>
  <c r="E67" i="30"/>
  <c r="F67" i="30" s="1"/>
  <c r="E66" i="30"/>
  <c r="F66" i="30" s="1"/>
  <c r="E65" i="30"/>
  <c r="F65" i="30" s="1"/>
  <c r="E64" i="30"/>
  <c r="F64" i="30" s="1"/>
  <c r="E63" i="30"/>
  <c r="F63" i="30" s="1"/>
  <c r="E62" i="30"/>
  <c r="F62" i="30" s="1"/>
  <c r="E61" i="30"/>
  <c r="F61" i="30" s="1"/>
  <c r="E60" i="30"/>
  <c r="F60" i="30" s="1"/>
  <c r="F59" i="30"/>
  <c r="E58" i="30"/>
  <c r="F58" i="30" s="1"/>
  <c r="E57" i="30"/>
  <c r="F57" i="30" s="1"/>
  <c r="E56" i="30"/>
  <c r="F56" i="30" s="1"/>
  <c r="E55" i="30"/>
  <c r="F55" i="30" s="1"/>
  <c r="E53" i="30"/>
  <c r="F53" i="30" s="1"/>
  <c r="E52" i="30"/>
  <c r="F52" i="30" s="1"/>
  <c r="E51" i="30"/>
  <c r="F51" i="30" s="1"/>
  <c r="E49" i="30"/>
  <c r="F49" i="30" s="1"/>
  <c r="E44" i="30"/>
  <c r="F44" i="30" s="1"/>
  <c r="E47" i="30"/>
  <c r="F47" i="30" s="1"/>
  <c r="E46" i="30"/>
  <c r="F46" i="30" s="1"/>
  <c r="E45" i="30"/>
  <c r="F45" i="30" s="1"/>
  <c r="E42" i="30"/>
  <c r="F42" i="30" s="1"/>
  <c r="E41" i="30"/>
  <c r="F41" i="30" s="1"/>
  <c r="E40" i="30"/>
  <c r="F40" i="30" s="1"/>
  <c r="E39" i="30"/>
  <c r="F39" i="30" s="1"/>
  <c r="E38" i="30"/>
  <c r="F38" i="30" s="1"/>
  <c r="E37" i="30"/>
  <c r="F37" i="30" s="1"/>
  <c r="F36" i="30"/>
  <c r="E35" i="30"/>
  <c r="F35" i="30" s="1"/>
  <c r="E34" i="30"/>
  <c r="F34" i="30" s="1"/>
  <c r="E33" i="30"/>
  <c r="F33" i="30" s="1"/>
  <c r="E32" i="30"/>
  <c r="F32" i="30" s="1"/>
  <c r="E31" i="30"/>
  <c r="F31" i="30" s="1"/>
  <c r="E30" i="30"/>
  <c r="F30" i="30" s="1"/>
  <c r="E29" i="30"/>
  <c r="F29" i="30" s="1"/>
  <c r="E28" i="30"/>
  <c r="F28" i="30" s="1"/>
  <c r="E27" i="30"/>
  <c r="F27" i="30" s="1"/>
  <c r="E24" i="30"/>
  <c r="F24" i="30" s="1"/>
  <c r="F22" i="30"/>
  <c r="E21" i="30"/>
  <c r="F21" i="30" s="1"/>
  <c r="E20" i="30"/>
  <c r="F20" i="30" s="1"/>
  <c r="E19" i="30"/>
  <c r="F19" i="30" s="1"/>
  <c r="E18" i="30"/>
  <c r="F18" i="30" s="1"/>
  <c r="E17" i="30"/>
  <c r="F17" i="30" s="1"/>
  <c r="E16" i="30"/>
  <c r="F16" i="30" s="1"/>
  <c r="E15" i="30"/>
  <c r="F15" i="30" s="1"/>
  <c r="E13" i="30"/>
  <c r="F13" i="30" s="1"/>
  <c r="E12" i="30"/>
  <c r="F12" i="30" s="1"/>
  <c r="E11" i="30"/>
  <c r="F11" i="30" s="1"/>
  <c r="E10" i="30"/>
  <c r="F10" i="30" s="1"/>
  <c r="E9" i="30"/>
  <c r="F9" i="30" s="1"/>
  <c r="E8" i="30"/>
  <c r="F8" i="30" s="1"/>
  <c r="E7" i="30"/>
  <c r="F7" i="30" s="1"/>
  <c r="E6" i="30"/>
  <c r="F6" i="30" s="1"/>
  <c r="E5" i="30"/>
  <c r="E4" i="30"/>
  <c r="F4" i="30" s="1"/>
  <c r="E3" i="30"/>
  <c r="F3" i="30" s="1"/>
  <c r="E2" i="30"/>
  <c r="F2" i="30" s="1"/>
  <c r="F97" i="30"/>
  <c r="F96" i="30"/>
  <c r="F95" i="30"/>
  <c r="F88" i="30"/>
  <c r="F87" i="30"/>
  <c r="F81" i="30"/>
  <c r="F80" i="30"/>
  <c r="F48" i="30"/>
  <c r="D5" i="30"/>
  <c r="D34" i="2" l="1"/>
  <c r="D35" i="2"/>
  <c r="D33" i="2"/>
  <c r="D38" i="2"/>
  <c r="D37" i="2"/>
  <c r="F5" i="30"/>
  <c r="D32" i="2"/>
  <c r="D36" i="2"/>
  <c r="D31" i="2" l="1"/>
  <c r="D39" i="2"/>
  <c r="D28" i="2"/>
  <c r="E23" i="29"/>
  <c r="F23" i="29" s="1"/>
  <c r="E24" i="29"/>
  <c r="F24" i="29" s="1"/>
  <c r="E21" i="29"/>
  <c r="F21" i="29" s="1"/>
  <c r="E20" i="29"/>
  <c r="F20" i="29" s="1"/>
  <c r="E18" i="29"/>
  <c r="F18" i="29" s="1"/>
  <c r="E17" i="29"/>
  <c r="F17" i="29" s="1"/>
  <c r="F35" i="29"/>
  <c r="E12" i="29"/>
  <c r="F12" i="29" s="1"/>
  <c r="E14" i="29"/>
  <c r="F14" i="29" s="1"/>
  <c r="E16" i="29"/>
  <c r="F16" i="29" s="1"/>
  <c r="E13" i="29"/>
  <c r="F13" i="29" s="1"/>
  <c r="E7" i="29"/>
  <c r="F7" i="29" s="1"/>
  <c r="E9" i="29"/>
  <c r="F9" i="29" s="1"/>
  <c r="F11" i="29"/>
  <c r="E8" i="29"/>
  <c r="F8" i="29" s="1"/>
  <c r="E2" i="29"/>
  <c r="F2" i="29" s="1"/>
  <c r="E4" i="29"/>
  <c r="F4" i="29" s="1"/>
  <c r="E6" i="29"/>
  <c r="F6" i="29" s="1"/>
  <c r="E3" i="29"/>
  <c r="F3" i="29" s="1"/>
  <c r="D25" i="2" l="1"/>
  <c r="D26" i="2" l="1"/>
  <c r="D27" i="2"/>
  <c r="D24" i="2"/>
  <c r="E195" i="28"/>
  <c r="F195" i="28" s="1"/>
  <c r="E194" i="28"/>
  <c r="F194" i="28" s="1"/>
  <c r="E193" i="28"/>
  <c r="F193" i="28" s="1"/>
  <c r="E192" i="28"/>
  <c r="F192" i="28" s="1"/>
  <c r="E191" i="28"/>
  <c r="F191" i="28" s="1"/>
  <c r="E190" i="28"/>
  <c r="F190" i="28" s="1"/>
  <c r="E189" i="28"/>
  <c r="F189" i="28" s="1"/>
  <c r="E188" i="28"/>
  <c r="F188" i="28" s="1"/>
  <c r="F184" i="28"/>
  <c r="E183" i="28"/>
  <c r="F183" i="28" s="1"/>
  <c r="E182" i="28"/>
  <c r="F182" i="28" s="1"/>
  <c r="E181" i="28"/>
  <c r="F181" i="28" s="1"/>
  <c r="E180" i="28"/>
  <c r="F180" i="28" s="1"/>
  <c r="E178" i="28"/>
  <c r="F178" i="28" s="1"/>
  <c r="E177" i="28"/>
  <c r="F177" i="28" s="1"/>
  <c r="E176" i="28"/>
  <c r="F176" i="28" s="1"/>
  <c r="E174" i="28"/>
  <c r="F174" i="28" s="1"/>
  <c r="E173" i="28"/>
  <c r="F173" i="28" s="1"/>
  <c r="E172" i="28"/>
  <c r="F172" i="28" s="1"/>
  <c r="E171" i="28"/>
  <c r="F171" i="28" s="1"/>
  <c r="E170" i="28"/>
  <c r="F170" i="28" s="1"/>
  <c r="E169" i="28"/>
  <c r="F169" i="28" s="1"/>
  <c r="F168" i="28"/>
  <c r="E166" i="28"/>
  <c r="F166" i="28" s="1"/>
  <c r="E164" i="28"/>
  <c r="F164" i="28" s="1"/>
  <c r="E163" i="28"/>
  <c r="F163" i="28" s="1"/>
  <c r="E162" i="28"/>
  <c r="F162" i="28" s="1"/>
  <c r="E161" i="28"/>
  <c r="F161" i="28" s="1"/>
  <c r="E160" i="28"/>
  <c r="F160" i="28" s="1"/>
  <c r="E159" i="28"/>
  <c r="F159" i="28" s="1"/>
  <c r="E158" i="28"/>
  <c r="F158" i="28" s="1"/>
  <c r="E157" i="28"/>
  <c r="F157" i="28" s="1"/>
  <c r="E156" i="28"/>
  <c r="F156" i="28" s="1"/>
  <c r="E155" i="28"/>
  <c r="F155" i="28" s="1"/>
  <c r="E154" i="28"/>
  <c r="F154" i="28" s="1"/>
  <c r="E153" i="28"/>
  <c r="F153" i="28" s="1"/>
  <c r="E152" i="28"/>
  <c r="F152" i="28" s="1"/>
  <c r="E151" i="28"/>
  <c r="F151" i="28" s="1"/>
  <c r="E150" i="28"/>
  <c r="F150" i="28" s="1"/>
  <c r="E149" i="28"/>
  <c r="F149" i="28" s="1"/>
  <c r="E148" i="28"/>
  <c r="F148" i="28" s="1"/>
  <c r="E147" i="28"/>
  <c r="F147" i="28" s="1"/>
  <c r="E146" i="28"/>
  <c r="F146" i="28" s="1"/>
  <c r="E145" i="28"/>
  <c r="F145" i="28" s="1"/>
  <c r="E144" i="28"/>
  <c r="F144" i="28" s="1"/>
  <c r="E143" i="28"/>
  <c r="F143" i="28" s="1"/>
  <c r="E142" i="28"/>
  <c r="E141" i="28"/>
  <c r="F141" i="28" s="1"/>
  <c r="E140" i="28"/>
  <c r="F140" i="28" s="1"/>
  <c r="E139" i="28"/>
  <c r="F139" i="28" s="1"/>
  <c r="E138" i="28"/>
  <c r="F138" i="28" s="1"/>
  <c r="E137" i="28"/>
  <c r="F137" i="28" s="1"/>
  <c r="E136" i="28"/>
  <c r="F136" i="28" s="1"/>
  <c r="E135" i="28"/>
  <c r="F135" i="28" s="1"/>
  <c r="E134" i="28"/>
  <c r="F134" i="28" s="1"/>
  <c r="E133" i="28"/>
  <c r="F133" i="28" s="1"/>
  <c r="E132" i="28"/>
  <c r="F132" i="28" s="1"/>
  <c r="E130" i="28"/>
  <c r="F130" i="28" s="1"/>
  <c r="E129" i="28"/>
  <c r="F129" i="28" s="1"/>
  <c r="E128" i="28"/>
  <c r="F128" i="28" s="1"/>
  <c r="E127" i="28"/>
  <c r="F127" i="28" s="1"/>
  <c r="E126" i="28"/>
  <c r="F126" i="28" s="1"/>
  <c r="E125" i="28"/>
  <c r="F125" i="28" s="1"/>
  <c r="E124" i="28"/>
  <c r="F124" i="28" s="1"/>
  <c r="E123" i="28"/>
  <c r="F123" i="28" s="1"/>
  <c r="E122" i="28"/>
  <c r="F122" i="28" s="1"/>
  <c r="E121" i="28"/>
  <c r="F121" i="28" s="1"/>
  <c r="E120" i="28"/>
  <c r="F120" i="28" s="1"/>
  <c r="E119" i="28"/>
  <c r="F119" i="28" s="1"/>
  <c r="E118" i="28"/>
  <c r="F118" i="28" s="1"/>
  <c r="E117" i="28"/>
  <c r="F117" i="28" s="1"/>
  <c r="E116" i="28"/>
  <c r="F116" i="28" s="1"/>
  <c r="E115" i="28"/>
  <c r="F115" i="28" s="1"/>
  <c r="E114" i="28"/>
  <c r="F114" i="28" s="1"/>
  <c r="E113" i="28"/>
  <c r="F113" i="28" s="1"/>
  <c r="E112" i="28"/>
  <c r="F112" i="28" s="1"/>
  <c r="E111" i="28"/>
  <c r="F111" i="28" s="1"/>
  <c r="E110" i="28"/>
  <c r="F110" i="28" s="1"/>
  <c r="E109" i="28"/>
  <c r="F109" i="28" s="1"/>
  <c r="E107" i="28"/>
  <c r="F107" i="28" s="1"/>
  <c r="E106" i="28"/>
  <c r="F106" i="28" s="1"/>
  <c r="E105" i="28"/>
  <c r="F105" i="28" s="1"/>
  <c r="E104" i="28"/>
  <c r="F104" i="28" s="1"/>
  <c r="E103" i="28"/>
  <c r="F103" i="28" s="1"/>
  <c r="E102" i="28"/>
  <c r="F102" i="28" s="1"/>
  <c r="E101" i="28"/>
  <c r="F101" i="28" s="1"/>
  <c r="E100" i="28"/>
  <c r="F100" i="28" s="1"/>
  <c r="E99" i="28"/>
  <c r="F99" i="28" s="1"/>
  <c r="E98" i="28"/>
  <c r="F98" i="28" s="1"/>
  <c r="E97" i="28"/>
  <c r="F97" i="28" s="1"/>
  <c r="E96" i="28"/>
  <c r="F96" i="28" s="1"/>
  <c r="E95" i="28"/>
  <c r="F95" i="28" s="1"/>
  <c r="E94" i="28"/>
  <c r="F94" i="28" s="1"/>
  <c r="E93" i="28"/>
  <c r="F93" i="28" s="1"/>
  <c r="E92" i="28"/>
  <c r="F92" i="28" s="1"/>
  <c r="E91" i="28"/>
  <c r="F91" i="28" s="1"/>
  <c r="E90" i="28"/>
  <c r="F90" i="28" s="1"/>
  <c r="F89" i="28"/>
  <c r="E88" i="28"/>
  <c r="F88" i="28" s="1"/>
  <c r="E87" i="28"/>
  <c r="F87" i="28" s="1"/>
  <c r="E86" i="28"/>
  <c r="F86" i="28" s="1"/>
  <c r="E85" i="28"/>
  <c r="F85" i="28" s="1"/>
  <c r="E84" i="28"/>
  <c r="F84" i="28" s="1"/>
  <c r="E83" i="28"/>
  <c r="F83" i="28" s="1"/>
  <c r="E82" i="28"/>
  <c r="F82" i="28" s="1"/>
  <c r="E81" i="28"/>
  <c r="F81" i="28" s="1"/>
  <c r="E80" i="28"/>
  <c r="F80" i="28" s="1"/>
  <c r="E79" i="28"/>
  <c r="F79" i="28" s="1"/>
  <c r="E78" i="28"/>
  <c r="F78" i="28" s="1"/>
  <c r="E75" i="28"/>
  <c r="F75" i="28" s="1"/>
  <c r="E74" i="28"/>
  <c r="F74" i="28" s="1"/>
  <c r="E73" i="28"/>
  <c r="F73" i="28" s="1"/>
  <c r="E72" i="28"/>
  <c r="F72" i="28" s="1"/>
  <c r="E71" i="28"/>
  <c r="F71" i="28" s="1"/>
  <c r="E70" i="28"/>
  <c r="F70" i="28" s="1"/>
  <c r="E69" i="28"/>
  <c r="F69" i="28" s="1"/>
  <c r="E68" i="28"/>
  <c r="F68" i="28" s="1"/>
  <c r="E67" i="28"/>
  <c r="F67" i="28" s="1"/>
  <c r="E66" i="28"/>
  <c r="F66" i="28" s="1"/>
  <c r="E65" i="28"/>
  <c r="F65" i="28" s="1"/>
  <c r="E64" i="28"/>
  <c r="F64" i="28" s="1"/>
  <c r="E63" i="28"/>
  <c r="F63" i="28" s="1"/>
  <c r="E62" i="28"/>
  <c r="F62" i="28" s="1"/>
  <c r="E60" i="28"/>
  <c r="F60" i="28" s="1"/>
  <c r="E59" i="28"/>
  <c r="F59" i="28" s="1"/>
  <c r="E58" i="28"/>
  <c r="E57" i="28"/>
  <c r="F57" i="28" s="1"/>
  <c r="E56" i="28"/>
  <c r="F56" i="28" s="1"/>
  <c r="E55" i="28"/>
  <c r="F55" i="28" s="1"/>
  <c r="E54" i="28"/>
  <c r="F54" i="28" s="1"/>
  <c r="E53" i="28"/>
  <c r="F53" i="28" s="1"/>
  <c r="E52" i="28"/>
  <c r="F52" i="28" s="1"/>
  <c r="E51" i="28"/>
  <c r="F51" i="28" s="1"/>
  <c r="E50" i="28"/>
  <c r="F50" i="28" s="1"/>
  <c r="E49" i="28"/>
  <c r="F49" i="28" s="1"/>
  <c r="E47" i="28"/>
  <c r="F47" i="28" s="1"/>
  <c r="E46" i="28"/>
  <c r="F46" i="28" s="1"/>
  <c r="E45" i="28"/>
  <c r="F45" i="28" s="1"/>
  <c r="E44" i="28"/>
  <c r="F44" i="28" s="1"/>
  <c r="E43" i="28"/>
  <c r="F43" i="28" s="1"/>
  <c r="F42" i="28"/>
  <c r="E41" i="28"/>
  <c r="F41" i="28" s="1"/>
  <c r="E40" i="28"/>
  <c r="F40" i="28" s="1"/>
  <c r="E38" i="28"/>
  <c r="F38" i="28" s="1"/>
  <c r="E37" i="28"/>
  <c r="F37" i="28" s="1"/>
  <c r="E36" i="28"/>
  <c r="F36" i="28" s="1"/>
  <c r="E35" i="28"/>
  <c r="F35" i="28" s="1"/>
  <c r="E34" i="28"/>
  <c r="F34" i="28" s="1"/>
  <c r="E33" i="28"/>
  <c r="F33" i="28" s="1"/>
  <c r="E32" i="28"/>
  <c r="F32" i="28" s="1"/>
  <c r="E31" i="28"/>
  <c r="F31" i="28" s="1"/>
  <c r="E30" i="28"/>
  <c r="F30" i="28" s="1"/>
  <c r="E29" i="28"/>
  <c r="F29" i="28" s="1"/>
  <c r="E28" i="28"/>
  <c r="F28" i="28" s="1"/>
  <c r="E27" i="28"/>
  <c r="F27" i="28" s="1"/>
  <c r="E26" i="28"/>
  <c r="F26" i="28" s="1"/>
  <c r="E25" i="28"/>
  <c r="F25" i="28" s="1"/>
  <c r="E24" i="28"/>
  <c r="F24" i="28" s="1"/>
  <c r="E23" i="28"/>
  <c r="F23" i="28" s="1"/>
  <c r="E22" i="28"/>
  <c r="F22" i="28" s="1"/>
  <c r="E21" i="28"/>
  <c r="F21" i="28" s="1"/>
  <c r="E20" i="28"/>
  <c r="F20" i="28" s="1"/>
  <c r="E19" i="28"/>
  <c r="F19" i="28" s="1"/>
  <c r="E18" i="28"/>
  <c r="F18" i="28" s="1"/>
  <c r="E17" i="28"/>
  <c r="F17" i="28" s="1"/>
  <c r="E16" i="28"/>
  <c r="F16" i="28" s="1"/>
  <c r="E15" i="28"/>
  <c r="F15" i="28" s="1"/>
  <c r="E14" i="28"/>
  <c r="F14" i="28" s="1"/>
  <c r="E13" i="28"/>
  <c r="F13" i="28" s="1"/>
  <c r="E12" i="28"/>
  <c r="F12" i="28" s="1"/>
  <c r="E11" i="28"/>
  <c r="F11" i="28" s="1"/>
  <c r="E10" i="28"/>
  <c r="F10" i="28" s="1"/>
  <c r="E9" i="28"/>
  <c r="F9" i="28" s="1"/>
  <c r="E8" i="28"/>
  <c r="F8" i="28" s="1"/>
  <c r="E6" i="28"/>
  <c r="F6" i="28" s="1"/>
  <c r="E5" i="28"/>
  <c r="F5" i="28" s="1"/>
  <c r="E4" i="28"/>
  <c r="F4" i="28" s="1"/>
  <c r="E3" i="28"/>
  <c r="F3" i="28" s="1"/>
  <c r="E2" i="28"/>
  <c r="F2" i="28" s="1"/>
  <c r="F175" i="28"/>
  <c r="D142" i="28"/>
  <c r="F77" i="28"/>
  <c r="F61" i="28"/>
  <c r="D58" i="28"/>
  <c r="F39" i="28"/>
  <c r="D12" i="2" l="1"/>
  <c r="D17" i="2"/>
  <c r="D15" i="2"/>
  <c r="F142" i="28"/>
  <c r="D18" i="2" s="1"/>
  <c r="F58" i="28"/>
  <c r="D14" i="2" s="1"/>
  <c r="D13" i="2"/>
  <c r="D11" i="2"/>
  <c r="D19" i="2"/>
  <c r="D21" i="2" l="1"/>
  <c r="D16" i="2"/>
  <c r="E58" i="27" l="1"/>
  <c r="F58" i="27" s="1"/>
  <c r="E57" i="27"/>
  <c r="F57" i="27" s="1"/>
  <c r="E56" i="27"/>
  <c r="E55" i="27"/>
  <c r="F55" i="27" s="1"/>
  <c r="E54" i="27"/>
  <c r="F54" i="27" s="1"/>
  <c r="E53" i="27"/>
  <c r="F53" i="27" s="1"/>
  <c r="E52" i="27"/>
  <c r="F52" i="27" s="1"/>
  <c r="E50" i="27"/>
  <c r="F50" i="27" s="1"/>
  <c r="E49" i="27"/>
  <c r="F49" i="27" s="1"/>
  <c r="E48" i="27"/>
  <c r="F48" i="27" s="1"/>
  <c r="E47" i="27"/>
  <c r="F47" i="27" s="1"/>
  <c r="E46" i="27"/>
  <c r="F46" i="27" s="1"/>
  <c r="E45" i="27"/>
  <c r="F45" i="27" s="1"/>
  <c r="E44" i="27"/>
  <c r="F44" i="27" s="1"/>
  <c r="E42" i="27"/>
  <c r="F42" i="27" s="1"/>
  <c r="E41" i="27"/>
  <c r="E40" i="27"/>
  <c r="F40" i="27" s="1"/>
  <c r="E39" i="27"/>
  <c r="F39" i="27" s="1"/>
  <c r="E38" i="27"/>
  <c r="F38" i="27" s="1"/>
  <c r="E37" i="27"/>
  <c r="F37" i="27" s="1"/>
  <c r="E36" i="27"/>
  <c r="F36" i="27" s="1"/>
  <c r="E35" i="27"/>
  <c r="F35" i="27" s="1"/>
  <c r="E34" i="27"/>
  <c r="F34" i="27" s="1"/>
  <c r="E33" i="27"/>
  <c r="F33" i="27" s="1"/>
  <c r="E31" i="27"/>
  <c r="F31" i="27" s="1"/>
  <c r="E30" i="27"/>
  <c r="F30" i="27" s="1"/>
  <c r="E29" i="27"/>
  <c r="F29" i="27" s="1"/>
  <c r="E28" i="27"/>
  <c r="F28" i="27" s="1"/>
  <c r="E27" i="27"/>
  <c r="F27" i="27" s="1"/>
  <c r="E26" i="27"/>
  <c r="F26" i="27" s="1"/>
  <c r="E25" i="27"/>
  <c r="F25" i="27" s="1"/>
  <c r="F24" i="27"/>
  <c r="E23" i="27"/>
  <c r="F23" i="27" s="1"/>
  <c r="E22" i="27"/>
  <c r="F22" i="27" s="1"/>
  <c r="E21" i="27"/>
  <c r="F21" i="27" s="1"/>
  <c r="E20" i="27"/>
  <c r="F20" i="27" s="1"/>
  <c r="E19" i="27"/>
  <c r="F19" i="27" s="1"/>
  <c r="E18" i="27"/>
  <c r="F18" i="27" s="1"/>
  <c r="E17" i="27"/>
  <c r="F17" i="27" s="1"/>
  <c r="E16" i="27"/>
  <c r="F16" i="27" s="1"/>
  <c r="E15" i="27"/>
  <c r="F15" i="27" s="1"/>
  <c r="E14" i="27"/>
  <c r="F14" i="27" s="1"/>
  <c r="E13" i="27"/>
  <c r="F13" i="27" s="1"/>
  <c r="E12" i="27"/>
  <c r="F12" i="27" s="1"/>
  <c r="E11" i="27"/>
  <c r="F11" i="27" s="1"/>
  <c r="E10" i="27"/>
  <c r="F10" i="27" s="1"/>
  <c r="E9" i="27"/>
  <c r="F9" i="27" s="1"/>
  <c r="E8" i="27"/>
  <c r="F8" i="27" s="1"/>
  <c r="E7" i="27"/>
  <c r="F7" i="27" s="1"/>
  <c r="E4" i="27"/>
  <c r="F4" i="27" s="1"/>
  <c r="E3" i="27"/>
  <c r="F3" i="27" s="1"/>
  <c r="E2" i="27"/>
  <c r="F2" i="27" s="1"/>
  <c r="F56" i="27"/>
  <c r="F43" i="27"/>
  <c r="F41" i="27"/>
  <c r="F6" i="27"/>
  <c r="F5" i="27"/>
  <c r="D8" i="2" l="1"/>
  <c r="D317" i="1" l="1"/>
  <c r="D20" i="2" l="1"/>
  <c r="F14" i="15"/>
  <c r="F157" i="5" l="1"/>
  <c r="F156" i="5"/>
  <c r="F155" i="5"/>
  <c r="F16" i="15"/>
  <c r="F18" i="15"/>
  <c r="I139" i="9"/>
  <c r="F3" i="5" l="1"/>
  <c r="F2" i="5"/>
  <c r="A70" i="2"/>
  <c r="A69" i="2"/>
  <c r="A68" i="2"/>
  <c r="A67" i="2"/>
  <c r="A66" i="2"/>
  <c r="A65" i="2"/>
  <c r="A53" i="2"/>
  <c r="A52" i="2"/>
  <c r="A51" i="2"/>
  <c r="A50" i="2"/>
  <c r="A49" i="2"/>
  <c r="A48" i="2"/>
  <c r="A47" i="2"/>
  <c r="A46" i="2"/>
  <c r="A45" i="2"/>
  <c r="A44" i="2"/>
  <c r="A43" i="2"/>
  <c r="A42" i="2"/>
  <c r="J38" i="2" l="1"/>
  <c r="H36" i="2"/>
  <c r="J35" i="2"/>
  <c r="J32" i="2"/>
  <c r="F34" i="2"/>
  <c r="J39" i="2"/>
  <c r="J33" i="2"/>
  <c r="H31" i="2"/>
  <c r="F37" i="2"/>
  <c r="H38" i="2" l="1"/>
  <c r="F38" i="2"/>
  <c r="H35" i="2"/>
  <c r="J36" i="2"/>
  <c r="F35" i="2"/>
  <c r="F36" i="2"/>
  <c r="H34" i="2"/>
  <c r="H32" i="2"/>
  <c r="F32" i="2"/>
  <c r="H39" i="2"/>
  <c r="J34" i="2"/>
  <c r="F39" i="2"/>
  <c r="H33" i="2"/>
  <c r="F33" i="2"/>
  <c r="J37" i="2"/>
  <c r="H37" i="2"/>
  <c r="F31" i="2"/>
  <c r="J31" i="2"/>
  <c r="K38" i="2" l="1"/>
  <c r="K36" i="2"/>
  <c r="K35" i="2"/>
  <c r="K39" i="2"/>
  <c r="K37" i="2"/>
  <c r="K34" i="2"/>
  <c r="K33" i="2"/>
  <c r="K32" i="2"/>
  <c r="K31" i="2"/>
  <c r="F28" i="2" l="1"/>
  <c r="H28" i="2"/>
  <c r="J28" i="2"/>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7" i="15"/>
  <c r="F15" i="15"/>
  <c r="F13" i="15"/>
  <c r="F12" i="15"/>
  <c r="F11" i="15"/>
  <c r="F10" i="15"/>
  <c r="F9" i="15"/>
  <c r="F8" i="15"/>
  <c r="F7" i="15"/>
  <c r="F6" i="15"/>
  <c r="F5" i="15"/>
  <c r="F4" i="15"/>
  <c r="F3" i="15"/>
  <c r="F2" i="15"/>
  <c r="J24" i="2" l="1"/>
  <c r="K28" i="2"/>
  <c r="J25" i="2"/>
  <c r="H25" i="2"/>
  <c r="F25" i="2"/>
  <c r="H26" i="2"/>
  <c r="F26" i="2"/>
  <c r="J26" i="2"/>
  <c r="F27" i="2"/>
  <c r="J27" i="2"/>
  <c r="H27" i="2"/>
  <c r="D56" i="2" l="1"/>
  <c r="F56" i="2" s="1"/>
  <c r="F24" i="2"/>
  <c r="H24" i="2"/>
  <c r="K25" i="2"/>
  <c r="K27" i="2"/>
  <c r="K26" i="2"/>
  <c r="K24" i="2" l="1"/>
  <c r="H56" i="2"/>
  <c r="J56" i="2"/>
  <c r="K56" i="2" l="1"/>
  <c r="F8" i="2"/>
  <c r="H61" i="2" l="1"/>
  <c r="F59" i="2"/>
  <c r="J8" i="2"/>
  <c r="H8" i="2"/>
  <c r="F60" i="2" l="1"/>
  <c r="H62" i="2"/>
  <c r="F62" i="2"/>
  <c r="J62" i="2"/>
  <c r="J61" i="2"/>
  <c r="F61" i="2"/>
  <c r="H59" i="2"/>
  <c r="J59" i="2"/>
  <c r="K8" i="2"/>
  <c r="F3" i="9"/>
  <c r="F4" i="9"/>
  <c r="F5" i="9"/>
  <c r="F6" i="9"/>
  <c r="F7" i="9"/>
  <c r="F8" i="9"/>
  <c r="F9" i="9"/>
  <c r="F11" i="9"/>
  <c r="F12" i="9"/>
  <c r="F13" i="9"/>
  <c r="F14" i="9"/>
  <c r="F15" i="9"/>
  <c r="F16" i="9"/>
  <c r="F17" i="9"/>
  <c r="F21" i="9"/>
  <c r="D22" i="9"/>
  <c r="F22" i="9" s="1"/>
  <c r="F23" i="9"/>
  <c r="F24" i="9"/>
  <c r="F25" i="9"/>
  <c r="F26" i="9"/>
  <c r="F27" i="9"/>
  <c r="F28" i="9"/>
  <c r="F29" i="9"/>
  <c r="F30" i="9"/>
  <c r="F31" i="9"/>
  <c r="F32" i="9"/>
  <c r="F33" i="9"/>
  <c r="F35" i="9"/>
  <c r="D36" i="9"/>
  <c r="F36" i="9" s="1"/>
  <c r="F37" i="9"/>
  <c r="F38" i="9"/>
  <c r="F39" i="9"/>
  <c r="F40" i="9"/>
  <c r="F79" i="9"/>
  <c r="F80" i="9"/>
  <c r="F81" i="9"/>
  <c r="F82" i="9"/>
  <c r="F83" i="9"/>
  <c r="F84" i="9"/>
  <c r="F85" i="9"/>
  <c r="F86" i="9"/>
  <c r="F87" i="9"/>
  <c r="F88" i="9"/>
  <c r="F89" i="9"/>
  <c r="F90" i="9"/>
  <c r="F91" i="9"/>
  <c r="D95" i="9"/>
  <c r="F95" i="9" s="1"/>
  <c r="F96" i="9"/>
  <c r="F97" i="9"/>
  <c r="F98" i="9"/>
  <c r="F99"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9" i="9"/>
  <c r="F130" i="9"/>
  <c r="F131" i="9"/>
  <c r="F132" i="9"/>
  <c r="F133" i="9"/>
  <c r="F137" i="9"/>
  <c r="F138" i="9"/>
  <c r="F139" i="9"/>
  <c r="F140" i="9"/>
  <c r="F141" i="9"/>
  <c r="F142" i="9"/>
  <c r="F143" i="9"/>
  <c r="F144" i="9"/>
  <c r="F145" i="9"/>
  <c r="F146" i="9"/>
  <c r="F147" i="9"/>
  <c r="F148" i="9"/>
  <c r="F150" i="9"/>
  <c r="F151" i="9"/>
  <c r="F152" i="9"/>
  <c r="F153" i="9"/>
  <c r="F154" i="9"/>
  <c r="F155" i="9"/>
  <c r="F156" i="9"/>
  <c r="F157" i="9"/>
  <c r="F158" i="9"/>
  <c r="F34" i="9" l="1"/>
  <c r="F100" i="9"/>
  <c r="F18" i="9"/>
  <c r="F92" i="9"/>
  <c r="F159" i="9"/>
  <c r="F134" i="9"/>
  <c r="F48" i="9"/>
  <c r="H60" i="2"/>
  <c r="J60" i="2"/>
  <c r="K59" i="2"/>
  <c r="K62" i="2"/>
  <c r="K61" i="2"/>
  <c r="F77" i="9" l="1"/>
  <c r="D66" i="2" s="1"/>
  <c r="J66" i="2" s="1"/>
  <c r="K60" i="2"/>
  <c r="F160" i="9"/>
  <c r="D70" i="2" s="1"/>
  <c r="H70" i="2" s="1"/>
  <c r="F135" i="9"/>
  <c r="D69" i="2" s="1"/>
  <c r="H69" i="2" s="1"/>
  <c r="F93" i="9"/>
  <c r="D67" i="2" s="1"/>
  <c r="H67" i="2" s="1"/>
  <c r="F19" i="9"/>
  <c r="D65" i="2" s="1"/>
  <c r="J65" i="2" s="1"/>
  <c r="F101" i="9"/>
  <c r="D68" i="2" s="1"/>
  <c r="F68" i="2" s="1"/>
  <c r="J68" i="2" l="1"/>
  <c r="H68" i="2"/>
  <c r="F70" i="2"/>
  <c r="J70" i="2"/>
  <c r="F65" i="2"/>
  <c r="H65" i="2"/>
  <c r="F67" i="2"/>
  <c r="J67" i="2"/>
  <c r="J69" i="2"/>
  <c r="F69" i="2"/>
  <c r="F162" i="9"/>
  <c r="H66" i="2"/>
  <c r="F66" i="2"/>
  <c r="J13" i="2"/>
  <c r="K68" i="2" l="1"/>
  <c r="K69" i="2"/>
  <c r="K65" i="2"/>
  <c r="K70" i="2"/>
  <c r="K67" i="2"/>
  <c r="K66" i="2"/>
  <c r="F13" i="2"/>
  <c r="H13" i="2"/>
  <c r="J19" i="2"/>
  <c r="F19" i="2"/>
  <c r="H19" i="2"/>
  <c r="J20" i="2"/>
  <c r="F20" i="2"/>
  <c r="H20" i="2"/>
  <c r="H21" i="2"/>
  <c r="F21" i="2"/>
  <c r="J21" i="2"/>
  <c r="H16" i="2"/>
  <c r="J16" i="2"/>
  <c r="F16" i="2"/>
  <c r="H18" i="2"/>
  <c r="F18" i="2"/>
  <c r="J18" i="2"/>
  <c r="J11" i="2"/>
  <c r="H11" i="2"/>
  <c r="F11" i="2"/>
  <c r="F17" i="2"/>
  <c r="H17" i="2"/>
  <c r="J17" i="2"/>
  <c r="J12" i="2"/>
  <c r="H12" i="2"/>
  <c r="F12" i="2"/>
  <c r="J14" i="2"/>
  <c r="H14" i="2"/>
  <c r="F14" i="2"/>
  <c r="J15" i="2"/>
  <c r="F15" i="2"/>
  <c r="H15" i="2"/>
  <c r="K13" i="2" l="1"/>
  <c r="K14" i="2"/>
  <c r="K12" i="2"/>
  <c r="K21" i="2"/>
  <c r="K20" i="2"/>
  <c r="K11" i="2"/>
  <c r="K17" i="2"/>
  <c r="K15" i="2"/>
  <c r="K18" i="2"/>
  <c r="K16" i="2"/>
  <c r="K19" i="2"/>
  <c r="F161" i="5"/>
  <c r="F160" i="5"/>
  <c r="F159" i="5"/>
  <c r="F158" i="5"/>
  <c r="F154" i="5"/>
  <c r="F153" i="5"/>
  <c r="F151" i="5"/>
  <c r="F150" i="5"/>
  <c r="F149" i="5"/>
  <c r="F148" i="5"/>
  <c r="F147" i="5"/>
  <c r="F146" i="5"/>
  <c r="F145" i="5"/>
  <c r="F144" i="5"/>
  <c r="F143" i="5"/>
  <c r="F142" i="5"/>
  <c r="F141" i="5"/>
  <c r="F140" i="5"/>
  <c r="F139" i="5"/>
  <c r="F138" i="5"/>
  <c r="F137" i="5"/>
  <c r="F136" i="5"/>
  <c r="F135" i="5"/>
  <c r="F134" i="5"/>
  <c r="F133" i="5"/>
  <c r="F93" i="5"/>
  <c r="F121" i="5"/>
  <c r="F120" i="5"/>
  <c r="F119" i="5"/>
  <c r="F118" i="5"/>
  <c r="F117" i="5"/>
  <c r="F116" i="5"/>
  <c r="F115" i="5"/>
  <c r="F112" i="5"/>
  <c r="F111" i="5"/>
  <c r="F110" i="5"/>
  <c r="F109" i="5"/>
  <c r="F108" i="5"/>
  <c r="F107" i="5"/>
  <c r="F106" i="5"/>
  <c r="F105" i="5"/>
  <c r="F104" i="5"/>
  <c r="F103" i="5"/>
  <c r="F102" i="5"/>
  <c r="F101" i="5"/>
  <c r="F100" i="5"/>
  <c r="F99" i="5"/>
  <c r="F98" i="5"/>
  <c r="F97" i="5"/>
  <c r="F96" i="5"/>
  <c r="F95" i="5"/>
  <c r="F94" i="5"/>
  <c r="F90" i="5"/>
  <c r="F89" i="5"/>
  <c r="F88" i="5"/>
  <c r="F87" i="5"/>
  <c r="F86" i="5"/>
  <c r="F85" i="5"/>
  <c r="F84" i="5"/>
  <c r="F83" i="5"/>
  <c r="F79" i="5"/>
  <c r="F78" i="5"/>
  <c r="F77" i="5"/>
  <c r="F76" i="5"/>
  <c r="F75" i="5"/>
  <c r="F74" i="5"/>
  <c r="F73" i="5"/>
  <c r="F71" i="5"/>
  <c r="F70" i="5"/>
  <c r="F72" i="5"/>
  <c r="F69" i="5"/>
  <c r="F68" i="5"/>
  <c r="F67" i="5"/>
  <c r="F66" i="5"/>
  <c r="F65" i="5"/>
  <c r="F64" i="5"/>
  <c r="F63" i="5"/>
  <c r="F62" i="5"/>
  <c r="F61" i="5"/>
  <c r="F60" i="5"/>
  <c r="F59" i="5"/>
  <c r="F58" i="5"/>
  <c r="F57" i="5"/>
  <c r="F56" i="5"/>
  <c r="F55" i="5"/>
  <c r="F54" i="5"/>
  <c r="F53" i="5"/>
  <c r="F52" i="5"/>
  <c r="F51" i="5"/>
  <c r="F50" i="5"/>
  <c r="F49" i="5"/>
  <c r="F48" i="5"/>
  <c r="D47" i="5"/>
  <c r="F47" i="5" s="1"/>
  <c r="F46" i="5"/>
  <c r="F45" i="5"/>
  <c r="F44" i="5"/>
  <c r="F43" i="5"/>
  <c r="F42" i="5"/>
  <c r="F41" i="5"/>
  <c r="F40" i="5"/>
  <c r="F39" i="5"/>
  <c r="F38" i="5"/>
  <c r="F37" i="5"/>
  <c r="F36" i="5"/>
  <c r="F35" i="5"/>
  <c r="F34" i="5"/>
  <c r="F33" i="5"/>
  <c r="F32" i="5"/>
  <c r="F31" i="5"/>
  <c r="F30" i="5"/>
  <c r="F29" i="5"/>
  <c r="F28" i="5"/>
  <c r="F27" i="5"/>
  <c r="F26" i="5"/>
  <c r="F25" i="5"/>
  <c r="F24" i="5"/>
  <c r="F21" i="5"/>
  <c r="F20" i="5"/>
  <c r="F19" i="5"/>
  <c r="F18" i="5"/>
  <c r="F17" i="5"/>
  <c r="F16" i="5"/>
  <c r="F15" i="5"/>
  <c r="F14" i="5"/>
  <c r="F13" i="5"/>
  <c r="F12" i="5"/>
  <c r="F11" i="5"/>
  <c r="F10" i="5"/>
  <c r="F9" i="5"/>
  <c r="F8" i="5"/>
  <c r="F7" i="5"/>
  <c r="F6" i="5"/>
  <c r="D5" i="5"/>
  <c r="F5" i="5" s="1"/>
  <c r="F4" i="5"/>
  <c r="D48" i="2" l="1"/>
  <c r="F48" i="2" s="1"/>
  <c r="D52" i="2"/>
  <c r="F52" i="2" s="1"/>
  <c r="D51" i="2"/>
  <c r="D50" i="2"/>
  <c r="D49" i="2"/>
  <c r="F49" i="2" s="1"/>
  <c r="D47" i="2"/>
  <c r="D45" i="2"/>
  <c r="D44" i="2"/>
  <c r="J44" i="2" s="1"/>
  <c r="D43" i="2"/>
  <c r="H43" i="2" s="1"/>
  <c r="D46" i="2"/>
  <c r="D53" i="2" l="1"/>
  <c r="J53" i="2" s="1"/>
  <c r="D42" i="2"/>
  <c r="H42" i="2" s="1"/>
  <c r="J48" i="2"/>
  <c r="H48" i="2"/>
  <c r="J52" i="2"/>
  <c r="H52" i="2"/>
  <c r="J51" i="2"/>
  <c r="H51" i="2"/>
  <c r="F51" i="2"/>
  <c r="F50" i="2"/>
  <c r="H50" i="2"/>
  <c r="J50" i="2"/>
  <c r="J49" i="2"/>
  <c r="H49" i="2"/>
  <c r="F47" i="2"/>
  <c r="J47" i="2"/>
  <c r="H47" i="2"/>
  <c r="H45" i="2"/>
  <c r="J45" i="2"/>
  <c r="F45" i="2"/>
  <c r="F44" i="2"/>
  <c r="H44" i="2"/>
  <c r="J43" i="2"/>
  <c r="F43" i="2"/>
  <c r="H46" i="2"/>
  <c r="F46" i="2"/>
  <c r="J46" i="2"/>
  <c r="H53" i="2" l="1"/>
  <c r="F53" i="2"/>
  <c r="F42" i="2"/>
  <c r="J42" i="2"/>
  <c r="K48" i="2"/>
  <c r="K43" i="2"/>
  <c r="K44" i="2"/>
  <c r="K49" i="2"/>
  <c r="K52" i="2"/>
  <c r="H5" i="2"/>
  <c r="K51" i="2"/>
  <c r="K50" i="2"/>
  <c r="K47" i="2"/>
  <c r="K45" i="2"/>
  <c r="K46" i="2"/>
  <c r="J4" i="2"/>
  <c r="H4" i="2"/>
  <c r="F4" i="2"/>
  <c r="K53" i="2" l="1"/>
  <c r="H3" i="2"/>
  <c r="K42" i="2"/>
  <c r="F5" i="2"/>
  <c r="J5" i="2"/>
  <c r="K4" i="2"/>
  <c r="F3" i="2" l="1"/>
  <c r="J3" i="2"/>
  <c r="K5" i="2"/>
  <c r="K3" i="2" l="1"/>
  <c r="L72" i="2" s="1"/>
  <c r="L73" i="2" l="1"/>
  <c r="L74" i="2"/>
  <c r="L7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tc={419C7BF3-2839-47BC-94DF-7D47329B0B76}</author>
  </authors>
  <commentList>
    <comment ref="F217" authorId="0" shapeId="0" xr:uid="{419C7BF3-2839-47BC-94DF-7D47329B0B7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Reduce size?
Reply:
    Size reduced from 5.5 to 4.5 - pending agreement</t>
        </r>
      </text>
    </comment>
  </commentList>
</comments>
</file>

<file path=xl/sharedStrings.xml><?xml version="1.0" encoding="utf-8"?>
<sst xmlns="http://schemas.openxmlformats.org/spreadsheetml/2006/main" count="4968" uniqueCount="1178">
  <si>
    <t>Key naming principles</t>
  </si>
  <si>
    <t>1.  Each room will be named by the primary function of the room</t>
  </si>
  <si>
    <t>2. The function of the room will always be the primary name to group similar room types together</t>
  </si>
  <si>
    <t>3. Additional details will be added after the function such as the number of people in the room, the size or the specific purpose of the room</t>
  </si>
  <si>
    <t>4.  Sizes of room will be named as either Small, Medium, Large or Extra Large etc...</t>
  </si>
  <si>
    <t>5.  People within a room will be names as either 'per person' or '1 person', '2 people' etc....</t>
  </si>
  <si>
    <t>6.  A colon will be used to split room function from additional detail</t>
  </si>
  <si>
    <t>Good practive examples</t>
  </si>
  <si>
    <t>Office: per person</t>
  </si>
  <si>
    <t>Bedroom: 1 person</t>
  </si>
  <si>
    <t>Kitchen: small</t>
  </si>
  <si>
    <t>Bedroom: 1 person: large</t>
  </si>
  <si>
    <t>Bedroom: 1 person: mental health</t>
  </si>
  <si>
    <t>Delivery room: LDRP</t>
  </si>
  <si>
    <t xml:space="preserve">Research, evidence, workshops, best practice - dependencies </t>
  </si>
  <si>
    <t xml:space="preserve">Department </t>
  </si>
  <si>
    <t>Activity Space</t>
  </si>
  <si>
    <t>LMH</t>
  </si>
  <si>
    <t xml:space="preserve"> UK std (sqm)</t>
  </si>
  <si>
    <t>Comments</t>
  </si>
  <si>
    <t>P21/22 reference (sqm)</t>
  </si>
  <si>
    <t>HBN (sqm)</t>
  </si>
  <si>
    <t>HBN source</t>
  </si>
  <si>
    <t>ADB Code</t>
  </si>
  <si>
    <t>HBN comment</t>
  </si>
  <si>
    <t>Repeatable Clinical / Clinical Support</t>
  </si>
  <si>
    <t>Included or ?</t>
  </si>
  <si>
    <t>Y</t>
  </si>
  <si>
    <t>Clean supply (Large)</t>
  </si>
  <si>
    <t>Low</t>
  </si>
  <si>
    <t>e.g., use when sharing 1 between 2 OP clusters, combined clean supply &amp; med prep</t>
  </si>
  <si>
    <t>Clean supply (Medium)</t>
  </si>
  <si>
    <t>HBN 04-01/ HBN 00-03</t>
  </si>
  <si>
    <t xml:space="preserve">Note: HBN 04-01 options for Clean supply space include:
&gt; Provision of Medicines store/prep room plus option of Clean supply room at 8sqm (0.34 sqm per bed) (note, Clean supply room does not provide a clinical wash hand basin)
&gt; Provision of a Clean supply room at 16sqm as an alternative to provision of Clean supply and medicine store/preparation room </t>
  </si>
  <si>
    <t>Clean supply (Small)</t>
  </si>
  <si>
    <t>Clean supply (store)</t>
  </si>
  <si>
    <t>Clean supply: ICU</t>
  </si>
  <si>
    <t>For ICU</t>
  </si>
  <si>
    <t>Cleaner's cupboard</t>
  </si>
  <si>
    <t>Cleaner's room</t>
  </si>
  <si>
    <t>HBN 02-01</t>
  </si>
  <si>
    <t>Consult/exam room: Dual-sided couch access</t>
  </si>
  <si>
    <t>Medium</t>
  </si>
  <si>
    <t>HBN 00-03</t>
  </si>
  <si>
    <t>Consult/exam room: Single-sided couch access</t>
  </si>
  <si>
    <r>
      <t xml:space="preserve">Increased from 12 to 14. Check size based on Pollie's comment - </t>
    </r>
    <r>
      <rPr>
        <i/>
        <sz val="10"/>
        <color rgb="FFFF0000"/>
        <rFont val="Arial"/>
        <family val="2"/>
      </rPr>
      <t>Suggest sizing C/E rooms same as cabins in ED</t>
    </r>
  </si>
  <si>
    <t>Control hub</t>
  </si>
  <si>
    <t>Dirty utility (Large)</t>
  </si>
  <si>
    <t>For theatres</t>
  </si>
  <si>
    <t>Dirty utility (Medium)</t>
  </si>
  <si>
    <t>Dirty utility room for bedpan processing; 1 per 12 beds</t>
  </si>
  <si>
    <t>Disposal hold (Large)</t>
  </si>
  <si>
    <t>Disposal hold (Medium)</t>
  </si>
  <si>
    <t>Disposal hold (Small)</t>
  </si>
  <si>
    <t>Fluids room</t>
  </si>
  <si>
    <t>Hi-Fidelity Simulation Suite: ICU</t>
  </si>
  <si>
    <t>In ICU and education</t>
  </si>
  <si>
    <t>Hi-Fidelity Simulation Suite: NICU</t>
  </si>
  <si>
    <t>Hi-Fidelity Simulation Suite: Theatre</t>
  </si>
  <si>
    <t>In theatres and education</t>
  </si>
  <si>
    <t>Interview / counselling room</t>
  </si>
  <si>
    <t>Interview/counselling</t>
  </si>
  <si>
    <t>HBN 26</t>
  </si>
  <si>
    <t>Lobby: Isolation</t>
  </si>
  <si>
    <t>High</t>
  </si>
  <si>
    <t>HBN assumes bed access is separate.</t>
  </si>
  <si>
    <t>Medicines preparation (Large)</t>
  </si>
  <si>
    <t>Medicines preparation (Medium)</t>
  </si>
  <si>
    <t>Medicine store/preparation room; 1 per 24 beds</t>
  </si>
  <si>
    <t>Multidisciplinary team room: 15 People</t>
  </si>
  <si>
    <t>Multidisciplinary team room: 30 People</t>
  </si>
  <si>
    <t xml:space="preserve">Plaster room </t>
  </si>
  <si>
    <t>Minors, Orthopaedics</t>
  </si>
  <si>
    <t>Pneumatic tube station</t>
  </si>
  <si>
    <t>Point of care testing room</t>
  </si>
  <si>
    <t>HBN 04-02</t>
  </si>
  <si>
    <t>Not specified in HBN 04-01; sized as per Critical Care HBN 04-02</t>
  </si>
  <si>
    <t>Recliner: Per person</t>
  </si>
  <si>
    <t>Names must be tailored to department e.g., Recliner: Ambulatory recovery: Per person</t>
  </si>
  <si>
    <t>HBN 10-02</t>
  </si>
  <si>
    <t>Therapy room</t>
  </si>
  <si>
    <t>Treatment room (Large)</t>
  </si>
  <si>
    <t>HBN 04-01 recommends Treatment room: double-sided couch access, 1 per 24 beds if multi-bed bays used. HBN 04-01 size is smaller at 16m2. HBN 00-03 is calculated based upon clearances for double-sided access.</t>
  </si>
  <si>
    <t>Treatment room (Standard)</t>
  </si>
  <si>
    <t>Single-sided access.</t>
  </si>
  <si>
    <t>Repeatable Standard Support</t>
  </si>
  <si>
    <t>Bathroom: Assisted</t>
  </si>
  <si>
    <t>E.g., ICU</t>
  </si>
  <si>
    <t>Bay: Wheelchair storage</t>
  </si>
  <si>
    <t>Change: Accessible patient</t>
  </si>
  <si>
    <t>HBN 06-01</t>
  </si>
  <si>
    <t>Change: Ambulant patient</t>
  </si>
  <si>
    <t>Delivery hub (Medium)</t>
  </si>
  <si>
    <t>Delivery hub (Small)</t>
  </si>
  <si>
    <t>Drinking water dispenser</t>
  </si>
  <si>
    <t>Ensuite (Large)</t>
  </si>
  <si>
    <t>HBN 00-02</t>
  </si>
  <si>
    <t>sizing is calculated based upon clearances recommended in HBN 00-02 (which doesn't specify room sizes.)</t>
  </si>
  <si>
    <t>Ensuite (Standard)</t>
  </si>
  <si>
    <t>3.8 to 4.3</t>
  </si>
  <si>
    <t>HBN 04-01/ HBN 00-02</t>
  </si>
  <si>
    <t>Shower room: en-suite: chamfered (shower and WC)
P22 states it allows assisted use with double doors open (1 side assist) sizing is calculated based upon clearances recommended in HBN 00-02 (which doesn't specify room sizes.)</t>
  </si>
  <si>
    <t>Infant feeding room</t>
  </si>
  <si>
    <t>HBN 06</t>
  </si>
  <si>
    <t>Kitchen: Inpatient</t>
  </si>
  <si>
    <t>1 between 2 wards</t>
  </si>
  <si>
    <t>Lockers: 4 Lockers</t>
  </si>
  <si>
    <t>For staff and pt</t>
  </si>
  <si>
    <t>HBN 09-02</t>
  </si>
  <si>
    <t>Nappy change room</t>
  </si>
  <si>
    <t>On call room: With ensuite</t>
  </si>
  <si>
    <t>Pantry (Large)</t>
  </si>
  <si>
    <t>Query - where has this size come from?</t>
  </si>
  <si>
    <t>Pantry (Medium)</t>
  </si>
  <si>
    <t>Ward pantry. 1 per 24 beds. Larger than pantry/refreshment area as includes larger fridge, ice-making machine and additional storage</t>
  </si>
  <si>
    <t>HBN 04-01/ HBN 04/02 /HBN 09-02 / HBN 23</t>
  </si>
  <si>
    <t>Ward pantry e.g., Inpatients (adults, paeds), MLU, CCU</t>
  </si>
  <si>
    <t>Pantry (Small)</t>
  </si>
  <si>
    <t>Pantry/refreshment area</t>
  </si>
  <si>
    <t>Referenced in HBN 09-02 pregnancy assessment unit</t>
  </si>
  <si>
    <t>Reception: Per person</t>
  </si>
  <si>
    <t>HBN 04-01</t>
  </si>
  <si>
    <t>5.5 x no of places</t>
  </si>
  <si>
    <t>Self check in screens</t>
  </si>
  <si>
    <t>Seminar room: 15 People</t>
  </si>
  <si>
    <t>Seminar room: 30 People</t>
  </si>
  <si>
    <t>Staff base: Per person</t>
  </si>
  <si>
    <t>3 sqm per person</t>
  </si>
  <si>
    <t>Staff: Breakout space: Per person</t>
  </si>
  <si>
    <t>1 per 8 beds</t>
  </si>
  <si>
    <t>Staff: Change: Per person</t>
  </si>
  <si>
    <t>2.5 sqm per person</t>
  </si>
  <si>
    <t>Staff: Rest room and beverage bay: Per person</t>
  </si>
  <si>
    <t>1.9 sqm per staff (HBN 00-01); 1.8 sqm per staff for places &gt;15</t>
  </si>
  <si>
    <t>Staff: Shower</t>
  </si>
  <si>
    <t>Touchdown: Per person</t>
  </si>
  <si>
    <t>Virtual consultation booth:  1 Person</t>
  </si>
  <si>
    <t>No HBN reference for virtual consultation booths</t>
  </si>
  <si>
    <t>Virtual consultation booth: 2 People</t>
  </si>
  <si>
    <t>Waiting / play allowance: Per child</t>
  </si>
  <si>
    <t>Per HBN 23</t>
  </si>
  <si>
    <t>Waiting allowance: Wheelchair: Per person</t>
  </si>
  <si>
    <t>HBN-00-03</t>
  </si>
  <si>
    <t>Waiting allowance: Ambulant: Per person</t>
  </si>
  <si>
    <t>To also be used for sizing e.g., Day Surgery Lounge</t>
  </si>
  <si>
    <t>use 1.8m2 per person if wheelchair allowance is not separately listed</t>
  </si>
  <si>
    <t>WC: Accessible</t>
  </si>
  <si>
    <t>WC: Ambulant</t>
  </si>
  <si>
    <t>1 per 24 beds (HBN 04-01)</t>
  </si>
  <si>
    <t>WC: Changing places</t>
  </si>
  <si>
    <t>Sized per the legal requirement. Do not reduce.</t>
  </si>
  <si>
    <t xml:space="preserve">WC: Shower: Assisted </t>
  </si>
  <si>
    <t>Adult Critical Care</t>
  </si>
  <si>
    <t>Bedroom: ICU: 1 Person</t>
  </si>
  <si>
    <t>25.5 to 26</t>
  </si>
  <si>
    <t>smaller size is a bay, larger is a room</t>
  </si>
  <si>
    <t>Ensuite: Isolation negative: Dual assisted</t>
  </si>
  <si>
    <t>No centralised shower room, ensuites only</t>
  </si>
  <si>
    <t>Not specified within HBN 04-02; 
HBN 04-04 specifies 1x Shower room: assisted per 8 beds</t>
  </si>
  <si>
    <t>Rehabilitation space: ICU</t>
  </si>
  <si>
    <t>Emergency Department</t>
  </si>
  <si>
    <t>HBN 15-01 replaces HBN 22. HBN 15-01 does not provide an SoA or any room sizes.</t>
  </si>
  <si>
    <t>Cabin: Assess and treat: Single (Standard)</t>
  </si>
  <si>
    <t>E.g., Majors cubicle, Paeds ED</t>
  </si>
  <si>
    <t>Cabin: Assess and treat: Single (Large)</t>
  </si>
  <si>
    <t xml:space="preserve">Isolation </t>
  </si>
  <si>
    <t>Cabin: Trolley (Standard)</t>
  </si>
  <si>
    <t>SDEC - Sarah: shall we keep trolley for SDEC or just use lines 77/78?</t>
  </si>
  <si>
    <t>Cabin: Trolley (Large)</t>
  </si>
  <si>
    <t>SDEC</t>
  </si>
  <si>
    <t>Digital triage kiosk</t>
  </si>
  <si>
    <t>Decontamination room</t>
  </si>
  <si>
    <t>Mental health room</t>
  </si>
  <si>
    <t>Recliner: Assessment / treatment (Fit to sit)</t>
  </si>
  <si>
    <t>Resuscitation room (Large)</t>
  </si>
  <si>
    <t>Complex / Paeds</t>
  </si>
  <si>
    <t>Resuscitation room (Medium)</t>
  </si>
  <si>
    <t>HBN 22</t>
  </si>
  <si>
    <t xml:space="preserve">HBN 22 England each bay size is 22 m2. HBN 22 (Wales) allocation is for a 2-person resus </t>
  </si>
  <si>
    <t>Shower: Decontamination</t>
  </si>
  <si>
    <t>Triage</t>
  </si>
  <si>
    <t>For use in Maternity or ED</t>
  </si>
  <si>
    <t>Endoscopy</t>
  </si>
  <si>
    <t>Decontamination suite: Dirty returns</t>
  </si>
  <si>
    <t>Decontamination suite: Endoscope collection point</t>
  </si>
  <si>
    <t>Decontamination suite: Used scope: Pass through washer</t>
  </si>
  <si>
    <t>Procedure room: Endoscopy</t>
  </si>
  <si>
    <t>&gt; Not specified in HBN 52 vol 2 
&gt; International Health Facility Guidelines: 36 sqm for general endoscopy room</t>
  </si>
  <si>
    <t>Imaging</t>
  </si>
  <si>
    <t>HBN 6 was published 2001</t>
  </si>
  <si>
    <t>Bay: Hand and foot monitor</t>
  </si>
  <si>
    <t>Nuclear Medicine - Spect CT</t>
  </si>
  <si>
    <t>Cannulation room</t>
  </si>
  <si>
    <t xml:space="preserve">Cone beam CT </t>
  </si>
  <si>
    <t xml:space="preserve">Control: Double </t>
  </si>
  <si>
    <t>Control: Single</t>
  </si>
  <si>
    <t>CT scanner</t>
  </si>
  <si>
    <t>HBN 6</t>
  </si>
  <si>
    <t>Delivery room: Radioactive sealed source out of hours (safe room)</t>
  </si>
  <si>
    <t>DEXA scanner</t>
  </si>
  <si>
    <t>Disposal hold: Radioactive</t>
  </si>
  <si>
    <t>Fluoroscopy room: Universal or remote with control area</t>
  </si>
  <si>
    <t>Ultrasound room: General</t>
  </si>
  <si>
    <t>Hold: Lead apron</t>
  </si>
  <si>
    <t>Injection room: Radioactive</t>
  </si>
  <si>
    <t>Booking area: Radioactive unsealed source</t>
  </si>
  <si>
    <t xml:space="preserve">Preparation room: radiopharmaceutical support and storage </t>
  </si>
  <si>
    <t xml:space="preserve">Store: Radioactive injection area </t>
  </si>
  <si>
    <t>Maintenance room: Mobile x-ray</t>
  </si>
  <si>
    <t>Anaesthetic room: Including recovery</t>
  </si>
  <si>
    <t>Mammography</t>
  </si>
  <si>
    <t>MRI room</t>
  </si>
  <si>
    <t>MRI: Transfer area</t>
  </si>
  <si>
    <t>Lobby: Inner control</t>
  </si>
  <si>
    <t>PET scanner</t>
  </si>
  <si>
    <t>Preparation room: Barium swallow</t>
  </si>
  <si>
    <t>Reporting: 1 Person</t>
  </si>
  <si>
    <t>Sample counter room</t>
  </si>
  <si>
    <t>SPECT CT / gamma camera</t>
  </si>
  <si>
    <t>Technical room (Large)</t>
  </si>
  <si>
    <t>e.g., CT/MRI Computer Equipment / Cabinets</t>
  </si>
  <si>
    <t>Technical room (Small)</t>
  </si>
  <si>
    <t>Technical cabinet room</t>
  </si>
  <si>
    <t>Viewing room</t>
  </si>
  <si>
    <t>Waiting area: 'Hot' post injection: Per peson</t>
  </si>
  <si>
    <t>Shower: WC (Radioactive)</t>
  </si>
  <si>
    <t>WC: Accessible (Radioactive)</t>
  </si>
  <si>
    <t>X-ray: Fluoroscopy</t>
  </si>
  <si>
    <t>X-ray: General</t>
  </si>
  <si>
    <t>General computed radiography x-ray room incl. control cubicle</t>
  </si>
  <si>
    <t>X-ray: OPG</t>
  </si>
  <si>
    <t>Inpatients Adults and Paeds</t>
  </si>
  <si>
    <t>Bedroom: 1 Person</t>
  </si>
  <si>
    <t>Bedroom: 1 Person (Large)</t>
  </si>
  <si>
    <t>Bedroom: HDU: 1 Person</t>
  </si>
  <si>
    <t>Bedroom: Isolation: 1 Person</t>
  </si>
  <si>
    <t>Bedroom: Mental and physical health: 1 Person</t>
  </si>
  <si>
    <t>Bedroom: Relative overnight stay</t>
  </si>
  <si>
    <t>Check size - amended to align with Neonates (previously 19sqm)</t>
  </si>
  <si>
    <t>Breakout space: Patients</t>
  </si>
  <si>
    <t xml:space="preserve">For long term care and MH? </t>
  </si>
  <si>
    <t>Sitting room: 7 places (including 1 wheelchair place)</t>
  </si>
  <si>
    <t>Maternity &amp; Neonatal</t>
  </si>
  <si>
    <t>HBN 09-02 published 2013</t>
  </si>
  <si>
    <t>LDRP room</t>
  </si>
  <si>
    <t>LDRP room: Bereavement</t>
  </si>
  <si>
    <r>
      <t>I assume this is what Pollie is referring to?:</t>
    </r>
    <r>
      <rPr>
        <i/>
        <sz val="10"/>
        <color rgb="FFFF0000"/>
        <rFont val="Arial"/>
        <family val="2"/>
      </rPr>
      <t xml:space="preserve"> Bereavement suite size isn’t sufficient to allow the 2 separate rooms</t>
    </r>
  </si>
  <si>
    <t>LDRP room: Birthing pool</t>
  </si>
  <si>
    <t>Lobby: LDRP</t>
  </si>
  <si>
    <t>Neonates</t>
  </si>
  <si>
    <t>Bedroom: Family adjoined: Accessible</t>
  </si>
  <si>
    <t>Bedroom: Family adjoined: Ambulant</t>
  </si>
  <si>
    <t>Bedroom: Single cot</t>
  </si>
  <si>
    <t>Ensuite: Shower room: Accessible</t>
  </si>
  <si>
    <t>For parents, accessible</t>
  </si>
  <si>
    <t>Ensuite: Shower room: Ambulant</t>
  </si>
  <si>
    <t>For parents, ambulant</t>
  </si>
  <si>
    <t>Expressing room</t>
  </si>
  <si>
    <t>Store: Donor milk</t>
  </si>
  <si>
    <t>Operating Theatres</t>
  </si>
  <si>
    <t>Anaesthetic room</t>
  </si>
  <si>
    <t>HBN 26 
HBN 10-02</t>
  </si>
  <si>
    <t>Bay: Exit</t>
  </si>
  <si>
    <t>Block room: Per person</t>
  </si>
  <si>
    <t>Cabin: Stage 1 Recovery: Single (Standard)</t>
  </si>
  <si>
    <t>Cabin: Stage 1 Recovery: Single (Large)</t>
  </si>
  <si>
    <t>Cabin: Pre-Op Prep/Stage 2 Recovery: Single (Standard)</t>
  </si>
  <si>
    <t>Cabin: Pre-Op Prep/Stage 2 Recovery: Single (Large)</t>
  </si>
  <si>
    <t>Catheter lab</t>
  </si>
  <si>
    <t>Footwear washing</t>
  </si>
  <si>
    <t>Interventional radiology suite</t>
  </si>
  <si>
    <t>HBN 01-01 / HBN 6</t>
  </si>
  <si>
    <r>
      <rPr>
        <b/>
        <sz val="10"/>
        <color rgb="FF000000"/>
        <rFont val="Arial"/>
        <family val="2"/>
      </rPr>
      <t>HBN 01-01 Cardiac facilities published 2013 
HBN 6 diagnostic imaging and interventional radiology published 2001</t>
    </r>
    <r>
      <rPr>
        <sz val="10"/>
        <color rgb="FF000000"/>
        <rFont val="Arial"/>
        <family val="2"/>
      </rPr>
      <t xml:space="preserve">
&gt; 45 sqm for interventional fluoroscopy room in HBN 6 
&gt; 55 sqm for Neuroradiological angiography procedures room (single or bi-plane
equipment)
HBN 01-01 Cardiac facilities - 55 sqm for cath lab </t>
    </r>
  </si>
  <si>
    <t>Operating theatre: Emergency</t>
  </si>
  <si>
    <t>Operating theatre: Hybrid</t>
  </si>
  <si>
    <t>Not specified in HBN; not provided at WXH</t>
  </si>
  <si>
    <t>Operating theatre: Intraop-MRI</t>
  </si>
  <si>
    <t>Operating theatre: Obstetric</t>
  </si>
  <si>
    <t>Increased size to allow for intra-theatre neonatal resus</t>
  </si>
  <si>
    <t>Operating theatre: Standard</t>
  </si>
  <si>
    <t xml:space="preserve">Preparation room </t>
  </si>
  <si>
    <t xml:space="preserve">Sample / frozen section room </t>
  </si>
  <si>
    <t>Scrub room</t>
  </si>
  <si>
    <t>Scrub-up &amp; gowning room: 3 places</t>
  </si>
  <si>
    <t>Lobby: Inpatient access</t>
  </si>
  <si>
    <t>Lobby: Emergency access</t>
  </si>
  <si>
    <t>Outpatients</t>
  </si>
  <si>
    <t>Audiology booth</t>
  </si>
  <si>
    <t>Bathroom: Dermatology</t>
  </si>
  <si>
    <t>Dermatology</t>
  </si>
  <si>
    <t>Camera room</t>
  </si>
  <si>
    <t>Ophthalmology</t>
  </si>
  <si>
    <t>Cabin: Trolley: Medical day (Standard)</t>
  </si>
  <si>
    <t>Cabin: Recliner: Medical day (Standard)</t>
  </si>
  <si>
    <t>CPEX room</t>
  </si>
  <si>
    <t>Respiratory</t>
  </si>
  <si>
    <t>Dental chair: 1 Place</t>
  </si>
  <si>
    <t>Dental</t>
  </si>
  <si>
    <t>Group room</t>
  </si>
  <si>
    <t>Gym: Small</t>
  </si>
  <si>
    <t>Gym: Therapies</t>
  </si>
  <si>
    <t>Therapies</t>
  </si>
  <si>
    <t>Hand therapy room</t>
  </si>
  <si>
    <t>Hydrotherapy pool</t>
  </si>
  <si>
    <t>Investigation / diagnostic room (Large)</t>
  </si>
  <si>
    <t>Mobile equipment. Can be used for e.g., ECHO, ECG, Holter, stress test, pacing, spiromentry, vestibular, OCT/pentacam</t>
  </si>
  <si>
    <t>HBN 28</t>
  </si>
  <si>
    <t xml:space="preserve">HBN room used for stress ECG investigations. </t>
  </si>
  <si>
    <t>Investigation / diagnostic room (Medium)</t>
  </si>
  <si>
    <t>Check size based on Pollie's comment re. Medium and Large sizes</t>
  </si>
  <si>
    <t>Laboratory: Dental</t>
  </si>
  <si>
    <t>Laser room</t>
  </si>
  <si>
    <t>Lung function room</t>
  </si>
  <si>
    <t>Machine disinfection</t>
  </si>
  <si>
    <t>Dialysis support</t>
  </si>
  <si>
    <t>Medicines preparation: Cytotoxic</t>
  </si>
  <si>
    <t>Orthoptics room</t>
  </si>
  <si>
    <t>Phlebotomy</t>
  </si>
  <si>
    <t>Plaster room</t>
  </si>
  <si>
    <t>With correct DU plumbing</t>
  </si>
  <si>
    <t>Minor procedure room</t>
  </si>
  <si>
    <t>Ambulatory care - day procedures (no anaesthetic), inc dental</t>
  </si>
  <si>
    <t>HBN 52</t>
  </si>
  <si>
    <t>PUVA room</t>
  </si>
  <si>
    <t>Technical room: Dialysis</t>
  </si>
  <si>
    <t>Dialysis</t>
  </si>
  <si>
    <t>Visual fields</t>
  </si>
  <si>
    <t>Water treatment</t>
  </si>
  <si>
    <t>Paediatrics</t>
  </si>
  <si>
    <t>Kitchen: Milk / special feed unit</t>
  </si>
  <si>
    <t>Paeds and neonates</t>
  </si>
  <si>
    <t>Lounge: Adolescent: Per person</t>
  </si>
  <si>
    <t>Lounge: Family: Per person</t>
  </si>
  <si>
    <t xml:space="preserve">Paeds </t>
  </si>
  <si>
    <t>Play room</t>
  </si>
  <si>
    <t>School room (Small)</t>
  </si>
  <si>
    <t>School room (Large)</t>
  </si>
  <si>
    <t>Sensory room</t>
  </si>
  <si>
    <t>Staff Spaces</t>
  </si>
  <si>
    <t>Command centre: Per person</t>
  </si>
  <si>
    <t>Allowance per person 5.5sqm</t>
  </si>
  <si>
    <t>Dining room</t>
  </si>
  <si>
    <t>Meeting booth</t>
  </si>
  <si>
    <t>Meeting room: Per person</t>
  </si>
  <si>
    <t>Office: 1 Person</t>
  </si>
  <si>
    <t>Not specified in HBN 04-01. The HBN lists a 16m2 office/ meeting room for 10 places or 2 workstations.</t>
  </si>
  <si>
    <t>Privacy phone booth</t>
  </si>
  <si>
    <t>Wellbeing / lactation room</t>
  </si>
  <si>
    <t>Workstations: Per person</t>
  </si>
  <si>
    <t>Clinical Support</t>
  </si>
  <si>
    <t>Decontamination room: Clinical equipment (Large)</t>
  </si>
  <si>
    <t>Decontamination room: Clinical equipment (Small)</t>
  </si>
  <si>
    <t>Education: Classroom: Per person</t>
  </si>
  <si>
    <t>Education: Haptics lab: Per person</t>
  </si>
  <si>
    <t>Education: Skills lab: Per person</t>
  </si>
  <si>
    <t>HBN 09-03</t>
  </si>
  <si>
    <t>HBN lab used for neonatal services</t>
  </si>
  <si>
    <t>Handwash station</t>
  </si>
  <si>
    <t>Hot lab (Large)</t>
  </si>
  <si>
    <t>?</t>
  </si>
  <si>
    <t>Hot lab (Medium)</t>
  </si>
  <si>
    <t>Hot lab (Small)</t>
  </si>
  <si>
    <t xml:space="preserve">Size to be agreed. </t>
  </si>
  <si>
    <t>Laboratory: Blood bank</t>
  </si>
  <si>
    <t>varies</t>
  </si>
  <si>
    <t>HBN 15</t>
  </si>
  <si>
    <t>Haematology general laboratory</t>
  </si>
  <si>
    <t>Laboratory: Category 3</t>
  </si>
  <si>
    <t>Laboratory: Category 4</t>
  </si>
  <si>
    <t>Laboratory: Cold room</t>
  </si>
  <si>
    <t>Laboratory: Dedicated sterile support</t>
  </si>
  <si>
    <t>Laboratory: General automated tests</t>
  </si>
  <si>
    <t>Chemical pathology general laboratory</t>
  </si>
  <si>
    <t>Laboratory: General chemistry and immunology</t>
  </si>
  <si>
    <t>Laboratory: Haematology</t>
  </si>
  <si>
    <t>Laboratory: Histopathology and frozen section incl digitisation</t>
  </si>
  <si>
    <t>Histopathology general laboratory</t>
  </si>
  <si>
    <t>Laboratory: Histopathology sorting, processing and cut up</t>
  </si>
  <si>
    <t>Histopathology special laboratory</t>
  </si>
  <si>
    <t>Laboratory: Sorting and request processing: Specimens</t>
  </si>
  <si>
    <t xml:space="preserve">Laboratory: Specimen receiving </t>
  </si>
  <si>
    <t>Laboratory: Tissue room</t>
  </si>
  <si>
    <t>Mortuary: Bier room</t>
  </si>
  <si>
    <t>HBN 20</t>
  </si>
  <si>
    <t>Mortuary: Body store and handling area: 2 Bays double ended: 30 Bodies</t>
  </si>
  <si>
    <t xml:space="preserve">Can/should we size this per body? Also,if we want a 'medium' option - health facilities guidelines for Mortuary Unit also has cold store/body holding room at 35sqm sized for 12 body holding capacity; body holding area with refrigerated cabinets, triple stacked, or 16 bodies quadruple stacked (not including the fridges) </t>
  </si>
  <si>
    <t>Mortuary: Observation area</t>
  </si>
  <si>
    <t>Mortuary: Post mortem room: 2 Tables</t>
  </si>
  <si>
    <t>Mortuary: Trolleys and x-ray machine</t>
  </si>
  <si>
    <t>Mortuary: Viewing room: Family</t>
  </si>
  <si>
    <t>Pharmacy: Aseptic suite</t>
  </si>
  <si>
    <t>Pharmacy: IV and peritoneal nutrition</t>
  </si>
  <si>
    <t>Pharmacy: Loading bay store</t>
  </si>
  <si>
    <t>Pharmacy: Main dispensary</t>
  </si>
  <si>
    <t>HBN 14-01</t>
  </si>
  <si>
    <t>Dispensing area: 20 workstations</t>
  </si>
  <si>
    <t>Pharmacy: Outpatient</t>
  </si>
  <si>
    <t>Pharmacy: Repacking</t>
  </si>
  <si>
    <t>Pharmacy: Research</t>
  </si>
  <si>
    <t>Ready to use gas cylinder room (Large)</t>
  </si>
  <si>
    <t>Ready to use gas cylinder room (Small)</t>
  </si>
  <si>
    <t>Service room: Equipment (Large)</t>
  </si>
  <si>
    <t>Service room: Equipment (Small)</t>
  </si>
  <si>
    <t>Study room</t>
  </si>
  <si>
    <t>Non-Clinical Support</t>
  </si>
  <si>
    <t>AGV: Cart washing and storage</t>
  </si>
  <si>
    <t>AGV: Charging</t>
  </si>
  <si>
    <t>AGV: Departmental clean hub</t>
  </si>
  <si>
    <t>AGV: Departmental dirty hub</t>
  </si>
  <si>
    <t>AGV: Parking and loading</t>
  </si>
  <si>
    <t>CSSD decontamination: Central wash up</t>
  </si>
  <si>
    <t>HBN 13</t>
  </si>
  <si>
    <t>Wash area: 2 pass-through trolley washers</t>
  </si>
  <si>
    <t>CSSD decontamination: Steriliser</t>
  </si>
  <si>
    <t>Loading/unloading area: 2 sterilizers</t>
  </si>
  <si>
    <t>Desk: Security</t>
  </si>
  <si>
    <t>Equipment library</t>
  </si>
  <si>
    <t>Estate workshop</t>
  </si>
  <si>
    <t>HBN 34</t>
  </si>
  <si>
    <t>Standard electrician's workshop providing for hospitals with 350-649 beds</t>
  </si>
  <si>
    <t>Housekeeping hub</t>
  </si>
  <si>
    <t>Information centre (Large)</t>
  </si>
  <si>
    <t>Information centre (Small)</t>
  </si>
  <si>
    <t>Laundry</t>
  </si>
  <si>
    <t>Medical physics</t>
  </si>
  <si>
    <t>Multi-faith room</t>
  </si>
  <si>
    <t>HBN 53</t>
  </si>
  <si>
    <t>Multi-faith &amp; quiet room: 5 persons</t>
  </si>
  <si>
    <t>Portering hub</t>
  </si>
  <si>
    <t>Retail café</t>
  </si>
  <si>
    <t>Retail shop</t>
  </si>
  <si>
    <t>HBN 51</t>
  </si>
  <si>
    <t>Retail shop accommodation including storage space</t>
  </si>
  <si>
    <t>Waste management</t>
  </si>
  <si>
    <t>Standard Support - Bays &amp; Stores</t>
  </si>
  <si>
    <t>Bay: Airway equipment</t>
  </si>
  <si>
    <t>Critical care</t>
  </si>
  <si>
    <t>Bay: Beverage</t>
  </si>
  <si>
    <t>Bay: Blood bank refrigerator</t>
  </si>
  <si>
    <t>Theatres support</t>
  </si>
  <si>
    <t>Bay: ECG</t>
  </si>
  <si>
    <t>Bay: Equipment</t>
  </si>
  <si>
    <t>Bay: Food trolley</t>
  </si>
  <si>
    <t>Bay: Ice machine</t>
  </si>
  <si>
    <t>Bay: Linen trolley</t>
  </si>
  <si>
    <t>Bay: Mobile endoscopy stack</t>
  </si>
  <si>
    <t>Bay: Mobile equipment</t>
  </si>
  <si>
    <t>Bay: Mobile hoist</t>
  </si>
  <si>
    <t>Bay: Mobile Imaging</t>
  </si>
  <si>
    <t>Bay: PC mobile equipment</t>
  </si>
  <si>
    <t>Bay: Resus trolley</t>
  </si>
  <si>
    <t>Bay: Scrub dispensing</t>
  </si>
  <si>
    <t>Bay: Supplies trolley</t>
  </si>
  <si>
    <t>Bay: Transport incubator</t>
  </si>
  <si>
    <t>Bay: Vending</t>
  </si>
  <si>
    <t>Bay: X-ray / ultrasound</t>
  </si>
  <si>
    <t>Trolley bay: Dual sided</t>
  </si>
  <si>
    <t>Trolley bay: Single sided</t>
  </si>
  <si>
    <t>To use for e.g., IP hold, RAT</t>
  </si>
  <si>
    <t>Store: 6 clean SSD trolleys</t>
  </si>
  <si>
    <t>Store: 6 dirty SSD trolleys</t>
  </si>
  <si>
    <t>Store: Anaesthetics</t>
  </si>
  <si>
    <t>Theatres</t>
  </si>
  <si>
    <t>Store: Plaster</t>
  </si>
  <si>
    <t>Store: 10m2</t>
  </si>
  <si>
    <t>Standard store sizes but variable according to function and department. When using in an SoA, should we just indicate the store function? E.g., Store: General</t>
  </si>
  <si>
    <t>Store: 15m2</t>
  </si>
  <si>
    <t>Store: 20m2</t>
  </si>
  <si>
    <t>Store: 30m2</t>
  </si>
  <si>
    <t>Store: 50m2</t>
  </si>
  <si>
    <t>Store: 5m2</t>
  </si>
  <si>
    <t>Outside</t>
  </si>
  <si>
    <t>Bay: Ambulance cleaning</t>
  </si>
  <si>
    <t>Bay: Ambulance parking</t>
  </si>
  <si>
    <t>Helipad</t>
  </si>
  <si>
    <t>Lobby: Ambulance transfer</t>
  </si>
  <si>
    <t>Total Room Count</t>
  </si>
  <si>
    <t>Department</t>
  </si>
  <si>
    <t>Functional Content</t>
  </si>
  <si>
    <t>Patient Spaces</t>
  </si>
  <si>
    <t>Target NDA (m2)</t>
  </si>
  <si>
    <t>Planning allowances (%)</t>
  </si>
  <si>
    <t>Total (m2)</t>
  </si>
  <si>
    <t>Circulation Allowance (%)</t>
  </si>
  <si>
    <t>Engineering allowance (%)</t>
  </si>
  <si>
    <t>Target GDA (m2)</t>
  </si>
  <si>
    <t>Subtotal</t>
  </si>
  <si>
    <t>Inpatients Adults</t>
  </si>
  <si>
    <t>Inpatient Ward 1</t>
  </si>
  <si>
    <t>Beds</t>
  </si>
  <si>
    <t>Intensive Care Unit</t>
  </si>
  <si>
    <t>Urgent and Emergency Care Centre</t>
  </si>
  <si>
    <t>Entrance and Reception</t>
  </si>
  <si>
    <t>Triage/ RAT</t>
  </si>
  <si>
    <t>Resus</t>
  </si>
  <si>
    <t>Resus rooms</t>
  </si>
  <si>
    <t>Majors</t>
  </si>
  <si>
    <t>Treatment spaces</t>
  </si>
  <si>
    <t xml:space="preserve">Clinical Support </t>
  </si>
  <si>
    <t>Paediatric ED &amp; PAU</t>
  </si>
  <si>
    <t>Urgent Treatment Centre</t>
  </si>
  <si>
    <t>SDEC/CDU</t>
  </si>
  <si>
    <t>Satellite Imaging</t>
  </si>
  <si>
    <t xml:space="preserve">Imaging </t>
  </si>
  <si>
    <t>Acute Medical Unit</t>
  </si>
  <si>
    <t>Staff Support</t>
  </si>
  <si>
    <t>Paediatric Inpatient Ward Cluster A (Ages 0 - 3)</t>
  </si>
  <si>
    <t>Paediatric Inpatient Ward Cluster B (Ages 3-12)</t>
  </si>
  <si>
    <t>Paediatric Inpatient Wards Cluster C (Ages 12+)</t>
  </si>
  <si>
    <t xml:space="preserve">Paediatric Inpatient Ward Support </t>
  </si>
  <si>
    <t>Diagnostic Imaging</t>
  </si>
  <si>
    <t>Imaging entrance</t>
  </si>
  <si>
    <t>CT Suite</t>
  </si>
  <si>
    <t>MRI Suite</t>
  </si>
  <si>
    <t>Diagnostic Unit Radiology - Fluoroscopy</t>
  </si>
  <si>
    <t>Plain film x-ray</t>
  </si>
  <si>
    <t>Ultrasound</t>
  </si>
  <si>
    <t>Central Clinical Support</t>
  </si>
  <si>
    <t>Staff Area</t>
  </si>
  <si>
    <t>Nuclear Medicine - SPECT CT</t>
  </si>
  <si>
    <t>Maternity</t>
  </si>
  <si>
    <t>Neonatal</t>
  </si>
  <si>
    <t>Neonatal ward option 1</t>
  </si>
  <si>
    <t>Single cots</t>
  </si>
  <si>
    <t>Theatres and Co-Aligned Services</t>
  </si>
  <si>
    <t>Patient Cabins</t>
  </si>
  <si>
    <t>Interventional Suites</t>
  </si>
  <si>
    <t>Theatres/IR/Cath</t>
  </si>
  <si>
    <t>Prep/ Recovery</t>
  </si>
  <si>
    <t>Patient Cabins/Beds</t>
  </si>
  <si>
    <t>Theatres Support</t>
  </si>
  <si>
    <t xml:space="preserve">Subtotal GDA m2 </t>
  </si>
  <si>
    <t>Plant Allowance</t>
  </si>
  <si>
    <t>Communication Allowance</t>
  </si>
  <si>
    <t>Total GIA m2</t>
  </si>
  <si>
    <t xml:space="preserve">Theatres </t>
  </si>
  <si>
    <t>Department Naming Convention</t>
  </si>
  <si>
    <t>Subdepartment Naming Convention</t>
  </si>
  <si>
    <t>Urgent and Emergency Care</t>
  </si>
  <si>
    <t>Urgent Treatment Centre (UTC)</t>
  </si>
  <si>
    <t>Minor Injuries</t>
  </si>
  <si>
    <t>May be included within UTC</t>
  </si>
  <si>
    <t xml:space="preserve">Paediatric Emergency Department </t>
  </si>
  <si>
    <t xml:space="preserve">Inc. Psdec + PAU - agreed in workshop but does this work operationally? </t>
  </si>
  <si>
    <t>Same Day Emergency Care (SDEC)</t>
  </si>
  <si>
    <t>Includes frailty, medical, surgical, gynae</t>
  </si>
  <si>
    <t>UEC Diagnostic Imaging</t>
  </si>
  <si>
    <t>Acute Medical Unit (AMU)</t>
  </si>
  <si>
    <t xml:space="preserve">Speciality Assessment Unit - LoS up to 72 hours. </t>
  </si>
  <si>
    <t>Acute Surgical Unit (ASU)</t>
  </si>
  <si>
    <t>Generic Outpatients</t>
  </si>
  <si>
    <t>Allergy Service</t>
  </si>
  <si>
    <t>Anticoagulant Service</t>
  </si>
  <si>
    <t>Endocrinology and Diabetes</t>
  </si>
  <si>
    <t>Gastroenterology</t>
  </si>
  <si>
    <t>Geriatric Medicine</t>
  </si>
  <si>
    <t>General Medicine</t>
  </si>
  <si>
    <t>General Surgery</t>
  </si>
  <si>
    <t>Gynaecology</t>
  </si>
  <si>
    <t>Renal Medicine</t>
  </si>
  <si>
    <t>Neurology</t>
  </si>
  <si>
    <t xml:space="preserve">Pain Management </t>
  </si>
  <si>
    <t>Palliative Medicine</t>
  </si>
  <si>
    <t>Plastic Surgery</t>
  </si>
  <si>
    <t>Pre-operative Assessment</t>
  </si>
  <si>
    <t xml:space="preserve">Neurology </t>
  </si>
  <si>
    <t xml:space="preserve">Stroke Medicine </t>
  </si>
  <si>
    <t xml:space="preserve">Trauma and Orthopaedics </t>
  </si>
  <si>
    <t>Urology</t>
  </si>
  <si>
    <t xml:space="preserve">Specialist Outpatients </t>
  </si>
  <si>
    <t>Audiology</t>
  </si>
  <si>
    <t xml:space="preserve">Breast (including Symptomatic Mammography) </t>
  </si>
  <si>
    <t xml:space="preserve">Cardiology </t>
  </si>
  <si>
    <t>Cardiac investigaitons</t>
  </si>
  <si>
    <t xml:space="preserve">Dermatology </t>
  </si>
  <si>
    <t>PUVA, minor ops</t>
  </si>
  <si>
    <t>Ear, Nose and Throat (ENT)</t>
  </si>
  <si>
    <t xml:space="preserve">Ophthalmology </t>
  </si>
  <si>
    <t>Oral and Maxillofacial Surgery</t>
  </si>
  <si>
    <t xml:space="preserve"> incs. Dental and Oral Surgery </t>
  </si>
  <si>
    <t>Paediatrics Outpatients</t>
  </si>
  <si>
    <t xml:space="preserve">Respiratory </t>
  </si>
  <si>
    <t>Respiratory Physiology</t>
  </si>
  <si>
    <t>Sleep</t>
  </si>
  <si>
    <t xml:space="preserve">Therapies </t>
  </si>
  <si>
    <t xml:space="preserve">Speech and language therapy, Physiotherapy, Occupational Therapy, Therapy Gym, Dietetics, Orthotics, Prosthetics </t>
  </si>
  <si>
    <t>Treatment Areas</t>
  </si>
  <si>
    <t xml:space="preserve">Early Prenancy Assessment Unit (EPAU) </t>
  </si>
  <si>
    <t>Haematology</t>
  </si>
  <si>
    <t>Medical Day Unit</t>
  </si>
  <si>
    <t>infusions</t>
  </si>
  <si>
    <t xml:space="preserve">Medical Day Unit - Chemotherapy </t>
  </si>
  <si>
    <t>Minor Surgery and Procedures</t>
  </si>
  <si>
    <t>LA/Sedation only</t>
  </si>
  <si>
    <t>Rheumatology</t>
  </si>
  <si>
    <t>DEXA/Bone Densitometry</t>
  </si>
  <si>
    <t>Renal Dialysis</t>
  </si>
  <si>
    <t xml:space="preserve">Women's &amp; Children's </t>
  </si>
  <si>
    <t>Maternity Triage</t>
  </si>
  <si>
    <t>Maternity Assessment Unit</t>
  </si>
  <si>
    <t xml:space="preserve">Maternity Outpatients </t>
  </si>
  <si>
    <t>Ante-natal clinic</t>
  </si>
  <si>
    <t>Ultrasound Suite</t>
  </si>
  <si>
    <t>Also shared with OP</t>
  </si>
  <si>
    <t>Maternity Unit</t>
  </si>
  <si>
    <t>Includes maternity-led and consultant-led</t>
  </si>
  <si>
    <t>Neonatal Unit</t>
  </si>
  <si>
    <t>Paediatric Inpatients</t>
  </si>
  <si>
    <t xml:space="preserve"> </t>
  </si>
  <si>
    <t xml:space="preserve">Generic name for this area still under discussion </t>
  </si>
  <si>
    <t>Day of Surgery Admissions</t>
  </si>
  <si>
    <t>Including Pre-Op prep</t>
  </si>
  <si>
    <t>Theatres inc. Maternity Theatres &amp; Interventional Suites</t>
  </si>
  <si>
    <t>Interventional Radiology, Hybrid, Cardiac Catheter Laboratory, multi-table</t>
  </si>
  <si>
    <t>Inc. ambulatory + non-elective (assumed ambulatory off-site and non-elective in theatre)</t>
  </si>
  <si>
    <t>First Stage Recovery</t>
  </si>
  <si>
    <t>Second Stage Recovery</t>
  </si>
  <si>
    <t>Post-Operative Enhanced Care</t>
  </si>
  <si>
    <t>TBC</t>
  </si>
  <si>
    <t>Inpatient Services</t>
  </si>
  <si>
    <t>Adult Inpatient Wards</t>
  </si>
  <si>
    <t>Critical Care/Intensive Care</t>
  </si>
  <si>
    <t xml:space="preserve"> National data set - Critical Care. Includes Level 2 and 3 </t>
  </si>
  <si>
    <t xml:space="preserve"> Ambulatory and Inpatient Imaging</t>
  </si>
  <si>
    <t xml:space="preserve">Computed Tomography (CT) </t>
  </si>
  <si>
    <t>Magnetic Resonance Imaging (MRI)</t>
  </si>
  <si>
    <t>X-Ray</t>
  </si>
  <si>
    <t>Fluoroscopy</t>
  </si>
  <si>
    <t xml:space="preserve">Nuclear Medicine </t>
  </si>
  <si>
    <t>SPECT CT only</t>
  </si>
  <si>
    <t>Pathology</t>
  </si>
  <si>
    <t>Biochemistry; Haematology, Blood Sciences &amp; Transfusion; Microbiology; Histopathology</t>
  </si>
  <si>
    <t xml:space="preserve">Pharmacy </t>
  </si>
  <si>
    <t xml:space="preserve">Medicine Management </t>
  </si>
  <si>
    <t>Sterile Services</t>
  </si>
  <si>
    <t>Instrument repair, scope decon</t>
  </si>
  <si>
    <t xml:space="preserve">Digital </t>
  </si>
  <si>
    <t xml:space="preserve"> IT, Command Centre, future integration of Hard FM, electronic patient record, interoperability, DCB 128 and DCB 160 clinical safety</t>
  </si>
  <si>
    <t>Research</t>
  </si>
  <si>
    <t xml:space="preserve">Clinical Trials </t>
  </si>
  <si>
    <t>Medical Education Centre</t>
  </si>
  <si>
    <t xml:space="preserve">Mortuary </t>
  </si>
  <si>
    <t>Medical Photography</t>
  </si>
  <si>
    <t>Electrical and Biomedical Engineering (EBME)</t>
  </si>
  <si>
    <t xml:space="preserve">Equipment library, Medical Devices, Medical Physics, Beds etc. </t>
  </si>
  <si>
    <t xml:space="preserve">Transit Area </t>
  </si>
  <si>
    <t>Centralised Transport and Discharge Lounge</t>
  </si>
  <si>
    <t>Main Entrance Services</t>
  </si>
  <si>
    <t>inc. multi-faith, café, retail etc, visitor and Patient helpdesk/information, volunteers, charity, bereavement office</t>
  </si>
  <si>
    <t>Clinical &amp; Non-Clinical Offices</t>
  </si>
  <si>
    <t>Support services (Procurement, Contracts, Estates, HR, Finance etc), Transport</t>
  </si>
  <si>
    <t>Staff Amenities</t>
  </si>
  <si>
    <t>Centralised change, wellbeing rooms, on-call, occupational health, uniform exchange, staff dining,</t>
  </si>
  <si>
    <t>FM</t>
  </si>
  <si>
    <t>Soft FM</t>
  </si>
  <si>
    <t>Catering</t>
  </si>
  <si>
    <t>Soft FM  Note: Visitors,staff and patients' - includes kitchens</t>
  </si>
  <si>
    <t xml:space="preserve">Cleaning  </t>
  </si>
  <si>
    <t>Linen and Laundry</t>
  </si>
  <si>
    <t>Waste Management</t>
  </si>
  <si>
    <t>Security and Portering</t>
  </si>
  <si>
    <t>To include Post</t>
  </si>
  <si>
    <t>Hard FM</t>
  </si>
  <si>
    <t>Energy Management</t>
  </si>
  <si>
    <t>Inc energy centre</t>
  </si>
  <si>
    <t>Maintenance</t>
  </si>
  <si>
    <t>Inc estates workshop</t>
  </si>
  <si>
    <t>Capital Works (major/minor)</t>
  </si>
  <si>
    <t>Environmental Sustainability</t>
  </si>
  <si>
    <t xml:space="preserve">Materials Management </t>
  </si>
  <si>
    <t xml:space="preserve">Will include any AGVs, Logistics, centralised stores (Pharmacy), loading bay and dock </t>
  </si>
  <si>
    <t>Subdepartment</t>
  </si>
  <si>
    <t>Room Name</t>
  </si>
  <si>
    <t>HBN 
ref</t>
  </si>
  <si>
    <t>Briefed quantity</t>
  </si>
  <si>
    <t>Clinical Spaces</t>
  </si>
  <si>
    <t>Generic Ward</t>
  </si>
  <si>
    <t>Standard room</t>
  </si>
  <si>
    <t>Support Spaces</t>
  </si>
  <si>
    <t>Clean supply (store) to store clean supplies previously stored in DU</t>
  </si>
  <si>
    <t>Multifunction room which can be used as rehab or treatment space</t>
  </si>
  <si>
    <t>Including pneumatic tube</t>
  </si>
  <si>
    <t xml:space="preserve">Pantry (Medium) </t>
  </si>
  <si>
    <t xml:space="preserve">Breakout space: Patients </t>
  </si>
  <si>
    <t>May be 2 separate spaces, or combined into 1</t>
  </si>
  <si>
    <t>Family beverage bay. May be near breakout space</t>
  </si>
  <si>
    <t xml:space="preserve">WC: Ambulant </t>
  </si>
  <si>
    <t xml:space="preserve">Staff base: Per person </t>
  </si>
  <si>
    <t>To be used by ward staff - matron etc</t>
  </si>
  <si>
    <t>Storage Allowance (see comments for use)</t>
  </si>
  <si>
    <t xml:space="preserve">Store: 15m2 </t>
  </si>
  <si>
    <t xml:space="preserve">Equipment </t>
  </si>
  <si>
    <t xml:space="preserve">Consumables </t>
  </si>
  <si>
    <t xml:space="preserve">Staff: Change: Per person </t>
  </si>
  <si>
    <t xml:space="preserve">Lockers: 4 Lockers </t>
  </si>
  <si>
    <t>Dedicated per ward</t>
  </si>
  <si>
    <t>HBN 00-02/Standard room</t>
  </si>
  <si>
    <t>Dependant on FM strategy. Adjacent to AGV lift</t>
  </si>
  <si>
    <t>Dependant on Trust catering policy</t>
  </si>
  <si>
    <t>Bulk store</t>
  </si>
  <si>
    <t>Staff</t>
  </si>
  <si>
    <t>Visitor</t>
  </si>
  <si>
    <t xml:space="preserve">Visitor </t>
  </si>
  <si>
    <t>Visitor Support</t>
  </si>
  <si>
    <t xml:space="preserve">Store: 10m2 </t>
  </si>
  <si>
    <t xml:space="preserve">Assumed 1 x Patient Property Store </t>
  </si>
  <si>
    <t>Lounge: Family</t>
  </si>
  <si>
    <t>Overnight stay room + semi-ambulant shower room</t>
  </si>
  <si>
    <t>Clinical Area</t>
  </si>
  <si>
    <t>Bedroom: ICU: Isolation: 1 Person</t>
  </si>
  <si>
    <t>Ensuite to isolation room</t>
  </si>
  <si>
    <t>4 x isolation lobby's (1 x per isolation room)</t>
  </si>
  <si>
    <t xml:space="preserve">Bathroom: Assisted </t>
  </si>
  <si>
    <t>1 x per pod (8 beds)</t>
  </si>
  <si>
    <t>Clinical Support (see comments for use)</t>
  </si>
  <si>
    <t>To be used as a store in BAU, donning/doffing during outbreak</t>
  </si>
  <si>
    <t>Medicine preparation (Large)</t>
  </si>
  <si>
    <t>Multifunction treatment room that can be used as a rehab or treatment space</t>
  </si>
  <si>
    <t>1 x X-ray, 1 x mobile US</t>
  </si>
  <si>
    <t>Bay: Blood fridge</t>
  </si>
  <si>
    <t>IV Fluids</t>
  </si>
  <si>
    <t>Renal Fluids</t>
  </si>
  <si>
    <t xml:space="preserve">Store: 20m2 </t>
  </si>
  <si>
    <t>Transfer stacks</t>
  </si>
  <si>
    <t xml:space="preserve">Store: 5m2 </t>
  </si>
  <si>
    <t>Bulky consumables and furniture. HBN requires storage allowance per bed, however this 80m2 can be distributed throughout the unit as the designer and clinical input requires</t>
  </si>
  <si>
    <t>Assumed 1 for a small/medium unit per HBN</t>
  </si>
  <si>
    <t>Assumed 1 per unit</t>
  </si>
  <si>
    <t xml:space="preserve">Outdoor space </t>
  </si>
  <si>
    <t xml:space="preserve">Staff. </t>
  </si>
  <si>
    <t xml:space="preserve">On call room: With ensuite </t>
  </si>
  <si>
    <t>Sleep pods may be provided instead of on call room to enable a wider cohort of staff to nap</t>
  </si>
  <si>
    <t>Metrics adjusted upwards from a 16-bed unit guide.</t>
  </si>
  <si>
    <t xml:space="preserve">Staff: Shower </t>
  </si>
  <si>
    <t>As per HBN - adjusted for increased unit size</t>
  </si>
  <si>
    <t>For control and monitoring of patients, however it is assumed most patient monitoring will be mobile through staff phones (assumed 1 per 8 beds)</t>
  </si>
  <si>
    <t xml:space="preserve">Seminar room: 30 People </t>
  </si>
  <si>
    <t>Local FM Hub</t>
  </si>
  <si>
    <t>Minimum 1500L per 8 beds equates to (187.5 per bed x 16). 3000L. What are the assumptions on waste segregation and the requirement for waste streaming within a disposal hold? Adjacent to AGV lift</t>
  </si>
  <si>
    <t>Adjacent to AGV lift</t>
  </si>
  <si>
    <t>Paediatric Inpatient Ward Cluster A (Ages 0 - 3 plus HDU)</t>
  </si>
  <si>
    <t>Cluster A</t>
  </si>
  <si>
    <t>Including parent/carer overnight stay</t>
  </si>
  <si>
    <t>No fixed baths within ensuite. Baths will be portable/mobile</t>
  </si>
  <si>
    <t>Cluster B</t>
  </si>
  <si>
    <t>Anti-ligature - Including parent/carer overnight stay</t>
  </si>
  <si>
    <t>2 x ensuites anti-ligature. No fixed baths. Baths will need to be portable or patients will utilise shared bathroom</t>
  </si>
  <si>
    <t>Cluster C</t>
  </si>
  <si>
    <t>2 x ensuites anti-ligature</t>
  </si>
  <si>
    <t>Ward Support</t>
  </si>
  <si>
    <t>Shared between clusters</t>
  </si>
  <si>
    <t>Shared ward bathroom</t>
  </si>
  <si>
    <t>Staff use for preparation of drinks/snacks etc</t>
  </si>
  <si>
    <t xml:space="preserve">1 Shared between clusters A&amp;B, 1 for cluster C to include dining facilities for patients/families </t>
  </si>
  <si>
    <t xml:space="preserve">Dining room </t>
  </si>
  <si>
    <t>Included in breakout space above</t>
  </si>
  <si>
    <t>Associated with cluster C</t>
  </si>
  <si>
    <t xml:space="preserve">Play therapy room </t>
  </si>
  <si>
    <t>Associated with clusters A and B</t>
  </si>
  <si>
    <t>Includes beverage bay</t>
  </si>
  <si>
    <t xml:space="preserve">Expressing room </t>
  </si>
  <si>
    <t>Shared between clusters A and B</t>
  </si>
  <si>
    <t>Kitchen (Medium)</t>
  </si>
  <si>
    <t>For parent use, and includes beverage bay for cluster C</t>
  </si>
  <si>
    <t>One space with movable room dividers - could be located outside the ward</t>
  </si>
  <si>
    <t>Co-located with school</t>
  </si>
  <si>
    <t xml:space="preserve">One to be at ward entrance </t>
  </si>
  <si>
    <t>1 x paeds, 1 x adult</t>
  </si>
  <si>
    <t>For visitors</t>
  </si>
  <si>
    <t>Equipment</t>
  </si>
  <si>
    <t>Consumables</t>
  </si>
  <si>
    <t xml:space="preserve">Localised store for a small number of adult and paeditatric beds and cots. </t>
  </si>
  <si>
    <t>FM &amp; Shared Support</t>
  </si>
  <si>
    <t>TBC NHP changing policy. If no showers close to ward, these will need to be reinstated</t>
  </si>
  <si>
    <t>Shared Ward Space</t>
  </si>
  <si>
    <t>Ambulance arrivals</t>
  </si>
  <si>
    <t>Disaster management</t>
  </si>
  <si>
    <t>Optional</t>
  </si>
  <si>
    <t>Optional 1x patient, 1x staff - NHP to confirm</t>
  </si>
  <si>
    <t>Store: tents and supplies</t>
  </si>
  <si>
    <t>Main Entrance</t>
  </si>
  <si>
    <t>Draught lobby: Main entrance</t>
  </si>
  <si>
    <t>Adult reception and waiting</t>
  </si>
  <si>
    <t xml:space="preserve">Reception: Per person </t>
  </si>
  <si>
    <t>Distribute around unit incl. sub-waits</t>
  </si>
  <si>
    <t>To support streaming</t>
  </si>
  <si>
    <t>Paediatric reception and waiting</t>
  </si>
  <si>
    <t>Mix of child friendly and adolescent waiting spaces</t>
  </si>
  <si>
    <t>Reception and waiting</t>
  </si>
  <si>
    <t>Cabin: Assess and Treat: Single (Standard)</t>
  </si>
  <si>
    <t>Isolation room for suspected/confirmed infectious patients on arrival/post triage</t>
  </si>
  <si>
    <t>Mental Health/ Distressed Person Facilities</t>
  </si>
  <si>
    <t>Anti-ligature design</t>
  </si>
  <si>
    <t>Anti-ligature design - includes window for observation (1x adults and 1 x paeds in Paeds ED)</t>
  </si>
  <si>
    <t>Triage / RAT</t>
  </si>
  <si>
    <t>Store: triage support</t>
  </si>
  <si>
    <t>RAT</t>
  </si>
  <si>
    <t>Cabin: Assess and Treat: Single (Large)</t>
  </si>
  <si>
    <t>Isolation room for suspected/confirmed infectious patients</t>
  </si>
  <si>
    <r>
      <t>Resuscitation room: paediatrics/ complex.</t>
    </r>
    <r>
      <rPr>
        <sz val="10"/>
        <color rgb="FFFF0000"/>
        <rFont val="Arial"/>
        <family val="2"/>
      </rPr>
      <t xml:space="preserve"> </t>
    </r>
  </si>
  <si>
    <t>Bay: Mobile imaging</t>
  </si>
  <si>
    <t>Mobile X-ray</t>
  </si>
  <si>
    <t>Isolation</t>
  </si>
  <si>
    <t>1 between 10</t>
  </si>
  <si>
    <t>1 between 2</t>
  </si>
  <si>
    <t>Majors / Resus Clinical Support</t>
  </si>
  <si>
    <t xml:space="preserve">Shared with resus inc. beverage bay </t>
  </si>
  <si>
    <t>Could be one large room feeding top up system</t>
  </si>
  <si>
    <t>1 DU associated with resus</t>
  </si>
  <si>
    <t>Store: sterile supplies</t>
  </si>
  <si>
    <t>Store: ambulance equipment</t>
  </si>
  <si>
    <t>Bereavement Facilities</t>
  </si>
  <si>
    <t>Bereavement facilities</t>
  </si>
  <si>
    <t>Relatives room with beverage bay: 6 People</t>
  </si>
  <si>
    <t xml:space="preserve">Check size - previously 2 people @ 12sqm </t>
  </si>
  <si>
    <t>Body viewing / bier room</t>
  </si>
  <si>
    <t>Accessible for mortuary transfer</t>
  </si>
  <si>
    <t>Paediatric ED</t>
  </si>
  <si>
    <t>mental health</t>
  </si>
  <si>
    <t xml:space="preserve">WC: Accessible </t>
  </si>
  <si>
    <t>Paediatric Assessment Unit</t>
  </si>
  <si>
    <t>Nurses station</t>
  </si>
  <si>
    <t>Paediatric ED/PAU Clinical Support</t>
  </si>
  <si>
    <t>Paeds ED and PAU</t>
  </si>
  <si>
    <t>Sterile supplies</t>
  </si>
  <si>
    <t>PAU</t>
  </si>
  <si>
    <t>PAU - consumables</t>
  </si>
  <si>
    <t>PAU - equipment</t>
  </si>
  <si>
    <t>PAU - linen</t>
  </si>
  <si>
    <t>Urgent Treatment Centre Clinical Support</t>
  </si>
  <si>
    <t>Need to note that this is separate from reception (patient notes, etc.)</t>
  </si>
  <si>
    <t>Triage / Assessment</t>
  </si>
  <si>
    <t>Treatment Room (Standard)</t>
  </si>
  <si>
    <t>SDEC Clinical Support</t>
  </si>
  <si>
    <t>HBN - 1 per 12 patient beds/trolleys</t>
  </si>
  <si>
    <t>1 per cluster of 10</t>
  </si>
  <si>
    <t>Store: equipment</t>
  </si>
  <si>
    <t>Store: consumables</t>
  </si>
  <si>
    <t>Waiting: Bed / trolley: Per person</t>
  </si>
  <si>
    <t>Bay: Clean/dirty linen: Change</t>
  </si>
  <si>
    <t>Clean/dirty linen associated with changing</t>
  </si>
  <si>
    <t>Reporting: Per person</t>
  </si>
  <si>
    <t>mobile</t>
  </si>
  <si>
    <t>Technical room</t>
  </si>
  <si>
    <t>Allowance</t>
  </si>
  <si>
    <t>Shared Support (Across UECC)</t>
  </si>
  <si>
    <t>In addition to dedicated POCT available for Majors/Resus</t>
  </si>
  <si>
    <t>Small or medium?</t>
  </si>
  <si>
    <t>Staff support requirements to be confirmed by NHP</t>
  </si>
  <si>
    <t>Localised staff changing facilities provided in addition to main staff changing facilitites. NHP to confirm changing and shower strategy</t>
  </si>
  <si>
    <t>HBN</t>
  </si>
  <si>
    <t>Project</t>
  </si>
  <si>
    <t>Net Departmental Area</t>
  </si>
  <si>
    <t>Planning Allowance</t>
  </si>
  <si>
    <t xml:space="preserve">Sub Total  </t>
  </si>
  <si>
    <t>Engineering Allowance</t>
  </si>
  <si>
    <t>Circulation Allowance</t>
  </si>
  <si>
    <t>Gross Departmental Area</t>
  </si>
  <si>
    <t>Waiting allowance: Ambulant: 1 Person</t>
  </si>
  <si>
    <t>Quantity is per seating space - (allowance in this case for 42 people 1.5 people per imaging room)</t>
  </si>
  <si>
    <t> </t>
  </si>
  <si>
    <t xml:space="preserve">Play room </t>
  </si>
  <si>
    <t>Accessible. Quantity is per seating space - (allowance in this case for 6 people)</t>
  </si>
  <si>
    <t>2 per imaging room</t>
  </si>
  <si>
    <t>Inpatient hold. 2 per imaging room</t>
  </si>
  <si>
    <t xml:space="preserve">Cannulation room </t>
  </si>
  <si>
    <t>Control: Double</t>
  </si>
  <si>
    <t xml:space="preserve">For storage of pump consumables </t>
  </si>
  <si>
    <t xml:space="preserve">Patient screening </t>
  </si>
  <si>
    <t xml:space="preserve">Lobby: Inner control </t>
  </si>
  <si>
    <t>Waiting, transfer, parking area: MRI trolley, 2 MRI wheelchairs</t>
  </si>
  <si>
    <t xml:space="preserve">MRI room </t>
  </si>
  <si>
    <t>MRI Computer Equipment / Cabinets</t>
  </si>
  <si>
    <t>Emergency Equip/ Resus Trolley Bay (Non Ferrous)</t>
  </si>
  <si>
    <t>Equipment Storage, Dedicated to MRI</t>
  </si>
  <si>
    <t>dedicated to MRI</t>
  </si>
  <si>
    <t>Combined recovery and anaesthetic room</t>
  </si>
  <si>
    <t>Technical Cabinet Room</t>
  </si>
  <si>
    <t>Store - Sterile Consumables</t>
  </si>
  <si>
    <t>Store - Endoscopic equipment (scopes and stacks)</t>
  </si>
  <si>
    <t>Quantity is per seating space - (allowance in this case for 15 people)</t>
  </si>
  <si>
    <t xml:space="preserve">1 per imaging room. </t>
  </si>
  <si>
    <t>1 per imaging room.</t>
  </si>
  <si>
    <t>Inpatient hold.</t>
  </si>
  <si>
    <t xml:space="preserve">Viewing room </t>
  </si>
  <si>
    <t>Quantity is per seating space</t>
  </si>
  <si>
    <t>Emergency Equip/ Resus Trolley Bay</t>
  </si>
  <si>
    <t xml:space="preserve">Store Equipment </t>
  </si>
  <si>
    <t>Storage for individual staff lead aprons</t>
  </si>
  <si>
    <t>Mobile x-ray maintenance room</t>
  </si>
  <si>
    <t xml:space="preserve">Shared reporting area, with visual and audio separation </t>
  </si>
  <si>
    <t>Reporting: 3 People</t>
  </si>
  <si>
    <t>Training, support and collaboration during the reporting process</t>
  </si>
  <si>
    <t>Office: Open plan: 1 Person</t>
  </si>
  <si>
    <t>Modality lead radiographer desks / Nuc med desks</t>
  </si>
  <si>
    <t>Medical physics and clinical engineering</t>
  </si>
  <si>
    <t>SPECT / CT</t>
  </si>
  <si>
    <t>Open-plan office: Head of Service. Relocated to modality lead office</t>
  </si>
  <si>
    <t>Open-plan office: Clinical Scientist. Relocated to modality lead office</t>
  </si>
  <si>
    <t>Open-plan office: Clinical technologist. Relocated to modality lead office</t>
  </si>
  <si>
    <t xml:space="preserve">Booking area: Radioactive unsealed source </t>
  </si>
  <si>
    <t>Radio-active un-sealed source booking/clerking area</t>
  </si>
  <si>
    <t>Preparation room: Radiopharmaceutical support and storage</t>
  </si>
  <si>
    <t>Radiopharmaceutical preparation/ support and storage room</t>
  </si>
  <si>
    <t>Store: Radioactive injection area</t>
  </si>
  <si>
    <t>Radioactive injection area store</t>
  </si>
  <si>
    <t>Waiting area: 'Hot' post injection: Per person</t>
  </si>
  <si>
    <t>Spect CT store area</t>
  </si>
  <si>
    <t>Shower: WC: (Radioactive)</t>
  </si>
  <si>
    <t xml:space="preserve">Maternity Entrance </t>
  </si>
  <si>
    <t>WC Visitor</t>
  </si>
  <si>
    <t>Antenatal Clinic</t>
  </si>
  <si>
    <t xml:space="preserve">Antenatal Clinic </t>
  </si>
  <si>
    <t>WC: Specimen</t>
  </si>
  <si>
    <t>Physical measurement room</t>
  </si>
  <si>
    <t>Vaccination Room</t>
  </si>
  <si>
    <t>Includes use as handover area</t>
  </si>
  <si>
    <t>Office: Clinic manager/matron</t>
  </si>
  <si>
    <t>Staff WC: Accessible</t>
  </si>
  <si>
    <t>Shared Antenatal Clinic and Ultrasound Support</t>
  </si>
  <si>
    <t>Staff WC</t>
  </si>
  <si>
    <t xml:space="preserve">Maternity Assessment Unit </t>
  </si>
  <si>
    <t>Day Assessment Unit</t>
  </si>
  <si>
    <t>Shared Maternity Assessment support</t>
  </si>
  <si>
    <t xml:space="preserve">Triage Unit </t>
  </si>
  <si>
    <t>Handover Room / Office Base</t>
  </si>
  <si>
    <t>Store: Equipment</t>
  </si>
  <si>
    <t>Suitable for independent wheelchair user</t>
  </si>
  <si>
    <t>Store: LDRP Room</t>
  </si>
  <si>
    <t>Maternity Pod 2 (10 rooms)</t>
  </si>
  <si>
    <t>Query staff comms base</t>
  </si>
  <si>
    <t>Shared maternity support pods 1 &amp; 2</t>
  </si>
  <si>
    <t>Bay: Emergency Equip/ Resus Trolley / Neonate Resus Trolley</t>
  </si>
  <si>
    <t>IV fluid room</t>
  </si>
  <si>
    <t>Store: Consumables</t>
  </si>
  <si>
    <t>Close to socialisation space</t>
  </si>
  <si>
    <t>Includes remote monitoring station</t>
  </si>
  <si>
    <t>Body store &amp; prep room: Maternity</t>
  </si>
  <si>
    <t>Body prep, sample retrieval &amp; temporary body storage</t>
  </si>
  <si>
    <t>Shared maternity support pods 3 &amp; 4</t>
  </si>
  <si>
    <t xml:space="preserve">Consultant office </t>
  </si>
  <si>
    <t>Maternity FM hub and shared support between 4 maternity inpatient pods</t>
  </si>
  <si>
    <t>Maternity hub</t>
  </si>
  <si>
    <t xml:space="preserve">Phone triage </t>
  </si>
  <si>
    <t>Staff lockers</t>
  </si>
  <si>
    <t>Dirty</t>
  </si>
  <si>
    <t>Clean</t>
  </si>
  <si>
    <t>Bulk Store</t>
  </si>
  <si>
    <t>Ready to use gas cylinder room: small</t>
  </si>
  <si>
    <t>Quantity</t>
  </si>
  <si>
    <t>Area (m2)</t>
  </si>
  <si>
    <t>Total area (m2)</t>
  </si>
  <si>
    <t>Reception and Relatives Support</t>
  </si>
  <si>
    <t xml:space="preserve">Visitor room with play area </t>
  </si>
  <si>
    <t>Parents kitchen</t>
  </si>
  <si>
    <t>Parents / Family play area and education space</t>
  </si>
  <si>
    <t>New addition to align to brief (space requirements taken from HBN)</t>
  </si>
  <si>
    <t>Visitor handwashing</t>
  </si>
  <si>
    <t>Family</t>
  </si>
  <si>
    <t xml:space="preserve">Bedroom: Single cot </t>
  </si>
  <si>
    <t>Bereavement suite - interview room</t>
  </si>
  <si>
    <t>Viewing room: Family</t>
  </si>
  <si>
    <t xml:space="preserve">inc. fridge </t>
  </si>
  <si>
    <t>with pneumatic tube</t>
  </si>
  <si>
    <t xml:space="preserve">Bay: Resuscitaire </t>
  </si>
  <si>
    <t>Includes charging</t>
  </si>
  <si>
    <t>Hi-fidelity simulation suite: NICU</t>
  </si>
  <si>
    <t>2 person</t>
  </si>
  <si>
    <t>Scrub vending machine</t>
  </si>
  <si>
    <t>Non-clinical Support Space</t>
  </si>
  <si>
    <t>Day of Surgery Admissions/ 2nd Stage Recovery</t>
  </si>
  <si>
    <t>Should be distributed between adults and paeds</t>
  </si>
  <si>
    <t>Sensory Room</t>
  </si>
  <si>
    <t>Numbers TBC</t>
  </si>
  <si>
    <t>Store: general</t>
  </si>
  <si>
    <t xml:space="preserve">Store: linen </t>
  </si>
  <si>
    <t>Operating Theatre: Standard</t>
  </si>
  <si>
    <t>Operating Theatre: Emergency</t>
  </si>
  <si>
    <t>Operating Theatre: Hybrid</t>
  </si>
  <si>
    <t>adjacent to hybrid theatre</t>
  </si>
  <si>
    <t xml:space="preserve">Technical equipment room </t>
  </si>
  <si>
    <t>Adjacent to hybrid theatre to support equipment cable connections</t>
  </si>
  <si>
    <t>Obstetric Theatres</t>
  </si>
  <si>
    <t>Store: anaesthetics. Adjacent to emergency theatres</t>
  </si>
  <si>
    <t>Preparation room</t>
  </si>
  <si>
    <t xml:space="preserve">Increased to standard scrub size. </t>
  </si>
  <si>
    <t>Dependent on model TBC</t>
  </si>
  <si>
    <t xml:space="preserve">Theatre cleaning store. One per two theatres to provide CQC requirement for clean storage for turnaround cleaning equipment. </t>
  </si>
  <si>
    <t xml:space="preserve">Store: Specialist theatre equipment. Reduced to 5m2 to reflect use for only local equipment requirements. </t>
  </si>
  <si>
    <t>Operating Theatre: Obstetric</t>
  </si>
  <si>
    <t>Need to confirm m2 - TBC additional space needed for neonatal resus</t>
  </si>
  <si>
    <t>Interventional Radiology</t>
  </si>
  <si>
    <t>Adjacent to IR space to support equipment cable connections</t>
  </si>
  <si>
    <t xml:space="preserve">Store: Equipment. </t>
  </si>
  <si>
    <t>Must be adjacent to the IR space and not within main theatre area</t>
  </si>
  <si>
    <t xml:space="preserve">Catheter Laboratories </t>
  </si>
  <si>
    <t>Catheter Lab</t>
  </si>
  <si>
    <t xml:space="preserve">Store: Equipment. Reduced to 5m2 to reflect use for only local equipment requirements. </t>
  </si>
  <si>
    <t>Catheter store. To be adjacent to both cath and IR</t>
  </si>
  <si>
    <t>Must be adjacent and not within main theatre area</t>
  </si>
  <si>
    <t>Bay: resus trolley</t>
  </si>
  <si>
    <t>23 Hour Ward</t>
  </si>
  <si>
    <t>for storage of items previously stored in DU</t>
  </si>
  <si>
    <t>Allowance - needs testing with clinical team</t>
  </si>
  <si>
    <t>Staff base: per Person</t>
  </si>
  <si>
    <t>Inpatient access lobby</t>
  </si>
  <si>
    <t xml:space="preserve">1 per theatre </t>
  </si>
  <si>
    <t>Bay: inpatient holding. 1 adult, 1 paeds</t>
  </si>
  <si>
    <t xml:space="preserve">Added to reflect adjustment of dirty utilities and sample management in dedicated room. Possible move to direct review/reporting during procedures. </t>
  </si>
  <si>
    <t>hybrid reporting</t>
  </si>
  <si>
    <t xml:space="preserve">Bay: Mobile endoscopy stack </t>
  </si>
  <si>
    <t>Store: pharmacy</t>
  </si>
  <si>
    <t>Store: bulk supplies</t>
  </si>
  <si>
    <t>Store: clinical equipment</t>
  </si>
  <si>
    <t>Store: clean linen</t>
  </si>
  <si>
    <t>Localised lead apron storage</t>
  </si>
  <si>
    <t>Wellbeing/ lactation room</t>
  </si>
  <si>
    <t>Calm room, staff lactation</t>
  </si>
  <si>
    <t>For staff 1-2-1 conversations etc and one associated with recovery for delivering bad news</t>
  </si>
  <si>
    <t>provide access for in-department work and collaboration space</t>
  </si>
  <si>
    <t>NHP to confirm if simulation is required</t>
  </si>
  <si>
    <t>Outpatient Entrance (4 clusters)</t>
  </si>
  <si>
    <t>2 per cluster</t>
  </si>
  <si>
    <t>Assumed as part of the main entrance, not outpatients</t>
  </si>
  <si>
    <t>Office: 2 Person</t>
  </si>
  <si>
    <t>Subwait: Transport</t>
  </si>
  <si>
    <t>Waiting allowance: Per person</t>
  </si>
  <si>
    <t xml:space="preserve">Main waiting area - Assumed to be part of the main entrance - Size based on 1.5 people waiting per clinical room (21), over 2 clusters (42) and then doubled to enable next patient to wait (84). 1.5 people assumes a 1 patient:0.5 carer/relative ratio for each room. Waiting space per person calculated at 1.85m2 provides for mix of ambulant patients,  wheelchairs and child play. </t>
  </si>
  <si>
    <t>Subtotal: Outpatient Entrance</t>
  </si>
  <si>
    <t>Generic outpatient cluster 1-4</t>
  </si>
  <si>
    <t>Generic Outpatient Cluster 1</t>
  </si>
  <si>
    <t>Staff base to support management of clinic flows and supervision of sub-wait/trolley bay</t>
  </si>
  <si>
    <t xml:space="preserve">Subwait. Quantity is per seating space - allowance based on 1.5 people waiting per c/e or treatment room. Could be split into two sub waits per cluster, close to clinic areas. Waiting space per person calculated at 1.85m2 provides for mix of ambulant patients,  wheelchairs and child play. </t>
  </si>
  <si>
    <t>Flexibilty to become an additional C/E room if not required for collocated virtual consultation</t>
  </si>
  <si>
    <t xml:space="preserve">Phlebotomy for those services which have a local requirement. Main phlebotomy service separate. </t>
  </si>
  <si>
    <t xml:space="preserve">Space for review of multi-disciplinary care pathways for patients.  </t>
  </si>
  <si>
    <t>Store: 8m2</t>
  </si>
  <si>
    <t>Equipment store. Sized as per ward suggest maybe reduced to 8m2 for standard cluster</t>
  </si>
  <si>
    <t>Staff WC's within shared staff accommodation only</t>
  </si>
  <si>
    <t>Subtotal: Cluster 1</t>
  </si>
  <si>
    <t>Generic Outpatient Cluster 2</t>
  </si>
  <si>
    <t xml:space="preserve">Quantity is per seating space - allowance based on 1.5 people waiting per c/e or treatment room. Could be split into two sub waits per cluster, close to clinic areas. Waiting space per person calculated at 1.85m2 provides for mix of ambulant patients,  wheelchairs and child play. </t>
  </si>
  <si>
    <t xml:space="preserve">Flexibilty to become an additional C/E room if not required for collocated virtual consutlation. </t>
  </si>
  <si>
    <t xml:space="preserve">Equipment store </t>
  </si>
  <si>
    <t>Staff WC's witthin shared staff accommodation only</t>
  </si>
  <si>
    <t>Subtotal: Cluster 2</t>
  </si>
  <si>
    <t>Generic Outpatient Cluster 3</t>
  </si>
  <si>
    <t>Subtotal: Cluster 3</t>
  </si>
  <si>
    <t>Generic Outpatient Cluster 4</t>
  </si>
  <si>
    <t>Subtotal: Cluster 4</t>
  </si>
  <si>
    <t>Subtotal: Outpatient Clusters</t>
  </si>
  <si>
    <t>Shared cluster accommodation (per 4 clusters)</t>
  </si>
  <si>
    <t xml:space="preserve">Assumed reduced demand as transport process improved for this patient type with no waiting required or virtual clinic/home clinic appointment at place of residence rather than requiring a trolley patient to attend an outpatient clinical appointment. </t>
  </si>
  <si>
    <t>Shared between 2 clusters, ideally located close to treatment rooms</t>
  </si>
  <si>
    <t>Emergency Equip/ Resus Trolley Bay. 1 per 4 clusters</t>
  </si>
  <si>
    <t>Shared between 2 clusters</t>
  </si>
  <si>
    <t>For location storage of personal items, away from centralised changing</t>
  </si>
  <si>
    <t>For the mangement of outpatient clinic flows etc</t>
  </si>
  <si>
    <t>Subtotal: Shared Cluster Support</t>
  </si>
  <si>
    <t xml:space="preserve">Requirement dependant on location. 
Quantity is per seating space - allowance based on 1.5 people waiting per phlebotomy chair (12) and then the next patient waiting (8). Waiting space per person calculated at 1.65m2 provides for mix of ambulant patients and wheelchairs. </t>
  </si>
  <si>
    <t>Assumes single occupancy space within larger open plan area</t>
  </si>
  <si>
    <t>Consumables store</t>
  </si>
  <si>
    <t>Subtotal: Phlebotomy</t>
  </si>
  <si>
    <t>Infusion treatment area</t>
  </si>
  <si>
    <t>Size/speciality to be determined by modelling</t>
  </si>
  <si>
    <t xml:space="preserve">Quantity is per seating space - allowance based on 1 person waiting per cabin.  Waiting space per person calculated at 1.85m2 provides for mix of ambulant patients,  wheelchairs and child play. </t>
  </si>
  <si>
    <t xml:space="preserve">Therapy room </t>
  </si>
  <si>
    <t>Supportive therapy room</t>
  </si>
  <si>
    <t xml:space="preserve">Wig Store/consulting room </t>
  </si>
  <si>
    <t xml:space="preserve">For patients who require isolation/segregation </t>
  </si>
  <si>
    <t>For all other patient use</t>
  </si>
  <si>
    <t xml:space="preserve">Assumed based on standard room design, would be a second med prep if no chemo specific requirement. </t>
  </si>
  <si>
    <t>Beverage, snack preparation room</t>
  </si>
  <si>
    <t xml:space="preserve">Medical Equipment Storage </t>
  </si>
  <si>
    <t>Staff Emergency Shower/Eye Wash. Dependant on types of infusion determined.</t>
  </si>
  <si>
    <t xml:space="preserve">Assumed changing is provided centrally </t>
  </si>
  <si>
    <t>Standardised ward staff rest proposed, alternative layout is 35.8m2</t>
  </si>
  <si>
    <t>Subtotal: Infusion Treatment Area</t>
  </si>
  <si>
    <t>Minor Ops Suite</t>
  </si>
  <si>
    <t xml:space="preserve">Quantity is per seating space - allowance based on 1 person waiting per cabin.  Waiting space per person calculated at 2.25m2 provides for mix of ambulant patients,  wheelchairs and child play. </t>
  </si>
  <si>
    <t>Attached to procedure room</t>
  </si>
  <si>
    <t>Recliners: Recovery: 2 Bay</t>
  </si>
  <si>
    <t>Assumes two per minor procedures room</t>
  </si>
  <si>
    <t>Sterile supplies store</t>
  </si>
  <si>
    <t>Equipment store</t>
  </si>
  <si>
    <t xml:space="preserve">Assumes scrubs required so small staff changing to support local requirement. </t>
  </si>
  <si>
    <t>Subtotal: Minor Ops Suite</t>
  </si>
  <si>
    <t>Total Outpatients (NET)</t>
  </si>
  <si>
    <t>Sub Department</t>
  </si>
  <si>
    <t>Room Description</t>
  </si>
  <si>
    <t>Qty</t>
  </si>
  <si>
    <t>M2</t>
  </si>
  <si>
    <t>Total</t>
  </si>
  <si>
    <t>Wellbeing room</t>
  </si>
  <si>
    <r>
      <t>Briefed size (m</t>
    </r>
    <r>
      <rPr>
        <b/>
        <vertAlign val="superscript"/>
        <sz val="10"/>
        <rFont val="Arial"/>
        <family val="2"/>
      </rPr>
      <t>2</t>
    </r>
    <r>
      <rPr>
        <b/>
        <sz val="10"/>
        <rFont val="Arial"/>
        <family val="2"/>
      </rPr>
      <t>)</t>
    </r>
  </si>
  <si>
    <r>
      <t>Total area (m</t>
    </r>
    <r>
      <rPr>
        <b/>
        <vertAlign val="superscript"/>
        <sz val="10"/>
        <rFont val="Arial"/>
        <family val="2"/>
      </rPr>
      <t>2</t>
    </r>
    <r>
      <rPr>
        <b/>
        <sz val="10"/>
        <rFont val="Arial"/>
        <family val="2"/>
      </rPr>
      <t>)</t>
    </r>
  </si>
  <si>
    <t xml:space="preserve">Local FM Hub and Shared Support (2 Wards) </t>
  </si>
  <si>
    <t xml:space="preserve">Shared Ward Space (4 Wards) </t>
  </si>
  <si>
    <t>Local FM Hub and Shared Support (2 Wards)</t>
  </si>
  <si>
    <t>Assume staff will use central showers, however TBC Trust policy</t>
  </si>
  <si>
    <t>Sub department</t>
  </si>
  <si>
    <t>Paeds ED and PAU.</t>
  </si>
  <si>
    <t xml:space="preserve">Ward 1 &amp; 2 shared support </t>
  </si>
  <si>
    <t xml:space="preserve">Local FM hub and shared support between 2 wards </t>
  </si>
  <si>
    <t>Day of Surgery Admission (DoSA)</t>
  </si>
  <si>
    <t>Ward 1, 2, 3, 4 ward core</t>
  </si>
  <si>
    <t>Maternity Pod 1 (10 rooms)</t>
  </si>
  <si>
    <t>Birthing room: pool</t>
  </si>
  <si>
    <t>Birthing room</t>
  </si>
  <si>
    <t>Ensuite</t>
  </si>
  <si>
    <t>Cleaner's store</t>
  </si>
  <si>
    <t>Maternity pod 3 (10 single rooms)</t>
  </si>
  <si>
    <t>Maternity pod 4 (10 single rooms)</t>
  </si>
  <si>
    <t>Simluation room: 30 People</t>
  </si>
  <si>
    <t xml:space="preserve">Maternity Inpatients </t>
  </si>
  <si>
    <t xml:space="preserve">Entrance/Reception </t>
  </si>
  <si>
    <t>Critical Care Unit</t>
  </si>
  <si>
    <t>Haemodialysis</t>
  </si>
  <si>
    <t>Entrance &amp; reception</t>
  </si>
  <si>
    <t>Draught lobby</t>
  </si>
  <si>
    <t>Assumption that the dialysis unit has a separate entrance to the main hospital entrance if part of an acute hospital</t>
  </si>
  <si>
    <t>Reception</t>
  </si>
  <si>
    <t xml:space="preserve">2 person </t>
  </si>
  <si>
    <t>Office</t>
  </si>
  <si>
    <t xml:space="preserve">2 person office </t>
  </si>
  <si>
    <t>Waiting area</t>
  </si>
  <si>
    <t>Space to accommodate 2 shifts of patients at changeover time - could we use 1.65m2 per person if no childrens play area provided? Assumption that there would be linited numbers of children attending a dialysis unit</t>
  </si>
  <si>
    <t>Beverage area</t>
  </si>
  <si>
    <t>Water dispenser/coffee machine</t>
  </si>
  <si>
    <t>Visitor WC ambulant</t>
  </si>
  <si>
    <t>Visitor WC accessible</t>
  </si>
  <si>
    <t xml:space="preserve">Baby Change </t>
  </si>
  <si>
    <t>Patient Change/Locker room</t>
  </si>
  <si>
    <t xml:space="preserve">Wheelchair storage area </t>
  </si>
  <si>
    <t>For patients to leave their chairs while being dialysed</t>
  </si>
  <si>
    <t>Treatment area</t>
  </si>
  <si>
    <t>Physical measurement</t>
  </si>
  <si>
    <t>Interview/counselling room</t>
  </si>
  <si>
    <t>Dialysis Treatment Chair Bay</t>
  </si>
  <si>
    <t>Assumed in blocks of 4 to support a nursing ratio of 1:4</t>
  </si>
  <si>
    <t>Dialysis Treatment Bed Bay</t>
  </si>
  <si>
    <t>Dialysis Treatment Single Room</t>
  </si>
  <si>
    <t>Ensuite WC (Accessible)</t>
  </si>
  <si>
    <t>As per Jersey</t>
  </si>
  <si>
    <t>Dialysis Treatment Chair Bay (Self care)</t>
  </si>
  <si>
    <t>Staff base</t>
  </si>
  <si>
    <t xml:space="preserve">Staff touchdown </t>
  </si>
  <si>
    <t>Treatment room</t>
  </si>
  <si>
    <t>Consult/Exam room</t>
  </si>
  <si>
    <t xml:space="preserve">Resus Trolley bay </t>
  </si>
  <si>
    <t xml:space="preserve">Training room (CAPD) </t>
  </si>
  <si>
    <t>Support area</t>
  </si>
  <si>
    <t>Clean utility</t>
  </si>
  <si>
    <t>Dirty utility</t>
  </si>
  <si>
    <t xml:space="preserve">Medicine prep room </t>
  </si>
  <si>
    <t>Linen Bay</t>
  </si>
  <si>
    <t>Patient WC ambulant</t>
  </si>
  <si>
    <t>Patient WC accessible</t>
  </si>
  <si>
    <t>Disposal Hold</t>
  </si>
  <si>
    <t>Cleaners room</t>
  </si>
  <si>
    <t>Beverage bay</t>
  </si>
  <si>
    <t>Hoist bay</t>
  </si>
  <si>
    <t>Fluid Store</t>
  </si>
  <si>
    <t>Water Treatment Plant Room</t>
  </si>
  <si>
    <t>Renal Maintenance Room</t>
  </si>
  <si>
    <t xml:space="preserve">Maintenance Store – Dialysis Machines </t>
  </si>
  <si>
    <t>Training area</t>
  </si>
  <si>
    <t>Training room (4 places)</t>
  </si>
  <si>
    <t>For home haemodialysis training. An allowance of 15% of the number of stations in the haemodialysis area</t>
  </si>
  <si>
    <t xml:space="preserve">Training office </t>
  </si>
  <si>
    <t>Staff area</t>
  </si>
  <si>
    <t>Multi Functional Team Room (MFTR)</t>
  </si>
  <si>
    <t>Office Unit manager</t>
  </si>
  <si>
    <t>Staff WC accessible</t>
  </si>
  <si>
    <t>Staff Rest Inc Beverage bay (15 places)</t>
  </si>
  <si>
    <t>Staff Change/lockers</t>
  </si>
  <si>
    <t xml:space="preserve">Assumed gender neutral. If a standalone dialysis unit. Central staff facilities could be used if part of an acute hospital </t>
  </si>
  <si>
    <t>Bedroom: CCU: 1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</si>
</sst>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_-* #,##0.0_-;\-* #,##0.0_-;_-* &quot;-&quot;??_-;_-@_-"/>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11"/>
      <color theme="1"/>
      <name val="Arial"/>
      <family val="2"/>
    </font>
    <font>
      <b/>
      <sz val="10"/>
      <color theme="1"/>
      <name val="Arial"/>
      <family val="2"/>
    </font>
    <font>
      <b/>
      <sz val="10.5"/>
      <color rgb="FFFFFFFF"/>
      <name val="Arial"/>
      <family val="2"/>
    </font>
    <font>
      <sz val="10"/>
      <color rgb="FF000000"/>
      <name val="Arial"/>
      <family val="2"/>
    </font>
    <font>
      <sz val="10"/>
      <name val="Arial"/>
      <family val="2"/>
    </font>
    <font>
      <sz val="10"/>
      <color theme="1"/>
      <name val="Arial"/>
      <family val="2"/>
    </font>
    <font>
      <b/>
      <sz val="11"/>
      <color theme="0"/>
      <name val="Arial"/>
      <family val="2"/>
    </font>
    <font>
      <b/>
      <sz val="11"/>
      <color theme="1"/>
      <name val="Arial"/>
      <family val="2"/>
    </font>
    <font>
      <b/>
      <sz val="12"/>
      <color theme="1"/>
      <name val="Arial"/>
      <family val="2"/>
    </font>
    <font>
      <b/>
      <sz val="10"/>
      <color theme="0"/>
      <name val="Arial"/>
      <family val="2"/>
    </font>
    <font>
      <strike/>
      <sz val="10"/>
      <color rgb="FF000000"/>
      <name val="Arial"/>
      <family val="2"/>
    </font>
    <font>
      <strike/>
      <sz val="10"/>
      <name val="Arial"/>
      <family val="2"/>
    </font>
    <font>
      <b/>
      <sz val="10"/>
      <color rgb="FF000000"/>
      <name val="Arial"/>
      <family val="2"/>
    </font>
    <font>
      <b/>
      <sz val="10"/>
      <name val="Arial"/>
      <family val="2"/>
    </font>
    <font>
      <sz val="10"/>
      <color rgb="FFFF0000"/>
      <name val="Arial"/>
      <family val="2"/>
    </font>
    <font>
      <sz val="11"/>
      <color rgb="FFFF0000"/>
      <name val="Arial"/>
      <family val="2"/>
    </font>
    <font>
      <sz val="10"/>
      <color theme="0"/>
      <name val="Arial"/>
      <family val="2"/>
    </font>
    <font>
      <i/>
      <sz val="10"/>
      <color theme="1"/>
      <name val="Arial"/>
      <family val="2"/>
    </font>
    <font>
      <sz val="9"/>
      <color theme="1"/>
      <name val="Arial"/>
      <family val="2"/>
    </font>
    <font>
      <sz val="10"/>
      <name val="Tahoma"/>
      <family val="2"/>
    </font>
    <font>
      <b/>
      <sz val="10.5"/>
      <color theme="0"/>
      <name val="Arial"/>
      <family val="2"/>
    </font>
    <font>
      <b/>
      <sz val="10"/>
      <color rgb="FFFFFFFF"/>
      <name val="Arial"/>
      <family val="2"/>
    </font>
    <font>
      <sz val="9"/>
      <color rgb="FF000000"/>
      <name val="Arial"/>
      <family val="2"/>
    </font>
    <font>
      <i/>
      <sz val="10"/>
      <color rgb="FFFF0000"/>
      <name val="Arial"/>
      <family val="2"/>
    </font>
    <font>
      <sz val="10"/>
      <color theme="7" tint="0.39997558519241921"/>
      <name val="Arial"/>
      <family val="2"/>
    </font>
    <font>
      <b/>
      <strike/>
      <sz val="10"/>
      <color rgb="FF000000"/>
      <name val="Arial"/>
      <family val="2"/>
    </font>
    <font>
      <b/>
      <i/>
      <sz val="10"/>
      <color rgb="FFFF0000"/>
      <name val="Arial"/>
      <family val="2"/>
    </font>
    <font>
      <i/>
      <sz val="10"/>
      <name val="Arial"/>
      <family val="2"/>
    </font>
    <font>
      <sz val="11"/>
      <name val="Arial"/>
      <family val="2"/>
    </font>
    <font>
      <sz val="9"/>
      <color rgb="FF515151"/>
      <name val="Times New Roman"/>
      <family val="1"/>
    </font>
    <font>
      <b/>
      <sz val="9"/>
      <color theme="0"/>
      <name val="Times New Roman"/>
      <family val="1"/>
    </font>
    <font>
      <sz val="9"/>
      <color theme="0"/>
      <name val="Times New Roman"/>
      <family val="1"/>
    </font>
    <font>
      <b/>
      <sz val="9"/>
      <name val="Times New Roman"/>
      <family val="1"/>
    </font>
    <font>
      <sz val="9"/>
      <name val="Times New Roman"/>
      <family val="1"/>
    </font>
    <font>
      <b/>
      <sz val="9"/>
      <color rgb="FF515151"/>
      <name val="Times New Roman"/>
      <family val="1"/>
    </font>
    <font>
      <sz val="11"/>
      <color rgb="FF000000"/>
      <name val="Arial"/>
      <family val="2"/>
    </font>
    <font>
      <sz val="8"/>
      <name val="Calibri"/>
      <family val="2"/>
      <scheme val="minor"/>
    </font>
    <font>
      <strike/>
      <sz val="10"/>
      <color theme="1"/>
      <name val="Arial"/>
      <family val="2"/>
    </font>
    <font>
      <sz val="10"/>
      <color theme="1"/>
      <name val="Calibri"/>
      <family val="2"/>
    </font>
    <font>
      <b/>
      <sz val="9"/>
      <color theme="0"/>
      <name val="Arial"/>
      <family val="2"/>
    </font>
    <font>
      <sz val="9"/>
      <color theme="0"/>
      <name val="Arial"/>
      <family val="2"/>
    </font>
    <font>
      <sz val="9"/>
      <name val="Arial"/>
      <family val="2"/>
    </font>
    <font>
      <sz val="9"/>
      <color rgb="FFFF0000"/>
      <name val="Arial"/>
      <family val="2"/>
    </font>
    <font>
      <b/>
      <sz val="9"/>
      <name val="Arial"/>
      <family val="2"/>
    </font>
    <font>
      <b/>
      <i/>
      <sz val="9"/>
      <color theme="0"/>
      <name val="Arial"/>
      <family val="2"/>
    </font>
    <font>
      <strike/>
      <sz val="9"/>
      <name val="Arial"/>
      <family val="2"/>
    </font>
    <font>
      <i/>
      <sz val="9"/>
      <name val="Arial"/>
      <family val="2"/>
    </font>
    <font>
      <b/>
      <sz val="9"/>
      <color theme="1"/>
      <name val="Arial"/>
      <family val="2"/>
    </font>
    <font>
      <b/>
      <sz val="9"/>
      <name val="Calibri"/>
      <family val="2"/>
      <scheme val="minor"/>
    </font>
    <font>
      <sz val="11"/>
      <name val="Calibri"/>
      <family val="2"/>
      <scheme val="minor"/>
    </font>
    <font>
      <b/>
      <sz val="10.5"/>
      <name val="Arial"/>
      <family val="2"/>
    </font>
    <font>
      <sz val="10.5"/>
      <name val="Arial"/>
      <family val="2"/>
    </font>
    <font>
      <b/>
      <sz val="11"/>
      <name val="Calibri"/>
      <family val="2"/>
      <scheme val="minor"/>
    </font>
    <font>
      <b/>
      <vertAlign val="superscript"/>
      <sz val="10"/>
      <name val="Arial"/>
      <family val="2"/>
    </font>
    <font>
      <strike/>
      <sz val="11"/>
      <name val="Arial"/>
      <family val="2"/>
    </font>
  </fonts>
  <fills count="22">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2FB6BC"/>
        <bgColor indexed="64"/>
      </patternFill>
    </fill>
    <fill>
      <patternFill patternType="solid">
        <fgColor rgb="FFEAF9FA"/>
        <bgColor rgb="FF000000"/>
      </patternFill>
    </fill>
    <fill>
      <patternFill patternType="solid">
        <fgColor rgb="FFCDF1F3"/>
        <bgColor indexed="64"/>
      </patternFill>
    </fill>
    <fill>
      <patternFill patternType="solid">
        <fgColor rgb="FFEAF9FA"/>
        <bgColor indexed="64"/>
      </patternFill>
    </fill>
    <fill>
      <patternFill patternType="solid">
        <fgColor rgb="FFCDF1F3"/>
        <bgColor rgb="FF000000"/>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3"/>
        <bgColor rgb="FF000000"/>
      </patternFill>
    </fill>
    <fill>
      <patternFill patternType="solid">
        <fgColor rgb="FF4F6228"/>
        <bgColor indexed="64"/>
      </patternFill>
    </fill>
    <fill>
      <patternFill patternType="solid">
        <fgColor indexed="43"/>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8"/>
        <bgColor indexed="64"/>
      </patternFill>
    </fill>
  </fills>
  <borders count="101">
    <border>
      <left/>
      <right/>
      <top/>
      <bottom/>
      <diagonal/>
    </border>
    <border>
      <left/>
      <right/>
      <top/>
      <bottom style="medium">
        <color theme="0" tint="-0.499984740745262"/>
      </bottom>
      <diagonal/>
    </border>
    <border>
      <left style="medium">
        <color theme="0" tint="-0.499984740745262"/>
      </left>
      <right/>
      <top style="medium">
        <color theme="0" tint="-0.499984740745262"/>
      </top>
      <bottom/>
      <diagonal/>
    </border>
    <border>
      <left style="medium">
        <color theme="0" tint="-0.499984740745262"/>
      </left>
      <right/>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theme="0" tint="-0.499984740745262"/>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rgb="FF002060"/>
      </left>
      <right style="thin">
        <color rgb="FF002060"/>
      </right>
      <top style="medium">
        <color indexed="64"/>
      </top>
      <bottom/>
      <diagonal/>
    </border>
    <border>
      <left style="thin">
        <color rgb="FF002060"/>
      </left>
      <right/>
      <top style="medium">
        <color indexed="64"/>
      </top>
      <bottom/>
      <diagonal/>
    </border>
    <border>
      <left style="thin">
        <color rgb="FF002060"/>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D9D9D9"/>
      </left>
      <right style="thin">
        <color indexed="64"/>
      </right>
      <top style="thin">
        <color rgb="FFD9D9D9"/>
      </top>
      <bottom/>
      <diagonal/>
    </border>
    <border>
      <left style="thin">
        <color rgb="FFD9D9D9"/>
      </left>
      <right style="thin">
        <color indexed="64"/>
      </right>
      <top/>
      <bottom/>
      <diagonal/>
    </border>
    <border>
      <left style="thin">
        <color indexed="64"/>
      </left>
      <right/>
      <top style="medium">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rgb="FFD9D9D9"/>
      </right>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right style="medium">
        <color indexed="64"/>
      </right>
      <top/>
      <bottom style="thin">
        <color rgb="FFD9D9D9"/>
      </bottom>
      <diagonal/>
    </border>
    <border>
      <left style="thin">
        <color rgb="FFD9D9D9"/>
      </left>
      <right style="medium">
        <color indexed="64"/>
      </right>
      <top style="thin">
        <color rgb="FFD9D9D9"/>
      </top>
      <bottom style="thin">
        <color rgb="FFD9D9D9"/>
      </bottom>
      <diagonal/>
    </border>
    <border>
      <left style="medium">
        <color indexed="64"/>
      </left>
      <right style="thin">
        <color rgb="FFD9D9D9"/>
      </right>
      <top style="thin">
        <color rgb="FFD9D9D9"/>
      </top>
      <bottom/>
      <diagonal/>
    </border>
    <border>
      <left/>
      <right style="thin">
        <color rgb="FFD9D9D9"/>
      </right>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style="thin">
        <color rgb="FFD9D9D9"/>
      </right>
      <top style="thin">
        <color rgb="FFD9D9D9"/>
      </top>
      <bottom/>
      <diagonal/>
    </border>
    <border>
      <left/>
      <right/>
      <top style="thin">
        <color rgb="FFD9D9D9"/>
      </top>
      <bottom/>
      <diagonal/>
    </border>
    <border>
      <left style="thin">
        <color rgb="FFD9D9D9"/>
      </left>
      <right style="medium">
        <color indexed="64"/>
      </right>
      <top style="thin">
        <color rgb="FFD9D9D9"/>
      </top>
      <bottom/>
      <diagonal/>
    </border>
    <border>
      <left style="thin">
        <color rgb="FFD9D9D9"/>
      </left>
      <right style="medium">
        <color indexed="64"/>
      </right>
      <top/>
      <bottom style="thin">
        <color rgb="FFD9D9D9"/>
      </bottom>
      <diagonal/>
    </border>
    <border>
      <left/>
      <right style="medium">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thin">
        <color rgb="FFD9D9D9"/>
      </left>
      <right/>
      <top style="thin">
        <color rgb="FFD9D9D9"/>
      </top>
      <bottom style="medium">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style="thin">
        <color rgb="FFD9D9D9"/>
      </top>
      <bottom style="thin">
        <color rgb="FFD9D9D9"/>
      </bottom>
      <diagonal/>
    </border>
    <border>
      <left style="medium">
        <color indexed="64"/>
      </left>
      <right style="thin">
        <color indexed="64"/>
      </right>
      <top/>
      <bottom style="thin">
        <color rgb="FFD9D9D9"/>
      </bottom>
      <diagonal/>
    </border>
    <border>
      <left style="thin">
        <color rgb="FFD9D9D9"/>
      </left>
      <right style="thin">
        <color indexed="64"/>
      </right>
      <top/>
      <bottom style="thin">
        <color rgb="FFD9D9D9"/>
      </bottom>
      <diagonal/>
    </border>
    <border>
      <left style="medium">
        <color indexed="64"/>
      </left>
      <right style="thin">
        <color rgb="FFD9D9D9"/>
      </right>
      <top style="thin">
        <color rgb="FFD9D9D9"/>
      </top>
      <bottom style="medium">
        <color indexed="64"/>
      </bottom>
      <diagonal/>
    </border>
    <border>
      <left style="thin">
        <color rgb="FFD9D9D9"/>
      </left>
      <right style="thin">
        <color rgb="FFD9D9D9"/>
      </right>
      <top style="thin">
        <color rgb="FFD9D9D9"/>
      </top>
      <bottom style="medium">
        <color indexed="64"/>
      </bottom>
      <diagonal/>
    </border>
    <border>
      <left style="thin">
        <color rgb="FFD9D9D9"/>
      </left>
      <right style="thin">
        <color indexed="64"/>
      </right>
      <top/>
      <bottom style="medium">
        <color indexed="64"/>
      </bottom>
      <diagonal/>
    </border>
    <border>
      <left/>
      <right style="thin">
        <color theme="0" tint="-0.499984740745262"/>
      </right>
      <top style="thin">
        <color theme="0"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style="thin">
        <color theme="2" tint="-0.499984740745262"/>
      </right>
      <top/>
      <bottom/>
      <diagonal/>
    </border>
    <border>
      <left style="medium">
        <color indexed="64"/>
      </left>
      <right style="thin">
        <color theme="0" tint="-0.14999847407452621"/>
      </right>
      <top style="thin">
        <color indexed="64"/>
      </top>
      <bottom style="thin">
        <color rgb="FFD9D9D9"/>
      </bottom>
      <diagonal/>
    </border>
    <border>
      <left style="medium">
        <color indexed="64"/>
      </left>
      <right style="thin">
        <color theme="0" tint="-0.14999847407452621"/>
      </right>
      <top style="thin">
        <color rgb="FFD9D9D9"/>
      </top>
      <bottom style="thin">
        <color rgb="FFD9D9D9"/>
      </bottom>
      <diagonal/>
    </border>
    <border>
      <left style="medium">
        <color indexed="64"/>
      </left>
      <right style="thin">
        <color theme="0" tint="-0.14999847407452621"/>
      </right>
      <top style="thin">
        <color rgb="FFD9D9D9"/>
      </top>
      <bottom style="thin">
        <color indexed="64"/>
      </bottom>
      <diagonal/>
    </border>
    <border>
      <left style="medium">
        <color indexed="64"/>
      </left>
      <right style="thin">
        <color theme="0" tint="-0.14999847407452621"/>
      </right>
      <top/>
      <bottom style="thin">
        <color rgb="FFD9D9D9"/>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rgb="FF002060"/>
      </right>
      <top/>
      <bottom style="medium">
        <color indexed="64"/>
      </bottom>
      <diagonal/>
    </border>
    <border>
      <left style="thin">
        <color rgb="FF002060"/>
      </left>
      <right style="thin">
        <color rgb="FF002060"/>
      </right>
      <top/>
      <bottom style="medium">
        <color indexed="64"/>
      </bottom>
      <diagonal/>
    </border>
    <border>
      <left style="thin">
        <color rgb="FF002060"/>
      </left>
      <right style="medium">
        <color indexed="64"/>
      </right>
      <top/>
      <bottom style="medium">
        <color indexed="64"/>
      </bottom>
      <diagonal/>
    </border>
    <border>
      <left/>
      <right style="medium">
        <color indexed="64"/>
      </right>
      <top style="thin">
        <color rgb="FFD9D9D9"/>
      </top>
      <bottom/>
      <diagonal/>
    </border>
    <border>
      <left style="medium">
        <color indexed="64"/>
      </left>
      <right style="thin">
        <color rgb="FFD9D9D9"/>
      </right>
      <top/>
      <bottom/>
      <diagonal/>
    </border>
    <border>
      <left style="thin">
        <color theme="2"/>
      </left>
      <right/>
      <top style="thin">
        <color rgb="FFD9D9D9"/>
      </top>
      <bottom/>
      <diagonal/>
    </border>
    <border>
      <left style="thin">
        <color theme="0" tint="-0.14999847407452621"/>
      </left>
      <right/>
      <top/>
      <bottom/>
      <diagonal/>
    </border>
    <border>
      <left style="thin">
        <color rgb="FFD9D9D9"/>
      </left>
      <right style="thin">
        <color theme="0" tint="-0.14999847407452621"/>
      </right>
      <top style="thin">
        <color rgb="FFD9D9D9"/>
      </top>
      <bottom style="thin">
        <color rgb="FFD9D9D9"/>
      </bottom>
      <diagonal/>
    </border>
    <border>
      <left style="thin">
        <color rgb="FFD9D9D9"/>
      </left>
      <right style="thin">
        <color theme="0" tint="-0.14999847407452621"/>
      </right>
      <top style="thin">
        <color rgb="FFD9D9D9"/>
      </top>
      <bottom style="thin">
        <color indexed="64"/>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indexed="64"/>
      </bottom>
      <diagonal/>
    </border>
    <border>
      <left style="thin">
        <color theme="0" tint="-0.14999847407452621"/>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0" fontId="23" fillId="0" borderId="0"/>
  </cellStyleXfs>
  <cellXfs count="595">
    <xf numFmtId="0" fontId="0" fillId="0" borderId="0" xfId="0"/>
    <xf numFmtId="0" fontId="4" fillId="4" borderId="0" xfId="0" applyFont="1" applyFill="1" applyAlignment="1">
      <alignment horizontal="center" vertical="top"/>
    </xf>
    <xf numFmtId="0" fontId="4" fillId="4" borderId="0" xfId="0" applyFont="1" applyFill="1" applyAlignment="1">
      <alignment vertical="top"/>
    </xf>
    <xf numFmtId="0" fontId="4" fillId="0" borderId="0" xfId="0" applyFont="1" applyAlignment="1">
      <alignment vertical="top"/>
    </xf>
    <xf numFmtId="0" fontId="4" fillId="4" borderId="0" xfId="0" applyFont="1" applyFill="1" applyAlignment="1">
      <alignment vertical="top" wrapText="1"/>
    </xf>
    <xf numFmtId="0" fontId="4" fillId="0" borderId="0" xfId="0" applyFont="1" applyAlignment="1">
      <alignment horizontal="center" vertical="top"/>
    </xf>
    <xf numFmtId="0" fontId="7" fillId="6" borderId="45" xfId="0" applyFont="1" applyFill="1" applyBorder="1" applyAlignment="1">
      <alignment horizontal="left" vertical="top" wrapText="1"/>
    </xf>
    <xf numFmtId="164" fontId="7" fillId="5" borderId="47" xfId="0" applyNumberFormat="1" applyFont="1" applyFill="1" applyBorder="1" applyAlignment="1">
      <alignment horizontal="center" vertical="top"/>
    </xf>
    <xf numFmtId="164" fontId="8" fillId="0" borderId="46" xfId="0" applyNumberFormat="1" applyFont="1" applyBorder="1" applyAlignment="1">
      <alignment horizontal="center" vertical="top"/>
    </xf>
    <xf numFmtId="164" fontId="8" fillId="0" borderId="49" xfId="0" applyNumberFormat="1" applyFont="1" applyBorder="1" applyAlignment="1">
      <alignment horizontal="center" vertical="top"/>
    </xf>
    <xf numFmtId="165" fontId="8" fillId="0" borderId="48" xfId="0" applyNumberFormat="1" applyFont="1" applyBorder="1" applyAlignment="1">
      <alignment horizontal="center" vertical="top"/>
    </xf>
    <xf numFmtId="0" fontId="7" fillId="6" borderId="17" xfId="0" applyFont="1" applyFill="1" applyBorder="1" applyAlignment="1">
      <alignment horizontal="left" vertical="top" wrapText="1"/>
    </xf>
    <xf numFmtId="164" fontId="7" fillId="0" borderId="18" xfId="0" applyNumberFormat="1" applyFont="1" applyBorder="1" applyAlignment="1">
      <alignment horizontal="center" vertical="top"/>
    </xf>
    <xf numFmtId="0" fontId="8" fillId="5" borderId="18" xfId="0" applyFont="1" applyFill="1" applyBorder="1" applyAlignment="1">
      <alignment horizontal="center" vertical="top"/>
    </xf>
    <xf numFmtId="164" fontId="7" fillId="0" borderId="50" xfId="0" applyNumberFormat="1" applyFont="1" applyBorder="1" applyAlignment="1">
      <alignment horizontal="center" vertical="top"/>
    </xf>
    <xf numFmtId="0" fontId="8" fillId="0" borderId="51" xfId="0" applyFont="1" applyBorder="1" applyAlignment="1">
      <alignment horizontal="center" vertical="top"/>
    </xf>
    <xf numFmtId="0" fontId="7" fillId="5" borderId="18" xfId="0" applyFont="1" applyFill="1" applyBorder="1" applyAlignment="1">
      <alignment horizontal="center" vertical="top"/>
    </xf>
    <xf numFmtId="165" fontId="7" fillId="5" borderId="19" xfId="0" applyNumberFormat="1" applyFont="1" applyFill="1" applyBorder="1" applyAlignment="1">
      <alignment horizontal="center" vertical="top"/>
    </xf>
    <xf numFmtId="0" fontId="7" fillId="0" borderId="51" xfId="0" applyFont="1" applyBorder="1" applyAlignment="1">
      <alignment horizontal="center" vertical="top"/>
    </xf>
    <xf numFmtId="165" fontId="7" fillId="5" borderId="48" xfId="0" applyNumberFormat="1" applyFont="1" applyFill="1" applyBorder="1" applyAlignment="1">
      <alignment horizontal="center" vertical="top"/>
    </xf>
    <xf numFmtId="0" fontId="7" fillId="0" borderId="49" xfId="0" applyFont="1" applyBorder="1" applyAlignment="1">
      <alignment horizontal="center" vertical="top"/>
    </xf>
    <xf numFmtId="165" fontId="7" fillId="0" borderId="48" xfId="0" applyNumberFormat="1" applyFont="1" applyBorder="1" applyAlignment="1">
      <alignment horizontal="center" vertical="top"/>
    </xf>
    <xf numFmtId="164" fontId="7" fillId="5" borderId="18" xfId="0" applyNumberFormat="1" applyFont="1" applyFill="1" applyBorder="1" applyAlignment="1">
      <alignment horizontal="center" vertical="top"/>
    </xf>
    <xf numFmtId="165" fontId="7" fillId="0" borderId="19" xfId="0" applyNumberFormat="1" applyFont="1" applyBorder="1" applyAlignment="1">
      <alignment horizontal="center" vertical="top"/>
    </xf>
    <xf numFmtId="0" fontId="8" fillId="0" borderId="17" xfId="0" applyFont="1" applyBorder="1" applyAlignment="1">
      <alignment horizontal="left" vertical="top" wrapText="1"/>
    </xf>
    <xf numFmtId="0" fontId="8" fillId="0" borderId="18" xfId="0" applyFont="1" applyBorder="1" applyAlignment="1">
      <alignment horizontal="center" vertical="top"/>
    </xf>
    <xf numFmtId="165" fontId="8" fillId="0" borderId="19" xfId="0" applyNumberFormat="1" applyFont="1" applyBorder="1" applyAlignment="1">
      <alignment horizontal="center" vertical="top"/>
    </xf>
    <xf numFmtId="0" fontId="8" fillId="0" borderId="31" xfId="0" applyFont="1" applyBorder="1" applyAlignment="1">
      <alignment horizontal="left" vertical="top"/>
    </xf>
    <xf numFmtId="164" fontId="8" fillId="5" borderId="18" xfId="0" applyNumberFormat="1" applyFont="1" applyFill="1" applyBorder="1" applyAlignment="1">
      <alignment horizontal="center" vertical="top"/>
    </xf>
    <xf numFmtId="0" fontId="7" fillId="6" borderId="54" xfId="0" applyFont="1" applyFill="1" applyBorder="1" applyAlignment="1">
      <alignment horizontal="left" vertical="top" wrapText="1"/>
    </xf>
    <xf numFmtId="164" fontId="7" fillId="5" borderId="56" xfId="0" applyNumberFormat="1" applyFont="1" applyFill="1" applyBorder="1" applyAlignment="1">
      <alignment horizontal="center" vertical="top"/>
    </xf>
    <xf numFmtId="0" fontId="7" fillId="0" borderId="59" xfId="0" applyFont="1" applyBorder="1" applyAlignment="1">
      <alignment horizontal="center" vertical="top"/>
    </xf>
    <xf numFmtId="165" fontId="7" fillId="0" borderId="57" xfId="0" applyNumberFormat="1" applyFont="1" applyBorder="1" applyAlignment="1">
      <alignment horizontal="center" vertical="top"/>
    </xf>
    <xf numFmtId="0" fontId="7" fillId="0" borderId="18" xfId="0" applyFont="1" applyBorder="1" applyAlignment="1">
      <alignment horizontal="center" vertical="top"/>
    </xf>
    <xf numFmtId="0" fontId="8" fillId="0" borderId="59" xfId="0" applyFont="1" applyBorder="1" applyAlignment="1">
      <alignment horizontal="center" vertical="top"/>
    </xf>
    <xf numFmtId="0" fontId="8" fillId="0" borderId="49" xfId="0" applyFont="1" applyBorder="1" applyAlignment="1">
      <alignment horizontal="center" vertical="top"/>
    </xf>
    <xf numFmtId="0" fontId="8" fillId="6" borderId="17" xfId="0" applyFont="1" applyFill="1" applyBorder="1" applyAlignment="1">
      <alignment horizontal="left" vertical="top" wrapText="1"/>
    </xf>
    <xf numFmtId="165" fontId="8" fillId="5" borderId="19" xfId="0" applyNumberFormat="1" applyFont="1" applyFill="1" applyBorder="1" applyAlignment="1">
      <alignment horizontal="center" vertical="top"/>
    </xf>
    <xf numFmtId="165" fontId="7" fillId="0" borderId="53" xfId="0" applyNumberFormat="1" applyFont="1" applyBorder="1" applyAlignment="1">
      <alignment horizontal="left" vertical="top"/>
    </xf>
    <xf numFmtId="165" fontId="8" fillId="0" borderId="57" xfId="0" applyNumberFormat="1" applyFont="1" applyBorder="1" applyAlignment="1">
      <alignment horizontal="center" vertical="top"/>
    </xf>
    <xf numFmtId="0" fontId="8" fillId="6" borderId="45" xfId="0" applyFont="1" applyFill="1" applyBorder="1" applyAlignment="1">
      <alignment horizontal="left" vertical="top" wrapText="1"/>
    </xf>
    <xf numFmtId="0" fontId="19" fillId="4" borderId="0" xfId="0" applyFont="1" applyFill="1" applyAlignment="1">
      <alignment vertical="top"/>
    </xf>
    <xf numFmtId="0" fontId="4" fillId="0" borderId="0" xfId="0" applyFont="1" applyAlignment="1">
      <alignment vertical="top" wrapText="1"/>
    </xf>
    <xf numFmtId="0" fontId="4" fillId="4" borderId="0" xfId="0" applyFont="1" applyFill="1" applyAlignment="1">
      <alignment vertical="center"/>
    </xf>
    <xf numFmtId="0" fontId="4" fillId="4" borderId="0" xfId="0" applyFont="1" applyFill="1" applyAlignment="1">
      <alignment horizontal="left" vertical="center"/>
    </xf>
    <xf numFmtId="0" fontId="4" fillId="4" borderId="0" xfId="0" applyFont="1" applyFill="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xf>
    <xf numFmtId="164" fontId="13" fillId="7" borderId="36" xfId="0" applyNumberFormat="1" applyFont="1" applyFill="1" applyBorder="1" applyAlignment="1">
      <alignment vertical="center" wrapText="1"/>
    </xf>
    <xf numFmtId="164" fontId="7" fillId="5" borderId="59" xfId="0" applyNumberFormat="1" applyFont="1" applyFill="1" applyBorder="1" applyAlignment="1">
      <alignment horizontal="center" vertical="top"/>
    </xf>
    <xf numFmtId="165" fontId="7" fillId="5" borderId="19" xfId="0" applyNumberFormat="1" applyFont="1" applyFill="1" applyBorder="1" applyAlignment="1">
      <alignment horizontal="left" vertical="top"/>
    </xf>
    <xf numFmtId="1" fontId="7" fillId="5" borderId="59" xfId="0" applyNumberFormat="1" applyFont="1" applyFill="1" applyBorder="1" applyAlignment="1">
      <alignment horizontal="center" vertical="top"/>
    </xf>
    <xf numFmtId="164" fontId="7" fillId="0" borderId="47" xfId="0" applyNumberFormat="1" applyFont="1" applyBorder="1" applyAlignment="1">
      <alignment horizontal="center" vertical="top"/>
    </xf>
    <xf numFmtId="164"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4" fillId="4" borderId="0" xfId="0" applyNumberFormat="1" applyFont="1" applyFill="1" applyAlignment="1">
      <alignment horizontal="center" vertical="center"/>
    </xf>
    <xf numFmtId="1" fontId="4" fillId="4" borderId="0" xfId="0" applyNumberFormat="1" applyFont="1" applyFill="1" applyAlignment="1">
      <alignment horizontal="center" vertical="center"/>
    </xf>
    <xf numFmtId="0" fontId="5" fillId="4" borderId="0" xfId="0" applyFont="1" applyFill="1" applyAlignment="1">
      <alignment horizontal="right" vertical="center" wrapText="1"/>
    </xf>
    <xf numFmtId="164" fontId="8" fillId="5" borderId="57" xfId="0" applyNumberFormat="1" applyFont="1" applyFill="1" applyBorder="1" applyAlignment="1">
      <alignment horizontal="center" vertical="center"/>
    </xf>
    <xf numFmtId="0" fontId="8" fillId="0" borderId="56" xfId="0" applyFont="1" applyBorder="1" applyAlignment="1">
      <alignment horizontal="center" vertical="top"/>
    </xf>
    <xf numFmtId="0" fontId="7" fillId="6" borderId="54" xfId="0" applyFont="1" applyFill="1" applyBorder="1" applyAlignment="1">
      <alignment horizontal="left" vertical="center" wrapText="1"/>
    </xf>
    <xf numFmtId="164" fontId="7" fillId="5" borderId="19" xfId="0" applyNumberFormat="1" applyFont="1" applyFill="1" applyBorder="1" applyAlignment="1">
      <alignment horizontal="center" vertical="center"/>
    </xf>
    <xf numFmtId="164" fontId="7" fillId="0" borderId="18" xfId="0" applyNumberFormat="1" applyFont="1" applyBorder="1" applyAlignment="1">
      <alignment horizontal="center" vertical="center"/>
    </xf>
    <xf numFmtId="0" fontId="9" fillId="6" borderId="46" xfId="0" applyFont="1" applyFill="1" applyBorder="1" applyAlignment="1">
      <alignment horizontal="left" vertical="center" wrapText="1"/>
    </xf>
    <xf numFmtId="0" fontId="7" fillId="6" borderId="17" xfId="0" applyFont="1" applyFill="1" applyBorder="1" applyAlignment="1">
      <alignment horizontal="left" vertical="center" wrapText="1"/>
    </xf>
    <xf numFmtId="164" fontId="8" fillId="5" borderId="19" xfId="0" applyNumberFormat="1" applyFont="1" applyFill="1" applyBorder="1" applyAlignment="1">
      <alignment horizontal="center" vertical="center"/>
    </xf>
    <xf numFmtId="164" fontId="8" fillId="0" borderId="18" xfId="0" applyNumberFormat="1" applyFont="1" applyBorder="1" applyAlignment="1">
      <alignment horizontal="center" vertical="center"/>
    </xf>
    <xf numFmtId="164" fontId="8" fillId="5" borderId="48" xfId="0" applyNumberFormat="1" applyFont="1" applyFill="1" applyBorder="1" applyAlignment="1">
      <alignment horizontal="center" vertical="center"/>
    </xf>
    <xf numFmtId="164" fontId="8" fillId="0" borderId="47" xfId="0" applyNumberFormat="1" applyFont="1" applyBorder="1" applyAlignment="1">
      <alignment horizontal="center" vertical="center"/>
    </xf>
    <xf numFmtId="0" fontId="7" fillId="6" borderId="45" xfId="0" applyFont="1" applyFill="1" applyBorder="1" applyAlignment="1">
      <alignment horizontal="left" vertical="center" wrapText="1"/>
    </xf>
    <xf numFmtId="164" fontId="8" fillId="0" borderId="56" xfId="0" applyNumberFormat="1" applyFont="1" applyBorder="1" applyAlignment="1">
      <alignment horizontal="center" vertical="center"/>
    </xf>
    <xf numFmtId="1" fontId="8" fillId="0" borderId="59" xfId="0" applyNumberFormat="1" applyFont="1" applyBorder="1" applyAlignment="1">
      <alignment horizontal="center" vertical="center"/>
    </xf>
    <xf numFmtId="164" fontId="8" fillId="5" borderId="18" xfId="0" applyNumberFormat="1" applyFont="1" applyFill="1" applyBorder="1" applyAlignment="1">
      <alignment horizontal="center" vertical="center"/>
    </xf>
    <xf numFmtId="1" fontId="8" fillId="0" borderId="18" xfId="0" applyNumberFormat="1" applyFont="1" applyBorder="1" applyAlignment="1">
      <alignment horizontal="center" vertical="center"/>
    </xf>
    <xf numFmtId="164" fontId="8" fillId="5" borderId="47" xfId="0" applyNumberFormat="1" applyFont="1" applyFill="1" applyBorder="1" applyAlignment="1">
      <alignment horizontal="center" vertical="center"/>
    </xf>
    <xf numFmtId="164" fontId="17" fillId="5" borderId="35" xfId="0" applyNumberFormat="1" applyFont="1" applyFill="1" applyBorder="1" applyAlignment="1">
      <alignment horizontal="center" vertical="center"/>
    </xf>
    <xf numFmtId="164" fontId="8" fillId="5" borderId="56" xfId="0" applyNumberFormat="1" applyFont="1" applyFill="1" applyBorder="1" applyAlignment="1">
      <alignment horizontal="center" vertical="center"/>
    </xf>
    <xf numFmtId="0" fontId="7" fillId="0" borderId="47" xfId="0" applyFont="1" applyBorder="1" applyAlignment="1">
      <alignment horizontal="center" vertical="top"/>
    </xf>
    <xf numFmtId="0" fontId="9" fillId="0" borderId="30" xfId="0" applyFont="1" applyBorder="1"/>
    <xf numFmtId="164" fontId="7" fillId="5" borderId="18" xfId="0" applyNumberFormat="1" applyFont="1" applyFill="1" applyBorder="1" applyAlignment="1">
      <alignment horizontal="center" vertical="center"/>
    </xf>
    <xf numFmtId="164" fontId="7" fillId="5" borderId="48" xfId="0" applyNumberFormat="1" applyFont="1" applyFill="1" applyBorder="1" applyAlignment="1">
      <alignment horizontal="center" vertical="center"/>
    </xf>
    <xf numFmtId="164" fontId="7" fillId="5" borderId="57" xfId="0" applyNumberFormat="1" applyFont="1" applyFill="1" applyBorder="1" applyAlignment="1">
      <alignment horizontal="center" vertical="center"/>
    </xf>
    <xf numFmtId="0" fontId="8" fillId="6" borderId="45"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8" fillId="6" borderId="54" xfId="0" applyFont="1" applyFill="1" applyBorder="1" applyAlignment="1">
      <alignment horizontal="left" vertical="center" wrapText="1"/>
    </xf>
    <xf numFmtId="0" fontId="2" fillId="0" borderId="0" xfId="0" applyFont="1"/>
    <xf numFmtId="165" fontId="8" fillId="0" borderId="53" xfId="0" applyNumberFormat="1" applyFont="1" applyBorder="1" applyAlignment="1">
      <alignment horizontal="left" vertical="top"/>
    </xf>
    <xf numFmtId="164" fontId="7" fillId="0" borderId="58" xfId="0" applyNumberFormat="1" applyFont="1" applyBorder="1" applyAlignment="1">
      <alignment horizontal="center" vertical="top"/>
    </xf>
    <xf numFmtId="164" fontId="8" fillId="0" borderId="18" xfId="0" applyNumberFormat="1" applyFont="1" applyBorder="1" applyAlignment="1">
      <alignment horizontal="center" vertical="top"/>
    </xf>
    <xf numFmtId="164" fontId="7" fillId="0" borderId="51" xfId="0" applyNumberFormat="1" applyFont="1" applyBorder="1" applyAlignment="1">
      <alignment horizontal="center" vertical="top"/>
    </xf>
    <xf numFmtId="164" fontId="8" fillId="0" borderId="59" xfId="0" applyNumberFormat="1" applyFont="1" applyBorder="1" applyAlignment="1">
      <alignment horizontal="center" vertical="top"/>
    </xf>
    <xf numFmtId="164" fontId="11" fillId="4" borderId="42" xfId="0" applyNumberFormat="1" applyFont="1" applyFill="1" applyBorder="1" applyAlignment="1">
      <alignment horizontal="center" vertical="center"/>
    </xf>
    <xf numFmtId="0" fontId="9" fillId="0" borderId="1" xfId="0" applyFont="1" applyBorder="1" applyAlignment="1">
      <alignment vertical="center"/>
    </xf>
    <xf numFmtId="0" fontId="8" fillId="0" borderId="0" xfId="0" applyFont="1" applyAlignment="1">
      <alignment horizontal="center" vertical="center"/>
    </xf>
    <xf numFmtId="0" fontId="8" fillId="0" borderId="0" xfId="0" applyFont="1" applyAlignment="1">
      <alignment vertical="center"/>
    </xf>
    <xf numFmtId="164" fontId="8" fillId="0" borderId="0" xfId="0" applyNumberFormat="1" applyFont="1" applyAlignment="1">
      <alignment horizontal="center" vertical="center" wrapText="1"/>
    </xf>
    <xf numFmtId="0" fontId="9" fillId="0" borderId="1" xfId="0" applyFont="1" applyBorder="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vertical="center"/>
    </xf>
    <xf numFmtId="0" fontId="20" fillId="0" borderId="0" xfId="0" applyFont="1" applyAlignment="1">
      <alignment vertical="center"/>
    </xf>
    <xf numFmtId="0" fontId="16" fillId="0" borderId="77" xfId="0" applyFont="1" applyBorder="1" applyAlignment="1">
      <alignment vertical="center"/>
    </xf>
    <xf numFmtId="0" fontId="8" fillId="0" borderId="77" xfId="0" applyFont="1" applyBorder="1" applyAlignment="1">
      <alignment horizontal="center" vertical="center"/>
    </xf>
    <xf numFmtId="0" fontId="8" fillId="0" borderId="77" xfId="0" applyFont="1" applyBorder="1" applyAlignment="1">
      <alignment vertical="center"/>
    </xf>
    <xf numFmtId="164" fontId="8" fillId="0" borderId="77" xfId="0" applyNumberFormat="1" applyFont="1" applyBorder="1" applyAlignment="1">
      <alignment horizontal="center" vertical="center"/>
    </xf>
    <xf numFmtId="0" fontId="7" fillId="0" borderId="77" xfId="0" applyFont="1" applyBorder="1" applyAlignment="1">
      <alignment horizontal="left" vertical="center" wrapText="1"/>
    </xf>
    <xf numFmtId="0" fontId="17" fillId="0" borderId="77" xfId="0" applyFont="1" applyBorder="1" applyAlignment="1">
      <alignment vertical="center"/>
    </xf>
    <xf numFmtId="0" fontId="8" fillId="0" borderId="77" xfId="0" applyFont="1" applyBorder="1" applyAlignment="1">
      <alignment vertical="center" wrapText="1"/>
    </xf>
    <xf numFmtId="165" fontId="8" fillId="0" borderId="77" xfId="0" applyNumberFormat="1" applyFont="1" applyBorder="1" applyAlignment="1">
      <alignment horizontal="center" vertical="center" wrapText="1"/>
    </xf>
    <xf numFmtId="164" fontId="8" fillId="0" borderId="77" xfId="0" applyNumberFormat="1" applyFont="1" applyBorder="1" applyAlignment="1">
      <alignment horizontal="center" vertical="center" wrapText="1"/>
    </xf>
    <xf numFmtId="0" fontId="8" fillId="0" borderId="77" xfId="0" applyFont="1" applyBorder="1" applyAlignment="1">
      <alignment horizontal="center" vertical="center" wrapText="1"/>
    </xf>
    <xf numFmtId="0" fontId="16" fillId="0" borderId="0" xfId="0" applyFont="1" applyAlignment="1">
      <alignment vertical="center"/>
    </xf>
    <xf numFmtId="165" fontId="8" fillId="0" borderId="77" xfId="1" applyNumberFormat="1" applyFont="1" applyFill="1" applyBorder="1" applyAlignment="1">
      <alignment horizontal="center" vertical="center" wrapText="1"/>
    </xf>
    <xf numFmtId="0" fontId="7" fillId="0" borderId="77" xfId="0" applyFont="1" applyBorder="1" applyAlignment="1">
      <alignment vertical="center" wrapText="1"/>
    </xf>
    <xf numFmtId="0" fontId="18" fillId="0" borderId="77" xfId="0" applyFont="1" applyBorder="1" applyAlignment="1">
      <alignment vertical="center"/>
    </xf>
    <xf numFmtId="0" fontId="9" fillId="0" borderId="77" xfId="0" applyFont="1" applyBorder="1" applyAlignment="1">
      <alignment horizontal="left" vertical="center" wrapText="1"/>
    </xf>
    <xf numFmtId="0" fontId="8" fillId="12" borderId="77" xfId="0" applyFont="1" applyFill="1" applyBorder="1" applyAlignment="1">
      <alignment vertical="center"/>
    </xf>
    <xf numFmtId="0" fontId="18" fillId="0" borderId="77" xfId="0" applyFont="1" applyBorder="1" applyAlignment="1">
      <alignment vertical="center" wrapText="1"/>
    </xf>
    <xf numFmtId="0" fontId="28" fillId="0" borderId="77" xfId="0" applyFont="1" applyBorder="1" applyAlignment="1">
      <alignment vertical="center"/>
    </xf>
    <xf numFmtId="0" fontId="18" fillId="0" borderId="77" xfId="0" applyFont="1" applyBorder="1" applyAlignment="1">
      <alignment horizontal="left" vertical="center" wrapText="1"/>
    </xf>
    <xf numFmtId="0" fontId="9" fillId="0" borderId="77" xfId="0" applyFont="1" applyBorder="1" applyAlignment="1">
      <alignment vertical="center"/>
    </xf>
    <xf numFmtId="0" fontId="8" fillId="0" borderId="77" xfId="0" applyFont="1" applyBorder="1" applyAlignment="1">
      <alignment horizontal="left" vertical="center" wrapText="1"/>
    </xf>
    <xf numFmtId="165" fontId="8" fillId="12" borderId="77" xfId="0" applyNumberFormat="1" applyFont="1" applyFill="1" applyBorder="1" applyAlignment="1">
      <alignment horizontal="center" vertical="center" wrapText="1"/>
    </xf>
    <xf numFmtId="0" fontId="7" fillId="0" borderId="77" xfId="0" applyFont="1" applyBorder="1" applyAlignment="1">
      <alignment vertical="center"/>
    </xf>
    <xf numFmtId="0" fontId="9" fillId="0" borderId="77" xfId="0" applyFont="1" applyBorder="1" applyAlignment="1">
      <alignment vertical="center" wrapText="1"/>
    </xf>
    <xf numFmtId="164" fontId="8" fillId="12" borderId="77" xfId="0" applyNumberFormat="1" applyFont="1" applyFill="1" applyBorder="1" applyAlignment="1">
      <alignment horizontal="center" vertical="center" wrapText="1"/>
    </xf>
    <xf numFmtId="165" fontId="8" fillId="3" borderId="77" xfId="0" applyNumberFormat="1" applyFont="1" applyFill="1" applyBorder="1" applyAlignment="1">
      <alignment horizontal="center" vertical="center" wrapText="1"/>
    </xf>
    <xf numFmtId="0" fontId="18" fillId="0" borderId="78" xfId="0" applyFont="1" applyBorder="1" applyAlignment="1">
      <alignment vertical="center"/>
    </xf>
    <xf numFmtId="0" fontId="25" fillId="7" borderId="77" xfId="0" applyFont="1" applyFill="1" applyBorder="1" applyAlignment="1">
      <alignment wrapText="1"/>
    </xf>
    <xf numFmtId="0" fontId="8" fillId="3" borderId="77" xfId="0" applyFont="1" applyFill="1" applyBorder="1" applyAlignment="1">
      <alignment horizontal="center" vertical="center" wrapText="1"/>
    </xf>
    <xf numFmtId="0" fontId="8" fillId="0" borderId="77" xfId="0" applyFont="1" applyBorder="1" applyAlignment="1">
      <alignment horizontal="left" vertical="center"/>
    </xf>
    <xf numFmtId="0" fontId="29" fillId="0" borderId="0" xfId="0" applyFont="1" applyAlignment="1">
      <alignment vertical="center"/>
    </xf>
    <xf numFmtId="0" fontId="29" fillId="0" borderId="77" xfId="0" applyFont="1" applyBorder="1" applyAlignment="1">
      <alignment vertical="center"/>
    </xf>
    <xf numFmtId="0" fontId="14" fillId="0" borderId="77" xfId="0" applyFont="1" applyBorder="1" applyAlignment="1">
      <alignment horizontal="left" vertical="center" wrapText="1"/>
    </xf>
    <xf numFmtId="165" fontId="15" fillId="0" borderId="77" xfId="0" applyNumberFormat="1" applyFont="1" applyBorder="1" applyAlignment="1">
      <alignment horizontal="center" vertical="center" wrapText="1"/>
    </xf>
    <xf numFmtId="0" fontId="15" fillId="0" borderId="77" xfId="0" applyFont="1" applyBorder="1" applyAlignment="1">
      <alignment horizontal="center" vertical="center" wrapText="1"/>
    </xf>
    <xf numFmtId="164" fontId="8" fillId="3" borderId="77" xfId="0" applyNumberFormat="1" applyFont="1" applyFill="1" applyBorder="1" applyAlignment="1">
      <alignment horizontal="center" vertical="center" wrapText="1"/>
    </xf>
    <xf numFmtId="0" fontId="5" fillId="2" borderId="77" xfId="0" applyFont="1" applyFill="1" applyBorder="1" applyAlignment="1">
      <alignment vertical="center"/>
    </xf>
    <xf numFmtId="0" fontId="8" fillId="2" borderId="77" xfId="0" applyFont="1" applyFill="1" applyBorder="1" applyAlignment="1">
      <alignment horizontal="center" vertical="center"/>
    </xf>
    <xf numFmtId="0" fontId="8" fillId="2" borderId="77" xfId="0" applyFont="1" applyFill="1" applyBorder="1" applyAlignment="1">
      <alignment vertical="center"/>
    </xf>
    <xf numFmtId="164" fontId="8" fillId="2" borderId="77" xfId="0" applyNumberFormat="1" applyFont="1" applyFill="1" applyBorder="1" applyAlignment="1">
      <alignment horizontal="center" vertical="center" wrapText="1"/>
    </xf>
    <xf numFmtId="0" fontId="9" fillId="2" borderId="77" xfId="0" applyFont="1" applyFill="1" applyBorder="1" applyAlignment="1">
      <alignment horizontal="left" vertical="center" wrapText="1"/>
    </xf>
    <xf numFmtId="0" fontId="8" fillId="2" borderId="77" xfId="0" applyFont="1" applyFill="1" applyBorder="1" applyAlignment="1">
      <alignment horizontal="center" vertical="center" wrapText="1"/>
    </xf>
    <xf numFmtId="0" fontId="9" fillId="2" borderId="77" xfId="0" applyFont="1" applyFill="1" applyBorder="1" applyAlignment="1">
      <alignment vertical="center" wrapText="1"/>
    </xf>
    <xf numFmtId="0" fontId="5" fillId="0" borderId="77" xfId="0" applyFont="1" applyBorder="1" applyAlignment="1">
      <alignment vertical="center"/>
    </xf>
    <xf numFmtId="0" fontId="16" fillId="2" borderId="77" xfId="0" applyFont="1" applyFill="1" applyBorder="1" applyAlignment="1">
      <alignment vertical="center"/>
    </xf>
    <xf numFmtId="165" fontId="8" fillId="2" borderId="77" xfId="0" applyNumberFormat="1" applyFont="1" applyFill="1" applyBorder="1" applyAlignment="1">
      <alignment horizontal="center" vertical="center" wrapText="1"/>
    </xf>
    <xf numFmtId="0" fontId="7" fillId="2" borderId="77" xfId="0" applyFont="1" applyFill="1" applyBorder="1" applyAlignment="1">
      <alignment horizontal="left" vertical="center" wrapText="1"/>
    </xf>
    <xf numFmtId="0" fontId="9" fillId="0" borderId="0" xfId="0" applyFont="1" applyAlignment="1">
      <alignment horizontal="left" vertical="center" wrapText="1"/>
    </xf>
    <xf numFmtId="0" fontId="13" fillId="13" borderId="7" xfId="0" applyFont="1" applyFill="1" applyBorder="1" applyAlignment="1">
      <alignment vertical="center"/>
    </xf>
    <xf numFmtId="0" fontId="20" fillId="13" borderId="76" xfId="0" applyFont="1" applyFill="1" applyBorder="1" applyAlignment="1">
      <alignment horizontal="center" vertical="center"/>
    </xf>
    <xf numFmtId="0" fontId="13" fillId="13" borderId="6" xfId="0" applyFont="1" applyFill="1" applyBorder="1" applyAlignment="1">
      <alignment vertical="center"/>
    </xf>
    <xf numFmtId="0" fontId="13" fillId="13" borderId="6" xfId="0" applyFont="1" applyFill="1" applyBorder="1" applyAlignment="1">
      <alignment horizontal="center" vertical="center"/>
    </xf>
    <xf numFmtId="0" fontId="20" fillId="13" borderId="6" xfId="0" applyFont="1" applyFill="1" applyBorder="1" applyAlignment="1">
      <alignment vertical="center"/>
    </xf>
    <xf numFmtId="0" fontId="13" fillId="13" borderId="77" xfId="0" applyFont="1" applyFill="1" applyBorder="1" applyAlignment="1">
      <alignment vertical="center"/>
    </xf>
    <xf numFmtId="0" fontId="20" fillId="13" borderId="77" xfId="0" applyFont="1" applyFill="1" applyBorder="1" applyAlignment="1">
      <alignment horizontal="center" vertical="center"/>
    </xf>
    <xf numFmtId="0" fontId="13" fillId="13" borderId="77" xfId="0" applyFont="1" applyFill="1" applyBorder="1" applyAlignment="1">
      <alignment horizontal="center" vertical="center"/>
    </xf>
    <xf numFmtId="0" fontId="13" fillId="13" borderId="77" xfId="0" applyFont="1" applyFill="1" applyBorder="1" applyAlignment="1">
      <alignment horizontal="center" vertical="center" wrapText="1"/>
    </xf>
    <xf numFmtId="0" fontId="20" fillId="13" borderId="77" xfId="0" applyFont="1" applyFill="1" applyBorder="1" applyAlignment="1">
      <alignment vertical="center"/>
    </xf>
    <xf numFmtId="0" fontId="20" fillId="13" borderId="77" xfId="0" applyFont="1" applyFill="1" applyBorder="1" applyAlignment="1">
      <alignment horizontal="center" vertical="center" wrapText="1"/>
    </xf>
    <xf numFmtId="0" fontId="20" fillId="13" borderId="77" xfId="0" applyFont="1" applyFill="1" applyBorder="1" applyAlignment="1">
      <alignment vertical="center" wrapText="1"/>
    </xf>
    <xf numFmtId="0" fontId="13"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3" fillId="15" borderId="3" xfId="0" applyFont="1" applyFill="1" applyBorder="1" applyAlignment="1">
      <alignment horizontal="center" vertical="center"/>
    </xf>
    <xf numFmtId="0" fontId="13" fillId="15" borderId="0" xfId="0" applyFont="1" applyFill="1" applyAlignment="1">
      <alignment horizontal="center" vertical="center"/>
    </xf>
    <xf numFmtId="164" fontId="13" fillId="15" borderId="4" xfId="0" applyNumberFormat="1" applyFont="1" applyFill="1" applyBorder="1" applyAlignment="1">
      <alignment horizontal="center" vertical="center" wrapText="1"/>
    </xf>
    <xf numFmtId="0" fontId="20" fillId="15" borderId="5" xfId="0" applyFont="1" applyFill="1" applyBorder="1" applyAlignment="1">
      <alignment horizontal="center" vertical="center"/>
    </xf>
    <xf numFmtId="0" fontId="13" fillId="15" borderId="4" xfId="0" applyFont="1" applyFill="1" applyBorder="1" applyAlignment="1">
      <alignment horizontal="center" vertical="center" wrapText="1"/>
    </xf>
    <xf numFmtId="0" fontId="13" fillId="14" borderId="77" xfId="0" applyFont="1" applyFill="1" applyBorder="1" applyAlignment="1">
      <alignment vertical="center"/>
    </xf>
    <xf numFmtId="0" fontId="20" fillId="14" borderId="77" xfId="0" applyFont="1" applyFill="1" applyBorder="1" applyAlignment="1">
      <alignment horizontal="center" vertical="center"/>
    </xf>
    <xf numFmtId="0" fontId="13" fillId="14" borderId="77" xfId="0" applyFont="1" applyFill="1" applyBorder="1" applyAlignment="1">
      <alignment horizontal="left" vertical="center"/>
    </xf>
    <xf numFmtId="0" fontId="13" fillId="14" borderId="77" xfId="0" applyFont="1" applyFill="1" applyBorder="1" applyAlignment="1">
      <alignment horizontal="center" vertical="center"/>
    </xf>
    <xf numFmtId="0" fontId="20" fillId="14" borderId="77" xfId="0" applyFont="1" applyFill="1" applyBorder="1" applyAlignment="1">
      <alignment vertical="center"/>
    </xf>
    <xf numFmtId="0" fontId="9" fillId="0" borderId="0" xfId="0" applyFont="1"/>
    <xf numFmtId="165" fontId="18" fillId="0" borderId="77" xfId="0" applyNumberFormat="1" applyFont="1" applyBorder="1" applyAlignment="1">
      <alignment horizontal="center" vertical="center" wrapText="1"/>
    </xf>
    <xf numFmtId="0" fontId="18" fillId="0" borderId="0" xfId="0" applyFont="1" applyAlignment="1">
      <alignment vertical="center"/>
    </xf>
    <xf numFmtId="0" fontId="7" fillId="0" borderId="0" xfId="0" applyFont="1" applyAlignment="1">
      <alignment vertical="center" wrapText="1"/>
    </xf>
    <xf numFmtId="0" fontId="18" fillId="0" borderId="77" xfId="0" applyFont="1" applyBorder="1" applyAlignment="1">
      <alignment horizontal="center" vertical="center"/>
    </xf>
    <xf numFmtId="165" fontId="18" fillId="0" borderId="77" xfId="1" applyNumberFormat="1" applyFont="1" applyFill="1" applyBorder="1" applyAlignment="1">
      <alignment horizontal="center" vertical="center" wrapText="1"/>
    </xf>
    <xf numFmtId="0" fontId="21" fillId="0" borderId="77" xfId="0" applyFont="1" applyBorder="1" applyAlignment="1">
      <alignment horizontal="left" vertical="center" wrapText="1"/>
    </xf>
    <xf numFmtId="0" fontId="27" fillId="0" borderId="77" xfId="0" applyFont="1" applyBorder="1" applyAlignment="1">
      <alignment horizontal="left" vertical="center" wrapText="1"/>
    </xf>
    <xf numFmtId="0" fontId="30" fillId="0" borderId="77" xfId="0" applyFont="1" applyBorder="1" applyAlignment="1">
      <alignment horizontal="left" vertical="center" wrapText="1"/>
    </xf>
    <xf numFmtId="0" fontId="17" fillId="2" borderId="77" xfId="0" applyFont="1" applyFill="1" applyBorder="1" applyAlignment="1">
      <alignment vertical="center"/>
    </xf>
    <xf numFmtId="164" fontId="18" fillId="0" borderId="0" xfId="0" applyNumberFormat="1" applyFont="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center" wrapText="1"/>
    </xf>
    <xf numFmtId="0" fontId="15" fillId="0" borderId="77" xfId="0" applyFont="1" applyBorder="1" applyAlignment="1">
      <alignment horizontal="left" vertical="center" wrapText="1"/>
    </xf>
    <xf numFmtId="0" fontId="17" fillId="0" borderId="0" xfId="0" applyFont="1" applyAlignment="1">
      <alignment vertical="center"/>
    </xf>
    <xf numFmtId="0" fontId="31" fillId="0" borderId="77" xfId="0" applyFont="1" applyBorder="1" applyAlignment="1">
      <alignment horizontal="left" vertical="center" wrapText="1"/>
    </xf>
    <xf numFmtId="0" fontId="8" fillId="6" borderId="46" xfId="0" applyFont="1" applyFill="1" applyBorder="1" applyAlignment="1">
      <alignment horizontal="left" vertical="center" wrapText="1"/>
    </xf>
    <xf numFmtId="0" fontId="8" fillId="0" borderId="77" xfId="0" applyFont="1" applyBorder="1" applyAlignment="1">
      <alignment horizontal="left"/>
    </xf>
    <xf numFmtId="164" fontId="8" fillId="0" borderId="47" xfId="0" applyNumberFormat="1" applyFont="1" applyBorder="1" applyAlignment="1">
      <alignment horizontal="center" vertical="top"/>
    </xf>
    <xf numFmtId="164" fontId="7" fillId="0" borderId="59" xfId="0" applyNumberFormat="1" applyFont="1" applyBorder="1" applyAlignment="1">
      <alignment horizontal="center" vertical="top"/>
    </xf>
    <xf numFmtId="164" fontId="7" fillId="0" borderId="49" xfId="0" applyNumberFormat="1" applyFont="1" applyBorder="1" applyAlignment="1">
      <alignment horizontal="center" vertical="top"/>
    </xf>
    <xf numFmtId="164" fontId="8" fillId="0" borderId="51" xfId="0" applyNumberFormat="1" applyFont="1" applyBorder="1" applyAlignment="1">
      <alignment horizontal="center" vertical="top"/>
    </xf>
    <xf numFmtId="164" fontId="8" fillId="5" borderId="47" xfId="0" applyNumberFormat="1" applyFont="1" applyFill="1" applyBorder="1" applyAlignment="1">
      <alignment horizontal="center" vertical="top"/>
    </xf>
    <xf numFmtId="0" fontId="8" fillId="0" borderId="46" xfId="0" applyFont="1" applyBorder="1" applyAlignment="1">
      <alignment horizontal="left" vertical="center" wrapText="1"/>
    </xf>
    <xf numFmtId="0" fontId="8" fillId="6" borderId="55" xfId="0" applyFont="1" applyFill="1" applyBorder="1" applyAlignment="1">
      <alignment horizontal="left" vertical="center" wrapText="1"/>
    </xf>
    <xf numFmtId="165" fontId="7" fillId="5" borderId="61" xfId="0" applyNumberFormat="1" applyFont="1" applyFill="1" applyBorder="1" applyAlignment="1">
      <alignment horizontal="left" vertical="center" wrapText="1"/>
    </xf>
    <xf numFmtId="165" fontId="7" fillId="5" borderId="53" xfId="0" applyNumberFormat="1" applyFont="1" applyFill="1" applyBorder="1" applyAlignment="1">
      <alignment horizontal="left" vertical="center" wrapText="1"/>
    </xf>
    <xf numFmtId="165" fontId="8" fillId="5" borderId="53" xfId="0" applyNumberFormat="1" applyFont="1" applyFill="1" applyBorder="1" applyAlignment="1">
      <alignment horizontal="left" vertical="center" wrapText="1"/>
    </xf>
    <xf numFmtId="165" fontId="7" fillId="5" borderId="53" xfId="0" applyNumberFormat="1" applyFont="1" applyFill="1" applyBorder="1" applyAlignment="1">
      <alignment vertical="center" wrapText="1"/>
    </xf>
    <xf numFmtId="0" fontId="7" fillId="0" borderId="45" xfId="0" applyFont="1" applyBorder="1" applyAlignment="1">
      <alignment horizontal="left" vertical="top" wrapText="1"/>
    </xf>
    <xf numFmtId="165" fontId="7" fillId="0" borderId="19" xfId="0" applyNumberFormat="1" applyFont="1" applyBorder="1" applyAlignment="1">
      <alignment horizontal="left" vertical="top"/>
    </xf>
    <xf numFmtId="1" fontId="8" fillId="0" borderId="46" xfId="0" applyNumberFormat="1" applyFont="1" applyBorder="1" applyAlignment="1">
      <alignment horizontal="center" vertical="top"/>
    </xf>
    <xf numFmtId="165" fontId="7" fillId="5" borderId="53" xfId="0" applyNumberFormat="1" applyFont="1" applyFill="1" applyBorder="1" applyAlignment="1">
      <alignment horizontal="left" vertical="top" wrapText="1"/>
    </xf>
    <xf numFmtId="0" fontId="7" fillId="0" borderId="17" xfId="0" applyFont="1" applyBorder="1" applyAlignment="1">
      <alignment horizontal="left" vertical="top" wrapText="1"/>
    </xf>
    <xf numFmtId="1" fontId="8" fillId="0" borderId="50" xfId="0" applyNumberFormat="1" applyFont="1" applyBorder="1" applyAlignment="1">
      <alignment horizontal="center" vertical="top"/>
    </xf>
    <xf numFmtId="165" fontId="7" fillId="0" borderId="53" xfId="0" applyNumberFormat="1" applyFont="1" applyBorder="1" applyAlignment="1">
      <alignment horizontal="left" vertical="top" wrapText="1"/>
    </xf>
    <xf numFmtId="165" fontId="18" fillId="0" borderId="53" xfId="0" applyNumberFormat="1" applyFont="1" applyBorder="1" applyAlignment="1">
      <alignment horizontal="left" vertical="top" wrapText="1"/>
    </xf>
    <xf numFmtId="165" fontId="8" fillId="0" borderId="19" xfId="0" applyNumberFormat="1" applyFont="1" applyBorder="1" applyAlignment="1">
      <alignment horizontal="left" vertical="top"/>
    </xf>
    <xf numFmtId="165" fontId="8" fillId="0" borderId="53" xfId="0" applyNumberFormat="1" applyFont="1" applyBorder="1" applyAlignment="1">
      <alignment horizontal="left" vertical="top" wrapText="1"/>
    </xf>
    <xf numFmtId="165" fontId="7" fillId="0" borderId="57" xfId="0" applyNumberFormat="1" applyFont="1" applyBorder="1" applyAlignment="1">
      <alignment horizontal="left" vertical="top"/>
    </xf>
    <xf numFmtId="1" fontId="8" fillId="0" borderId="58" xfId="0" applyNumberFormat="1" applyFont="1" applyBorder="1" applyAlignment="1">
      <alignment horizontal="center" vertical="top"/>
    </xf>
    <xf numFmtId="164" fontId="8" fillId="0" borderId="56" xfId="0" applyNumberFormat="1" applyFont="1" applyBorder="1" applyAlignment="1">
      <alignment horizontal="center" vertical="top"/>
    </xf>
    <xf numFmtId="0" fontId="8" fillId="0" borderId="30" xfId="0" applyFont="1" applyBorder="1" applyAlignment="1">
      <alignment horizontal="left" vertical="top" wrapText="1"/>
    </xf>
    <xf numFmtId="165" fontId="8" fillId="5" borderId="53" xfId="0" applyNumberFormat="1" applyFont="1" applyFill="1" applyBorder="1" applyAlignment="1">
      <alignment horizontal="left" vertical="top" wrapText="1"/>
    </xf>
    <xf numFmtId="165" fontId="7" fillId="0" borderId="31" xfId="0" applyNumberFormat="1" applyFont="1" applyBorder="1" applyAlignment="1">
      <alignment horizontal="left" vertical="top" wrapText="1"/>
    </xf>
    <xf numFmtId="1" fontId="7" fillId="5" borderId="46" xfId="0" applyNumberFormat="1" applyFont="1" applyFill="1" applyBorder="1" applyAlignment="1">
      <alignment horizontal="center" vertical="top"/>
    </xf>
    <xf numFmtId="1" fontId="7" fillId="5" borderId="50" xfId="0" applyNumberFormat="1" applyFont="1" applyFill="1" applyBorder="1" applyAlignment="1">
      <alignment horizontal="center" vertical="top"/>
    </xf>
    <xf numFmtId="0" fontId="8" fillId="0" borderId="31" xfId="0" applyFont="1" applyBorder="1" applyAlignment="1">
      <alignment vertical="center" wrapText="1"/>
    </xf>
    <xf numFmtId="0" fontId="32" fillId="0" borderId="31" xfId="0" applyFont="1" applyBorder="1" applyAlignment="1">
      <alignment vertical="center" wrapText="1"/>
    </xf>
    <xf numFmtId="1" fontId="8" fillId="5" borderId="50" xfId="0" applyNumberFormat="1" applyFont="1" applyFill="1" applyBorder="1" applyAlignment="1">
      <alignment horizontal="center" vertical="top"/>
    </xf>
    <xf numFmtId="0" fontId="8" fillId="6" borderId="81" xfId="0" applyFont="1" applyFill="1" applyBorder="1" applyAlignment="1">
      <alignment horizontal="left" vertical="top" wrapText="1"/>
    </xf>
    <xf numFmtId="0" fontId="8" fillId="0" borderId="31" xfId="0" applyFont="1" applyBorder="1" applyAlignment="1">
      <alignment horizontal="right" vertical="top" wrapText="1"/>
    </xf>
    <xf numFmtId="0" fontId="8" fillId="6" borderId="82" xfId="0" applyFont="1" applyFill="1" applyBorder="1" applyAlignment="1">
      <alignment horizontal="left" vertical="top" wrapText="1"/>
    </xf>
    <xf numFmtId="0" fontId="8" fillId="6" borderId="83" xfId="0" applyFont="1" applyFill="1" applyBorder="1" applyAlignment="1">
      <alignment horizontal="left" vertical="top" wrapText="1"/>
    </xf>
    <xf numFmtId="0" fontId="8" fillId="0" borderId="31" xfId="0" applyFont="1" applyBorder="1" applyAlignment="1">
      <alignment horizontal="left" vertical="top" wrapText="1"/>
    </xf>
    <xf numFmtId="0" fontId="4" fillId="0" borderId="31" xfId="0" applyFont="1" applyBorder="1" applyAlignment="1">
      <alignment vertical="center" wrapText="1"/>
    </xf>
    <xf numFmtId="165" fontId="8" fillId="5" borderId="19" xfId="0" applyNumberFormat="1" applyFont="1" applyFill="1" applyBorder="1" applyAlignment="1">
      <alignment horizontal="left" vertical="top"/>
    </xf>
    <xf numFmtId="0" fontId="8" fillId="6" borderId="50" xfId="0" applyFont="1" applyFill="1" applyBorder="1" applyAlignment="1">
      <alignment horizontal="left" vertical="top" wrapText="1"/>
    </xf>
    <xf numFmtId="0" fontId="8" fillId="0" borderId="46" xfId="0" applyFont="1" applyBorder="1" applyAlignment="1">
      <alignment horizontal="left" vertical="top" wrapText="1"/>
    </xf>
    <xf numFmtId="0" fontId="8" fillId="0" borderId="31" xfId="0" applyFont="1" applyBorder="1" applyAlignment="1">
      <alignment vertical="top" wrapText="1"/>
    </xf>
    <xf numFmtId="0" fontId="8" fillId="0" borderId="50" xfId="0" applyFont="1" applyBorder="1" applyAlignment="1">
      <alignment horizontal="left" vertical="top" wrapText="1"/>
    </xf>
    <xf numFmtId="0" fontId="8" fillId="0" borderId="51" xfId="0" applyFont="1" applyBorder="1" applyAlignment="1">
      <alignment horizontal="left" vertical="top" wrapText="1"/>
    </xf>
    <xf numFmtId="0" fontId="7" fillId="6" borderId="82" xfId="0" applyFont="1" applyFill="1" applyBorder="1" applyAlignment="1">
      <alignment horizontal="left" vertical="top" wrapText="1"/>
    </xf>
    <xf numFmtId="165" fontId="8" fillId="5" borderId="51" xfId="0" applyNumberFormat="1" applyFont="1" applyFill="1" applyBorder="1" applyAlignment="1">
      <alignment horizontal="left" vertical="top"/>
    </xf>
    <xf numFmtId="0" fontId="7" fillId="6" borderId="84" xfId="0" applyFont="1" applyFill="1" applyBorder="1" applyAlignment="1">
      <alignment horizontal="left" vertical="top" wrapText="1"/>
    </xf>
    <xf numFmtId="165" fontId="7" fillId="5" borderId="48" xfId="0" applyNumberFormat="1" applyFont="1" applyFill="1" applyBorder="1" applyAlignment="1">
      <alignment horizontal="left" vertical="top"/>
    </xf>
    <xf numFmtId="165" fontId="7" fillId="5" borderId="60" xfId="0" applyNumberFormat="1" applyFont="1" applyFill="1" applyBorder="1" applyAlignment="1">
      <alignment horizontal="left" vertical="top" wrapText="1"/>
    </xf>
    <xf numFmtId="1" fontId="8" fillId="5" borderId="46" xfId="0" applyNumberFormat="1" applyFont="1" applyFill="1" applyBorder="1" applyAlignment="1">
      <alignment horizontal="center" vertical="top"/>
    </xf>
    <xf numFmtId="165" fontId="18" fillId="5" borderId="61" xfId="0" applyNumberFormat="1" applyFont="1" applyFill="1" applyBorder="1" applyAlignment="1">
      <alignment horizontal="left" vertical="top" wrapText="1"/>
    </xf>
    <xf numFmtId="0" fontId="19" fillId="4" borderId="0" xfId="0" applyFont="1" applyFill="1" applyAlignment="1">
      <alignment horizontal="center" vertical="top"/>
    </xf>
    <xf numFmtId="0" fontId="19" fillId="4" borderId="0" xfId="0" applyFont="1" applyFill="1" applyAlignment="1">
      <alignment vertical="top" wrapText="1"/>
    </xf>
    <xf numFmtId="2" fontId="33" fillId="0" borderId="85" xfId="4" applyNumberFormat="1" applyFont="1" applyBorder="1" applyAlignment="1">
      <alignment horizontal="left" vertical="center"/>
    </xf>
    <xf numFmtId="2" fontId="33" fillId="0" borderId="34" xfId="4" applyNumberFormat="1" applyFont="1" applyBorder="1" applyAlignment="1">
      <alignment vertical="center" wrapText="1"/>
    </xf>
    <xf numFmtId="0" fontId="33" fillId="0" borderId="35" xfId="4" applyFont="1" applyBorder="1" applyAlignment="1">
      <alignment horizontal="center" vertical="center"/>
    </xf>
    <xf numFmtId="2" fontId="34" fillId="16" borderId="85" xfId="4" applyNumberFormat="1" applyFont="1" applyFill="1" applyBorder="1" applyAlignment="1">
      <alignment horizontal="left" vertical="center"/>
    </xf>
    <xf numFmtId="2" fontId="35" fillId="16" borderId="34" xfId="4" applyNumberFormat="1" applyFont="1" applyFill="1" applyBorder="1" applyAlignment="1">
      <alignment vertical="center" wrapText="1"/>
    </xf>
    <xf numFmtId="0" fontId="35" fillId="16" borderId="35" xfId="4" applyFont="1" applyFill="1" applyBorder="1" applyAlignment="1">
      <alignment horizontal="center" vertical="center"/>
    </xf>
    <xf numFmtId="1" fontId="33" fillId="0" borderId="35" xfId="4" applyNumberFormat="1" applyFont="1" applyBorder="1" applyAlignment="1">
      <alignment horizontal="center" vertical="center"/>
    </xf>
    <xf numFmtId="2" fontId="34" fillId="16" borderId="86" xfId="4" applyNumberFormat="1" applyFont="1" applyFill="1" applyBorder="1" applyAlignment="1">
      <alignment horizontal="left" vertical="center"/>
    </xf>
    <xf numFmtId="2" fontId="35" fillId="16" borderId="41" xfId="4" applyNumberFormat="1" applyFont="1" applyFill="1" applyBorder="1" applyAlignment="1">
      <alignment vertical="center" wrapText="1"/>
    </xf>
    <xf numFmtId="0" fontId="35" fillId="16" borderId="42" xfId="4" applyFont="1" applyFill="1" applyBorder="1" applyAlignment="1">
      <alignment horizontal="center" vertical="center"/>
    </xf>
    <xf numFmtId="164" fontId="36" fillId="0" borderId="0" xfId="4" applyNumberFormat="1" applyFont="1" applyAlignment="1">
      <alignment vertical="center"/>
    </xf>
    <xf numFmtId="0" fontId="37" fillId="0" borderId="0" xfId="4" applyFont="1" applyAlignment="1">
      <alignment vertical="center"/>
    </xf>
    <xf numFmtId="0" fontId="37" fillId="0" borderId="0" xfId="4" applyFont="1" applyAlignment="1">
      <alignment horizontal="center" vertical="center"/>
    </xf>
    <xf numFmtId="0" fontId="38" fillId="0" borderId="0" xfId="4" applyFont="1" applyAlignment="1">
      <alignment horizontal="right" vertical="center"/>
    </xf>
    <xf numFmtId="164" fontId="33" fillId="0" borderId="0" xfId="4" applyNumberFormat="1" applyFont="1" applyAlignment="1">
      <alignment vertical="center"/>
    </xf>
    <xf numFmtId="0" fontId="33" fillId="0" borderId="0" xfId="4" applyFont="1" applyAlignment="1">
      <alignment horizontal="center" vertical="center"/>
    </xf>
    <xf numFmtId="0" fontId="33" fillId="0" borderId="0" xfId="4" applyFont="1" applyAlignment="1">
      <alignment horizontal="right" vertical="center"/>
    </xf>
    <xf numFmtId="0" fontId="33" fillId="0" borderId="0" xfId="4" applyFont="1" applyAlignment="1">
      <alignment vertical="center"/>
    </xf>
    <xf numFmtId="166" fontId="33" fillId="17" borderId="0" xfId="4" applyNumberFormat="1" applyFont="1" applyFill="1" applyAlignment="1">
      <alignment horizontal="center" vertical="center"/>
    </xf>
    <xf numFmtId="164" fontId="33" fillId="0" borderId="0" xfId="4" applyNumberFormat="1" applyFont="1" applyAlignment="1">
      <alignment horizontal="center" vertical="center"/>
    </xf>
    <xf numFmtId="2" fontId="33" fillId="0" borderId="0" xfId="4" applyNumberFormat="1" applyFont="1" applyAlignment="1">
      <alignment vertical="center"/>
    </xf>
    <xf numFmtId="0" fontId="7" fillId="5" borderId="72" xfId="0" applyFont="1" applyFill="1" applyBorder="1" applyAlignment="1">
      <alignment wrapText="1"/>
    </xf>
    <xf numFmtId="0" fontId="39" fillId="5" borderId="0" xfId="0" applyFont="1" applyFill="1"/>
    <xf numFmtId="0" fontId="39" fillId="0" borderId="0" xfId="0" applyFont="1"/>
    <xf numFmtId="0" fontId="5" fillId="9" borderId="63" xfId="0" applyFont="1" applyFill="1" applyBorder="1" applyAlignment="1">
      <alignment horizontal="right" vertical="center"/>
    </xf>
    <xf numFmtId="0" fontId="6" fillId="7" borderId="32" xfId="0" applyFont="1" applyFill="1" applyBorder="1" applyAlignment="1">
      <alignment horizontal="left" vertical="center" wrapText="1"/>
    </xf>
    <xf numFmtId="0" fontId="5" fillId="9" borderId="44" xfId="0" applyFont="1" applyFill="1" applyBorder="1" applyAlignment="1">
      <alignment horizontal="right" vertical="center"/>
    </xf>
    <xf numFmtId="0" fontId="5" fillId="9" borderId="64" xfId="0" applyFont="1" applyFill="1" applyBorder="1" applyAlignment="1">
      <alignment horizontal="right" vertical="center"/>
    </xf>
    <xf numFmtId="164" fontId="8" fillId="0" borderId="19" xfId="0" applyNumberFormat="1" applyFont="1" applyBorder="1" applyAlignment="1">
      <alignment horizontal="center" vertical="center"/>
    </xf>
    <xf numFmtId="0" fontId="7" fillId="5" borderId="17" xfId="0" applyFont="1" applyFill="1" applyBorder="1" applyAlignment="1">
      <alignment wrapText="1"/>
    </xf>
    <xf numFmtId="0" fontId="7" fillId="5" borderId="53" xfId="0" applyFont="1" applyFill="1" applyBorder="1" applyAlignment="1">
      <alignment wrapText="1"/>
    </xf>
    <xf numFmtId="0" fontId="7" fillId="5" borderId="61" xfId="0" applyFont="1" applyFill="1" applyBorder="1" applyAlignment="1">
      <alignment wrapText="1"/>
    </xf>
    <xf numFmtId="165" fontId="7" fillId="5" borderId="60" xfId="0" applyNumberFormat="1" applyFont="1" applyFill="1" applyBorder="1" applyAlignment="1">
      <alignment horizontal="left" vertical="center" wrapText="1"/>
    </xf>
    <xf numFmtId="0" fontId="5" fillId="9" borderId="32" xfId="0" applyFont="1" applyFill="1" applyBorder="1" applyAlignment="1">
      <alignment horizontal="right" vertical="center"/>
    </xf>
    <xf numFmtId="165" fontId="7" fillId="11" borderId="36" xfId="0" applyNumberFormat="1" applyFont="1" applyFill="1" applyBorder="1" applyAlignment="1">
      <alignment horizontal="center" vertical="center" wrapText="1"/>
    </xf>
    <xf numFmtId="0" fontId="9" fillId="6" borderId="52" xfId="0" applyFont="1" applyFill="1" applyBorder="1" applyAlignment="1">
      <alignment horizontal="left" vertical="center" wrapText="1"/>
    </xf>
    <xf numFmtId="165" fontId="7" fillId="0" borderId="53" xfId="0" applyNumberFormat="1" applyFont="1" applyBorder="1" applyAlignment="1">
      <alignment horizontal="left" vertical="center" wrapText="1"/>
    </xf>
    <xf numFmtId="165" fontId="7" fillId="0" borderId="52" xfId="0" applyNumberFormat="1" applyFont="1" applyBorder="1" applyAlignment="1">
      <alignment horizontal="left" vertical="center" wrapText="1"/>
    </xf>
    <xf numFmtId="0" fontId="9" fillId="0" borderId="52" xfId="0" applyFont="1" applyBorder="1" applyAlignment="1">
      <alignment horizontal="left" vertical="center" wrapText="1"/>
    </xf>
    <xf numFmtId="165" fontId="8" fillId="0" borderId="0" xfId="0" applyNumberFormat="1" applyFont="1" applyAlignment="1">
      <alignment horizontal="left" vertical="top"/>
    </xf>
    <xf numFmtId="1" fontId="8" fillId="0" borderId="0" xfId="0" applyNumberFormat="1" applyFont="1" applyAlignment="1">
      <alignment horizontal="center" vertical="top"/>
    </xf>
    <xf numFmtId="164" fontId="8" fillId="0" borderId="0" xfId="0" applyNumberFormat="1" applyFont="1" applyAlignment="1">
      <alignment horizontal="center" vertical="top"/>
    </xf>
    <xf numFmtId="165" fontId="8" fillId="0" borderId="0" xfId="0" applyNumberFormat="1" applyFont="1" applyAlignment="1">
      <alignment horizontal="center" vertical="top"/>
    </xf>
    <xf numFmtId="0" fontId="8" fillId="0" borderId="0" xfId="0" applyFont="1" applyAlignment="1">
      <alignment horizontal="left" vertical="top"/>
    </xf>
    <xf numFmtId="164" fontId="8" fillId="0" borderId="0" xfId="0" applyNumberFormat="1" applyFont="1" applyAlignment="1">
      <alignment horizontal="center" vertical="center"/>
    </xf>
    <xf numFmtId="0" fontId="0" fillId="4" borderId="0" xfId="0" applyFill="1"/>
    <xf numFmtId="0" fontId="7" fillId="0" borderId="17" xfId="0" applyFont="1" applyBorder="1" applyAlignment="1">
      <alignment horizontal="left" vertical="center" wrapText="1"/>
    </xf>
    <xf numFmtId="165" fontId="7" fillId="0" borderId="0" xfId="0" applyNumberFormat="1" applyFont="1" applyAlignment="1">
      <alignment horizontal="center" vertical="top"/>
    </xf>
    <xf numFmtId="1" fontId="8" fillId="0" borderId="0" xfId="0" applyNumberFormat="1" applyFont="1" applyAlignment="1">
      <alignment horizontal="center" vertical="center"/>
    </xf>
    <xf numFmtId="49" fontId="8" fillId="8" borderId="19" xfId="0" applyNumberFormat="1" applyFont="1" applyFill="1" applyBorder="1" applyAlignment="1">
      <alignment horizontal="center" vertical="top"/>
    </xf>
    <xf numFmtId="49" fontId="8" fillId="8" borderId="57" xfId="0" applyNumberFormat="1" applyFont="1" applyFill="1" applyBorder="1" applyAlignment="1">
      <alignment horizontal="center" vertical="top"/>
    </xf>
    <xf numFmtId="1" fontId="8" fillId="5" borderId="50" xfId="0" applyNumberFormat="1" applyFont="1" applyFill="1" applyBorder="1" applyAlignment="1">
      <alignment horizontal="center" vertical="center"/>
    </xf>
    <xf numFmtId="1" fontId="8" fillId="5" borderId="46" xfId="0" applyNumberFormat="1" applyFont="1" applyFill="1" applyBorder="1" applyAlignment="1">
      <alignment horizontal="center" vertical="center"/>
    </xf>
    <xf numFmtId="1" fontId="8" fillId="0" borderId="50" xfId="0" applyNumberFormat="1" applyFont="1" applyBorder="1" applyAlignment="1">
      <alignment horizontal="center" vertical="center"/>
    </xf>
    <xf numFmtId="165" fontId="16" fillId="5" borderId="38" xfId="0" applyNumberFormat="1" applyFont="1" applyFill="1" applyBorder="1" applyAlignment="1">
      <alignment horizontal="center" vertical="center"/>
    </xf>
    <xf numFmtId="165" fontId="7" fillId="11" borderId="39" xfId="0" applyNumberFormat="1" applyFont="1" applyFill="1" applyBorder="1" applyAlignment="1">
      <alignment horizontal="center" vertical="center" wrapText="1"/>
    </xf>
    <xf numFmtId="0" fontId="5" fillId="9" borderId="88" xfId="0" applyFont="1" applyFill="1" applyBorder="1" applyAlignment="1">
      <alignment horizontal="right" vertical="center"/>
    </xf>
    <xf numFmtId="164" fontId="8" fillId="0" borderId="48" xfId="0" applyNumberFormat="1" applyFont="1" applyBorder="1" applyAlignment="1">
      <alignment horizontal="center" vertical="center"/>
    </xf>
    <xf numFmtId="165" fontId="7" fillId="0" borderId="61" xfId="0" applyNumberFormat="1" applyFont="1" applyBorder="1" applyAlignment="1">
      <alignment horizontal="left" vertical="center" wrapText="1"/>
    </xf>
    <xf numFmtId="0" fontId="5" fillId="9" borderId="65" xfId="0" applyFont="1" applyFill="1" applyBorder="1" applyAlignment="1">
      <alignment horizontal="right" vertical="center" wrapText="1"/>
    </xf>
    <xf numFmtId="164" fontId="7" fillId="0" borderId="0" xfId="0" applyNumberFormat="1" applyFont="1" applyAlignment="1">
      <alignment horizontal="center" vertical="top"/>
    </xf>
    <xf numFmtId="1" fontId="7" fillId="5" borderId="58" xfId="0" applyNumberFormat="1" applyFont="1" applyFill="1" applyBorder="1" applyAlignment="1">
      <alignment horizontal="center" vertical="center"/>
    </xf>
    <xf numFmtId="1" fontId="8" fillId="5" borderId="58" xfId="0" applyNumberFormat="1" applyFont="1" applyFill="1" applyBorder="1" applyAlignment="1">
      <alignment horizontal="center" vertical="center"/>
    </xf>
    <xf numFmtId="1" fontId="7" fillId="5" borderId="50" xfId="0" applyNumberFormat="1" applyFont="1" applyFill="1" applyBorder="1" applyAlignment="1">
      <alignment horizontal="center" vertical="center"/>
    </xf>
    <xf numFmtId="1" fontId="7" fillId="5" borderId="46" xfId="0" applyNumberFormat="1" applyFont="1" applyFill="1" applyBorder="1" applyAlignment="1">
      <alignment horizontal="center" vertical="center"/>
    </xf>
    <xf numFmtId="0" fontId="13" fillId="7" borderId="37" xfId="0" applyFont="1" applyFill="1" applyBorder="1" applyAlignment="1">
      <alignment horizontal="center" vertical="center" wrapText="1"/>
    </xf>
    <xf numFmtId="0" fontId="13" fillId="7" borderId="38" xfId="0" applyFont="1" applyFill="1" applyBorder="1" applyAlignment="1">
      <alignment horizontal="center" vertical="center" wrapText="1"/>
    </xf>
    <xf numFmtId="164" fontId="13" fillId="7" borderId="67" xfId="0" applyNumberFormat="1" applyFont="1" applyFill="1" applyBorder="1" applyAlignment="1">
      <alignment horizontal="left" vertical="center" wrapText="1"/>
    </xf>
    <xf numFmtId="1" fontId="13" fillId="7" borderId="88" xfId="0" applyNumberFormat="1" applyFont="1" applyFill="1" applyBorder="1" applyAlignment="1">
      <alignment horizontal="center" vertical="center" wrapText="1"/>
    </xf>
    <xf numFmtId="164" fontId="13" fillId="7" borderId="38" xfId="0" applyNumberFormat="1" applyFont="1" applyFill="1" applyBorder="1" applyAlignment="1">
      <alignment horizontal="center" vertical="center" wrapText="1"/>
    </xf>
    <xf numFmtId="165" fontId="16" fillId="5" borderId="44" xfId="0" applyNumberFormat="1" applyFont="1" applyFill="1" applyBorder="1" applyAlignment="1">
      <alignment horizontal="center" vertical="center"/>
    </xf>
    <xf numFmtId="0" fontId="5" fillId="9" borderId="38" xfId="0" applyFont="1" applyFill="1" applyBorder="1" applyAlignment="1">
      <alignment horizontal="right" vertical="center"/>
    </xf>
    <xf numFmtId="164" fontId="16" fillId="5" borderId="44" xfId="0" applyNumberFormat="1" applyFont="1" applyFill="1" applyBorder="1" applyAlignment="1">
      <alignment horizontal="center" vertical="center"/>
    </xf>
    <xf numFmtId="164" fontId="16" fillId="5" borderId="88" xfId="0" applyNumberFormat="1" applyFont="1" applyFill="1" applyBorder="1" applyAlignment="1">
      <alignment horizontal="center" vertical="center"/>
    </xf>
    <xf numFmtId="164" fontId="16" fillId="5" borderId="38" xfId="0" applyNumberFormat="1" applyFont="1" applyFill="1" applyBorder="1" applyAlignment="1">
      <alignment horizontal="center" vertical="center"/>
    </xf>
    <xf numFmtId="165" fontId="16" fillId="5" borderId="88" xfId="0" applyNumberFormat="1" applyFont="1" applyFill="1" applyBorder="1" applyAlignment="1">
      <alignment horizontal="center" vertical="center"/>
    </xf>
    <xf numFmtId="0" fontId="24" fillId="7" borderId="32" xfId="0" applyFont="1" applyFill="1" applyBorder="1" applyAlignment="1">
      <alignment horizontal="left" vertical="center" wrapText="1"/>
    </xf>
    <xf numFmtId="0" fontId="24" fillId="7" borderId="64" xfId="0" applyFont="1" applyFill="1" applyBorder="1" applyAlignment="1">
      <alignment horizontal="left" vertical="center" wrapText="1"/>
    </xf>
    <xf numFmtId="0" fontId="9" fillId="6" borderId="31" xfId="0" applyFont="1" applyFill="1" applyBorder="1" applyAlignment="1">
      <alignment horizontal="left" vertical="center" wrapText="1"/>
    </xf>
    <xf numFmtId="49" fontId="8" fillId="8" borderId="19" xfId="0" applyNumberFormat="1" applyFont="1" applyFill="1" applyBorder="1" applyAlignment="1">
      <alignment horizontal="center" vertical="center"/>
    </xf>
    <xf numFmtId="49" fontId="8" fillId="8" borderId="57" xfId="0" applyNumberFormat="1" applyFont="1" applyFill="1" applyBorder="1" applyAlignment="1">
      <alignment horizontal="center" vertical="center"/>
    </xf>
    <xf numFmtId="49" fontId="8" fillId="8" borderId="48" xfId="0" applyNumberFormat="1" applyFont="1" applyFill="1" applyBorder="1" applyAlignment="1">
      <alignment horizontal="center" vertical="center"/>
    </xf>
    <xf numFmtId="164" fontId="7" fillId="0" borderId="56" xfId="0" applyNumberFormat="1" applyFont="1" applyBorder="1" applyAlignment="1">
      <alignment horizontal="center" vertical="top"/>
    </xf>
    <xf numFmtId="0" fontId="8" fillId="6" borderId="46" xfId="0" applyFont="1" applyFill="1" applyBorder="1" applyAlignment="1">
      <alignment horizontal="left" vertical="top" wrapText="1"/>
    </xf>
    <xf numFmtId="0" fontId="8" fillId="0" borderId="55" xfId="0" applyFont="1" applyBorder="1" applyAlignment="1">
      <alignment horizontal="left" vertical="top" wrapText="1"/>
    </xf>
    <xf numFmtId="1" fontId="8" fillId="5" borderId="58" xfId="0" applyNumberFormat="1" applyFont="1" applyFill="1" applyBorder="1" applyAlignment="1">
      <alignment horizontal="center" vertical="top"/>
    </xf>
    <xf numFmtId="0" fontId="8" fillId="6" borderId="55" xfId="0" applyFont="1" applyFill="1" applyBorder="1" applyAlignment="1">
      <alignment horizontal="left" vertical="top" wrapText="1"/>
    </xf>
    <xf numFmtId="1" fontId="7" fillId="0" borderId="50" xfId="0" applyNumberFormat="1" applyFont="1" applyBorder="1" applyAlignment="1">
      <alignment horizontal="center" vertical="center"/>
    </xf>
    <xf numFmtId="164" fontId="8" fillId="5" borderId="0" xfId="0" applyNumberFormat="1" applyFont="1" applyFill="1" applyAlignment="1">
      <alignment horizontal="center" vertical="top"/>
    </xf>
    <xf numFmtId="1" fontId="8" fillId="0" borderId="46" xfId="0" applyNumberFormat="1" applyFont="1" applyBorder="1" applyAlignment="1">
      <alignment horizontal="center" vertical="center"/>
    </xf>
    <xf numFmtId="1" fontId="8" fillId="0" borderId="58" xfId="0" applyNumberFormat="1" applyFont="1" applyBorder="1" applyAlignment="1">
      <alignment horizontal="center" vertical="center"/>
    </xf>
    <xf numFmtId="0" fontId="16" fillId="11" borderId="64" xfId="0" applyFont="1" applyFill="1" applyBorder="1" applyAlignment="1">
      <alignment horizontal="right" vertical="center" wrapText="1"/>
    </xf>
    <xf numFmtId="1" fontId="7" fillId="0" borderId="46" xfId="0" applyNumberFormat="1" applyFont="1" applyBorder="1" applyAlignment="1">
      <alignment horizontal="center" vertical="center"/>
    </xf>
    <xf numFmtId="0" fontId="7" fillId="6" borderId="93" xfId="0" applyFont="1" applyFill="1" applyBorder="1" applyAlignment="1">
      <alignment horizontal="left" vertical="center" wrapText="1"/>
    </xf>
    <xf numFmtId="165" fontId="8" fillId="5" borderId="61" xfId="0" applyNumberFormat="1" applyFont="1" applyFill="1" applyBorder="1" applyAlignment="1">
      <alignment horizontal="left" vertical="center" wrapText="1"/>
    </xf>
    <xf numFmtId="165" fontId="8" fillId="5" borderId="60" xfId="0" applyNumberFormat="1" applyFont="1" applyFill="1" applyBorder="1" applyAlignment="1">
      <alignment horizontal="left" vertical="center" wrapText="1"/>
    </xf>
    <xf numFmtId="165" fontId="8" fillId="18" borderId="53" xfId="0" applyNumberFormat="1" applyFont="1" applyFill="1" applyBorder="1" applyAlignment="1">
      <alignment horizontal="left" vertical="center" wrapText="1"/>
    </xf>
    <xf numFmtId="165" fontId="8" fillId="0" borderId="53" xfId="0" applyNumberFormat="1" applyFont="1" applyBorder="1" applyAlignment="1">
      <alignment horizontal="left" vertical="center" wrapText="1"/>
    </xf>
    <xf numFmtId="0" fontId="5" fillId="0" borderId="52" xfId="0" applyFont="1" applyBorder="1" applyAlignment="1">
      <alignment horizontal="left" vertical="center" wrapText="1"/>
    </xf>
    <xf numFmtId="165" fontId="8" fillId="0" borderId="60" xfId="0" applyNumberFormat="1" applyFont="1" applyBorder="1" applyAlignment="1">
      <alignment horizontal="left" vertical="center" wrapText="1"/>
    </xf>
    <xf numFmtId="0" fontId="41" fillId="6" borderId="52" xfId="0" applyFont="1" applyFill="1" applyBorder="1" applyAlignment="1">
      <alignment horizontal="left" vertical="center" wrapText="1"/>
    </xf>
    <xf numFmtId="165" fontId="8" fillId="18" borderId="61" xfId="0" applyNumberFormat="1" applyFont="1" applyFill="1" applyBorder="1" applyAlignment="1">
      <alignment horizontal="left" vertical="center" wrapText="1"/>
    </xf>
    <xf numFmtId="165" fontId="7" fillId="5" borderId="60" xfId="0" applyNumberFormat="1" applyFont="1" applyFill="1" applyBorder="1" applyAlignment="1">
      <alignment vertical="center" wrapText="1"/>
    </xf>
    <xf numFmtId="0" fontId="6" fillId="7" borderId="64" xfId="0" applyFont="1" applyFill="1" applyBorder="1" applyAlignment="1">
      <alignment horizontal="left" vertical="center" wrapText="1"/>
    </xf>
    <xf numFmtId="0" fontId="6" fillId="7" borderId="44" xfId="0" applyFont="1" applyFill="1" applyBorder="1" applyAlignment="1">
      <alignment horizontal="left" vertical="center" wrapText="1"/>
    </xf>
    <xf numFmtId="2" fontId="8" fillId="0" borderId="18" xfId="0" applyNumberFormat="1" applyFont="1" applyBorder="1" applyAlignment="1">
      <alignment horizontal="center" vertical="center"/>
    </xf>
    <xf numFmtId="0" fontId="16" fillId="11" borderId="63" xfId="0" applyFont="1" applyFill="1" applyBorder="1" applyAlignment="1">
      <alignment horizontal="right" vertical="center" wrapText="1"/>
    </xf>
    <xf numFmtId="0" fontId="8" fillId="5" borderId="56" xfId="0" applyFont="1" applyFill="1" applyBorder="1" applyAlignment="1">
      <alignment horizontal="center" vertical="top"/>
    </xf>
    <xf numFmtId="2" fontId="8" fillId="0" borderId="47" xfId="0" applyNumberFormat="1" applyFont="1" applyBorder="1" applyAlignment="1">
      <alignment horizontal="center" vertical="center"/>
    </xf>
    <xf numFmtId="49" fontId="8" fillId="10" borderId="94" xfId="0" applyNumberFormat="1" applyFont="1" applyFill="1" applyBorder="1" applyAlignment="1">
      <alignment horizontal="center" vertical="center"/>
    </xf>
    <xf numFmtId="0" fontId="6" fillId="7" borderId="62" xfId="0" applyFont="1" applyFill="1" applyBorder="1" applyAlignment="1">
      <alignment horizontal="left" vertical="center" wrapText="1"/>
    </xf>
    <xf numFmtId="0" fontId="5" fillId="9" borderId="33" xfId="0" applyFont="1" applyFill="1" applyBorder="1" applyAlignment="1">
      <alignment horizontal="right" vertical="center"/>
    </xf>
    <xf numFmtId="0" fontId="24" fillId="7" borderId="62" xfId="0" applyFont="1" applyFill="1" applyBorder="1" applyAlignment="1">
      <alignment horizontal="left" vertical="center" wrapText="1"/>
    </xf>
    <xf numFmtId="0" fontId="16" fillId="11" borderId="32" xfId="0" applyFont="1" applyFill="1" applyBorder="1" applyAlignment="1">
      <alignment horizontal="right" vertical="center" wrapText="1"/>
    </xf>
    <xf numFmtId="165" fontId="7" fillId="11" borderId="36" xfId="0" applyNumberFormat="1" applyFont="1" applyFill="1" applyBorder="1" applyAlignment="1">
      <alignment horizontal="left" vertical="center" wrapText="1"/>
    </xf>
    <xf numFmtId="0" fontId="16" fillId="11" borderId="33" xfId="0" applyFont="1" applyFill="1" applyBorder="1" applyAlignment="1">
      <alignment horizontal="right" vertical="center" wrapText="1"/>
    </xf>
    <xf numFmtId="0" fontId="8" fillId="6" borderId="0" xfId="0" applyFont="1" applyFill="1" applyAlignment="1">
      <alignment horizontal="left" vertical="center" wrapText="1"/>
    </xf>
    <xf numFmtId="0" fontId="5" fillId="9" borderId="40" xfId="0" applyFont="1" applyFill="1" applyBorder="1" applyAlignment="1">
      <alignment horizontal="right" vertical="center" wrapText="1"/>
    </xf>
    <xf numFmtId="0" fontId="4" fillId="9" borderId="43" xfId="0" applyFont="1" applyFill="1" applyBorder="1" applyAlignment="1">
      <alignment vertical="center" wrapText="1"/>
    </xf>
    <xf numFmtId="165" fontId="7" fillId="0" borderId="53" xfId="0" applyNumberFormat="1" applyFont="1" applyBorder="1" applyAlignment="1">
      <alignment vertical="center" wrapText="1"/>
    </xf>
    <xf numFmtId="165" fontId="16" fillId="0" borderId="53" xfId="0" applyNumberFormat="1" applyFont="1" applyBorder="1" applyAlignment="1">
      <alignment vertical="center" wrapText="1"/>
    </xf>
    <xf numFmtId="164" fontId="8" fillId="0" borderId="57" xfId="0" applyNumberFormat="1" applyFont="1" applyBorder="1" applyAlignment="1">
      <alignment horizontal="center" vertical="center"/>
    </xf>
    <xf numFmtId="165" fontId="7" fillId="0" borderId="60" xfId="0" applyNumberFormat="1" applyFont="1" applyBorder="1" applyAlignment="1">
      <alignment vertical="center" wrapText="1"/>
    </xf>
    <xf numFmtId="165" fontId="8" fillId="0" borderId="52" xfId="0" applyNumberFormat="1" applyFont="1" applyBorder="1" applyAlignment="1">
      <alignment horizontal="left" vertical="center" wrapText="1"/>
    </xf>
    <xf numFmtId="165" fontId="8" fillId="0" borderId="61" xfId="0" applyNumberFormat="1" applyFont="1" applyBorder="1" applyAlignment="1">
      <alignment horizontal="left" vertical="center" wrapText="1"/>
    </xf>
    <xf numFmtId="0" fontId="41" fillId="0" borderId="52" xfId="0" applyFont="1" applyBorder="1" applyAlignment="1">
      <alignment horizontal="left" vertical="center" wrapText="1"/>
    </xf>
    <xf numFmtId="165" fontId="17" fillId="0" borderId="53" xfId="0" applyNumberFormat="1" applyFont="1" applyBorder="1" applyAlignment="1">
      <alignment horizontal="left" vertical="center" wrapText="1"/>
    </xf>
    <xf numFmtId="0" fontId="8" fillId="0" borderId="52" xfId="0" applyFont="1" applyBorder="1" applyAlignment="1">
      <alignment horizontal="left" vertical="center" wrapText="1"/>
    </xf>
    <xf numFmtId="3" fontId="8" fillId="0" borderId="0" xfId="0" applyNumberFormat="1" applyFont="1" applyAlignment="1">
      <alignment horizontal="center" vertical="top"/>
    </xf>
    <xf numFmtId="3" fontId="7" fillId="0" borderId="0" xfId="0" applyNumberFormat="1" applyFont="1" applyAlignment="1">
      <alignment horizontal="center" vertical="top"/>
    </xf>
    <xf numFmtId="1" fontId="8" fillId="19" borderId="58" xfId="0" applyNumberFormat="1" applyFont="1" applyFill="1" applyBorder="1" applyAlignment="1">
      <alignment horizontal="center" vertical="top"/>
    </xf>
    <xf numFmtId="165" fontId="7" fillId="5" borderId="31" xfId="0" applyNumberFormat="1" applyFont="1" applyFill="1" applyBorder="1" applyAlignment="1">
      <alignment horizontal="left" vertical="top" wrapText="1"/>
    </xf>
    <xf numFmtId="165" fontId="7" fillId="20" borderId="0" xfId="0" applyNumberFormat="1" applyFont="1" applyFill="1" applyAlignment="1">
      <alignment horizontal="left" vertical="top"/>
    </xf>
    <xf numFmtId="165" fontId="18" fillId="20" borderId="31" xfId="0" applyNumberFormat="1" applyFont="1" applyFill="1" applyBorder="1" applyAlignment="1">
      <alignment horizontal="left" vertical="top" wrapText="1"/>
    </xf>
    <xf numFmtId="165" fontId="7" fillId="20" borderId="19" xfId="0" applyNumberFormat="1" applyFont="1" applyFill="1" applyBorder="1" applyAlignment="1">
      <alignment horizontal="left" vertical="top"/>
    </xf>
    <xf numFmtId="165" fontId="8" fillId="20" borderId="19" xfId="0" applyNumberFormat="1" applyFont="1" applyFill="1" applyBorder="1" applyAlignment="1">
      <alignment horizontal="left" vertical="top"/>
    </xf>
    <xf numFmtId="1" fontId="8" fillId="19" borderId="50" xfId="0" applyNumberFormat="1" applyFont="1" applyFill="1" applyBorder="1" applyAlignment="1">
      <alignment horizontal="center" vertical="top"/>
    </xf>
    <xf numFmtId="0" fontId="8" fillId="19" borderId="0" xfId="0" applyFont="1" applyFill="1" applyAlignment="1">
      <alignment horizontal="center" vertical="center"/>
    </xf>
    <xf numFmtId="165" fontId="7" fillId="19" borderId="19" xfId="0" applyNumberFormat="1" applyFont="1" applyFill="1" applyBorder="1" applyAlignment="1">
      <alignment horizontal="left" vertical="top"/>
    </xf>
    <xf numFmtId="164" fontId="7" fillId="20" borderId="18" xfId="0" applyNumberFormat="1" applyFont="1" applyFill="1" applyBorder="1" applyAlignment="1">
      <alignment horizontal="center" vertical="top"/>
    </xf>
    <xf numFmtId="165" fontId="7" fillId="20" borderId="19" xfId="0" applyNumberFormat="1" applyFont="1" applyFill="1" applyBorder="1" applyAlignment="1">
      <alignment horizontal="center" vertical="top"/>
    </xf>
    <xf numFmtId="165" fontId="18" fillId="5" borderId="53" xfId="0" applyNumberFormat="1" applyFont="1" applyFill="1" applyBorder="1" applyAlignment="1">
      <alignment horizontal="left" vertical="top" wrapText="1"/>
    </xf>
    <xf numFmtId="1" fontId="8" fillId="20" borderId="50" xfId="0" applyNumberFormat="1" applyFont="1" applyFill="1" applyBorder="1" applyAlignment="1">
      <alignment horizontal="center" vertical="top"/>
    </xf>
    <xf numFmtId="165" fontId="7" fillId="5" borderId="96" xfId="0" applyNumberFormat="1" applyFont="1" applyFill="1" applyBorder="1" applyAlignment="1">
      <alignment horizontal="left" vertical="top"/>
    </xf>
    <xf numFmtId="165" fontId="7" fillId="5" borderId="97" xfId="0" applyNumberFormat="1" applyFont="1" applyFill="1" applyBorder="1" applyAlignment="1">
      <alignment horizontal="left" vertical="top"/>
    </xf>
    <xf numFmtId="1" fontId="8" fillId="0" borderId="95" xfId="0" applyNumberFormat="1" applyFont="1" applyBorder="1" applyAlignment="1">
      <alignment horizontal="center" vertical="top"/>
    </xf>
    <xf numFmtId="1" fontId="8" fillId="0" borderId="98" xfId="0" applyNumberFormat="1" applyFont="1" applyBorder="1" applyAlignment="1">
      <alignment horizontal="center" vertical="top"/>
    </xf>
    <xf numFmtId="1" fontId="8" fillId="0" borderId="99" xfId="0" applyNumberFormat="1" applyFont="1" applyBorder="1" applyAlignment="1">
      <alignment horizontal="center" vertical="top"/>
    </xf>
    <xf numFmtId="1" fontId="8" fillId="19" borderId="100" xfId="0" applyNumberFormat="1" applyFont="1" applyFill="1" applyBorder="1" applyAlignment="1">
      <alignment horizontal="center" vertical="top"/>
    </xf>
    <xf numFmtId="0" fontId="8" fillId="19" borderId="0" xfId="0" applyFont="1" applyFill="1" applyAlignment="1">
      <alignment horizontal="left" vertical="top"/>
    </xf>
    <xf numFmtId="0" fontId="8" fillId="19" borderId="31" xfId="0" applyFont="1" applyFill="1" applyBorder="1" applyAlignment="1">
      <alignment horizontal="left" vertical="top" wrapText="1"/>
    </xf>
    <xf numFmtId="0" fontId="42" fillId="0" borderId="0" xfId="0" applyFont="1"/>
    <xf numFmtId="0" fontId="9" fillId="0" borderId="31" xfId="0" applyFont="1" applyBorder="1" applyAlignment="1">
      <alignment horizontal="left" vertical="center" wrapText="1"/>
    </xf>
    <xf numFmtId="165" fontId="7" fillId="0" borderId="61" xfId="0" applyNumberFormat="1" applyFont="1" applyBorder="1" applyAlignment="1">
      <alignment horizontal="left" vertical="top" wrapText="1"/>
    </xf>
    <xf numFmtId="165" fontId="8" fillId="5" borderId="31" xfId="0" applyNumberFormat="1" applyFont="1" applyFill="1" applyBorder="1" applyAlignment="1">
      <alignment horizontal="left" vertical="top" wrapText="1"/>
    </xf>
    <xf numFmtId="165" fontId="8" fillId="20" borderId="0" xfId="0" applyNumberFormat="1" applyFont="1" applyFill="1" applyAlignment="1">
      <alignment horizontal="left" vertical="top"/>
    </xf>
    <xf numFmtId="1" fontId="8" fillId="19" borderId="0" xfId="0" applyNumberFormat="1" applyFont="1" applyFill="1" applyAlignment="1">
      <alignment horizontal="center" vertical="top"/>
    </xf>
    <xf numFmtId="165" fontId="7" fillId="5" borderId="0" xfId="0" applyNumberFormat="1" applyFont="1" applyFill="1" applyAlignment="1">
      <alignment horizontal="left" vertical="top"/>
    </xf>
    <xf numFmtId="165" fontId="18" fillId="0" borderId="31" xfId="0" applyNumberFormat="1" applyFont="1" applyBorder="1" applyAlignment="1">
      <alignment horizontal="left" vertical="top" wrapText="1"/>
    </xf>
    <xf numFmtId="0" fontId="22" fillId="14" borderId="0" xfId="0" applyFont="1" applyFill="1"/>
    <xf numFmtId="0" fontId="43" fillId="13" borderId="0" xfId="0" applyFont="1" applyFill="1"/>
    <xf numFmtId="0" fontId="44" fillId="13" borderId="0" xfId="0" applyFont="1" applyFill="1"/>
    <xf numFmtId="0" fontId="45" fillId="0" borderId="0" xfId="0" applyFont="1"/>
    <xf numFmtId="0" fontId="46" fillId="0" borderId="0" xfId="0" applyFont="1"/>
    <xf numFmtId="0" fontId="47" fillId="13" borderId="0" xfId="0" applyFont="1" applyFill="1"/>
    <xf numFmtId="0" fontId="45" fillId="13" borderId="0" xfId="0" applyFont="1" applyFill="1"/>
    <xf numFmtId="0" fontId="48" fillId="21" borderId="0" xfId="0" applyFont="1" applyFill="1"/>
    <xf numFmtId="0" fontId="45" fillId="21" borderId="0" xfId="0" applyFont="1" applyFill="1"/>
    <xf numFmtId="0" fontId="45" fillId="0" borderId="0" xfId="0" applyFont="1" applyAlignment="1">
      <alignment horizontal="left"/>
    </xf>
    <xf numFmtId="0" fontId="49" fillId="0" borderId="0" xfId="0" applyFont="1"/>
    <xf numFmtId="0" fontId="48" fillId="21" borderId="0" xfId="0" applyFont="1" applyFill="1" applyAlignment="1">
      <alignment horizontal="left"/>
    </xf>
    <xf numFmtId="0" fontId="47" fillId="21" borderId="0" xfId="0" applyFont="1" applyFill="1" applyAlignment="1">
      <alignment horizontal="left"/>
    </xf>
    <xf numFmtId="0" fontId="46" fillId="21" borderId="0" xfId="0" applyFont="1" applyFill="1"/>
    <xf numFmtId="0" fontId="50" fillId="0" borderId="0" xfId="0" applyFont="1" applyAlignment="1">
      <alignment wrapText="1"/>
    </xf>
    <xf numFmtId="0" fontId="47" fillId="0" borderId="0" xfId="0" applyFont="1"/>
    <xf numFmtId="0" fontId="50" fillId="0" borderId="0" xfId="0" applyFont="1"/>
    <xf numFmtId="0" fontId="50" fillId="13" borderId="0" xfId="0" applyFont="1" applyFill="1" applyAlignment="1">
      <alignment horizontal="left"/>
    </xf>
    <xf numFmtId="0" fontId="45" fillId="13" borderId="0" xfId="0" applyFont="1" applyFill="1" applyAlignment="1">
      <alignment horizontal="left"/>
    </xf>
    <xf numFmtId="0" fontId="46" fillId="13" borderId="0" xfId="0" applyFont="1" applyFill="1"/>
    <xf numFmtId="0" fontId="51" fillId="0" borderId="0" xfId="0" applyFont="1"/>
    <xf numFmtId="0" fontId="45" fillId="4" borderId="0" xfId="0" applyFont="1" applyFill="1" applyAlignment="1">
      <alignment horizontal="left"/>
    </xf>
    <xf numFmtId="0" fontId="45" fillId="4" borderId="0" xfId="0" applyFont="1" applyFill="1"/>
    <xf numFmtId="0" fontId="50" fillId="21" borderId="0" xfId="0" applyFont="1" applyFill="1" applyAlignment="1">
      <alignment horizontal="left"/>
    </xf>
    <xf numFmtId="0" fontId="50" fillId="21" borderId="0" xfId="0" applyFont="1" applyFill="1"/>
    <xf numFmtId="0" fontId="47" fillId="21" borderId="0" xfId="0" applyFont="1" applyFill="1"/>
    <xf numFmtId="0" fontId="8" fillId="12" borderId="0" xfId="0" applyFont="1" applyFill="1" applyAlignment="1">
      <alignment horizontal="center" vertical="center"/>
    </xf>
    <xf numFmtId="164" fontId="8" fillId="12" borderId="0" xfId="0" applyNumberFormat="1" applyFont="1" applyFill="1" applyAlignment="1">
      <alignment horizontal="center" vertical="center"/>
    </xf>
    <xf numFmtId="165" fontId="18" fillId="0" borderId="53" xfId="0" applyNumberFormat="1" applyFont="1" applyBorder="1" applyAlignment="1">
      <alignment horizontal="left" vertical="center" wrapText="1"/>
    </xf>
    <xf numFmtId="0" fontId="7" fillId="0" borderId="52" xfId="0" applyFont="1" applyBorder="1" applyAlignment="1">
      <alignment horizontal="left" vertical="center" wrapText="1"/>
    </xf>
    <xf numFmtId="0" fontId="22" fillId="0" borderId="0" xfId="0" applyFont="1"/>
    <xf numFmtId="0" fontId="26" fillId="0" borderId="0" xfId="0" applyFont="1"/>
    <xf numFmtId="165" fontId="8" fillId="0" borderId="53" xfId="0" applyNumberFormat="1" applyFont="1" applyBorder="1" applyAlignment="1">
      <alignment horizontal="left" vertical="center"/>
    </xf>
    <xf numFmtId="165" fontId="8" fillId="0" borderId="53" xfId="0" applyNumberFormat="1" applyFont="1" applyBorder="1" applyAlignment="1">
      <alignment horizontal="center" vertical="center"/>
    </xf>
    <xf numFmtId="0" fontId="53" fillId="0" borderId="0" xfId="0" applyFont="1"/>
    <xf numFmtId="0" fontId="32" fillId="0" borderId="0" xfId="0" applyFont="1" applyAlignment="1">
      <alignment vertical="center"/>
    </xf>
    <xf numFmtId="0" fontId="8" fillId="0" borderId="45" xfId="0" applyFont="1" applyBorder="1" applyAlignment="1">
      <alignment horizontal="left" vertical="center" wrapText="1"/>
    </xf>
    <xf numFmtId="0" fontId="8" fillId="0" borderId="72" xfId="0" applyFont="1" applyBorder="1" applyAlignment="1">
      <alignment wrapText="1"/>
    </xf>
    <xf numFmtId="165" fontId="8" fillId="0" borderId="61" xfId="0" applyNumberFormat="1" applyFont="1" applyBorder="1" applyAlignment="1">
      <alignment vertical="center"/>
    </xf>
    <xf numFmtId="165" fontId="8" fillId="0" borderId="53" xfId="0" applyNumberFormat="1" applyFont="1" applyBorder="1" applyAlignment="1">
      <alignment vertical="center"/>
    </xf>
    <xf numFmtId="165" fontId="8" fillId="0" borderId="61" xfId="0" applyNumberFormat="1" applyFont="1" applyBorder="1" applyAlignment="1">
      <alignment horizontal="center" vertical="top"/>
    </xf>
    <xf numFmtId="1" fontId="32" fillId="0" borderId="0" xfId="0" applyNumberFormat="1" applyFont="1" applyAlignment="1">
      <alignment horizontal="center" vertical="center"/>
    </xf>
    <xf numFmtId="164" fontId="32" fillId="0" borderId="0" xfId="0" applyNumberFormat="1" applyFont="1" applyAlignment="1">
      <alignment horizontal="center" vertical="center"/>
    </xf>
    <xf numFmtId="0" fontId="32" fillId="0" borderId="0" xfId="0" applyFont="1" applyAlignment="1">
      <alignment vertical="center" wrapText="1"/>
    </xf>
    <xf numFmtId="0" fontId="56" fillId="0" borderId="0" xfId="0" applyFont="1"/>
    <xf numFmtId="0" fontId="8" fillId="0" borderId="45" xfId="0" applyFont="1" applyBorder="1" applyAlignment="1">
      <alignment horizontal="left" vertical="top" wrapText="1"/>
    </xf>
    <xf numFmtId="0" fontId="8" fillId="0" borderId="54" xfId="0" applyFont="1" applyBorder="1" applyAlignment="1">
      <alignment horizontal="left" vertical="top" wrapText="1"/>
    </xf>
    <xf numFmtId="164" fontId="17" fillId="0" borderId="35" xfId="0" applyNumberFormat="1" applyFont="1" applyBorder="1" applyAlignment="1">
      <alignment horizontal="center" vertical="center" wrapText="1"/>
    </xf>
    <xf numFmtId="0" fontId="8" fillId="0" borderId="0" xfId="0" applyFont="1" applyAlignment="1">
      <alignment horizontal="center"/>
    </xf>
    <xf numFmtId="0" fontId="53" fillId="0" borderId="31" xfId="0" applyFont="1" applyBorder="1"/>
    <xf numFmtId="165" fontId="8" fillId="0" borderId="61" xfId="0" applyNumberFormat="1" applyFont="1" applyBorder="1" applyAlignment="1">
      <alignment vertical="top"/>
    </xf>
    <xf numFmtId="165" fontId="8" fillId="0" borderId="53" xfId="0" applyNumberFormat="1" applyFont="1" applyBorder="1" applyAlignment="1">
      <alignment vertical="top"/>
    </xf>
    <xf numFmtId="165" fontId="8" fillId="0" borderId="31" xfId="0" applyNumberFormat="1" applyFont="1" applyBorder="1" applyAlignment="1">
      <alignment vertical="top"/>
    </xf>
    <xf numFmtId="165" fontId="8" fillId="0" borderId="53" xfId="0" applyNumberFormat="1" applyFont="1" applyBorder="1" applyAlignment="1">
      <alignment horizontal="center" vertical="top"/>
    </xf>
    <xf numFmtId="165" fontId="8" fillId="0" borderId="60" xfId="0" applyNumberFormat="1" applyFont="1" applyBorder="1" applyAlignment="1">
      <alignment horizontal="center" vertical="top"/>
    </xf>
    <xf numFmtId="164" fontId="8" fillId="0" borderId="0" xfId="0" applyNumberFormat="1" applyFont="1" applyAlignment="1">
      <alignment horizontal="center"/>
    </xf>
    <xf numFmtId="165" fontId="8" fillId="0" borderId="60" xfId="0" applyNumberFormat="1" applyFont="1" applyBorder="1" applyAlignment="1">
      <alignment horizontal="left" vertical="top"/>
    </xf>
    <xf numFmtId="2" fontId="8" fillId="0" borderId="46" xfId="0" applyNumberFormat="1" applyFont="1" applyBorder="1" applyAlignment="1">
      <alignment horizontal="center" vertical="top"/>
    </xf>
    <xf numFmtId="2" fontId="8" fillId="0" borderId="50" xfId="0" applyNumberFormat="1" applyFont="1" applyBorder="1" applyAlignment="1">
      <alignment horizontal="center" vertical="top"/>
    </xf>
    <xf numFmtId="2" fontId="8" fillId="0" borderId="58" xfId="0" applyNumberFormat="1" applyFont="1" applyBorder="1" applyAlignment="1">
      <alignment horizontal="center" vertical="top"/>
    </xf>
    <xf numFmtId="2" fontId="8" fillId="0" borderId="0" xfId="0" applyNumberFormat="1" applyFont="1" applyAlignment="1">
      <alignment horizontal="center" vertical="top"/>
    </xf>
    <xf numFmtId="165" fontId="8" fillId="0" borderId="31" xfId="0" applyNumberFormat="1" applyFont="1" applyBorder="1" applyAlignment="1">
      <alignment horizontal="left" vertical="top"/>
    </xf>
    <xf numFmtId="0" fontId="52" fillId="0" borderId="35" xfId="0" applyFont="1" applyBorder="1" applyAlignment="1">
      <alignment horizontal="center" vertical="top"/>
    </xf>
    <xf numFmtId="167" fontId="52" fillId="0" borderId="35" xfId="1" applyNumberFormat="1" applyFont="1" applyFill="1" applyBorder="1" applyAlignment="1">
      <alignment horizontal="center" vertical="top"/>
    </xf>
    <xf numFmtId="0" fontId="17" fillId="0" borderId="35" xfId="0" applyFont="1" applyBorder="1" applyAlignment="1">
      <alignment horizontal="center" vertical="center" wrapText="1"/>
    </xf>
    <xf numFmtId="1" fontId="17" fillId="0" borderId="35" xfId="0" applyNumberFormat="1" applyFont="1" applyBorder="1" applyAlignment="1">
      <alignment horizontal="center" vertical="center" wrapText="1"/>
    </xf>
    <xf numFmtId="2" fontId="8" fillId="0" borderId="46" xfId="0" applyNumberFormat="1" applyFont="1" applyBorder="1" applyAlignment="1">
      <alignment horizontal="center" vertical="center"/>
    </xf>
    <xf numFmtId="2" fontId="8" fillId="0" borderId="0" xfId="0" applyNumberFormat="1" applyFont="1" applyAlignment="1">
      <alignment horizontal="center" vertical="center"/>
    </xf>
    <xf numFmtId="0" fontId="8" fillId="0" borderId="17" xfId="0" applyFont="1" applyBorder="1" applyAlignment="1">
      <alignment horizontal="left" vertical="center" wrapText="1"/>
    </xf>
    <xf numFmtId="0" fontId="8" fillId="0" borderId="53" xfId="0" applyFont="1" applyBorder="1" applyAlignment="1">
      <alignment wrapText="1"/>
    </xf>
    <xf numFmtId="0" fontId="8" fillId="0" borderId="61" xfId="0" applyFont="1" applyBorder="1" applyAlignment="1">
      <alignment wrapText="1"/>
    </xf>
    <xf numFmtId="0" fontId="32" fillId="0" borderId="0" xfId="0" applyFont="1" applyAlignment="1">
      <alignment vertical="top"/>
    </xf>
    <xf numFmtId="165" fontId="8" fillId="0" borderId="31" xfId="0" applyNumberFormat="1" applyFont="1" applyBorder="1" applyAlignment="1">
      <alignment horizontal="center" vertical="top"/>
    </xf>
    <xf numFmtId="0" fontId="32" fillId="0" borderId="0" xfId="0" applyFont="1" applyAlignment="1">
      <alignment horizontal="center" vertical="top"/>
    </xf>
    <xf numFmtId="0" fontId="8" fillId="0" borderId="53" xfId="0" applyFont="1" applyBorder="1"/>
    <xf numFmtId="165" fontId="8" fillId="0" borderId="31" xfId="0" applyNumberFormat="1" applyFont="1" applyBorder="1" applyAlignment="1">
      <alignment horizontal="left" vertical="center" wrapText="1"/>
    </xf>
    <xf numFmtId="0" fontId="8" fillId="0" borderId="31" xfId="0" applyFont="1" applyBorder="1" applyAlignment="1">
      <alignment horizontal="left" vertical="center" wrapText="1"/>
    </xf>
    <xf numFmtId="167" fontId="52" fillId="0" borderId="35" xfId="1" applyNumberFormat="1" applyFont="1" applyFill="1" applyBorder="1" applyAlignment="1">
      <alignment horizontal="center" vertical="top" wrapText="1"/>
    </xf>
    <xf numFmtId="165" fontId="4" fillId="4" borderId="0" xfId="0" applyNumberFormat="1" applyFont="1" applyFill="1" applyAlignment="1">
      <alignment horizontal="center" vertical="top" wrapText="1"/>
    </xf>
    <xf numFmtId="0" fontId="17" fillId="0" borderId="34" xfId="0" applyFont="1" applyBorder="1" applyAlignment="1">
      <alignment horizontal="center" vertical="center" wrapText="1"/>
    </xf>
    <xf numFmtId="4" fontId="8" fillId="0" borderId="19" xfId="0" applyNumberFormat="1" applyFont="1" applyBorder="1" applyAlignment="1">
      <alignment horizontal="right" vertical="center"/>
    </xf>
    <xf numFmtId="4" fontId="8" fillId="0" borderId="66" xfId="0" applyNumberFormat="1" applyFont="1" applyBorder="1" applyAlignment="1">
      <alignment horizontal="right" vertical="center"/>
    </xf>
    <xf numFmtId="4" fontId="8" fillId="0" borderId="48" xfId="0" applyNumberFormat="1" applyFont="1" applyBorder="1" applyAlignment="1">
      <alignment horizontal="right" vertical="center"/>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164" fontId="17" fillId="0" borderId="11" xfId="0" applyNumberFormat="1"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32" fillId="0" borderId="0" xfId="0" applyFont="1"/>
    <xf numFmtId="0" fontId="54" fillId="0" borderId="14" xfId="0" applyFont="1" applyBorder="1" applyAlignment="1">
      <alignment wrapText="1"/>
    </xf>
    <xf numFmtId="0" fontId="54" fillId="0" borderId="15" xfId="0" applyFont="1" applyBorder="1" applyAlignment="1">
      <alignment horizontal="right" wrapText="1"/>
    </xf>
    <xf numFmtId="0" fontId="55" fillId="0" borderId="15" xfId="0" applyFont="1" applyBorder="1" applyAlignment="1">
      <alignment horizontal="right" vertical="center" wrapText="1"/>
    </xf>
    <xf numFmtId="0" fontId="55" fillId="0" borderId="16" xfId="0" applyFont="1" applyBorder="1" applyAlignment="1">
      <alignment horizontal="right" vertical="center" wrapText="1"/>
    </xf>
    <xf numFmtId="0" fontId="8" fillId="0" borderId="17" xfId="0" applyFont="1" applyBorder="1" applyAlignment="1">
      <alignment horizontal="left" wrapText="1"/>
    </xf>
    <xf numFmtId="0" fontId="8" fillId="0" borderId="17" xfId="0" applyFont="1" applyBorder="1" applyAlignment="1">
      <alignment horizontal="right" wrapText="1"/>
    </xf>
    <xf numFmtId="9" fontId="8" fillId="0" borderId="17" xfId="0" applyNumberFormat="1" applyFont="1" applyBorder="1" applyAlignment="1">
      <alignment horizontal="right" wrapText="1"/>
    </xf>
    <xf numFmtId="164" fontId="8" fillId="0" borderId="18" xfId="0" applyNumberFormat="1" applyFont="1" applyBorder="1" applyAlignment="1">
      <alignment horizontal="right" vertical="center"/>
    </xf>
    <xf numFmtId="9" fontId="8" fillId="0" borderId="19" xfId="2" applyFont="1" applyFill="1" applyBorder="1" applyAlignment="1">
      <alignment horizontal="right" vertical="center"/>
    </xf>
    <xf numFmtId="164" fontId="8" fillId="0" borderId="19" xfId="0" applyNumberFormat="1" applyFont="1" applyBorder="1" applyAlignment="1">
      <alignment horizontal="right" vertical="center"/>
    </xf>
    <xf numFmtId="9" fontId="8" fillId="0" borderId="19" xfId="2" applyFont="1" applyFill="1" applyBorder="1" applyAlignment="1">
      <alignment horizontal="right" vertical="center" wrapText="1"/>
    </xf>
    <xf numFmtId="165" fontId="8" fillId="0" borderId="19" xfId="0" applyNumberFormat="1" applyFont="1" applyBorder="1" applyAlignment="1">
      <alignment horizontal="right" vertical="center"/>
    </xf>
    <xf numFmtId="2" fontId="8" fillId="0" borderId="20" xfId="0" applyNumberFormat="1" applyFont="1" applyBorder="1" applyAlignment="1">
      <alignment vertical="center"/>
    </xf>
    <xf numFmtId="0" fontId="32" fillId="0" borderId="0" xfId="0" applyFont="1" applyAlignment="1">
      <alignment horizontal="center" vertical="center"/>
    </xf>
    <xf numFmtId="2" fontId="8" fillId="0" borderId="21" xfId="0" applyNumberFormat="1" applyFont="1" applyBorder="1" applyAlignment="1">
      <alignment vertical="center"/>
    </xf>
    <xf numFmtId="0" fontId="8" fillId="0" borderId="73" xfId="0" applyFont="1" applyBorder="1" applyAlignment="1">
      <alignment horizontal="left" wrapText="1"/>
    </xf>
    <xf numFmtId="0" fontId="8" fillId="0" borderId="73" xfId="0" applyFont="1" applyBorder="1" applyAlignment="1">
      <alignment horizontal="right" wrapText="1"/>
    </xf>
    <xf numFmtId="9" fontId="8" fillId="0" borderId="73" xfId="0" applyNumberFormat="1" applyFont="1" applyBorder="1" applyAlignment="1">
      <alignment horizontal="right" wrapText="1"/>
    </xf>
    <xf numFmtId="164" fontId="8" fillId="0" borderId="74" xfId="0" applyNumberFormat="1" applyFont="1" applyBorder="1" applyAlignment="1">
      <alignment horizontal="right" vertical="center"/>
    </xf>
    <xf numFmtId="9" fontId="8" fillId="0" borderId="66" xfId="2" applyFont="1" applyFill="1" applyBorder="1" applyAlignment="1">
      <alignment horizontal="right" vertical="center"/>
    </xf>
    <xf numFmtId="164" fontId="8" fillId="0" borderId="66" xfId="0" applyNumberFormat="1" applyFont="1" applyBorder="1" applyAlignment="1">
      <alignment horizontal="right" vertical="center"/>
    </xf>
    <xf numFmtId="165" fontId="8" fillId="0" borderId="66" xfId="0" applyNumberFormat="1" applyFont="1" applyBorder="1" applyAlignment="1">
      <alignment horizontal="right" vertical="center"/>
    </xf>
    <xf numFmtId="2" fontId="8" fillId="0" borderId="75" xfId="0" applyNumberFormat="1" applyFont="1" applyBorder="1" applyAlignment="1">
      <alignment vertical="center"/>
    </xf>
    <xf numFmtId="0" fontId="8" fillId="0" borderId="17" xfId="0" applyFont="1" applyBorder="1" applyAlignment="1">
      <alignment horizontal="left"/>
    </xf>
    <xf numFmtId="0" fontId="8" fillId="0" borderId="73" xfId="0" applyFont="1" applyBorder="1" applyAlignment="1">
      <alignment horizontal="left" vertical="top" wrapText="1"/>
    </xf>
    <xf numFmtId="9" fontId="8" fillId="0" borderId="66" xfId="2" applyFont="1" applyFill="1" applyBorder="1" applyAlignment="1">
      <alignment horizontal="right" vertical="center" wrapText="1"/>
    </xf>
    <xf numFmtId="0" fontId="8" fillId="0" borderId="71" xfId="0" applyFont="1" applyBorder="1" applyAlignment="1">
      <alignment horizontal="left" wrapText="1"/>
    </xf>
    <xf numFmtId="0" fontId="8" fillId="0" borderId="45" xfId="0" applyFont="1" applyBorder="1" applyAlignment="1">
      <alignment horizontal="right" wrapText="1"/>
    </xf>
    <xf numFmtId="9" fontId="8" fillId="0" borderId="45" xfId="0" applyNumberFormat="1" applyFont="1" applyBorder="1" applyAlignment="1">
      <alignment horizontal="right" wrapText="1"/>
    </xf>
    <xf numFmtId="164" fontId="8" fillId="0" borderId="47" xfId="0" applyNumberFormat="1" applyFont="1" applyBorder="1" applyAlignment="1">
      <alignment horizontal="right" vertical="center"/>
    </xf>
    <xf numFmtId="9" fontId="8" fillId="0" borderId="48" xfId="2" applyFont="1" applyFill="1" applyBorder="1" applyAlignment="1">
      <alignment horizontal="right" vertical="center"/>
    </xf>
    <xf numFmtId="164" fontId="8" fillId="0" borderId="48" xfId="0" applyNumberFormat="1" applyFont="1" applyBorder="1" applyAlignment="1">
      <alignment horizontal="right" vertical="center"/>
    </xf>
    <xf numFmtId="9" fontId="8" fillId="0" borderId="48" xfId="2" applyFont="1" applyFill="1" applyBorder="1" applyAlignment="1">
      <alignment horizontal="right" vertical="center" wrapText="1"/>
    </xf>
    <xf numFmtId="165" fontId="8" fillId="0" borderId="48" xfId="0" applyNumberFormat="1" applyFont="1" applyBorder="1" applyAlignment="1">
      <alignment horizontal="right" vertical="center"/>
    </xf>
    <xf numFmtId="0" fontId="8" fillId="0" borderId="70" xfId="0" applyFont="1" applyBorder="1" applyAlignment="1">
      <alignment horizontal="left" wrapText="1"/>
    </xf>
    <xf numFmtId="0" fontId="8" fillId="0" borderId="17" xfId="0" applyFont="1" applyBorder="1" applyAlignment="1">
      <alignment horizontal="right"/>
    </xf>
    <xf numFmtId="0" fontId="8" fillId="0" borderId="22" xfId="0" applyFont="1" applyBorder="1"/>
    <xf numFmtId="0" fontId="8" fillId="0" borderId="15" xfId="0" applyFont="1" applyBorder="1"/>
    <xf numFmtId="165" fontId="17" fillId="0" borderId="16" xfId="0" applyNumberFormat="1" applyFont="1" applyBorder="1" applyAlignment="1">
      <alignment horizontal="right"/>
    </xf>
    <xf numFmtId="0" fontId="8" fillId="0" borderId="15" xfId="0" applyFont="1" applyBorder="1" applyAlignment="1">
      <alignment horizontal="right"/>
    </xf>
    <xf numFmtId="9" fontId="8" fillId="0" borderId="15" xfId="2" applyFont="1" applyFill="1" applyBorder="1"/>
    <xf numFmtId="165" fontId="8" fillId="0" borderId="16" xfId="0" applyNumberFormat="1" applyFont="1" applyBorder="1"/>
    <xf numFmtId="0" fontId="8" fillId="0" borderId="23" xfId="0" applyFont="1" applyBorder="1"/>
    <xf numFmtId="0" fontId="8" fillId="0" borderId="24" xfId="0" applyFont="1" applyBorder="1"/>
    <xf numFmtId="0" fontId="17" fillId="0" borderId="24" xfId="0" applyFont="1" applyBorder="1" applyAlignment="1">
      <alignment horizontal="right"/>
    </xf>
    <xf numFmtId="0" fontId="17" fillId="0" borderId="24" xfId="0" applyFont="1" applyBorder="1"/>
    <xf numFmtId="165" fontId="17" fillId="0" borderId="25" xfId="0" applyNumberFormat="1" applyFont="1" applyBorder="1"/>
    <xf numFmtId="0" fontId="32" fillId="0" borderId="0" xfId="0" applyFont="1" applyAlignment="1">
      <alignment wrapText="1"/>
    </xf>
    <xf numFmtId="0" fontId="32" fillId="0" borderId="0" xfId="0" applyFont="1" applyAlignment="1">
      <alignment horizontal="right" wrapText="1"/>
    </xf>
    <xf numFmtId="0" fontId="32" fillId="0" borderId="0" xfId="0" applyFont="1" applyAlignment="1">
      <alignment horizontal="right" vertical="center"/>
    </xf>
    <xf numFmtId="1" fontId="8" fillId="0" borderId="59" xfId="0" applyNumberFormat="1" applyFont="1" applyBorder="1" applyAlignment="1">
      <alignment horizontal="center" vertical="top"/>
    </xf>
    <xf numFmtId="164" fontId="17" fillId="0" borderId="36" xfId="0" applyNumberFormat="1" applyFont="1" applyBorder="1" applyAlignment="1">
      <alignment horizontal="center" vertical="center" wrapText="1"/>
    </xf>
    <xf numFmtId="165" fontId="8" fillId="0" borderId="60" xfId="0" applyNumberFormat="1" applyFont="1" applyBorder="1" applyAlignment="1">
      <alignment vertical="top"/>
    </xf>
    <xf numFmtId="165" fontId="15" fillId="0" borderId="61" xfId="0" applyNumberFormat="1" applyFont="1" applyBorder="1" applyAlignment="1">
      <alignment horizontal="left" vertical="top"/>
    </xf>
    <xf numFmtId="165" fontId="15" fillId="0" borderId="53" xfId="0" applyNumberFormat="1" applyFont="1" applyBorder="1" applyAlignment="1">
      <alignment horizontal="left" vertical="top"/>
    </xf>
    <xf numFmtId="0" fontId="58" fillId="0" borderId="0" xfId="0" applyFont="1" applyAlignment="1">
      <alignment horizontal="center" vertical="top"/>
    </xf>
    <xf numFmtId="0" fontId="58" fillId="0" borderId="0" xfId="0" applyFont="1" applyAlignment="1">
      <alignment vertical="top"/>
    </xf>
    <xf numFmtId="0" fontId="8" fillId="0" borderId="52" xfId="0" applyFont="1" applyBorder="1" applyAlignment="1">
      <alignment horizontal="left" vertical="top"/>
    </xf>
    <xf numFmtId="0" fontId="8" fillId="0" borderId="92" xfId="0" applyFont="1" applyBorder="1" applyAlignment="1">
      <alignment vertical="center"/>
    </xf>
    <xf numFmtId="0" fontId="8" fillId="0" borderId="31" xfId="0" applyFont="1" applyBorder="1" applyAlignment="1">
      <alignment vertical="center"/>
    </xf>
    <xf numFmtId="0" fontId="8" fillId="0" borderId="52" xfId="0" applyFont="1" applyBorder="1" applyAlignment="1">
      <alignment vertical="center"/>
    </xf>
    <xf numFmtId="165" fontId="8" fillId="0" borderId="61" xfId="0" applyNumberFormat="1" applyFont="1" applyBorder="1" applyAlignment="1">
      <alignment horizontal="center" vertical="center"/>
    </xf>
    <xf numFmtId="1" fontId="32" fillId="0" borderId="0" xfId="0" applyNumberFormat="1" applyFont="1" applyAlignment="1">
      <alignment horizontal="center" vertical="top"/>
    </xf>
    <xf numFmtId="164" fontId="32" fillId="0" borderId="0" xfId="0" applyNumberFormat="1" applyFont="1" applyAlignment="1">
      <alignment horizontal="center" vertical="top"/>
    </xf>
    <xf numFmtId="0" fontId="32" fillId="0" borderId="0" xfId="0" applyFont="1" applyAlignment="1">
      <alignment vertical="top" wrapText="1"/>
    </xf>
    <xf numFmtId="164" fontId="17" fillId="0" borderId="91" xfId="0" applyNumberFormat="1" applyFont="1" applyBorder="1" applyAlignment="1">
      <alignment vertical="center" wrapText="1"/>
    </xf>
    <xf numFmtId="0" fontId="8" fillId="0" borderId="17" xfId="0" applyFont="1" applyBorder="1" applyAlignment="1">
      <alignment horizontal="left" vertical="center"/>
    </xf>
    <xf numFmtId="0" fontId="8" fillId="0" borderId="54" xfId="0" applyFont="1" applyBorder="1" applyAlignment="1">
      <alignment horizontal="left" vertical="center" wrapText="1"/>
    </xf>
    <xf numFmtId="0" fontId="8" fillId="0" borderId="45" xfId="0" applyFont="1" applyBorder="1" applyAlignment="1">
      <alignment horizontal="left" vertical="center"/>
    </xf>
    <xf numFmtId="0" fontId="8" fillId="0" borderId="54" xfId="0" applyFont="1" applyBorder="1" applyAlignment="1">
      <alignment horizontal="left" vertical="center"/>
    </xf>
    <xf numFmtId="0" fontId="45" fillId="0" borderId="0" xfId="0" applyFont="1" applyAlignment="1">
      <alignment vertical="center" wrapText="1"/>
    </xf>
    <xf numFmtId="0" fontId="8" fillId="0" borderId="0" xfId="0" applyFont="1" applyAlignment="1">
      <alignment wrapText="1"/>
    </xf>
    <xf numFmtId="1" fontId="17" fillId="0" borderId="89" xfId="0" applyNumberFormat="1" applyFont="1" applyBorder="1" applyAlignment="1">
      <alignment horizontal="center" vertical="center" wrapText="1"/>
    </xf>
    <xf numFmtId="164" fontId="17" fillId="0" borderId="90" xfId="0" applyNumberFormat="1" applyFont="1" applyBorder="1" applyAlignment="1">
      <alignment horizontal="center" vertical="center" wrapText="1"/>
    </xf>
    <xf numFmtId="1" fontId="45" fillId="0" borderId="0" xfId="0" applyNumberFormat="1" applyFont="1" applyAlignment="1">
      <alignment horizontal="center" vertical="center"/>
    </xf>
    <xf numFmtId="164" fontId="45" fillId="0" borderId="0" xfId="0" applyNumberFormat="1" applyFont="1" applyAlignment="1">
      <alignment horizontal="center" vertical="center"/>
    </xf>
    <xf numFmtId="0" fontId="18" fillId="0" borderId="78" xfId="0" applyFont="1" applyBorder="1" applyAlignment="1">
      <alignment horizontal="center" vertical="center" wrapText="1"/>
    </xf>
    <xf numFmtId="0" fontId="18" fillId="0" borderId="80" xfId="0" applyFont="1" applyBorder="1" applyAlignment="1">
      <alignment horizontal="center" vertical="center" wrapText="1"/>
    </xf>
    <xf numFmtId="0" fontId="18" fillId="0" borderId="79" xfId="0" applyFont="1" applyBorder="1" applyAlignment="1">
      <alignment horizontal="center" vertical="center" wrapText="1"/>
    </xf>
    <xf numFmtId="0" fontId="17" fillId="0" borderId="8" xfId="0" applyFont="1" applyBorder="1" applyAlignment="1">
      <alignment horizontal="right"/>
    </xf>
    <xf numFmtId="0" fontId="54" fillId="0" borderId="30" xfId="0" applyFont="1" applyBorder="1" applyAlignment="1">
      <alignment horizontal="left" wrapText="1"/>
    </xf>
    <xf numFmtId="0" fontId="54" fillId="0" borderId="0" xfId="0" applyFont="1" applyAlignment="1">
      <alignment horizontal="left" wrapText="1"/>
    </xf>
    <xf numFmtId="0" fontId="54" fillId="0" borderId="68" xfId="0" applyFont="1" applyBorder="1" applyAlignment="1">
      <alignment horizontal="left" wrapText="1"/>
    </xf>
    <xf numFmtId="0" fontId="5" fillId="9" borderId="65" xfId="0" applyFont="1" applyFill="1" applyBorder="1" applyAlignment="1">
      <alignment horizontal="center" vertical="center" wrapText="1"/>
    </xf>
    <xf numFmtId="0" fontId="5" fillId="9" borderId="69" xfId="0" applyFont="1" applyFill="1" applyBorder="1" applyAlignment="1">
      <alignment horizontal="center" vertical="center" wrapText="1"/>
    </xf>
    <xf numFmtId="1" fontId="10" fillId="7" borderId="14" xfId="0" applyNumberFormat="1" applyFont="1" applyFill="1" applyBorder="1" applyAlignment="1">
      <alignment horizontal="right" vertical="center"/>
    </xf>
    <xf numFmtId="1" fontId="10" fillId="7" borderId="15" xfId="0" applyNumberFormat="1" applyFont="1" applyFill="1" applyBorder="1" applyAlignment="1">
      <alignment horizontal="right" vertical="center"/>
    </xf>
    <xf numFmtId="1" fontId="10" fillId="7" borderId="26" xfId="0" applyNumberFormat="1" applyFont="1" applyFill="1" applyBorder="1" applyAlignment="1">
      <alignment horizontal="right" vertical="center"/>
    </xf>
    <xf numFmtId="1" fontId="10" fillId="7" borderId="27" xfId="0" applyNumberFormat="1" applyFont="1" applyFill="1" applyBorder="1" applyAlignment="1">
      <alignment horizontal="right" vertical="center"/>
    </xf>
    <xf numFmtId="1" fontId="10" fillId="7" borderId="28" xfId="0" applyNumberFormat="1" applyFont="1" applyFill="1" applyBorder="1" applyAlignment="1">
      <alignment horizontal="right" vertical="center"/>
    </xf>
    <xf numFmtId="1" fontId="10" fillId="7" borderId="29" xfId="0" applyNumberFormat="1" applyFont="1" applyFill="1" applyBorder="1" applyAlignment="1">
      <alignment horizontal="right" vertical="center"/>
    </xf>
    <xf numFmtId="164" fontId="12" fillId="4" borderId="9" xfId="0" applyNumberFormat="1" applyFont="1" applyFill="1" applyBorder="1" applyAlignment="1">
      <alignment horizontal="center" vertical="center" wrapText="1"/>
    </xf>
    <xf numFmtId="164" fontId="12" fillId="4" borderId="87"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87" xfId="0" applyFont="1" applyFill="1" applyBorder="1" applyAlignment="1">
      <alignment horizontal="center" vertical="center" wrapText="1"/>
    </xf>
    <xf numFmtId="0" fontId="5" fillId="9" borderId="63" xfId="0" applyFont="1" applyFill="1" applyBorder="1" applyAlignment="1">
      <alignment horizontal="center" vertical="center"/>
    </xf>
    <xf numFmtId="0" fontId="5" fillId="9" borderId="88" xfId="0" applyFont="1" applyFill="1" applyBorder="1" applyAlignment="1">
      <alignment horizontal="center" vertical="center"/>
    </xf>
    <xf numFmtId="0" fontId="16" fillId="11" borderId="64" xfId="0" applyFont="1" applyFill="1" applyBorder="1" applyAlignment="1">
      <alignment horizontal="right" vertical="center" wrapText="1"/>
    </xf>
    <xf numFmtId="0" fontId="16" fillId="11" borderId="44" xfId="0" applyFont="1" applyFill="1" applyBorder="1" applyAlignment="1">
      <alignment horizontal="right" vertical="center" wrapText="1"/>
    </xf>
    <xf numFmtId="0" fontId="5" fillId="9" borderId="63" xfId="0" applyFont="1" applyFill="1" applyBorder="1" applyAlignment="1">
      <alignment horizontal="right" vertical="center"/>
    </xf>
    <xf numFmtId="0" fontId="5" fillId="9" borderId="88" xfId="0" applyFont="1" applyFill="1" applyBorder="1" applyAlignment="1">
      <alignment horizontal="right" vertical="center"/>
    </xf>
  </cellXfs>
  <cellStyles count="5">
    <cellStyle name="Comma" xfId="1" builtinId="3"/>
    <cellStyle name="Comma 2 2 2" xfId="3" xr:uid="{EB8E12A1-79B5-4BAB-9D51-38EED1A23D12}"/>
    <cellStyle name="Normal" xfId="0" builtinId="0"/>
    <cellStyle name="Normal 2" xfId="4" xr:uid="{F26694AD-255A-4FBA-BAF3-477F3F9B495C}"/>
    <cellStyle name="Percent" xfId="2" builtinId="5"/>
  </cellStyles>
  <dxfs count="12">
    <dxf>
      <font>
        <color rgb="FF515151"/>
      </font>
      <fill>
        <patternFill>
          <bgColor indexed="43"/>
        </patternFill>
      </fill>
    </dxf>
    <dxf>
      <font>
        <color rgb="FF515151"/>
      </font>
      <fill>
        <patternFill>
          <bgColor indexed="43"/>
        </patternFill>
      </fill>
    </dxf>
    <dxf>
      <font>
        <color rgb="FF515151"/>
      </font>
      <fill>
        <patternFill>
          <bgColor theme="6" tint="0.59996337778862885"/>
        </patternFill>
      </fill>
    </dxf>
    <dxf>
      <font>
        <color rgb="FF515151"/>
      </font>
      <fill>
        <patternFill>
          <bgColor theme="3" tint="0.79998168889431442"/>
        </patternFill>
      </fill>
    </dxf>
    <dxf>
      <font>
        <color rgb="FF515151"/>
      </font>
      <fill>
        <patternFill>
          <bgColor indexed="43"/>
        </patternFill>
      </fill>
    </dxf>
    <dxf>
      <fill>
        <patternFill>
          <bgColor theme="9" tint="0.79998168889431442"/>
        </patternFill>
      </fill>
    </dxf>
    <dxf>
      <font>
        <color theme="1" tint="0.499984740745262"/>
      </font>
      <fill>
        <patternFill>
          <bgColor theme="1" tint="0.499984740745262"/>
        </patternFill>
      </fill>
    </dxf>
    <dxf>
      <font>
        <outline val="0"/>
        <shadow val="0"/>
        <u val="none"/>
        <vertAlign val="baseline"/>
        <sz val="9"/>
        <name val="Arial"/>
        <scheme val="none"/>
      </font>
      <alignment horizontal="general" vertical="bottom" textRotation="0" indent="0" justifyLastLine="0" shrinkToFit="0" readingOrder="0"/>
    </dxf>
    <dxf>
      <font>
        <outline val="0"/>
        <shadow val="0"/>
        <u val="none"/>
        <vertAlign val="baseline"/>
        <sz val="9"/>
        <name val="Arial"/>
        <scheme val="none"/>
      </font>
      <fill>
        <patternFill patternType="none">
          <fgColor indexed="64"/>
          <bgColor auto="1"/>
        </patternFill>
      </fill>
    </dxf>
    <dxf>
      <font>
        <outline val="0"/>
        <shadow val="0"/>
        <u val="none"/>
        <vertAlign val="baseline"/>
        <sz val="9"/>
        <name val="Arial"/>
        <scheme val="none"/>
      </font>
    </dxf>
    <dxf>
      <font>
        <outline val="0"/>
        <shadow val="0"/>
        <u val="none"/>
        <vertAlign val="baseline"/>
        <sz val="9"/>
        <name val="Arial"/>
        <scheme val="none"/>
      </font>
    </dxf>
    <dxf>
      <font>
        <strike val="0"/>
        <outline val="0"/>
        <shadow val="0"/>
        <u val="none"/>
        <vertAlign val="baseline"/>
        <sz val="9"/>
        <color theme="1"/>
        <name val="Arial"/>
        <family val="2"/>
        <scheme val="none"/>
      </font>
      <fill>
        <patternFill patternType="solid">
          <fgColor indexed="64"/>
          <bgColor theme="3"/>
        </patternFill>
      </fill>
    </dxf>
  </dxfs>
  <tableStyles count="0" defaultTableStyle="TableStyleMedium2" defaultPivotStyle="PivotStyleLight16"/>
  <colors>
    <mruColors>
      <color rgb="FF2FB6BC"/>
      <color rgb="FFCDF1F3"/>
      <color rgb="FFEAF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ONDON-2\DATA\HVS\Consulting\Jobs\2000050014%20-%20Skopje\Report\Rna.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F:\MJM%20Documents\Service%20delivery\Document%20Templates\Technical%20Templates\Healthcare%20Planning\SoA%20Template\MJM_PROJ_240108_SOATEMPLATE_v0.1_ls.xlsx" TargetMode="External"/><Relationship Id="rId1" Type="http://schemas.openxmlformats.org/officeDocument/2006/relationships/externalLinkPath" Target="MJM_PROJ_240108_SOATEMPLATE_v0.1_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Supply"/>
      <sheetName val="Occ&amp;Rate"/>
      <sheetName val="Market Data-Occ"/>
      <sheetName val="Market Data-ADR"/>
      <sheetName val="Demand"/>
      <sheetName val="New Hotel Induced Demand"/>
      <sheetName val="Hotel Expansion Induced Demand"/>
      <sheetName val="Occ"/>
      <sheetName val="ADR"/>
      <sheetName val="Calculation"/>
      <sheetName val="Ref"/>
      <sheetName val="P088 Rev 2.0 Cash Flow"/>
      <sheetName val="Market_Data-Occ"/>
      <sheetName val="Market_Data-ADR"/>
      <sheetName val="New_Hotel_Induced_Demand"/>
      <sheetName val="Hotel_Expansion_Induced_Demand"/>
      <sheetName val="Day work"/>
      <sheetName val="Market_Data-Occ1"/>
      <sheetName val="Market_Data-ADR1"/>
      <sheetName val="New_Hotel_Induced_Demand1"/>
      <sheetName val="Hotel_Expansion_Induced_Demand1"/>
      <sheetName val="P088_Rev_2_0_Cash_Flow"/>
      <sheetName val="Market_Data-Occ2"/>
      <sheetName val="Market_Data-ADR2"/>
      <sheetName val="New_Hotel_Induced_Demand2"/>
      <sheetName val="Hotel_Expansion_Induced_Demand2"/>
      <sheetName val="P088_Rev_2_0_Cash_Flow1"/>
      <sheetName val="Market_Data-Occ3"/>
      <sheetName val="Market_Data-ADR3"/>
      <sheetName val="New_Hotel_Induced_Demand3"/>
      <sheetName val="Hotel_Expansion_Induced_Demand3"/>
      <sheetName val="P088_Rev_2_0_Cash_Flow2"/>
      <sheetName val="Day_work"/>
      <sheetName val="Market_Data-Occ4"/>
      <sheetName val="Market_Data-ADR4"/>
      <sheetName val="New_Hotel_Induced_Demand4"/>
      <sheetName val="Hotel_Expansion_Induced_Demand4"/>
      <sheetName val="P088_Rev_2_0_Cash_Flow3"/>
      <sheetName val="Day_work1"/>
      <sheetName val="Market_Data-Occ5"/>
      <sheetName val="Market_Data-ADR5"/>
      <sheetName val="New_Hotel_Induced_Demand5"/>
      <sheetName val="Hotel_Expansion_Induced_Demand5"/>
      <sheetName val="P088_Rev_2_0_Cash_Flow4"/>
      <sheetName val="Day_work2"/>
      <sheetName val="MASTER_RATE ANALYSIS"/>
      <sheetName val="Rate Analysis"/>
      <sheetName val="Market_Data-Occ6"/>
      <sheetName val="Market_Data-ADR6"/>
      <sheetName val="New_Hotel_Induced_Demand6"/>
      <sheetName val="Hotel_Expansion_Induced_Demand6"/>
      <sheetName val="P088_Rev_2_0_Cash_Flow5"/>
      <sheetName val="Day_work3"/>
      <sheetName val="Market_Data-Occ7"/>
      <sheetName val="Market_Data-ADR7"/>
      <sheetName val="New_Hotel_Induced_Demand7"/>
      <sheetName val="Hotel_Expansion_Induced_Demand7"/>
      <sheetName val="P088_Rev_2_0_Cash_Flow6"/>
      <sheetName val="Day_work4"/>
      <sheetName val="MASTER_RATE_ANALYSIS"/>
      <sheetName val="Rate_Analysis"/>
      <sheetName val="Prattmodel"/>
      <sheetName val="Otismodel"/>
      <sheetName val="Flightmodel"/>
      <sheetName val="Sum of the Parts Valuation"/>
      <sheetName val="Imp Cost"/>
      <sheetName val="Cash2"/>
      <sheetName val="Z"/>
      <sheetName val="Architect"/>
      <sheetName val="BOQ Distribution"/>
      <sheetName val="Areas"/>
      <sheetName val="Ops"/>
      <sheetName val="FitOutConfCentre"/>
      <sheetName val="P1 SUM"/>
      <sheetName val="opstat"/>
      <sheetName val="costs"/>
      <sheetName val="allowances"/>
      <sheetName val="Measur"/>
      <sheetName val="Sheet7"/>
      <sheetName val="Data Sheet"/>
      <sheetName val="SPT vs PHI"/>
      <sheetName val="Market_Data-Occ9"/>
      <sheetName val="Market_Data-ADR9"/>
      <sheetName val="New_Hotel_Induced_Demand9"/>
      <sheetName val="Hotel_Expansion_Induced_Demand9"/>
      <sheetName val="P088_Rev_2_0_Cash_Flow8"/>
      <sheetName val="Day_work6"/>
      <sheetName val="Market_Data-Occ8"/>
      <sheetName val="Market_Data-ADR8"/>
      <sheetName val="New_Hotel_Induced_Demand8"/>
      <sheetName val="Hotel_Expansion_Induced_Demand8"/>
      <sheetName val="P088_Rev_2_0_Cash_Flow7"/>
      <sheetName val="Day_work5"/>
      <sheetName val="2.0 Section 2 Cover"/>
      <sheetName val="Segmentation"/>
      <sheetName val="Demand &amp; Supply"/>
      <sheetName val="Sheet1"/>
      <sheetName val="Redevelopment cost "/>
      <sheetName val="Comparable developments "/>
      <sheetName val="Property Info"/>
      <sheetName val="OpHis"/>
      <sheetName val="FxVar"/>
      <sheetName val="ProForma"/>
      <sheetName val="SVF"/>
      <sheetName val="SVF2"/>
      <sheetName val="Sensitivity Matrix"/>
      <sheetName val="ancillary"/>
      <sheetName val="Cash Flow Working"/>
      <sheetName val="COMPLEXALL"/>
      <sheetName val="입찰내역 발주처 양식"/>
      <sheetName val="BORDGC"/>
      <sheetName val="CIF COST ITEM"/>
      <sheetName val="Headings"/>
      <sheetName val="Data"/>
      <sheetName val="9011 EXPAT_MANP"/>
      <sheetName val="PE"/>
      <sheetName val="1"/>
      <sheetName val="Lookup data"/>
      <sheetName val="#REF"/>
      <sheetName val="Kur"/>
      <sheetName val="Keşif-I"/>
      <sheetName val="HAKEDİŞ "/>
      <sheetName val="BUTCE+MANHOUR"/>
      <sheetName val="keşif özeti"/>
      <sheetName val="Katsayılar"/>
      <sheetName val="B2"/>
      <sheetName val="SHORT LIST"/>
      <sheetName val="Chiet tinh dz22"/>
      <sheetName val="Induced demand- Hitec City"/>
      <sheetName val="Teritary Competition"/>
      <sheetName val="HotelInduced"/>
      <sheetName val="Induced demand Navi Mumbai"/>
      <sheetName val="Induced Demand"/>
      <sheetName val="Induced"/>
      <sheetName val="Induced demand due to Noida"/>
      <sheetName val="Rna"/>
      <sheetName val="Commercial Developments"/>
      <sheetName val="Induced Demand-Gugaon-build up"/>
      <sheetName val="Commercial development"/>
      <sheetName val="MktSeg"/>
      <sheetName val="Est"/>
      <sheetName val="SEX"/>
      <sheetName val="Drop Down List"/>
      <sheetName val="Print Tables"/>
      <sheetName val="Stock Size &amp; Branding"/>
      <sheetName val="MicroMarket"/>
      <sheetName val="Other Hotels"/>
      <sheetName val="Other"/>
      <sheetName val="Rating 12 Point Index"/>
      <sheetName val="GDP-Inflation"/>
      <sheetName val="Facilities"/>
      <sheetName val="Required Occupancy Levels"/>
      <sheetName val="Madinah FA"/>
      <sheetName val="KPIs - Market 2"/>
      <sheetName val="RA-markate"/>
      <sheetName val="Permitted Drop Down Items"/>
      <sheetName val="REINF-WTM"/>
      <sheetName val="XREF"/>
      <sheetName val="CASHFLOWS"/>
      <sheetName val="Payment"/>
      <sheetName val="Input"/>
      <sheetName val="TB09"/>
      <sheetName val="B2-MAIN HOTEL"/>
      <sheetName val="CS Pipes,Fittings-Lay. &amp; Inst."/>
      <sheetName val="Datas"/>
      <sheetName val="steel total"/>
      <sheetName val="Cover"/>
      <sheetName val="Sum_of_the_Parts_Valuation"/>
      <sheetName val="Imp_Cost"/>
      <sheetName val="MOS"/>
      <sheetName val="DIV.3"/>
      <sheetName val="E H Blinding"/>
      <sheetName val="E H Excavation"/>
      <sheetName val="Pc name"/>
      <sheetName val="EEV(Prilim)"/>
      <sheetName val="date"/>
      <sheetName val="Positions"/>
      <sheetName val="Database"/>
      <sheetName val="BOQ"/>
      <sheetName val="PB"/>
      <sheetName val="Project Claims Report"/>
      <sheetName val="Contract Particulars"/>
      <sheetName val="Update &amp; Print"/>
      <sheetName val="Market_Data-Occ10"/>
      <sheetName val="Market_Data-ADR10"/>
      <sheetName val="New_Hotel_Induced_Demand10"/>
      <sheetName val="Hotel_Expansion_Induced_Deman10"/>
      <sheetName val="P088_Rev_2_0_Cash_Flow9"/>
      <sheetName val="Day_work7"/>
      <sheetName val="BOQ_Distribution"/>
      <sheetName val="9011_EXPAT_MANP"/>
      <sheetName val="Market_Data-Occ11"/>
      <sheetName val="Market_Data-ADR11"/>
      <sheetName val="New_Hotel_Induced_Demand11"/>
      <sheetName val="Hotel_Expansion_Induced_Deman11"/>
      <sheetName val="P088_Rev_2_0_Cash_Flow10"/>
      <sheetName val="Day_work8"/>
      <sheetName val="BOQ_Distribution1"/>
      <sheetName val="MASTER_RATE_ANALYSIS1"/>
      <sheetName val="Rate_Analysis1"/>
      <sheetName val="Sum_of_the_Parts_Valuation1"/>
      <sheetName val="Imp_Cost1"/>
      <sheetName val="9011_EXPAT_MANP1"/>
      <sheetName val="입찰내역_발주처_양식"/>
      <sheetName val="SubmitCal"/>
      <sheetName val="SCH- % WT."/>
      <sheetName val="NPV"/>
      <sheetName val="P1_SUM"/>
      <sheetName val="2_0_Section_2_Cover"/>
      <sheetName val="Demand_&amp;_Supply"/>
      <sheetName val="Redevelopment_cost_"/>
      <sheetName val="Comparable_developments_"/>
      <sheetName val="Property_Info"/>
      <sheetName val="Sensitivity_Matrix"/>
      <sheetName val="Cash_Flow_Working"/>
      <sheetName val="CIF_COST_ITEM"/>
      <sheetName val="Data_Sheet"/>
      <sheetName val="SPT_vs_PHI"/>
      <sheetName val="Lookup_data"/>
      <sheetName val="HAKEDİŞ_"/>
      <sheetName val="keşif_özeti"/>
      <sheetName val="1. Summary Sheet (R01_OCT.2019)"/>
      <sheetName val="Listen"/>
      <sheetName val="Labor abs-NMR"/>
      <sheetName val="Budget Analysis"/>
      <sheetName val="Z- GENERAL PRICE SUMMARY"/>
      <sheetName val="WITHOUT C&amp;I PROFIT (3)"/>
      <sheetName val="B2-CTA"/>
      <sheetName val="B3-CTB"/>
      <sheetName val="B4-CUC"/>
      <sheetName val="B5-SBA"/>
      <sheetName val="B6-SBB"/>
      <sheetName val="B7-Walkway"/>
      <sheetName val="B8-External Works"/>
      <sheetName val="Final Summary"/>
      <sheetName val="Electrical VE"/>
      <sheetName val="CFTable2"/>
      <sheetName val="380KV GIS"/>
      <sheetName val="Raw Data"/>
      <sheetName val="Market_Data-Occ12"/>
      <sheetName val="Market_Data-ADR12"/>
      <sheetName val="New_Hotel_Induced_Demand12"/>
      <sheetName val="Hotel_Expansion_Induced_Deman12"/>
      <sheetName val="P088_Rev_2_0_Cash_Flow11"/>
      <sheetName val="Day_work9"/>
      <sheetName val="BOQ_Distribution2"/>
      <sheetName val="MASTER_RATE_ANALYSIS2"/>
      <sheetName val="Rate_Analysis2"/>
      <sheetName val="Sum_of_the_Parts_Valuation2"/>
      <sheetName val="Imp_Cost2"/>
      <sheetName val="9011_EXPAT_MANP2"/>
      <sheetName val="입찰내역_발주처_양식1"/>
      <sheetName val="Induced_demand-_Hitec_City"/>
      <sheetName val="Teritary_Competition"/>
      <sheetName val="Induced_demand_Navi_Mumbai"/>
      <sheetName val="Induced_Demand"/>
      <sheetName val="Induced_demand_due_to_Noida"/>
      <sheetName val="Commercial_Developments"/>
      <sheetName val="Induced_Demand-Gugaon-build_up"/>
      <sheetName val="Commercial_development"/>
      <sheetName val="E_H_Blinding"/>
      <sheetName val="E_H_Excavation"/>
      <sheetName val="Pc_name"/>
      <sheetName val="DIV_3"/>
      <sheetName val="Permitted_Drop_Down_Items"/>
      <sheetName val="CS_Pipes,Fittings-Lay__&amp;_Inst_"/>
      <sheetName val="SHORT_LIST"/>
      <sheetName val="Chiet_tinh_dz22"/>
      <sheetName val="B2-MAIN_HOTEL"/>
      <sheetName val="Raw_Data"/>
      <sheetName val="Est Summary"/>
      <sheetName val="Rates 2"/>
      <sheetName val="electrical"/>
      <sheetName val="GAE8'97"/>
      <sheetName val="Summary"/>
      <sheetName val="Actual"/>
      <sheetName val="HWDG"/>
      <sheetName val="Option"/>
      <sheetName val="Equip"/>
      <sheetName val="ARC308-1"/>
      <sheetName val="Part-A"/>
      <sheetName val="T&amp;M"/>
      <sheetName val="Overall"/>
      <sheetName val="New Rates"/>
      <sheetName val="cover page"/>
      <sheetName val="FORM5"/>
      <sheetName val="vendor"/>
      <sheetName val="1.0 Section 1 Cover"/>
      <sheetName val="Key Info"/>
      <sheetName val="A"/>
      <sheetName val="KeyInformation"/>
      <sheetName val="Basis"/>
      <sheetName val="C P A Blinding"/>
      <sheetName val="Market_Data-Occ13"/>
      <sheetName val="Market_Data-ADR13"/>
      <sheetName val="New_Hotel_Induced_Demand13"/>
      <sheetName val="Hotel_Expansion_Induced_Deman13"/>
      <sheetName val="P088_Rev_2_0_Cash_Flow12"/>
      <sheetName val="Day_work10"/>
      <sheetName val="Sum_of_the_Parts_Valuation3"/>
      <sheetName val="Imp_Cost3"/>
      <sheetName val="MASTER_RATE_ANALYSIS3"/>
      <sheetName val="Rate_Analysis3"/>
      <sheetName val="BOQ_Distribution3"/>
      <sheetName val="입찰내역_발주처_양식2"/>
      <sheetName val="9011_EXPAT_MANP3"/>
      <sheetName val="P1_SUM1"/>
      <sheetName val="Induced_demand-_Hitec_City1"/>
      <sheetName val="Teritary_Competition1"/>
      <sheetName val="Induced_demand_Navi_Mumbai1"/>
      <sheetName val="Induced_Demand1"/>
      <sheetName val="Induced_demand_due_to_Noida1"/>
      <sheetName val="Commercial_Developments1"/>
      <sheetName val="Induced_Demand-Gugaon-build_up1"/>
      <sheetName val="Commercial_development1"/>
      <sheetName val="SPT_vs_PHI1"/>
      <sheetName val="Drop_Down_List"/>
      <sheetName val="New_Rates"/>
      <sheetName val="steel_total"/>
      <sheetName val="Labor_abs-NMR"/>
      <sheetName val="380KV_GIS"/>
      <sheetName val="Market_Data-Occ14"/>
      <sheetName val="Market_Data-ADR14"/>
      <sheetName val="New_Hotel_Induced_Demand14"/>
      <sheetName val="Hotel_Expansion_Induced_Deman14"/>
      <sheetName val="P088_Rev_2_0_Cash_Flow13"/>
      <sheetName val="Day_work11"/>
      <sheetName val="Sum_of_the_Parts_Valuation4"/>
      <sheetName val="Imp_Cost4"/>
      <sheetName val="MASTER_RATE_ANALYSIS4"/>
      <sheetName val="Rate_Analysis4"/>
      <sheetName val="BOQ_Distribution4"/>
      <sheetName val="입찰내역_발주처_양식3"/>
      <sheetName val="9011_EXPAT_MANP4"/>
      <sheetName val="P1_SUM2"/>
      <sheetName val="Induced_demand-_Hitec_City2"/>
      <sheetName val="Teritary_Competition2"/>
      <sheetName val="Induced_demand_Navi_Mumbai2"/>
      <sheetName val="Induced_Demand2"/>
      <sheetName val="Induced_demand_due_to_Noida2"/>
      <sheetName val="Commercial_Developments2"/>
      <sheetName val="Induced_Demand-Gugaon-build_up2"/>
      <sheetName val="Commercial_development2"/>
      <sheetName val="SPT_vs_PHI2"/>
      <sheetName val="Permitted_Drop_Down_Items1"/>
      <sheetName val="Data_Sheet1"/>
      <sheetName val="Drop_Down_List1"/>
      <sheetName val="E_H_Blinding1"/>
      <sheetName val="E_H_Excavation1"/>
      <sheetName val="Pc_name1"/>
      <sheetName val="New_Rates1"/>
      <sheetName val="Raw_Data1"/>
      <sheetName val="HAKEDİŞ_1"/>
      <sheetName val="keşif_özeti1"/>
      <sheetName val="SHORT_LIST1"/>
      <sheetName val="2_0_Section_2_Cover1"/>
      <sheetName val="Chiet_tinh_dz221"/>
      <sheetName val="B2-MAIN_HOTEL1"/>
      <sheetName val="CS_Pipes,Fittings-Lay__&amp;_Inst_1"/>
      <sheetName val="steel_total1"/>
      <sheetName val="Demand_&amp;_Supply1"/>
      <sheetName val="Redevelopment_cost_1"/>
      <sheetName val="Comparable_developments_1"/>
      <sheetName val="Property_Info1"/>
      <sheetName val="Sensitivity_Matrix1"/>
      <sheetName val="Cash_Flow_Working1"/>
      <sheetName val="CIF_COST_ITEM1"/>
      <sheetName val="Lookup_data1"/>
      <sheetName val="Z-_GENERAL_PRICE_SUMMARY"/>
      <sheetName val="WITHOUT_C&amp;I_PROFIT_(3)"/>
      <sheetName val="Market_Data-Occ15"/>
      <sheetName val="Market_Data-ADR15"/>
      <sheetName val="New_Hotel_Induced_Demand15"/>
      <sheetName val="Hotel_Expansion_Induced_Deman15"/>
      <sheetName val="P088_Rev_2_0_Cash_Flow14"/>
      <sheetName val="Day_work12"/>
      <sheetName val="Sum_of_the_Parts_Valuation5"/>
      <sheetName val="Imp_Cost5"/>
      <sheetName val="MASTER_RATE_ANALYSIS5"/>
      <sheetName val="Rate_Analysis5"/>
      <sheetName val="BOQ_Distribution5"/>
      <sheetName val="입찰내역_발주처_양식4"/>
      <sheetName val="9011_EXPAT_MANP5"/>
      <sheetName val="P1_SUM3"/>
      <sheetName val="Induced_demand-_Hitec_City3"/>
      <sheetName val="Teritary_Competition3"/>
      <sheetName val="Induced_demand_Navi_Mumbai3"/>
      <sheetName val="Induced_Demand3"/>
      <sheetName val="Induced_demand_due_to_Noida3"/>
      <sheetName val="Commercial_Developments3"/>
      <sheetName val="Induced_Demand-Gugaon-build_up3"/>
      <sheetName val="Commercial_development3"/>
      <sheetName val="SPT_vs_PHI3"/>
      <sheetName val="Permitted_Drop_Down_Items2"/>
      <sheetName val="Data_Sheet2"/>
      <sheetName val="Drop_Down_List2"/>
      <sheetName val="E_H_Blinding2"/>
      <sheetName val="E_H_Excavation2"/>
      <sheetName val="Pc_name2"/>
      <sheetName val="New_Rates2"/>
      <sheetName val="Raw_Data2"/>
      <sheetName val="HAKEDİŞ_2"/>
      <sheetName val="keşif_özeti2"/>
      <sheetName val="SHORT_LIST2"/>
      <sheetName val="2_0_Section_2_Cover2"/>
      <sheetName val="Chiet_tinh_dz222"/>
      <sheetName val="B2-MAIN_HOTEL2"/>
      <sheetName val="CS_Pipes,Fittings-Lay__&amp;_Inst_2"/>
      <sheetName val="steel_total2"/>
      <sheetName val="Demand_&amp;_Supply2"/>
      <sheetName val="Redevelopment_cost_2"/>
      <sheetName val="Comparable_developments_2"/>
      <sheetName val="Property_Info2"/>
      <sheetName val="Sensitivity_Matrix2"/>
      <sheetName val="Cash_Flow_Working2"/>
      <sheetName val="CIF_COST_ITEM2"/>
      <sheetName val="Lookup_data2"/>
      <sheetName val="Z-_GENERAL_PRICE_SUMMARY1"/>
      <sheetName val="WITHOUT_C&amp;I_PROFIT_(3)1"/>
      <sheetName val="bkg"/>
      <sheetName val="cbrd460"/>
      <sheetName val="bcl"/>
      <sheetName val="Details"/>
      <sheetName val="DCF_5"/>
      <sheetName val="IPO Shit"/>
      <sheetName val="US Ship Repair Industry Growth"/>
      <sheetName val="Market Overview"/>
      <sheetName val="US Shipyard Repair Output"/>
      <sheetName val="ASD Sum of Parts"/>
      <sheetName val="Charts"/>
      <sheetName val="Financial Outputs"/>
      <sheetName val="ADT Financial Build"/>
      <sheetName val="LBO"/>
      <sheetName val="ADT LBO"/>
      <sheetName val="Ex-ADTCo LBO"/>
      <sheetName val="Total TEFS LBO"/>
      <sheetName val="ADT Output Dumbed Down for KKR"/>
      <sheetName val="Summary Financial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llect Sheet"/>
      <sheetName val="Main Entrance"/>
      <sheetName val="Inpatient Ward"/>
      <sheetName val="Children &amp; Young People"/>
      <sheetName val="Neonatal"/>
      <sheetName val="Generic Outpatients"/>
      <sheetName val="Renal Dialysis"/>
      <sheetName val="Staff and Admin Area"/>
      <sheetName val="Diagnostic Imaging"/>
      <sheetName val="Theatres"/>
      <sheetName val="Database"/>
      <sheetName val="Trial Sheet"/>
      <sheetName val="MJM_PROJ_240108_SOATEMPLATE_v0"/>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Emily Bunt" id="{0D6D5AC9-A2FD-45FF-B1DD-076DFF4CD62F}" userId="S::Emily.Bunt@mottmac.com::a19736ad-0ece-4289-8837-937f9ad9c0c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2A0295-F18A-4144-AC7B-2892421CC31B}" name="Table32" displayName="Table32" ref="A1:C107" totalsRowShown="0" headerRowDxfId="11" dataDxfId="10">
  <autoFilter ref="A1:C107" xr:uid="{382A0295-F18A-4144-AC7B-2892421CC31B}"/>
  <tableColumns count="3">
    <tableColumn id="4" xr3:uid="{70420D85-FA8A-474E-91C4-D63FB736CDC4}" name="Department Naming Convention" dataDxfId="9"/>
    <tableColumn id="3" xr3:uid="{9A798DC3-D9D9-4238-994A-29CD6873770A}" name="Subdepartment Naming Convention" dataDxfId="8"/>
    <tableColumn id="1" xr3:uid="{FBD8BC7E-3DB3-4F93-B88E-7A97C2697796}" name="Comments" dataDxfId="7"/>
  </tableColumns>
  <tableStyleInfo name="TableStyleMedium2" showFirstColumn="0" showLastColumn="0" showRowStripes="1" showColumnStripes="0"/>
</table>
</file>

<file path=xl/theme/theme1.xml><?xml version="1.0" encoding="utf-8"?>
<a:theme xmlns:a="http://schemas.openxmlformats.org/drawingml/2006/main" name="MJM">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17" dT="2023-12-04T10:51:38.84" personId="{0D6D5AC9-A2FD-45FF-B1DD-076DFF4CD62F}" id="{419C7BF3-2839-47BC-94DF-7D47329B0B76}">
    <text>Reduce size?</text>
  </threadedComment>
  <threadedComment ref="F217" dT="2023-12-11T11:06:50.16" personId="{0D6D5AC9-A2FD-45FF-B1DD-076DFF4CD62F}" id="{5E1C6652-A4B8-4340-800B-97885B2CF54C}" parentId="{419C7BF3-2839-47BC-94DF-7D47329B0B76}">
    <text>Size reduced from 5.5 to 4.5 - pending agreement</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5A5C3-DE9F-458B-9419-E5206CE5B467}">
  <sheetPr>
    <tabColor theme="4" tint="-0.249977111117893"/>
  </sheetPr>
  <dimension ref="B4:C19"/>
  <sheetViews>
    <sheetView workbookViewId="0">
      <selection activeCell="G15" sqref="G15"/>
    </sheetView>
  </sheetViews>
  <sheetFormatPr defaultRowHeight="15" x14ac:dyDescent="0.25"/>
  <sheetData>
    <row r="4" spans="2:3" x14ac:dyDescent="0.25">
      <c r="B4" s="86" t="s">
        <v>0</v>
      </c>
    </row>
    <row r="5" spans="2:3" x14ac:dyDescent="0.25">
      <c r="B5" t="s">
        <v>1</v>
      </c>
    </row>
    <row r="6" spans="2:3" x14ac:dyDescent="0.25">
      <c r="B6" t="s">
        <v>2</v>
      </c>
    </row>
    <row r="7" spans="2:3" x14ac:dyDescent="0.25">
      <c r="B7" t="s">
        <v>3</v>
      </c>
    </row>
    <row r="8" spans="2:3" x14ac:dyDescent="0.25">
      <c r="B8" t="s">
        <v>4</v>
      </c>
    </row>
    <row r="9" spans="2:3" x14ac:dyDescent="0.25">
      <c r="B9" t="s">
        <v>5</v>
      </c>
    </row>
    <row r="10" spans="2:3" x14ac:dyDescent="0.25">
      <c r="B10" t="s">
        <v>6</v>
      </c>
    </row>
    <row r="12" spans="2:3" x14ac:dyDescent="0.25">
      <c r="B12" s="86" t="s">
        <v>7</v>
      </c>
    </row>
    <row r="14" spans="2:3" x14ac:dyDescent="0.25">
      <c r="C14" t="s">
        <v>8</v>
      </c>
    </row>
    <row r="15" spans="2:3" x14ac:dyDescent="0.25">
      <c r="C15" t="s">
        <v>9</v>
      </c>
    </row>
    <row r="16" spans="2:3" x14ac:dyDescent="0.25">
      <c r="C16" t="s">
        <v>10</v>
      </c>
    </row>
    <row r="17" spans="3:3" x14ac:dyDescent="0.25">
      <c r="C17" t="s">
        <v>11</v>
      </c>
    </row>
    <row r="18" spans="3:3" x14ac:dyDescent="0.25">
      <c r="C18" t="s">
        <v>12</v>
      </c>
    </row>
    <row r="19" spans="3:3" x14ac:dyDescent="0.25">
      <c r="C19" t="s">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DBFF-F915-4610-9AC0-E1680A12F63A}">
  <sheetPr>
    <tabColor theme="0" tint="-0.14999847407452621"/>
  </sheetPr>
  <dimension ref="A1:H51"/>
  <sheetViews>
    <sheetView zoomScale="89" zoomScaleNormal="100" workbookViewId="0">
      <selection activeCell="C27" sqref="C27"/>
    </sheetView>
  </sheetViews>
  <sheetFormatPr defaultColWidth="8.85546875" defaultRowHeight="14.25" x14ac:dyDescent="0.25"/>
  <cols>
    <col min="1" max="1" width="16.140625" style="558" customWidth="1"/>
    <col min="2" max="2" width="37" style="558" customWidth="1"/>
    <col min="3" max="3" width="62.85546875" style="558" customWidth="1"/>
    <col min="4" max="4" width="13.5703125" style="556" customWidth="1"/>
    <col min="5" max="5" width="11.140625" style="557" customWidth="1"/>
    <col min="6" max="6" width="13.42578125" style="477" customWidth="1"/>
    <col min="7" max="7" width="55.140625" style="475" bestFit="1" customWidth="1"/>
    <col min="8" max="16384" width="8.85546875" style="475"/>
  </cols>
  <sheetData>
    <row r="1" spans="1:8" ht="25.5" x14ac:dyDescent="0.25">
      <c r="A1" s="483" t="s">
        <v>15</v>
      </c>
      <c r="B1" s="483" t="s">
        <v>1100</v>
      </c>
      <c r="C1" s="468" t="s">
        <v>672</v>
      </c>
      <c r="D1" s="469" t="s">
        <v>949</v>
      </c>
      <c r="E1" s="451" t="s">
        <v>950</v>
      </c>
      <c r="F1" s="451" t="s">
        <v>951</v>
      </c>
      <c r="G1" s="545" t="s">
        <v>19</v>
      </c>
    </row>
    <row r="2" spans="1:8" x14ac:dyDescent="0.2">
      <c r="A2" s="449" t="s">
        <v>606</v>
      </c>
      <c r="B2" s="449" t="s">
        <v>952</v>
      </c>
      <c r="C2" s="441" t="s">
        <v>120</v>
      </c>
      <c r="D2" s="208">
        <v>1</v>
      </c>
      <c r="E2" s="89">
        <f>SRS_Recept_pp</f>
        <v>5.5</v>
      </c>
      <c r="F2" s="26">
        <f>E2*D2</f>
        <v>5.5</v>
      </c>
      <c r="G2" s="455"/>
    </row>
    <row r="3" spans="1:8" x14ac:dyDescent="0.2">
      <c r="A3" s="24" t="s">
        <v>606</v>
      </c>
      <c r="B3" s="449" t="s">
        <v>952</v>
      </c>
      <c r="C3" s="441" t="s">
        <v>139</v>
      </c>
      <c r="D3" s="208">
        <v>7</v>
      </c>
      <c r="E3" s="89">
        <f>SRS_Wait_Child_pp</f>
        <v>3</v>
      </c>
      <c r="F3" s="26">
        <f>E3*D3</f>
        <v>21</v>
      </c>
      <c r="G3" s="455" t="s">
        <v>953</v>
      </c>
      <c r="H3" s="477"/>
    </row>
    <row r="4" spans="1:8" x14ac:dyDescent="0.2">
      <c r="A4" s="24" t="s">
        <v>606</v>
      </c>
      <c r="B4" s="449" t="s">
        <v>952</v>
      </c>
      <c r="C4" s="441" t="s">
        <v>117</v>
      </c>
      <c r="D4" s="208">
        <v>1</v>
      </c>
      <c r="E4" s="89">
        <f>SRS_Pantry_Small</f>
        <v>8</v>
      </c>
      <c r="F4" s="26">
        <f t="shared" ref="F4:F13" si="0">E4*D4</f>
        <v>8</v>
      </c>
      <c r="G4" s="87" t="s">
        <v>954</v>
      </c>
      <c r="H4" s="477"/>
    </row>
    <row r="5" spans="1:8" x14ac:dyDescent="0.2">
      <c r="A5" s="24" t="s">
        <v>606</v>
      </c>
      <c r="B5" s="449" t="s">
        <v>952</v>
      </c>
      <c r="C5" s="441" t="s">
        <v>332</v>
      </c>
      <c r="D5" s="208">
        <v>14</v>
      </c>
      <c r="E5" s="89">
        <f>Paeds_Lounge_Fam_pp</f>
        <v>1.5</v>
      </c>
      <c r="F5" s="89">
        <f>E5*D5</f>
        <v>21</v>
      </c>
      <c r="G5" s="455"/>
      <c r="H5" s="477"/>
    </row>
    <row r="6" spans="1:8" x14ac:dyDescent="0.2">
      <c r="A6" s="24" t="s">
        <v>606</v>
      </c>
      <c r="B6" s="449" t="s">
        <v>952</v>
      </c>
      <c r="C6" s="441" t="s">
        <v>955</v>
      </c>
      <c r="D6" s="208">
        <v>1</v>
      </c>
      <c r="E6" s="89">
        <v>4.5</v>
      </c>
      <c r="F6" s="89">
        <f>E6*D6</f>
        <v>4.5</v>
      </c>
      <c r="G6" s="455" t="s">
        <v>956</v>
      </c>
      <c r="H6" s="477"/>
    </row>
    <row r="7" spans="1:8" x14ac:dyDescent="0.2">
      <c r="A7" s="24" t="s">
        <v>606</v>
      </c>
      <c r="B7" s="449" t="s">
        <v>952</v>
      </c>
      <c r="C7" s="441" t="s">
        <v>760</v>
      </c>
      <c r="D7" s="208">
        <v>1</v>
      </c>
      <c r="E7" s="89">
        <f>Neonate_Expressing</f>
        <v>10</v>
      </c>
      <c r="F7" s="89">
        <f>E7*D7</f>
        <v>10</v>
      </c>
      <c r="G7" s="455"/>
      <c r="H7" s="477"/>
    </row>
    <row r="8" spans="1:8" x14ac:dyDescent="0.2">
      <c r="A8" s="24" t="s">
        <v>606</v>
      </c>
      <c r="B8" s="449" t="s">
        <v>952</v>
      </c>
      <c r="C8" s="441" t="s">
        <v>329</v>
      </c>
      <c r="D8" s="208">
        <v>1</v>
      </c>
      <c r="E8" s="89">
        <f>Paeds_kitchen_milkspecialfeed</f>
        <v>16</v>
      </c>
      <c r="F8" s="26">
        <f>E8*D8</f>
        <v>16</v>
      </c>
      <c r="G8" s="455"/>
      <c r="H8" s="477"/>
    </row>
    <row r="9" spans="1:8" x14ac:dyDescent="0.2">
      <c r="A9" s="24" t="s">
        <v>606</v>
      </c>
      <c r="B9" s="449" t="s">
        <v>952</v>
      </c>
      <c r="C9" s="441" t="s">
        <v>258</v>
      </c>
      <c r="D9" s="208">
        <v>1</v>
      </c>
      <c r="E9" s="89">
        <f>Neonate_Store_Donormilk</f>
        <v>12</v>
      </c>
      <c r="F9" s="26">
        <f>E9*D9</f>
        <v>12</v>
      </c>
      <c r="G9" s="455"/>
      <c r="H9" s="477"/>
    </row>
    <row r="10" spans="1:8" x14ac:dyDescent="0.2">
      <c r="A10" s="24" t="s">
        <v>606</v>
      </c>
      <c r="B10" s="449" t="s">
        <v>952</v>
      </c>
      <c r="C10" s="441" t="s">
        <v>60</v>
      </c>
      <c r="D10" s="208">
        <v>1</v>
      </c>
      <c r="E10" s="89">
        <f>SCS_Interview</f>
        <v>10</v>
      </c>
      <c r="F10" s="26">
        <f t="shared" si="0"/>
        <v>10</v>
      </c>
      <c r="G10" s="457"/>
      <c r="H10" s="477"/>
    </row>
    <row r="11" spans="1:8" x14ac:dyDescent="0.2">
      <c r="A11" s="24" t="s">
        <v>606</v>
      </c>
      <c r="B11" s="449" t="s">
        <v>952</v>
      </c>
      <c r="C11" s="441" t="s">
        <v>357</v>
      </c>
      <c r="D11" s="208">
        <v>12</v>
      </c>
      <c r="E11" s="89">
        <f>Handwash_station</f>
        <v>1</v>
      </c>
      <c r="F11" s="26">
        <f t="shared" si="0"/>
        <v>12</v>
      </c>
      <c r="G11" s="455" t="s">
        <v>957</v>
      </c>
      <c r="H11" s="477"/>
    </row>
    <row r="12" spans="1:8" x14ac:dyDescent="0.2">
      <c r="A12" s="24" t="s">
        <v>606</v>
      </c>
      <c r="B12" s="449" t="s">
        <v>952</v>
      </c>
      <c r="C12" s="441" t="s">
        <v>147</v>
      </c>
      <c r="D12" s="208">
        <v>1</v>
      </c>
      <c r="E12" s="89">
        <f>SRS_WC_Amb</f>
        <v>2.5</v>
      </c>
      <c r="F12" s="26">
        <f t="shared" si="0"/>
        <v>2.5</v>
      </c>
      <c r="G12" s="455" t="s">
        <v>958</v>
      </c>
      <c r="H12" s="477"/>
    </row>
    <row r="13" spans="1:8" x14ac:dyDescent="0.2">
      <c r="A13" s="450" t="s">
        <v>606</v>
      </c>
      <c r="B13" s="449" t="s">
        <v>952</v>
      </c>
      <c r="C13" s="441" t="s">
        <v>146</v>
      </c>
      <c r="D13" s="214">
        <v>1</v>
      </c>
      <c r="E13" s="215">
        <f>SRS_WC_Access</f>
        <v>4.5</v>
      </c>
      <c r="F13" s="39">
        <f t="shared" si="0"/>
        <v>4.5</v>
      </c>
      <c r="G13" s="546" t="s">
        <v>958</v>
      </c>
      <c r="H13" s="477"/>
    </row>
    <row r="14" spans="1:8" x14ac:dyDescent="0.2">
      <c r="A14" s="449" t="s">
        <v>606</v>
      </c>
      <c r="B14" s="449" t="s">
        <v>675</v>
      </c>
      <c r="C14" s="441" t="s">
        <v>959</v>
      </c>
      <c r="D14" s="205">
        <v>18</v>
      </c>
      <c r="E14" s="192">
        <f>Neonate_Cotsingle</f>
        <v>20</v>
      </c>
      <c r="F14" s="10">
        <f t="shared" ref="F14:F23" si="1">E14*D14</f>
        <v>360</v>
      </c>
      <c r="G14" s="547"/>
    </row>
    <row r="15" spans="1:8" s="550" customFormat="1" x14ac:dyDescent="0.2">
      <c r="A15" s="24" t="s">
        <v>606</v>
      </c>
      <c r="B15" s="449" t="s">
        <v>675</v>
      </c>
      <c r="C15" s="441" t="s">
        <v>251</v>
      </c>
      <c r="D15" s="208">
        <v>17</v>
      </c>
      <c r="E15" s="89">
        <f>Neonate_Bedfam_Amb</f>
        <v>12</v>
      </c>
      <c r="F15" s="26">
        <f t="shared" si="1"/>
        <v>204</v>
      </c>
      <c r="G15" s="548"/>
      <c r="H15" s="549"/>
    </row>
    <row r="16" spans="1:8" s="550" customFormat="1" x14ac:dyDescent="0.2">
      <c r="A16" s="24" t="s">
        <v>606</v>
      </c>
      <c r="B16" s="449" t="s">
        <v>675</v>
      </c>
      <c r="C16" s="441" t="s">
        <v>255</v>
      </c>
      <c r="D16" s="208">
        <v>17</v>
      </c>
      <c r="E16" s="89">
        <f>Neonate_Ensuite_Amb</f>
        <v>2.8</v>
      </c>
      <c r="F16" s="26">
        <f t="shared" si="1"/>
        <v>47.599999999999994</v>
      </c>
      <c r="G16" s="548"/>
      <c r="H16" s="549"/>
    </row>
    <row r="17" spans="1:8" x14ac:dyDescent="0.2">
      <c r="A17" s="24" t="s">
        <v>606</v>
      </c>
      <c r="B17" s="449" t="s">
        <v>675</v>
      </c>
      <c r="C17" s="441" t="s">
        <v>250</v>
      </c>
      <c r="D17" s="208">
        <v>1</v>
      </c>
      <c r="E17" s="89">
        <f>Neonate_Bedfam_Access</f>
        <v>16</v>
      </c>
      <c r="F17" s="26">
        <f t="shared" si="1"/>
        <v>16</v>
      </c>
      <c r="G17" s="87"/>
      <c r="H17" s="477"/>
    </row>
    <row r="18" spans="1:8" x14ac:dyDescent="0.2">
      <c r="A18" s="24" t="s">
        <v>606</v>
      </c>
      <c r="B18" s="449" t="s">
        <v>675</v>
      </c>
      <c r="C18" s="441" t="s">
        <v>253</v>
      </c>
      <c r="D18" s="208">
        <v>1</v>
      </c>
      <c r="E18" s="89">
        <f>Neonate_Ensuite_Access</f>
        <v>6.5</v>
      </c>
      <c r="F18" s="26">
        <f t="shared" si="1"/>
        <v>6.5</v>
      </c>
      <c r="G18" s="87"/>
      <c r="H18" s="477"/>
    </row>
    <row r="19" spans="1:8" x14ac:dyDescent="0.2">
      <c r="A19" s="24" t="s">
        <v>606</v>
      </c>
      <c r="B19" s="449" t="s">
        <v>675</v>
      </c>
      <c r="C19" s="441" t="s">
        <v>81</v>
      </c>
      <c r="D19" s="208">
        <v>1</v>
      </c>
      <c r="E19" s="89">
        <f>SCS_Treatment_Lrg</f>
        <v>18</v>
      </c>
      <c r="F19" s="26">
        <f t="shared" si="1"/>
        <v>18</v>
      </c>
      <c r="G19" s="87"/>
      <c r="H19" s="477"/>
    </row>
    <row r="20" spans="1:8" x14ac:dyDescent="0.2">
      <c r="A20" s="24" t="s">
        <v>606</v>
      </c>
      <c r="B20" s="449" t="s">
        <v>675</v>
      </c>
      <c r="C20" s="441" t="s">
        <v>41</v>
      </c>
      <c r="D20" s="208">
        <v>1</v>
      </c>
      <c r="E20" s="89">
        <f>SCS_CE_Dual</f>
        <v>16</v>
      </c>
      <c r="F20" s="26">
        <f t="shared" si="1"/>
        <v>16</v>
      </c>
      <c r="G20" s="455"/>
      <c r="H20" s="477"/>
    </row>
    <row r="21" spans="1:8" x14ac:dyDescent="0.2">
      <c r="A21" s="24" t="s">
        <v>606</v>
      </c>
      <c r="B21" s="449" t="s">
        <v>675</v>
      </c>
      <c r="C21" s="441" t="s">
        <v>60</v>
      </c>
      <c r="D21" s="208">
        <v>1</v>
      </c>
      <c r="E21" s="89">
        <f>SCS_Interview</f>
        <v>10</v>
      </c>
      <c r="F21" s="89">
        <f t="shared" si="1"/>
        <v>10</v>
      </c>
      <c r="G21" s="551" t="s">
        <v>960</v>
      </c>
      <c r="H21" s="477"/>
    </row>
    <row r="22" spans="1:8" x14ac:dyDescent="0.2">
      <c r="A22" s="24" t="s">
        <v>606</v>
      </c>
      <c r="B22" s="449" t="s">
        <v>675</v>
      </c>
      <c r="C22" s="441" t="s">
        <v>961</v>
      </c>
      <c r="D22" s="208">
        <v>1</v>
      </c>
      <c r="E22" s="89">
        <v>12</v>
      </c>
      <c r="F22" s="89">
        <f t="shared" si="1"/>
        <v>12</v>
      </c>
      <c r="G22" s="455" t="s">
        <v>962</v>
      </c>
      <c r="H22" s="477"/>
    </row>
    <row r="23" spans="1:8" x14ac:dyDescent="0.2">
      <c r="A23" s="450" t="s">
        <v>606</v>
      </c>
      <c r="B23" s="449" t="s">
        <v>675</v>
      </c>
      <c r="C23" s="441" t="s">
        <v>147</v>
      </c>
      <c r="D23" s="544">
        <v>1</v>
      </c>
      <c r="E23" s="215">
        <f>SRS_WC_Amb</f>
        <v>2.5</v>
      </c>
      <c r="F23" s="286">
        <f t="shared" si="1"/>
        <v>2.5</v>
      </c>
      <c r="G23" s="455"/>
      <c r="H23" s="477"/>
    </row>
    <row r="24" spans="1:8" x14ac:dyDescent="0.2">
      <c r="A24" s="449" t="s">
        <v>606</v>
      </c>
      <c r="B24" s="449" t="s">
        <v>498</v>
      </c>
      <c r="C24" s="441" t="s">
        <v>74</v>
      </c>
      <c r="D24" s="205">
        <v>1</v>
      </c>
      <c r="E24" s="192">
        <f>SCS_POCT</f>
        <v>10</v>
      </c>
      <c r="F24" s="10">
        <f t="shared" ref="F24:F35" si="2">E24*D24</f>
        <v>10</v>
      </c>
      <c r="G24" s="454" t="s">
        <v>963</v>
      </c>
      <c r="H24" s="477"/>
    </row>
    <row r="25" spans="1:8" x14ac:dyDescent="0.2">
      <c r="A25" s="24" t="s">
        <v>606</v>
      </c>
      <c r="B25" s="449" t="s">
        <v>498</v>
      </c>
      <c r="C25" s="441" t="s">
        <v>31</v>
      </c>
      <c r="D25" s="208">
        <v>1</v>
      </c>
      <c r="E25" s="89">
        <f>SCS_Cleansupply_Med</f>
        <v>9</v>
      </c>
      <c r="F25" s="26">
        <f t="shared" si="2"/>
        <v>9</v>
      </c>
      <c r="G25" s="455"/>
      <c r="H25" s="477"/>
    </row>
    <row r="26" spans="1:8" x14ac:dyDescent="0.2">
      <c r="A26" s="24" t="s">
        <v>606</v>
      </c>
      <c r="B26" s="449" t="s">
        <v>498</v>
      </c>
      <c r="C26" s="441" t="s">
        <v>67</v>
      </c>
      <c r="D26" s="208">
        <v>1</v>
      </c>
      <c r="E26" s="89">
        <f>SCS_Medprep_Med</f>
        <v>12</v>
      </c>
      <c r="F26" s="26">
        <f t="shared" si="2"/>
        <v>12</v>
      </c>
      <c r="G26" s="455"/>
      <c r="H26" s="477"/>
    </row>
    <row r="27" spans="1:8" x14ac:dyDescent="0.2">
      <c r="A27" s="24" t="s">
        <v>606</v>
      </c>
      <c r="B27" s="449" t="s">
        <v>498</v>
      </c>
      <c r="C27" s="441" t="s">
        <v>49</v>
      </c>
      <c r="D27" s="208">
        <v>1</v>
      </c>
      <c r="E27" s="89">
        <f>SCS_Dirtyutil_Med</f>
        <v>9</v>
      </c>
      <c r="F27" s="26">
        <f t="shared" si="2"/>
        <v>9</v>
      </c>
      <c r="G27" s="455"/>
      <c r="H27" s="477"/>
    </row>
    <row r="28" spans="1:8" x14ac:dyDescent="0.2">
      <c r="A28" s="24" t="s">
        <v>606</v>
      </c>
      <c r="B28" s="449" t="s">
        <v>498</v>
      </c>
      <c r="C28" s="441" t="s">
        <v>444</v>
      </c>
      <c r="D28" s="208">
        <v>2</v>
      </c>
      <c r="E28" s="89">
        <f>Bay_Linentroll</f>
        <v>3</v>
      </c>
      <c r="F28" s="26">
        <f t="shared" si="2"/>
        <v>6</v>
      </c>
      <c r="G28" s="551"/>
      <c r="H28" s="477"/>
    </row>
    <row r="29" spans="1:8" x14ac:dyDescent="0.2">
      <c r="A29" s="24" t="s">
        <v>606</v>
      </c>
      <c r="B29" s="449" t="s">
        <v>498</v>
      </c>
      <c r="C29" s="441" t="s">
        <v>964</v>
      </c>
      <c r="D29" s="208">
        <v>1</v>
      </c>
      <c r="E29" s="89">
        <v>2</v>
      </c>
      <c r="F29" s="26">
        <f>E29*D29</f>
        <v>2</v>
      </c>
      <c r="G29" s="552" t="s">
        <v>965</v>
      </c>
      <c r="H29" s="477"/>
    </row>
    <row r="30" spans="1:8" x14ac:dyDescent="0.2">
      <c r="A30" s="24" t="s">
        <v>606</v>
      </c>
      <c r="B30" s="449" t="s">
        <v>498</v>
      </c>
      <c r="C30" s="441" t="s">
        <v>446</v>
      </c>
      <c r="D30" s="208">
        <v>2</v>
      </c>
      <c r="E30" s="89">
        <f>Bay_Mobile_Equip</f>
        <v>2</v>
      </c>
      <c r="F30" s="26">
        <f>E30*D30</f>
        <v>4</v>
      </c>
      <c r="G30" s="553"/>
      <c r="H30" s="477"/>
    </row>
    <row r="31" spans="1:8" x14ac:dyDescent="0.2">
      <c r="A31" s="24" t="s">
        <v>606</v>
      </c>
      <c r="B31" s="449" t="s">
        <v>498</v>
      </c>
      <c r="C31" s="441" t="s">
        <v>455</v>
      </c>
      <c r="D31" s="208">
        <v>1</v>
      </c>
      <c r="E31" s="89">
        <f>Bay_XrayUS</f>
        <v>3</v>
      </c>
      <c r="F31" s="26">
        <f>E31*D31</f>
        <v>3</v>
      </c>
      <c r="G31" s="554"/>
      <c r="H31" s="477"/>
    </row>
    <row r="32" spans="1:8" x14ac:dyDescent="0.2">
      <c r="A32" s="24" t="s">
        <v>606</v>
      </c>
      <c r="B32" s="449" t="s">
        <v>498</v>
      </c>
      <c r="C32" s="441" t="s">
        <v>464</v>
      </c>
      <c r="D32" s="208">
        <v>2</v>
      </c>
      <c r="E32" s="89">
        <f>Store_10</f>
        <v>10</v>
      </c>
      <c r="F32" s="26">
        <f t="shared" si="2"/>
        <v>20</v>
      </c>
      <c r="G32" s="551" t="s">
        <v>947</v>
      </c>
      <c r="H32" s="477"/>
    </row>
    <row r="33" spans="1:8" x14ac:dyDescent="0.2">
      <c r="A33" s="24" t="s">
        <v>606</v>
      </c>
      <c r="B33" s="449" t="s">
        <v>498</v>
      </c>
      <c r="C33" s="441" t="s">
        <v>467</v>
      </c>
      <c r="D33" s="208">
        <v>1</v>
      </c>
      <c r="E33" s="89">
        <f>Store_20</f>
        <v>20</v>
      </c>
      <c r="F33" s="26">
        <f t="shared" si="2"/>
        <v>20</v>
      </c>
      <c r="G33" s="551" t="s">
        <v>926</v>
      </c>
      <c r="H33" s="477"/>
    </row>
    <row r="34" spans="1:8" s="439" customFormat="1" x14ac:dyDescent="0.2">
      <c r="A34" s="24" t="s">
        <v>606</v>
      </c>
      <c r="B34" s="449" t="s">
        <v>498</v>
      </c>
      <c r="C34" s="441" t="s">
        <v>350</v>
      </c>
      <c r="D34" s="298">
        <v>1</v>
      </c>
      <c r="E34" s="67">
        <f>Decon_Clinequip_Lrg</f>
        <v>40</v>
      </c>
      <c r="F34" s="273">
        <f t="shared" si="2"/>
        <v>40</v>
      </c>
      <c r="G34" s="436"/>
    </row>
    <row r="35" spans="1:8" x14ac:dyDescent="0.2">
      <c r="A35" s="450" t="s">
        <v>606</v>
      </c>
      <c r="B35" s="449" t="s">
        <v>498</v>
      </c>
      <c r="C35" s="441" t="s">
        <v>39</v>
      </c>
      <c r="D35" s="214">
        <v>1</v>
      </c>
      <c r="E35" s="215">
        <f>SRS_Cleaner_Rm</f>
        <v>8</v>
      </c>
      <c r="F35" s="39">
        <f t="shared" si="2"/>
        <v>8</v>
      </c>
      <c r="G35" s="455"/>
      <c r="H35" s="477"/>
    </row>
    <row r="36" spans="1:8" x14ac:dyDescent="0.2">
      <c r="A36" s="449" t="s">
        <v>606</v>
      </c>
      <c r="B36" s="449" t="s">
        <v>505</v>
      </c>
      <c r="C36" s="441" t="s">
        <v>135</v>
      </c>
      <c r="D36" s="205">
        <v>9</v>
      </c>
      <c r="E36" s="192">
        <f>SRS_Touchdown_pp</f>
        <v>2</v>
      </c>
      <c r="F36" s="10">
        <f t="shared" ref="F36:F38" si="3">E36*D36</f>
        <v>18</v>
      </c>
      <c r="G36" s="442"/>
    </row>
    <row r="37" spans="1:8" x14ac:dyDescent="0.2">
      <c r="A37" s="24" t="s">
        <v>606</v>
      </c>
      <c r="B37" s="449" t="s">
        <v>505</v>
      </c>
      <c r="C37" s="441" t="s">
        <v>126</v>
      </c>
      <c r="D37" s="298">
        <v>6</v>
      </c>
      <c r="E37" s="89">
        <f>SRS_Staffbase_pp</f>
        <v>4</v>
      </c>
      <c r="F37" s="26">
        <f t="shared" si="3"/>
        <v>24</v>
      </c>
      <c r="G37" s="443"/>
    </row>
    <row r="38" spans="1:8" x14ac:dyDescent="0.2">
      <c r="A38" s="24" t="s">
        <v>606</v>
      </c>
      <c r="B38" s="449" t="s">
        <v>505</v>
      </c>
      <c r="C38" s="441" t="s">
        <v>70</v>
      </c>
      <c r="D38" s="208">
        <v>1</v>
      </c>
      <c r="E38" s="89">
        <f>SCS_MDT_30</f>
        <v>24</v>
      </c>
      <c r="F38" s="26">
        <f t="shared" si="3"/>
        <v>24</v>
      </c>
      <c r="G38" s="443"/>
    </row>
    <row r="39" spans="1:8" x14ac:dyDescent="0.2">
      <c r="A39" s="24" t="s">
        <v>606</v>
      </c>
      <c r="B39" s="449" t="s">
        <v>505</v>
      </c>
      <c r="C39" s="441" t="s">
        <v>966</v>
      </c>
      <c r="D39" s="298">
        <v>1</v>
      </c>
      <c r="E39" s="67">
        <f>SCS_Hifidel_NICU</f>
        <v>18</v>
      </c>
      <c r="F39" s="273">
        <f>E39*D39</f>
        <v>18</v>
      </c>
      <c r="G39" s="443"/>
    </row>
    <row r="40" spans="1:8" s="439" customFormat="1" x14ac:dyDescent="0.2">
      <c r="A40" s="24" t="s">
        <v>606</v>
      </c>
      <c r="B40" s="449" t="s">
        <v>505</v>
      </c>
      <c r="C40" s="441" t="s">
        <v>147</v>
      </c>
      <c r="D40" s="298">
        <v>2</v>
      </c>
      <c r="E40" s="67">
        <f>SRS_WC_Amb</f>
        <v>2.5</v>
      </c>
      <c r="F40" s="273">
        <f t="shared" ref="F40:F48" si="4">E40*D40</f>
        <v>5</v>
      </c>
      <c r="G40" s="443"/>
    </row>
    <row r="41" spans="1:8" s="439" customFormat="1" x14ac:dyDescent="0.2">
      <c r="A41" s="24" t="s">
        <v>606</v>
      </c>
      <c r="B41" s="449" t="s">
        <v>505</v>
      </c>
      <c r="C41" s="441" t="s">
        <v>347</v>
      </c>
      <c r="D41" s="298">
        <v>1</v>
      </c>
      <c r="E41" s="67">
        <f>Staff_Wellbeinglact</f>
        <v>10</v>
      </c>
      <c r="F41" s="273">
        <f t="shared" si="4"/>
        <v>10</v>
      </c>
      <c r="G41" s="443" t="s">
        <v>967</v>
      </c>
    </row>
    <row r="42" spans="1:8" s="439" customFormat="1" x14ac:dyDescent="0.2">
      <c r="A42" s="24" t="s">
        <v>606</v>
      </c>
      <c r="B42" s="449" t="s">
        <v>505</v>
      </c>
      <c r="C42" s="441" t="s">
        <v>110</v>
      </c>
      <c r="D42" s="298">
        <v>1</v>
      </c>
      <c r="E42" s="67">
        <f>SRS_Oncallroom</f>
        <v>16</v>
      </c>
      <c r="F42" s="273">
        <f t="shared" si="4"/>
        <v>16</v>
      </c>
      <c r="G42" s="443"/>
    </row>
    <row r="43" spans="1:8" s="439" customFormat="1" x14ac:dyDescent="0.2">
      <c r="A43" s="24" t="s">
        <v>606</v>
      </c>
      <c r="B43" s="449" t="s">
        <v>505</v>
      </c>
      <c r="C43" s="441" t="s">
        <v>134</v>
      </c>
      <c r="D43" s="298">
        <v>2</v>
      </c>
      <c r="E43" s="67">
        <f>SRS_Staff_Shower</f>
        <v>3</v>
      </c>
      <c r="F43" s="273">
        <f t="shared" si="4"/>
        <v>6</v>
      </c>
      <c r="G43" s="443"/>
    </row>
    <row r="44" spans="1:8" s="439" customFormat="1" x14ac:dyDescent="0.2">
      <c r="A44" s="24" t="s">
        <v>606</v>
      </c>
      <c r="B44" s="449" t="s">
        <v>505</v>
      </c>
      <c r="C44" s="441" t="s">
        <v>130</v>
      </c>
      <c r="D44" s="298">
        <v>50</v>
      </c>
      <c r="E44" s="67">
        <f>SRS_Staffchange_pp</f>
        <v>2.5</v>
      </c>
      <c r="F44" s="273">
        <f t="shared" si="4"/>
        <v>125</v>
      </c>
      <c r="G44" s="443"/>
    </row>
    <row r="45" spans="1:8" s="439" customFormat="1" x14ac:dyDescent="0.2">
      <c r="A45" s="24" t="s">
        <v>606</v>
      </c>
      <c r="B45" s="449" t="s">
        <v>505</v>
      </c>
      <c r="C45" s="441" t="s">
        <v>451</v>
      </c>
      <c r="D45" s="298">
        <v>1</v>
      </c>
      <c r="E45" s="67">
        <f>Bay_Scrubdispens</f>
        <v>2</v>
      </c>
      <c r="F45" s="273">
        <f t="shared" si="4"/>
        <v>2</v>
      </c>
      <c r="G45" s="443" t="s">
        <v>968</v>
      </c>
    </row>
    <row r="46" spans="1:8" s="439" customFormat="1" x14ac:dyDescent="0.2">
      <c r="A46" s="24" t="s">
        <v>606</v>
      </c>
      <c r="B46" s="449" t="s">
        <v>505</v>
      </c>
      <c r="C46" s="441" t="s">
        <v>132</v>
      </c>
      <c r="D46" s="298">
        <v>10</v>
      </c>
      <c r="E46" s="67">
        <f>SRS_Staffrestbev_pp</f>
        <v>1.5</v>
      </c>
      <c r="F46" s="273">
        <f t="shared" si="4"/>
        <v>15</v>
      </c>
      <c r="G46" s="443"/>
    </row>
    <row r="47" spans="1:8" s="439" customFormat="1" x14ac:dyDescent="0.2">
      <c r="A47" s="24" t="s">
        <v>606</v>
      </c>
      <c r="B47" s="449" t="s">
        <v>505</v>
      </c>
      <c r="C47" s="441" t="s">
        <v>348</v>
      </c>
      <c r="D47" s="298">
        <v>2</v>
      </c>
      <c r="E47" s="67">
        <f>Staff_Workstn_pp</f>
        <v>4.5</v>
      </c>
      <c r="F47" s="273">
        <f t="shared" si="4"/>
        <v>9</v>
      </c>
      <c r="G47" s="443"/>
    </row>
    <row r="48" spans="1:8" s="439" customFormat="1" x14ac:dyDescent="0.2">
      <c r="A48" s="450" t="s">
        <v>606</v>
      </c>
      <c r="B48" s="449" t="s">
        <v>505</v>
      </c>
      <c r="C48" s="441" t="s">
        <v>46</v>
      </c>
      <c r="D48" s="335">
        <v>1</v>
      </c>
      <c r="E48" s="71">
        <f>SCS_Controlhub</f>
        <v>10</v>
      </c>
      <c r="F48" s="366">
        <f t="shared" si="4"/>
        <v>10</v>
      </c>
      <c r="G48" s="443"/>
    </row>
    <row r="49" spans="1:8" x14ac:dyDescent="0.2">
      <c r="A49" s="449" t="s">
        <v>606</v>
      </c>
      <c r="B49" s="449" t="s">
        <v>969</v>
      </c>
      <c r="C49" s="441" t="s">
        <v>51</v>
      </c>
      <c r="D49" s="334">
        <v>1</v>
      </c>
      <c r="E49" s="69">
        <f>SCS_Disphold_Lrg</f>
        <v>20</v>
      </c>
      <c r="F49" s="302">
        <f>E49*D49</f>
        <v>20</v>
      </c>
      <c r="G49" s="555"/>
      <c r="H49" s="477"/>
    </row>
    <row r="50" spans="1:8" x14ac:dyDescent="0.2">
      <c r="A50" s="450" t="s">
        <v>606</v>
      </c>
      <c r="B50" s="449" t="s">
        <v>969</v>
      </c>
      <c r="C50" s="441" t="s">
        <v>92</v>
      </c>
      <c r="D50" s="335">
        <v>1</v>
      </c>
      <c r="E50" s="71">
        <f>SRS_Delivhub_Med</f>
        <v>10</v>
      </c>
      <c r="F50" s="366">
        <f>E50*D50</f>
        <v>10</v>
      </c>
      <c r="G50" s="437"/>
      <c r="H50" s="477"/>
    </row>
    <row r="51" spans="1:8" x14ac:dyDescent="0.25">
      <c r="B51" s="449"/>
    </row>
  </sheetData>
  <pageMargins left="0.7" right="0.7" top="0.75" bottom="0.75" header="0.3" footer="0.3"/>
  <pageSetup paperSize="8" fitToWidth="0" fitToHeight="0"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8A88F-3F62-4410-BDD9-B73E25214DA1}">
  <sheetPr>
    <tabColor theme="0" tint="-0.14999847407452621"/>
  </sheetPr>
  <dimension ref="A1:BO203"/>
  <sheetViews>
    <sheetView topLeftCell="A4" zoomScale="70" zoomScaleNormal="70" workbookViewId="0">
      <selection activeCell="C27" sqref="C27"/>
    </sheetView>
  </sheetViews>
  <sheetFormatPr defaultColWidth="8.85546875" defaultRowHeight="14.25" x14ac:dyDescent="0.25"/>
  <cols>
    <col min="1" max="1" width="46.140625" style="47" bestFit="1" customWidth="1"/>
    <col min="2" max="2" width="46.140625" style="47" customWidth="1"/>
    <col min="3" max="3" width="42" style="47" customWidth="1"/>
    <col min="4" max="4" width="14.42578125" style="55" customWidth="1"/>
    <col min="5" max="5" width="18.140625" style="54" customWidth="1"/>
    <col min="6" max="6" width="13" style="54" customWidth="1"/>
    <col min="7" max="7" width="69.85546875" style="47" customWidth="1"/>
    <col min="8" max="9" width="8.85546875" style="46"/>
    <col min="10" max="10" width="37.140625" style="46" customWidth="1"/>
    <col min="11" max="16384" width="8.85546875" style="46"/>
  </cols>
  <sheetData>
    <row r="1" spans="1:66" s="448" customFormat="1" ht="15" x14ac:dyDescent="0.25">
      <c r="A1" s="466" t="s">
        <v>477</v>
      </c>
      <c r="B1" s="466" t="s">
        <v>1088</v>
      </c>
      <c r="C1" s="467" t="s">
        <v>1089</v>
      </c>
      <c r="D1" s="467" t="s">
        <v>1090</v>
      </c>
      <c r="E1" s="467" t="s">
        <v>1091</v>
      </c>
      <c r="F1" s="467" t="s">
        <v>1092</v>
      </c>
      <c r="G1" s="467" t="s">
        <v>19</v>
      </c>
    </row>
    <row r="2" spans="1:66" ht="15.6" customHeight="1" x14ac:dyDescent="0.2">
      <c r="A2" s="79" t="s">
        <v>970</v>
      </c>
      <c r="B2" s="46" t="s">
        <v>1115</v>
      </c>
      <c r="C2" s="266" t="s">
        <v>120</v>
      </c>
      <c r="D2" s="297">
        <v>1</v>
      </c>
      <c r="E2" s="75">
        <f>SRS_Recept_pp</f>
        <v>5.5</v>
      </c>
      <c r="F2" s="68">
        <f>D2*E2</f>
        <v>5.5</v>
      </c>
      <c r="G2" s="339"/>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row>
    <row r="3" spans="1:66" x14ac:dyDescent="0.2">
      <c r="A3" s="79" t="s">
        <v>970</v>
      </c>
      <c r="B3" s="46" t="s">
        <v>1115</v>
      </c>
      <c r="C3" s="266" t="s">
        <v>123</v>
      </c>
      <c r="D3" s="296">
        <v>3</v>
      </c>
      <c r="E3" s="73">
        <f>SRS_Selfcheckin</f>
        <v>2</v>
      </c>
      <c r="F3" s="66">
        <f t="shared" ref="F3:F29" si="0">D3*E3</f>
        <v>6</v>
      </c>
      <c r="G3" s="201"/>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row>
    <row r="4" spans="1:66" x14ac:dyDescent="0.2">
      <c r="A4" s="79" t="s">
        <v>970</v>
      </c>
      <c r="B4" s="46" t="s">
        <v>1115</v>
      </c>
      <c r="C4" s="266" t="s">
        <v>143</v>
      </c>
      <c r="D4" s="298">
        <v>25</v>
      </c>
      <c r="E4" s="73">
        <f>SRS_Wait_Amb_pp</f>
        <v>1.5</v>
      </c>
      <c r="F4" s="66">
        <f t="shared" si="0"/>
        <v>37.5</v>
      </c>
      <c r="G4" s="201" t="s">
        <v>971</v>
      </c>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row>
    <row r="5" spans="1:66" x14ac:dyDescent="0.2">
      <c r="A5" s="79" t="s">
        <v>970</v>
      </c>
      <c r="B5" s="46" t="s">
        <v>1115</v>
      </c>
      <c r="C5" s="266" t="s">
        <v>139</v>
      </c>
      <c r="D5" s="298">
        <v>2</v>
      </c>
      <c r="E5" s="73">
        <f>SRS_Wait_Child_pp</f>
        <v>3</v>
      </c>
      <c r="F5" s="66">
        <f t="shared" si="0"/>
        <v>6</v>
      </c>
      <c r="G5" s="201"/>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row>
    <row r="6" spans="1:66" x14ac:dyDescent="0.2">
      <c r="A6" s="79" t="s">
        <v>970</v>
      </c>
      <c r="B6" s="46" t="s">
        <v>1115</v>
      </c>
      <c r="C6" s="266" t="s">
        <v>972</v>
      </c>
      <c r="D6" s="298">
        <v>1</v>
      </c>
      <c r="E6" s="73">
        <f>Paeds_Sensoryroom</f>
        <v>12</v>
      </c>
      <c r="F6" s="66">
        <f t="shared" si="0"/>
        <v>12</v>
      </c>
      <c r="G6" s="201"/>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row>
    <row r="7" spans="1:66" x14ac:dyDescent="0.2">
      <c r="A7" s="79" t="s">
        <v>970</v>
      </c>
      <c r="B7" s="46" t="s">
        <v>1115</v>
      </c>
      <c r="C7" s="266" t="s">
        <v>146</v>
      </c>
      <c r="D7" s="296">
        <v>1</v>
      </c>
      <c r="E7" s="73">
        <f>SRS_WC_Access</f>
        <v>4.5</v>
      </c>
      <c r="F7" s="66">
        <f t="shared" si="0"/>
        <v>4.5</v>
      </c>
      <c r="G7" s="201"/>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row>
    <row r="8" spans="1:66" x14ac:dyDescent="0.2">
      <c r="A8" s="79" t="s">
        <v>970</v>
      </c>
      <c r="B8" s="46" t="s">
        <v>1115</v>
      </c>
      <c r="C8" s="266" t="s">
        <v>147</v>
      </c>
      <c r="D8" s="307">
        <v>2</v>
      </c>
      <c r="E8" s="77">
        <f>SRS_WC_Amb</f>
        <v>2.5</v>
      </c>
      <c r="F8" s="59">
        <f t="shared" si="0"/>
        <v>5</v>
      </c>
      <c r="G8" s="340"/>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1:66" ht="25.5" x14ac:dyDescent="0.2">
      <c r="A9" s="79" t="s">
        <v>528</v>
      </c>
      <c r="B9" s="79" t="s">
        <v>528</v>
      </c>
      <c r="C9" s="266" t="s">
        <v>266</v>
      </c>
      <c r="D9" s="334">
        <v>26</v>
      </c>
      <c r="E9" s="75">
        <f>Theatres_Cabin_Stage2_Stand</f>
        <v>14</v>
      </c>
      <c r="F9" s="68">
        <f t="shared" si="0"/>
        <v>364</v>
      </c>
      <c r="G9" s="341" t="s">
        <v>973</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ht="25.5" x14ac:dyDescent="0.2">
      <c r="A10" s="79" t="s">
        <v>528</v>
      </c>
      <c r="B10" s="79" t="s">
        <v>528</v>
      </c>
      <c r="C10" s="266" t="s">
        <v>267</v>
      </c>
      <c r="D10" s="296">
        <v>13</v>
      </c>
      <c r="E10" s="73">
        <f>Theatres_Cabin_Stage2_Lrg</f>
        <v>16</v>
      </c>
      <c r="F10" s="66">
        <f t="shared" si="0"/>
        <v>208</v>
      </c>
      <c r="G10" s="341" t="s">
        <v>973</v>
      </c>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x14ac:dyDescent="0.2">
      <c r="A11" s="79" t="s">
        <v>528</v>
      </c>
      <c r="B11" s="79" t="s">
        <v>528</v>
      </c>
      <c r="C11" s="266" t="s">
        <v>147</v>
      </c>
      <c r="D11" s="296">
        <v>5</v>
      </c>
      <c r="E11" s="73">
        <f>SRS_WC_Amb</f>
        <v>2.5</v>
      </c>
      <c r="F11" s="66">
        <f t="shared" si="0"/>
        <v>12.5</v>
      </c>
      <c r="G11" s="201"/>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x14ac:dyDescent="0.2">
      <c r="A12" s="79" t="s">
        <v>528</v>
      </c>
      <c r="B12" s="79" t="s">
        <v>528</v>
      </c>
      <c r="C12" s="266" t="s">
        <v>146</v>
      </c>
      <c r="D12" s="296">
        <v>2</v>
      </c>
      <c r="E12" s="73">
        <f>SRS_WC_Access</f>
        <v>4.5</v>
      </c>
      <c r="F12" s="66">
        <f t="shared" si="0"/>
        <v>9</v>
      </c>
      <c r="G12" s="201"/>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x14ac:dyDescent="0.2">
      <c r="A13" s="79" t="s">
        <v>528</v>
      </c>
      <c r="B13" s="79" t="s">
        <v>528</v>
      </c>
      <c r="C13" s="266" t="s">
        <v>151</v>
      </c>
      <c r="D13" s="296">
        <v>2</v>
      </c>
      <c r="E13" s="73">
        <f>SRS_WC_Shower_Assist</f>
        <v>6.5</v>
      </c>
      <c r="F13" s="66">
        <f t="shared" si="0"/>
        <v>13</v>
      </c>
      <c r="G13" s="201"/>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x14ac:dyDescent="0.2">
      <c r="A14" s="79" t="s">
        <v>528</v>
      </c>
      <c r="B14" s="79" t="s">
        <v>528</v>
      </c>
      <c r="C14" s="266" t="s">
        <v>41</v>
      </c>
      <c r="D14" s="296">
        <v>2</v>
      </c>
      <c r="E14" s="73">
        <f>SCS_CE_Dual</f>
        <v>16</v>
      </c>
      <c r="F14" s="66">
        <f t="shared" si="0"/>
        <v>32</v>
      </c>
      <c r="G14" s="201"/>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1:66" x14ac:dyDescent="0.2">
      <c r="A15" s="79" t="s">
        <v>528</v>
      </c>
      <c r="B15" s="79" t="s">
        <v>528</v>
      </c>
      <c r="C15" s="266" t="s">
        <v>126</v>
      </c>
      <c r="D15" s="296">
        <v>3</v>
      </c>
      <c r="E15" s="73">
        <f>SRS_Staffbase_pp</f>
        <v>4</v>
      </c>
      <c r="F15" s="66">
        <f t="shared" si="0"/>
        <v>12</v>
      </c>
      <c r="G15" s="201"/>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x14ac:dyDescent="0.2">
      <c r="A16" s="79" t="s">
        <v>528</v>
      </c>
      <c r="B16" s="79" t="s">
        <v>528</v>
      </c>
      <c r="C16" s="266" t="s">
        <v>31</v>
      </c>
      <c r="D16" s="296">
        <v>2</v>
      </c>
      <c r="E16" s="73">
        <f>SCS_Cleansupply_Med</f>
        <v>9</v>
      </c>
      <c r="F16" s="66">
        <f t="shared" si="0"/>
        <v>18</v>
      </c>
      <c r="G16" s="201"/>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x14ac:dyDescent="0.2">
      <c r="A17" s="79" t="s">
        <v>528</v>
      </c>
      <c r="B17" s="79" t="s">
        <v>528</v>
      </c>
      <c r="C17" s="266" t="s">
        <v>47</v>
      </c>
      <c r="D17" s="296">
        <v>2</v>
      </c>
      <c r="E17" s="67">
        <f>SCS_Dirtyutil_Lrg</f>
        <v>12</v>
      </c>
      <c r="F17" s="273">
        <f t="shared" si="0"/>
        <v>24</v>
      </c>
      <c r="G17" s="342"/>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x14ac:dyDescent="0.2">
      <c r="A18" s="79" t="s">
        <v>528</v>
      </c>
      <c r="B18" s="79" t="s">
        <v>528</v>
      </c>
      <c r="C18" s="266" t="s">
        <v>67</v>
      </c>
      <c r="D18" s="296">
        <v>1</v>
      </c>
      <c r="E18" s="67">
        <f>SCS_Medprep_Med</f>
        <v>12</v>
      </c>
      <c r="F18" s="273">
        <f t="shared" si="0"/>
        <v>12</v>
      </c>
      <c r="G18" s="342"/>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x14ac:dyDescent="0.2">
      <c r="A19" s="79" t="s">
        <v>528</v>
      </c>
      <c r="B19" s="79" t="s">
        <v>528</v>
      </c>
      <c r="C19" s="266" t="s">
        <v>113</v>
      </c>
      <c r="D19" s="296">
        <v>1</v>
      </c>
      <c r="E19" s="67">
        <f>SRS_Pantry_Med</f>
        <v>12</v>
      </c>
      <c r="F19" s="273">
        <f t="shared" si="0"/>
        <v>12</v>
      </c>
      <c r="G19" s="342"/>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x14ac:dyDescent="0.2">
      <c r="A20" s="79" t="s">
        <v>528</v>
      </c>
      <c r="B20" s="79" t="s">
        <v>528</v>
      </c>
      <c r="C20" s="266" t="s">
        <v>450</v>
      </c>
      <c r="D20" s="296">
        <v>1</v>
      </c>
      <c r="E20" s="67">
        <f>Bay_Resustroll</f>
        <v>2</v>
      </c>
      <c r="F20" s="273">
        <f t="shared" si="0"/>
        <v>2</v>
      </c>
      <c r="G20" s="3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x14ac:dyDescent="0.2">
      <c r="A21" s="79" t="s">
        <v>528</v>
      </c>
      <c r="B21" s="79" t="s">
        <v>528</v>
      </c>
      <c r="C21" s="266" t="s">
        <v>441</v>
      </c>
      <c r="D21" s="296">
        <v>2</v>
      </c>
      <c r="E21" s="67">
        <f>Bay_Equip</f>
        <v>4</v>
      </c>
      <c r="F21" s="273">
        <f t="shared" si="0"/>
        <v>8</v>
      </c>
      <c r="G21" s="3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x14ac:dyDescent="0.2">
      <c r="A22" s="79" t="s">
        <v>528</v>
      </c>
      <c r="B22" s="79" t="s">
        <v>528</v>
      </c>
      <c r="C22" s="266" t="s">
        <v>437</v>
      </c>
      <c r="D22" s="296">
        <v>1</v>
      </c>
      <c r="E22" s="67">
        <f>Bay_Beverage</f>
        <v>5</v>
      </c>
      <c r="F22" s="273">
        <f t="shared" si="0"/>
        <v>5</v>
      </c>
      <c r="G22" s="28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x14ac:dyDescent="0.2">
      <c r="A23" s="79" t="s">
        <v>528</v>
      </c>
      <c r="B23" s="79" t="s">
        <v>528</v>
      </c>
      <c r="C23" s="266" t="s">
        <v>464</v>
      </c>
      <c r="D23" s="296">
        <v>1</v>
      </c>
      <c r="E23" s="67">
        <f>Store_10</f>
        <v>10</v>
      </c>
      <c r="F23" s="273">
        <f t="shared" si="0"/>
        <v>10</v>
      </c>
      <c r="G23" s="283" t="s">
        <v>974</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x14ac:dyDescent="0.2">
      <c r="A24" s="79" t="s">
        <v>528</v>
      </c>
      <c r="B24" s="79" t="s">
        <v>528</v>
      </c>
      <c r="C24" s="266" t="s">
        <v>467</v>
      </c>
      <c r="D24" s="296">
        <v>1</v>
      </c>
      <c r="E24" s="67">
        <f>Store_20</f>
        <v>20</v>
      </c>
      <c r="F24" s="273">
        <f t="shared" si="0"/>
        <v>20</v>
      </c>
      <c r="G24" s="283" t="s">
        <v>836</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90" customFormat="1" ht="15" x14ac:dyDescent="0.25">
      <c r="A25" s="79" t="s">
        <v>528</v>
      </c>
      <c r="B25" s="79" t="s">
        <v>528</v>
      </c>
      <c r="C25" s="266" t="s">
        <v>690</v>
      </c>
      <c r="D25" s="373">
        <v>1</v>
      </c>
      <c r="E25" s="195">
        <f>Store_15</f>
        <v>15</v>
      </c>
      <c r="F25" s="26">
        <f t="shared" si="0"/>
        <v>15</v>
      </c>
      <c r="G25" s="38" t="s">
        <v>692</v>
      </c>
    </row>
    <row r="26" spans="1:66" x14ac:dyDescent="0.2">
      <c r="A26" s="79" t="s">
        <v>528</v>
      </c>
      <c r="B26" s="79" t="s">
        <v>528</v>
      </c>
      <c r="C26" s="266" t="s">
        <v>470</v>
      </c>
      <c r="D26" s="296">
        <v>1</v>
      </c>
      <c r="E26" s="67">
        <f>Store_5</f>
        <v>5</v>
      </c>
      <c r="F26" s="273">
        <f t="shared" si="0"/>
        <v>5</v>
      </c>
      <c r="G26" s="283" t="s">
        <v>975</v>
      </c>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x14ac:dyDescent="0.2">
      <c r="A27" s="79" t="s">
        <v>528</v>
      </c>
      <c r="B27" s="79" t="s">
        <v>528</v>
      </c>
      <c r="C27" s="266" t="s">
        <v>348</v>
      </c>
      <c r="D27" s="296">
        <v>3</v>
      </c>
      <c r="E27" s="67">
        <f>Staff_Workstn_pp</f>
        <v>4.5</v>
      </c>
      <c r="F27" s="273">
        <f t="shared" si="0"/>
        <v>13.5</v>
      </c>
      <c r="G27" s="342"/>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x14ac:dyDescent="0.2">
      <c r="A28" s="79" t="s">
        <v>528</v>
      </c>
      <c r="B28" s="79" t="s">
        <v>528</v>
      </c>
      <c r="C28" s="266" t="s">
        <v>147</v>
      </c>
      <c r="D28" s="296">
        <v>2</v>
      </c>
      <c r="E28" s="73">
        <f>SRS_WC_Amb</f>
        <v>2.5</v>
      </c>
      <c r="F28" s="66">
        <f t="shared" si="0"/>
        <v>5</v>
      </c>
      <c r="G28" s="342"/>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x14ac:dyDescent="0.2">
      <c r="A29" s="79" t="s">
        <v>528</v>
      </c>
      <c r="B29" s="79" t="s">
        <v>528</v>
      </c>
      <c r="C29" s="266" t="s">
        <v>39</v>
      </c>
      <c r="D29" s="307">
        <v>1</v>
      </c>
      <c r="E29" s="77">
        <f>SRS_Cleaner_Rm</f>
        <v>8</v>
      </c>
      <c r="F29" s="59">
        <f t="shared" si="0"/>
        <v>8</v>
      </c>
      <c r="G29" s="344"/>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x14ac:dyDescent="0.2">
      <c r="A30" s="79" t="s">
        <v>526</v>
      </c>
      <c r="B30" s="70" t="s">
        <v>259</v>
      </c>
      <c r="C30" s="266" t="s">
        <v>976</v>
      </c>
      <c r="D30" s="334">
        <v>10</v>
      </c>
      <c r="E30" s="75">
        <f>Theatres_OT_Standard</f>
        <v>55</v>
      </c>
      <c r="F30" s="68">
        <f>D30*E30</f>
        <v>550</v>
      </c>
      <c r="G30" s="199"/>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x14ac:dyDescent="0.2">
      <c r="A31" s="79" t="s">
        <v>526</v>
      </c>
      <c r="B31" s="65" t="s">
        <v>259</v>
      </c>
      <c r="C31" s="266" t="s">
        <v>977</v>
      </c>
      <c r="D31" s="298">
        <v>2</v>
      </c>
      <c r="E31" s="73">
        <f>Theatres_OT_Emerg</f>
        <v>55</v>
      </c>
      <c r="F31" s="66">
        <f t="shared" ref="F31:F75" si="1">D31*E31</f>
        <v>110</v>
      </c>
      <c r="G31" s="200"/>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x14ac:dyDescent="0.2">
      <c r="A32" s="79" t="s">
        <v>526</v>
      </c>
      <c r="B32" s="65" t="s">
        <v>259</v>
      </c>
      <c r="C32" s="266" t="s">
        <v>978</v>
      </c>
      <c r="D32" s="298">
        <v>1</v>
      </c>
      <c r="E32" s="73">
        <f>Theatres_OT_Hybrid</f>
        <v>80</v>
      </c>
      <c r="F32" s="66">
        <f t="shared" si="1"/>
        <v>80</v>
      </c>
      <c r="G32" s="200"/>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x14ac:dyDescent="0.2">
      <c r="A33" s="79" t="s">
        <v>526</v>
      </c>
      <c r="B33" s="65" t="s">
        <v>259</v>
      </c>
      <c r="C33" s="266" t="s">
        <v>195</v>
      </c>
      <c r="D33" s="298">
        <v>1</v>
      </c>
      <c r="E33" s="73">
        <v>20</v>
      </c>
      <c r="F33" s="66">
        <f t="shared" si="1"/>
        <v>20</v>
      </c>
      <c r="G33" s="200" t="s">
        <v>979</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x14ac:dyDescent="0.2">
      <c r="A34" s="79" t="s">
        <v>526</v>
      </c>
      <c r="B34" s="65" t="s">
        <v>259</v>
      </c>
      <c r="C34" s="266" t="s">
        <v>980</v>
      </c>
      <c r="D34" s="298">
        <v>1</v>
      </c>
      <c r="E34" s="67">
        <v>10</v>
      </c>
      <c r="F34" s="273">
        <f>D34*E34</f>
        <v>10</v>
      </c>
      <c r="G34" s="342" t="s">
        <v>981</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x14ac:dyDescent="0.2">
      <c r="A35" s="79" t="s">
        <v>526</v>
      </c>
      <c r="B35" s="65" t="s">
        <v>259</v>
      </c>
      <c r="C35" s="266" t="s">
        <v>260</v>
      </c>
      <c r="D35" s="298">
        <v>11</v>
      </c>
      <c r="E35" s="80">
        <f>Theatres_Anaesth</f>
        <v>19</v>
      </c>
      <c r="F35" s="66">
        <f t="shared" si="1"/>
        <v>209</v>
      </c>
      <c r="G35" s="200"/>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x14ac:dyDescent="0.2">
      <c r="A36" s="79" t="s">
        <v>526</v>
      </c>
      <c r="B36" s="65" t="s">
        <v>982</v>
      </c>
      <c r="C36" s="266" t="s">
        <v>461</v>
      </c>
      <c r="D36" s="298">
        <v>2</v>
      </c>
      <c r="E36" s="73">
        <f>Store_Anaesth</f>
        <v>2</v>
      </c>
      <c r="F36" s="66">
        <f>D36*E36</f>
        <v>4</v>
      </c>
      <c r="G36" s="280" t="s">
        <v>983</v>
      </c>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x14ac:dyDescent="0.2">
      <c r="A37" s="79" t="s">
        <v>526</v>
      </c>
      <c r="B37" s="65" t="s">
        <v>259</v>
      </c>
      <c r="C37" s="266" t="s">
        <v>984</v>
      </c>
      <c r="D37" s="298">
        <v>13</v>
      </c>
      <c r="E37" s="80">
        <f>Theatres_Preparation</f>
        <v>12</v>
      </c>
      <c r="F37" s="66">
        <f t="shared" si="1"/>
        <v>156</v>
      </c>
      <c r="G37" s="200"/>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x14ac:dyDescent="0.2">
      <c r="A38" s="79" t="s">
        <v>526</v>
      </c>
      <c r="B38" s="65" t="s">
        <v>259</v>
      </c>
      <c r="C38" s="266" t="s">
        <v>282</v>
      </c>
      <c r="D38" s="298">
        <v>13</v>
      </c>
      <c r="E38" s="73">
        <f>Theatres_Scrubroom</f>
        <v>12</v>
      </c>
      <c r="F38" s="66">
        <f t="shared" si="1"/>
        <v>156</v>
      </c>
      <c r="G38" s="201" t="s">
        <v>985</v>
      </c>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x14ac:dyDescent="0.2">
      <c r="A39" s="79" t="s">
        <v>526</v>
      </c>
      <c r="B39" s="65" t="s">
        <v>259</v>
      </c>
      <c r="C39" s="266" t="s">
        <v>262</v>
      </c>
      <c r="D39" s="298">
        <v>13</v>
      </c>
      <c r="E39" s="73">
        <f>Theatres_Bay_Exit</f>
        <v>8</v>
      </c>
      <c r="F39" s="66">
        <f t="shared" si="1"/>
        <v>104</v>
      </c>
      <c r="G39" s="201"/>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x14ac:dyDescent="0.2">
      <c r="A40" s="79" t="s">
        <v>526</v>
      </c>
      <c r="B40" s="65" t="s">
        <v>259</v>
      </c>
      <c r="C40" s="266" t="s">
        <v>47</v>
      </c>
      <c r="D40" s="298">
        <v>13</v>
      </c>
      <c r="E40" s="73">
        <f>SRS_Dirtyutil_Lrg</f>
        <v>12</v>
      </c>
      <c r="F40" s="66">
        <f t="shared" si="1"/>
        <v>156</v>
      </c>
      <c r="G40" s="201" t="s">
        <v>986</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x14ac:dyDescent="0.2">
      <c r="A41" s="79" t="s">
        <v>526</v>
      </c>
      <c r="B41" s="65" t="s">
        <v>259</v>
      </c>
      <c r="C41" s="266" t="s">
        <v>203</v>
      </c>
      <c r="D41" s="298">
        <v>2</v>
      </c>
      <c r="E41" s="73">
        <f>Imaging_Hold_Leadapron</f>
        <v>0.5</v>
      </c>
      <c r="F41" s="66">
        <v>0.5</v>
      </c>
      <c r="G41" s="345"/>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ht="25.5" x14ac:dyDescent="0.2">
      <c r="A42" s="79" t="s">
        <v>526</v>
      </c>
      <c r="B42" s="65" t="s">
        <v>259</v>
      </c>
      <c r="C42" s="266" t="s">
        <v>470</v>
      </c>
      <c r="D42" s="298">
        <v>7</v>
      </c>
      <c r="E42" s="73">
        <f>Store_5</f>
        <v>5</v>
      </c>
      <c r="F42" s="66">
        <f t="shared" si="1"/>
        <v>35</v>
      </c>
      <c r="G42" s="201" t="s">
        <v>987</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ht="25.5" x14ac:dyDescent="0.2">
      <c r="A43" s="79" t="s">
        <v>526</v>
      </c>
      <c r="B43" s="61" t="s">
        <v>259</v>
      </c>
      <c r="C43" s="266" t="s">
        <v>470</v>
      </c>
      <c r="D43" s="335">
        <v>13</v>
      </c>
      <c r="E43" s="77">
        <f>Store_5</f>
        <v>5</v>
      </c>
      <c r="F43" s="59">
        <f t="shared" si="1"/>
        <v>65</v>
      </c>
      <c r="G43" s="340" t="s">
        <v>988</v>
      </c>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x14ac:dyDescent="0.2">
      <c r="A44" s="79" t="s">
        <v>526</v>
      </c>
      <c r="B44" s="70" t="s">
        <v>982</v>
      </c>
      <c r="C44" s="266" t="s">
        <v>989</v>
      </c>
      <c r="D44" s="334">
        <v>2</v>
      </c>
      <c r="E44" s="69">
        <f>Theatres_OT_Obstetric</f>
        <v>60</v>
      </c>
      <c r="F44" s="302">
        <f t="shared" si="1"/>
        <v>120</v>
      </c>
      <c r="G44" s="369" t="s">
        <v>990</v>
      </c>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x14ac:dyDescent="0.2">
      <c r="A45" s="79" t="s">
        <v>526</v>
      </c>
      <c r="B45" s="65" t="s">
        <v>982</v>
      </c>
      <c r="C45" s="266" t="s">
        <v>461</v>
      </c>
      <c r="D45" s="298">
        <v>2</v>
      </c>
      <c r="E45" s="67">
        <f>Store_Anaesth</f>
        <v>2</v>
      </c>
      <c r="F45" s="273">
        <f t="shared" si="1"/>
        <v>4</v>
      </c>
      <c r="G45" s="371"/>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x14ac:dyDescent="0.2">
      <c r="A46" s="79" t="s">
        <v>526</v>
      </c>
      <c r="B46" s="65" t="s">
        <v>982</v>
      </c>
      <c r="C46" s="266" t="s">
        <v>984</v>
      </c>
      <c r="D46" s="298">
        <v>2</v>
      </c>
      <c r="E46" s="67">
        <f>Theatres_Preparation</f>
        <v>12</v>
      </c>
      <c r="F46" s="273">
        <f t="shared" si="1"/>
        <v>24</v>
      </c>
      <c r="G46" s="342"/>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x14ac:dyDescent="0.2">
      <c r="A47" s="79" t="s">
        <v>526</v>
      </c>
      <c r="B47" s="65" t="s">
        <v>982</v>
      </c>
      <c r="C47" s="266" t="s">
        <v>282</v>
      </c>
      <c r="D47" s="298">
        <v>2</v>
      </c>
      <c r="E47" s="67">
        <f>Theatres_Scrubroom</f>
        <v>12</v>
      </c>
      <c r="F47" s="273">
        <f t="shared" si="1"/>
        <v>24</v>
      </c>
      <c r="G47" s="342" t="s">
        <v>985</v>
      </c>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x14ac:dyDescent="0.2">
      <c r="A48" s="79" t="s">
        <v>526</v>
      </c>
      <c r="B48" s="65" t="s">
        <v>982</v>
      </c>
      <c r="C48" s="266" t="s">
        <v>262</v>
      </c>
      <c r="D48" s="298">
        <v>2</v>
      </c>
      <c r="E48" s="67">
        <f>Theatres_Bay_Exit</f>
        <v>8</v>
      </c>
      <c r="F48" s="273">
        <f t="shared" si="1"/>
        <v>16</v>
      </c>
      <c r="G48" s="342"/>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x14ac:dyDescent="0.2">
      <c r="A49" s="79" t="s">
        <v>526</v>
      </c>
      <c r="B49" s="65" t="s">
        <v>982</v>
      </c>
      <c r="C49" s="266" t="s">
        <v>47</v>
      </c>
      <c r="D49" s="298">
        <v>2</v>
      </c>
      <c r="E49" s="67">
        <f>SCS_Dirtyutil_Lrg</f>
        <v>12</v>
      </c>
      <c r="F49" s="273">
        <f t="shared" si="1"/>
        <v>24</v>
      </c>
      <c r="G49" s="342"/>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ht="25.5" x14ac:dyDescent="0.2">
      <c r="A50" s="79" t="s">
        <v>526</v>
      </c>
      <c r="B50" s="65" t="s">
        <v>982</v>
      </c>
      <c r="C50" s="266" t="s">
        <v>470</v>
      </c>
      <c r="D50" s="298">
        <v>1</v>
      </c>
      <c r="E50" s="67">
        <f>Store_5</f>
        <v>5</v>
      </c>
      <c r="F50" s="273">
        <f t="shared" si="1"/>
        <v>5</v>
      </c>
      <c r="G50" s="342" t="s">
        <v>987</v>
      </c>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x14ac:dyDescent="0.2">
      <c r="A51" s="79" t="s">
        <v>526</v>
      </c>
      <c r="B51" s="65" t="s">
        <v>982</v>
      </c>
      <c r="C51" s="266" t="s">
        <v>453</v>
      </c>
      <c r="D51" s="298">
        <v>1</v>
      </c>
      <c r="E51" s="67">
        <f>Bay_Transportincub</f>
        <v>4</v>
      </c>
      <c r="F51" s="273">
        <f t="shared" si="1"/>
        <v>4</v>
      </c>
      <c r="G51" s="372"/>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x14ac:dyDescent="0.2">
      <c r="A52" s="79" t="s">
        <v>526</v>
      </c>
      <c r="B52" s="70" t="s">
        <v>991</v>
      </c>
      <c r="C52" s="266" t="s">
        <v>270</v>
      </c>
      <c r="D52" s="298">
        <v>2</v>
      </c>
      <c r="E52" s="69">
        <f>Theatres_IRsuite</f>
        <v>55</v>
      </c>
      <c r="F52" s="302">
        <f t="shared" si="1"/>
        <v>110</v>
      </c>
      <c r="G52" s="369"/>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x14ac:dyDescent="0.2">
      <c r="A53" s="79" t="s">
        <v>526</v>
      </c>
      <c r="B53" s="65" t="s">
        <v>991</v>
      </c>
      <c r="C53" s="266" t="s">
        <v>195</v>
      </c>
      <c r="D53" s="298">
        <v>2</v>
      </c>
      <c r="E53" s="67">
        <v>20</v>
      </c>
      <c r="F53" s="273">
        <f t="shared" si="1"/>
        <v>40</v>
      </c>
      <c r="G53" s="342"/>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x14ac:dyDescent="0.2">
      <c r="A54" s="79" t="s">
        <v>526</v>
      </c>
      <c r="B54" s="65" t="s">
        <v>991</v>
      </c>
      <c r="C54" s="266" t="s">
        <v>980</v>
      </c>
      <c r="D54" s="298">
        <v>2</v>
      </c>
      <c r="E54" s="67">
        <v>10</v>
      </c>
      <c r="F54" s="273">
        <f>D54*E54</f>
        <v>20</v>
      </c>
      <c r="G54" s="342" t="s">
        <v>992</v>
      </c>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x14ac:dyDescent="0.2">
      <c r="A55" s="79" t="s">
        <v>526</v>
      </c>
      <c r="B55" s="65" t="s">
        <v>991</v>
      </c>
      <c r="C55" s="266" t="s">
        <v>461</v>
      </c>
      <c r="D55" s="298">
        <v>2</v>
      </c>
      <c r="E55" s="67">
        <f>Store_Anaesth</f>
        <v>2</v>
      </c>
      <c r="F55" s="273">
        <f>D55*E55</f>
        <v>4</v>
      </c>
      <c r="G55" s="28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x14ac:dyDescent="0.2">
      <c r="A56" s="79" t="s">
        <v>526</v>
      </c>
      <c r="B56" s="65" t="s">
        <v>991</v>
      </c>
      <c r="C56" s="266" t="s">
        <v>203</v>
      </c>
      <c r="D56" s="298">
        <v>2</v>
      </c>
      <c r="E56" s="67">
        <f>Imaging_Hold_Leadapron</f>
        <v>0.5</v>
      </c>
      <c r="F56" s="273">
        <v>0.5</v>
      </c>
      <c r="G56" s="370"/>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x14ac:dyDescent="0.2">
      <c r="A57" s="79" t="s">
        <v>526</v>
      </c>
      <c r="B57" s="65" t="s">
        <v>991</v>
      </c>
      <c r="C57" s="266" t="s">
        <v>984</v>
      </c>
      <c r="D57" s="298">
        <v>2</v>
      </c>
      <c r="E57" s="67">
        <f>Theatres_Preparation</f>
        <v>12</v>
      </c>
      <c r="F57" s="273">
        <f t="shared" si="1"/>
        <v>24</v>
      </c>
      <c r="G57" s="342"/>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x14ac:dyDescent="0.2">
      <c r="A58" s="79" t="s">
        <v>526</v>
      </c>
      <c r="B58" s="65" t="s">
        <v>991</v>
      </c>
      <c r="C58" s="266" t="s">
        <v>282</v>
      </c>
      <c r="D58" s="298">
        <v>2</v>
      </c>
      <c r="E58" s="67">
        <f>Theatres_Scrubroom</f>
        <v>12</v>
      </c>
      <c r="F58" s="273">
        <f t="shared" si="1"/>
        <v>24</v>
      </c>
      <c r="G58" s="342" t="s">
        <v>985</v>
      </c>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x14ac:dyDescent="0.2">
      <c r="A59" s="79" t="s">
        <v>526</v>
      </c>
      <c r="B59" s="65" t="s">
        <v>991</v>
      </c>
      <c r="C59" s="266" t="s">
        <v>262</v>
      </c>
      <c r="D59" s="298">
        <v>2</v>
      </c>
      <c r="E59" s="67">
        <f>Theatres_Bay_Exit</f>
        <v>8</v>
      </c>
      <c r="F59" s="273">
        <f t="shared" si="1"/>
        <v>16</v>
      </c>
      <c r="G59" s="342"/>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ht="25.5" x14ac:dyDescent="0.2">
      <c r="A60" s="79" t="s">
        <v>526</v>
      </c>
      <c r="B60" s="65" t="s">
        <v>991</v>
      </c>
      <c r="C60" s="266" t="s">
        <v>690</v>
      </c>
      <c r="D60" s="298">
        <v>1</v>
      </c>
      <c r="E60" s="67">
        <f>Store_15</f>
        <v>15</v>
      </c>
      <c r="F60" s="273">
        <f t="shared" si="1"/>
        <v>15</v>
      </c>
      <c r="G60" s="342" t="s">
        <v>987</v>
      </c>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x14ac:dyDescent="0.2">
      <c r="A61" s="79" t="s">
        <v>526</v>
      </c>
      <c r="B61" s="65" t="s">
        <v>991</v>
      </c>
      <c r="C61" s="266" t="s">
        <v>690</v>
      </c>
      <c r="D61" s="298">
        <v>2</v>
      </c>
      <c r="E61" s="67">
        <f>Store_15</f>
        <v>15</v>
      </c>
      <c r="F61" s="273">
        <f t="shared" si="1"/>
        <v>30</v>
      </c>
      <c r="G61" s="342" t="s">
        <v>993</v>
      </c>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x14ac:dyDescent="0.2">
      <c r="A62" s="79" t="s">
        <v>526</v>
      </c>
      <c r="B62" s="61" t="s">
        <v>991</v>
      </c>
      <c r="C62" s="266" t="s">
        <v>841</v>
      </c>
      <c r="D62" s="335">
        <v>2</v>
      </c>
      <c r="E62" s="71">
        <f>Imaging_Reporting_pp</f>
        <v>5.5</v>
      </c>
      <c r="F62" s="366">
        <f t="shared" si="1"/>
        <v>11</v>
      </c>
      <c r="G62" s="344" t="s">
        <v>994</v>
      </c>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x14ac:dyDescent="0.2">
      <c r="A63" s="79" t="s">
        <v>526</v>
      </c>
      <c r="B63" s="70" t="s">
        <v>995</v>
      </c>
      <c r="C63" s="266" t="s">
        <v>996</v>
      </c>
      <c r="D63" s="334">
        <v>1</v>
      </c>
      <c r="E63" s="75">
        <f>Theatres_Cathlab</f>
        <v>55</v>
      </c>
      <c r="F63" s="68">
        <f t="shared" si="1"/>
        <v>55</v>
      </c>
      <c r="G63" s="339"/>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x14ac:dyDescent="0.2">
      <c r="A64" s="79" t="s">
        <v>526</v>
      </c>
      <c r="B64" s="70" t="s">
        <v>995</v>
      </c>
      <c r="C64" s="266" t="s">
        <v>195</v>
      </c>
      <c r="D64" s="298">
        <v>1</v>
      </c>
      <c r="E64" s="67">
        <v>20</v>
      </c>
      <c r="F64" s="273">
        <f t="shared" si="1"/>
        <v>20</v>
      </c>
      <c r="G64" s="342"/>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x14ac:dyDescent="0.2">
      <c r="A65" s="79" t="s">
        <v>526</v>
      </c>
      <c r="B65" s="70" t="s">
        <v>995</v>
      </c>
      <c r="C65" s="266" t="s">
        <v>980</v>
      </c>
      <c r="D65" s="298">
        <v>1</v>
      </c>
      <c r="E65" s="67">
        <v>10</v>
      </c>
      <c r="F65" s="273">
        <f>D65*E65</f>
        <v>10</v>
      </c>
      <c r="G65" s="368"/>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x14ac:dyDescent="0.2">
      <c r="A66" s="79" t="s">
        <v>526</v>
      </c>
      <c r="B66" s="70" t="s">
        <v>995</v>
      </c>
      <c r="C66" s="266" t="s">
        <v>461</v>
      </c>
      <c r="D66" s="298">
        <v>1</v>
      </c>
      <c r="E66" s="67">
        <f>Store_Anaesth</f>
        <v>2</v>
      </c>
      <c r="F66" s="273">
        <f>D66*E66</f>
        <v>2</v>
      </c>
      <c r="G66" s="28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x14ac:dyDescent="0.2">
      <c r="A67" s="79" t="s">
        <v>526</v>
      </c>
      <c r="B67" s="70" t="s">
        <v>995</v>
      </c>
      <c r="C67" s="266" t="s">
        <v>984</v>
      </c>
      <c r="D67" s="332">
        <v>1</v>
      </c>
      <c r="E67" s="67">
        <f>Theatres_Preparation</f>
        <v>12</v>
      </c>
      <c r="F67" s="273">
        <f t="shared" si="1"/>
        <v>12</v>
      </c>
      <c r="G67" s="342"/>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x14ac:dyDescent="0.2">
      <c r="A68" s="79" t="s">
        <v>526</v>
      </c>
      <c r="B68" s="70" t="s">
        <v>995</v>
      </c>
      <c r="C68" s="266" t="s">
        <v>282</v>
      </c>
      <c r="D68" s="332">
        <v>1</v>
      </c>
      <c r="E68" s="67">
        <f>Theatres_Scrubroom</f>
        <v>12</v>
      </c>
      <c r="F68" s="273">
        <f t="shared" si="1"/>
        <v>12</v>
      </c>
      <c r="G68" s="342" t="s">
        <v>985</v>
      </c>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x14ac:dyDescent="0.2">
      <c r="A69" s="79" t="s">
        <v>526</v>
      </c>
      <c r="B69" s="70" t="s">
        <v>995</v>
      </c>
      <c r="C69" s="266" t="s">
        <v>262</v>
      </c>
      <c r="D69" s="298">
        <v>1</v>
      </c>
      <c r="E69" s="67">
        <f>Theatres_Bay_Exit</f>
        <v>8</v>
      </c>
      <c r="F69" s="273">
        <f t="shared" si="1"/>
        <v>8</v>
      </c>
      <c r="G69" s="342"/>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x14ac:dyDescent="0.2">
      <c r="A70" s="79" t="s">
        <v>526</v>
      </c>
      <c r="B70" s="70" t="s">
        <v>995</v>
      </c>
      <c r="C70" s="266" t="s">
        <v>47</v>
      </c>
      <c r="D70" s="298">
        <v>1</v>
      </c>
      <c r="E70" s="67">
        <f>SCS_Dirtyutil_Lrg</f>
        <v>12</v>
      </c>
      <c r="F70" s="273">
        <f t="shared" si="1"/>
        <v>12</v>
      </c>
      <c r="G70" s="281"/>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x14ac:dyDescent="0.2">
      <c r="A71" s="79" t="s">
        <v>526</v>
      </c>
      <c r="B71" s="70" t="s">
        <v>995</v>
      </c>
      <c r="C71" s="266" t="s">
        <v>203</v>
      </c>
      <c r="D71" s="298">
        <v>1</v>
      </c>
      <c r="E71" s="67">
        <f>Imaging_Hold_Leadapron</f>
        <v>0.5</v>
      </c>
      <c r="F71" s="273">
        <v>0.5</v>
      </c>
      <c r="G71" s="281"/>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ht="25.5" x14ac:dyDescent="0.2">
      <c r="A72" s="79" t="s">
        <v>526</v>
      </c>
      <c r="B72" s="70" t="s">
        <v>995</v>
      </c>
      <c r="C72" s="266" t="s">
        <v>470</v>
      </c>
      <c r="D72" s="298">
        <v>1</v>
      </c>
      <c r="E72" s="73">
        <f>Store_5</f>
        <v>5</v>
      </c>
      <c r="F72" s="66">
        <f t="shared" ref="F72" si="2">D72*E72</f>
        <v>5</v>
      </c>
      <c r="G72" s="201" t="s">
        <v>987</v>
      </c>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ht="25.5" x14ac:dyDescent="0.2">
      <c r="A73" s="79" t="s">
        <v>526</v>
      </c>
      <c r="B73" s="70" t="s">
        <v>995</v>
      </c>
      <c r="C73" s="266" t="s">
        <v>470</v>
      </c>
      <c r="D73" s="307">
        <v>1</v>
      </c>
      <c r="E73" s="77">
        <f>Store_5</f>
        <v>5</v>
      </c>
      <c r="F73" s="59">
        <f t="shared" si="1"/>
        <v>5</v>
      </c>
      <c r="G73" s="340" t="s">
        <v>997</v>
      </c>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x14ac:dyDescent="0.2">
      <c r="A74" s="79" t="s">
        <v>526</v>
      </c>
      <c r="B74" s="70" t="s">
        <v>995</v>
      </c>
      <c r="C74" s="266" t="s">
        <v>466</v>
      </c>
      <c r="D74" s="308">
        <v>1</v>
      </c>
      <c r="E74" s="62">
        <f>Store_15</f>
        <v>15</v>
      </c>
      <c r="F74" s="66">
        <f t="shared" si="1"/>
        <v>15</v>
      </c>
      <c r="G74" s="280" t="s">
        <v>998</v>
      </c>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x14ac:dyDescent="0.2">
      <c r="A75" s="79" t="s">
        <v>526</v>
      </c>
      <c r="B75" s="70" t="s">
        <v>995</v>
      </c>
      <c r="C75" s="266" t="s">
        <v>841</v>
      </c>
      <c r="D75" s="335">
        <v>1</v>
      </c>
      <c r="E75" s="77">
        <f>Imaging_Reporting_pp</f>
        <v>5.5</v>
      </c>
      <c r="F75" s="59">
        <f t="shared" si="1"/>
        <v>5.5</v>
      </c>
      <c r="G75" s="340" t="s">
        <v>999</v>
      </c>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x14ac:dyDescent="0.2">
      <c r="A76" s="79" t="s">
        <v>526</v>
      </c>
      <c r="B76" s="70" t="s">
        <v>615</v>
      </c>
      <c r="C76" s="266" t="s">
        <v>264</v>
      </c>
      <c r="D76" s="337">
        <v>22</v>
      </c>
      <c r="E76" s="81">
        <f>Theatres_Cabin_Stage1_Stand</f>
        <v>14</v>
      </c>
      <c r="F76" s="68">
        <f>D76*E76</f>
        <v>308</v>
      </c>
      <c r="G76" s="346" t="s">
        <v>973</v>
      </c>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row r="77" spans="1:66" x14ac:dyDescent="0.2">
      <c r="A77" s="79" t="s">
        <v>526</v>
      </c>
      <c r="B77" s="65" t="s">
        <v>615</v>
      </c>
      <c r="C77" s="266" t="s">
        <v>265</v>
      </c>
      <c r="D77" s="332">
        <v>2</v>
      </c>
      <c r="E77" s="62">
        <f>Theatres_Cabin_Stage1_Lrg</f>
        <v>16</v>
      </c>
      <c r="F77" s="66">
        <f t="shared" ref="F77:F82" si="3">D77*E77</f>
        <v>32</v>
      </c>
      <c r="G77" s="341" t="s">
        <v>973</v>
      </c>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row>
    <row r="78" spans="1:66" x14ac:dyDescent="0.2">
      <c r="A78" s="79" t="s">
        <v>526</v>
      </c>
      <c r="B78" s="65" t="s">
        <v>615</v>
      </c>
      <c r="C78" s="266" t="s">
        <v>126</v>
      </c>
      <c r="D78" s="308">
        <v>2</v>
      </c>
      <c r="E78" s="62">
        <f>SRS_Staffbase_pp</f>
        <v>4</v>
      </c>
      <c r="F78" s="66">
        <f t="shared" si="3"/>
        <v>8</v>
      </c>
      <c r="G78" s="202"/>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row>
    <row r="79" spans="1:66" x14ac:dyDescent="0.2">
      <c r="A79" s="79" t="s">
        <v>526</v>
      </c>
      <c r="B79" s="65" t="s">
        <v>615</v>
      </c>
      <c r="C79" s="266" t="s">
        <v>31</v>
      </c>
      <c r="D79" s="308">
        <v>1</v>
      </c>
      <c r="E79" s="62">
        <f>SCS_Cleansupply_Med</f>
        <v>9</v>
      </c>
      <c r="F79" s="66">
        <f t="shared" si="3"/>
        <v>9</v>
      </c>
      <c r="G79" s="202"/>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row>
    <row r="80" spans="1:66" x14ac:dyDescent="0.2">
      <c r="A80" s="79" t="s">
        <v>526</v>
      </c>
      <c r="B80" s="65" t="s">
        <v>615</v>
      </c>
      <c r="C80" s="266" t="s">
        <v>47</v>
      </c>
      <c r="D80" s="308">
        <v>1</v>
      </c>
      <c r="E80" s="62">
        <f>SCS_Dirtyutil_Lrg</f>
        <v>12</v>
      </c>
      <c r="F80" s="66">
        <f t="shared" si="3"/>
        <v>12</v>
      </c>
      <c r="G80" s="202"/>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row>
    <row r="81" spans="1:66" x14ac:dyDescent="0.2">
      <c r="A81" s="79" t="s">
        <v>526</v>
      </c>
      <c r="B81" s="65" t="s">
        <v>615</v>
      </c>
      <c r="C81" s="266" t="s">
        <v>67</v>
      </c>
      <c r="D81" s="308">
        <v>1</v>
      </c>
      <c r="E81" s="62">
        <f>SCS_Medprep_Med</f>
        <v>12</v>
      </c>
      <c r="F81" s="66">
        <f t="shared" si="3"/>
        <v>12</v>
      </c>
      <c r="G81" s="202"/>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row>
    <row r="82" spans="1:66" x14ac:dyDescent="0.2">
      <c r="A82" s="79" t="s">
        <v>526</v>
      </c>
      <c r="B82" s="61" t="s">
        <v>615</v>
      </c>
      <c r="C82" s="266" t="s">
        <v>450</v>
      </c>
      <c r="D82" s="306">
        <v>1</v>
      </c>
      <c r="E82" s="82">
        <f>Bay_Resustroll</f>
        <v>2</v>
      </c>
      <c r="F82" s="59">
        <f t="shared" si="3"/>
        <v>2</v>
      </c>
      <c r="G82" s="323" t="s">
        <v>1000</v>
      </c>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row>
    <row r="83" spans="1:66" x14ac:dyDescent="0.2">
      <c r="A83" s="79" t="s">
        <v>1001</v>
      </c>
      <c r="B83" s="70" t="s">
        <v>1001</v>
      </c>
      <c r="C83" s="266" t="s">
        <v>232</v>
      </c>
      <c r="D83" s="8">
        <v>14</v>
      </c>
      <c r="E83" s="9">
        <f>IP_Bedsingle</f>
        <v>19</v>
      </c>
      <c r="F83" s="10">
        <f>D83*E83</f>
        <v>266</v>
      </c>
      <c r="G83" s="346" t="s">
        <v>973</v>
      </c>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row>
    <row r="84" spans="1:66" x14ac:dyDescent="0.2">
      <c r="A84" s="79" t="s">
        <v>1001</v>
      </c>
      <c r="B84" s="70" t="s">
        <v>1001</v>
      </c>
      <c r="C84" s="266" t="s">
        <v>98</v>
      </c>
      <c r="D84" s="14">
        <v>14</v>
      </c>
      <c r="E84" s="15">
        <f>SRS_Ensuite_Amb</f>
        <v>4.5</v>
      </c>
      <c r="F84" s="10">
        <f t="shared" ref="F84:F87" si="4">D84*E84</f>
        <v>63</v>
      </c>
      <c r="G84" s="341" t="s">
        <v>973</v>
      </c>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row>
    <row r="85" spans="1:66" x14ac:dyDescent="0.2">
      <c r="A85" s="79" t="s">
        <v>1001</v>
      </c>
      <c r="B85" s="70" t="s">
        <v>1001</v>
      </c>
      <c r="C85" s="266" t="s">
        <v>233</v>
      </c>
      <c r="D85" s="14">
        <v>2</v>
      </c>
      <c r="E85" s="18">
        <f>IP_Bedsingle_Lrg</f>
        <v>22</v>
      </c>
      <c r="F85" s="10">
        <f t="shared" si="4"/>
        <v>44</v>
      </c>
      <c r="G85" s="341" t="s">
        <v>973</v>
      </c>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row>
    <row r="86" spans="1:66" x14ac:dyDescent="0.2">
      <c r="A86" s="79" t="s">
        <v>1001</v>
      </c>
      <c r="B86" s="70" t="s">
        <v>1001</v>
      </c>
      <c r="C86" s="266" t="s">
        <v>95</v>
      </c>
      <c r="D86" s="14">
        <v>2</v>
      </c>
      <c r="E86" s="18">
        <f>SRS_Ensuite_lrg</f>
        <v>7.5</v>
      </c>
      <c r="F86" s="10">
        <f t="shared" si="4"/>
        <v>15</v>
      </c>
      <c r="G86" s="341" t="s">
        <v>973</v>
      </c>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row>
    <row r="87" spans="1:66" x14ac:dyDescent="0.2">
      <c r="A87" s="79" t="s">
        <v>1001</v>
      </c>
      <c r="B87" s="70" t="s">
        <v>1001</v>
      </c>
      <c r="C87" s="266" t="s">
        <v>63</v>
      </c>
      <c r="D87" s="88">
        <v>2</v>
      </c>
      <c r="E87" s="193">
        <f>SCS_Lobby_Iso</f>
        <v>6</v>
      </c>
      <c r="F87" s="10">
        <f t="shared" si="4"/>
        <v>12</v>
      </c>
      <c r="G87" s="341" t="s">
        <v>973</v>
      </c>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row>
    <row r="88" spans="1:66" x14ac:dyDescent="0.2">
      <c r="A88" s="79" t="s">
        <v>1001</v>
      </c>
      <c r="B88" s="70" t="s">
        <v>1001</v>
      </c>
      <c r="C88" s="266" t="s">
        <v>66</v>
      </c>
      <c r="D88" s="292">
        <v>1</v>
      </c>
      <c r="E88" s="194">
        <f>SCS_Medprep_Lrg</f>
        <v>16</v>
      </c>
      <c r="F88" s="21">
        <f>D88*E88</f>
        <v>16</v>
      </c>
      <c r="G88" s="202"/>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row>
    <row r="89" spans="1:66" x14ac:dyDescent="0.2">
      <c r="A89" s="79" t="s">
        <v>1001</v>
      </c>
      <c r="B89" s="70" t="s">
        <v>1001</v>
      </c>
      <c r="C89" s="266" t="s">
        <v>28</v>
      </c>
      <c r="D89" s="292">
        <v>1</v>
      </c>
      <c r="E89" s="195">
        <f>SCS_Cleansupply_lrg</f>
        <v>12</v>
      </c>
      <c r="F89" s="23">
        <f t="shared" ref="F89:F94" si="5">D89*E89</f>
        <v>12</v>
      </c>
      <c r="G89" s="202"/>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row>
    <row r="90" spans="1:66" x14ac:dyDescent="0.2">
      <c r="A90" s="79" t="s">
        <v>1001</v>
      </c>
      <c r="B90" s="70" t="s">
        <v>1001</v>
      </c>
      <c r="C90" s="266" t="s">
        <v>34</v>
      </c>
      <c r="D90" s="287">
        <v>1</v>
      </c>
      <c r="E90" s="15">
        <f>SCS_Cleansupply_Small</f>
        <v>5</v>
      </c>
      <c r="F90" s="23">
        <f t="shared" si="5"/>
        <v>5</v>
      </c>
      <c r="G90" s="202" t="s">
        <v>1002</v>
      </c>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row>
    <row r="91" spans="1:66" x14ac:dyDescent="0.2">
      <c r="A91" s="79" t="s">
        <v>1001</v>
      </c>
      <c r="B91" s="70" t="s">
        <v>1001</v>
      </c>
      <c r="C91" s="266" t="s">
        <v>49</v>
      </c>
      <c r="D91" s="292">
        <v>1</v>
      </c>
      <c r="E91" s="90">
        <f>SCS_Dirtyutil_Med</f>
        <v>9</v>
      </c>
      <c r="F91" s="23">
        <f t="shared" si="5"/>
        <v>9</v>
      </c>
      <c r="G91" s="202"/>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row>
    <row r="92" spans="1:66" x14ac:dyDescent="0.2">
      <c r="A92" s="79" t="s">
        <v>1001</v>
      </c>
      <c r="B92" s="70" t="s">
        <v>1001</v>
      </c>
      <c r="C92" s="266" t="s">
        <v>74</v>
      </c>
      <c r="D92" s="292">
        <v>1</v>
      </c>
      <c r="E92" s="90">
        <f>SCS_POCT</f>
        <v>10</v>
      </c>
      <c r="F92" s="23">
        <f t="shared" si="5"/>
        <v>10</v>
      </c>
      <c r="G92" s="202"/>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row>
    <row r="93" spans="1:66" x14ac:dyDescent="0.2">
      <c r="A93" s="79" t="s">
        <v>1001</v>
      </c>
      <c r="B93" s="70" t="s">
        <v>1001</v>
      </c>
      <c r="C93" s="266" t="s">
        <v>682</v>
      </c>
      <c r="D93" s="292">
        <v>1</v>
      </c>
      <c r="E93" s="18">
        <f>SRS_Pantry_Med</f>
        <v>12</v>
      </c>
      <c r="F93" s="23">
        <f t="shared" si="5"/>
        <v>12</v>
      </c>
      <c r="G93" s="202"/>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row>
    <row r="94" spans="1:66" x14ac:dyDescent="0.2">
      <c r="A94" s="79" t="s">
        <v>1001</v>
      </c>
      <c r="B94" s="70" t="s">
        <v>1001</v>
      </c>
      <c r="C94" s="266" t="s">
        <v>60</v>
      </c>
      <c r="D94" s="292">
        <v>1</v>
      </c>
      <c r="E94" s="31">
        <f>SCS_Interview</f>
        <v>10</v>
      </c>
      <c r="F94" s="32">
        <f t="shared" si="5"/>
        <v>10</v>
      </c>
      <c r="G94" s="202"/>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row>
    <row r="95" spans="1:66" x14ac:dyDescent="0.2">
      <c r="A95" s="79" t="s">
        <v>1001</v>
      </c>
      <c r="B95" s="70" t="s">
        <v>1001</v>
      </c>
      <c r="C95" s="266" t="s">
        <v>687</v>
      </c>
      <c r="D95" s="292">
        <v>1</v>
      </c>
      <c r="E95" s="20">
        <f>SRS_Staffbase_pp</f>
        <v>4</v>
      </c>
      <c r="F95" s="21">
        <f>D95*E95</f>
        <v>4</v>
      </c>
      <c r="G95" s="202"/>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row>
    <row r="96" spans="1:66" x14ac:dyDescent="0.2">
      <c r="A96" s="79" t="s">
        <v>1001</v>
      </c>
      <c r="B96" s="70" t="s">
        <v>1001</v>
      </c>
      <c r="C96" s="266" t="s">
        <v>69</v>
      </c>
      <c r="D96" s="292">
        <v>1</v>
      </c>
      <c r="E96" s="15">
        <f>SCS_MDT_15</f>
        <v>16</v>
      </c>
      <c r="F96" s="23">
        <f t="shared" ref="F96:F100" si="6">D96*E96</f>
        <v>16</v>
      </c>
      <c r="G96" s="202"/>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row>
    <row r="97" spans="1:66" x14ac:dyDescent="0.2">
      <c r="A97" s="79" t="s">
        <v>1001</v>
      </c>
      <c r="B97" s="70" t="s">
        <v>1001</v>
      </c>
      <c r="C97" s="266" t="s">
        <v>348</v>
      </c>
      <c r="D97" s="292">
        <v>2</v>
      </c>
      <c r="E97" s="15">
        <f>Staff_Workstn_pp</f>
        <v>4.5</v>
      </c>
      <c r="F97" s="23">
        <f t="shared" si="6"/>
        <v>9</v>
      </c>
      <c r="G97" s="202"/>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row>
    <row r="98" spans="1:66" x14ac:dyDescent="0.2">
      <c r="A98" s="79" t="s">
        <v>1001</v>
      </c>
      <c r="B98" s="70" t="s">
        <v>1001</v>
      </c>
      <c r="C98" s="266" t="s">
        <v>135</v>
      </c>
      <c r="D98" s="292">
        <v>8</v>
      </c>
      <c r="E98" s="195">
        <f>SRS_Touchdown_pp</f>
        <v>2</v>
      </c>
      <c r="F98" s="23">
        <f t="shared" si="6"/>
        <v>16</v>
      </c>
      <c r="G98" s="202"/>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row>
    <row r="99" spans="1:66" x14ac:dyDescent="0.2">
      <c r="A99" s="79" t="s">
        <v>1001</v>
      </c>
      <c r="B99" s="70" t="s">
        <v>1001</v>
      </c>
      <c r="C99" s="266" t="s">
        <v>146</v>
      </c>
      <c r="D99" s="292">
        <v>0</v>
      </c>
      <c r="E99" s="15">
        <f>SRS_WC_Access</f>
        <v>4.5</v>
      </c>
      <c r="F99" s="23">
        <f t="shared" si="6"/>
        <v>0</v>
      </c>
      <c r="G99" s="202"/>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row>
    <row r="100" spans="1:66" x14ac:dyDescent="0.2">
      <c r="A100" s="79" t="s">
        <v>1001</v>
      </c>
      <c r="B100" s="70" t="s">
        <v>1001</v>
      </c>
      <c r="C100" s="266" t="s">
        <v>147</v>
      </c>
      <c r="D100" s="292">
        <v>2</v>
      </c>
      <c r="E100" s="34">
        <f>SRS_WC_Amb</f>
        <v>2.5</v>
      </c>
      <c r="F100" s="23">
        <f t="shared" si="6"/>
        <v>5</v>
      </c>
      <c r="G100" s="202"/>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row>
    <row r="101" spans="1:66" x14ac:dyDescent="0.2">
      <c r="A101" s="79" t="s">
        <v>1001</v>
      </c>
      <c r="B101" s="70" t="s">
        <v>1001</v>
      </c>
      <c r="C101" s="266" t="s">
        <v>442</v>
      </c>
      <c r="D101" s="287">
        <v>1</v>
      </c>
      <c r="E101" s="35">
        <f>Bay_Foodtroll</f>
        <v>2</v>
      </c>
      <c r="F101" s="10">
        <f>D101*E101</f>
        <v>2</v>
      </c>
      <c r="G101" s="27"/>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row>
    <row r="102" spans="1:66" x14ac:dyDescent="0.2">
      <c r="A102" s="79" t="s">
        <v>1001</v>
      </c>
      <c r="B102" s="70" t="s">
        <v>1001</v>
      </c>
      <c r="C102" s="266" t="s">
        <v>450</v>
      </c>
      <c r="D102" s="287">
        <v>1</v>
      </c>
      <c r="E102" s="15">
        <f>Bay_Resustroll</f>
        <v>2</v>
      </c>
      <c r="F102" s="26">
        <f t="shared" ref="F102:F112" si="7">D102*E102</f>
        <v>2</v>
      </c>
      <c r="G102" s="27"/>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row>
    <row r="103" spans="1:66" x14ac:dyDescent="0.2">
      <c r="A103" s="79" t="s">
        <v>1001</v>
      </c>
      <c r="B103" s="70" t="s">
        <v>1001</v>
      </c>
      <c r="C103" s="266" t="s">
        <v>444</v>
      </c>
      <c r="D103" s="287">
        <v>1</v>
      </c>
      <c r="E103" s="15">
        <f>Bay_Linentroll</f>
        <v>3</v>
      </c>
      <c r="F103" s="26">
        <f t="shared" si="7"/>
        <v>3</v>
      </c>
      <c r="G103" s="27"/>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row>
    <row r="104" spans="1:66" x14ac:dyDescent="0.2">
      <c r="A104" s="79" t="s">
        <v>1001</v>
      </c>
      <c r="B104" s="70" t="s">
        <v>1001</v>
      </c>
      <c r="C104" s="266" t="s">
        <v>440</v>
      </c>
      <c r="D104" s="287">
        <v>1</v>
      </c>
      <c r="E104" s="15">
        <f>Bay_ECG</f>
        <v>2</v>
      </c>
      <c r="F104" s="26">
        <f t="shared" si="7"/>
        <v>2</v>
      </c>
      <c r="G104" s="27"/>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row>
    <row r="105" spans="1:66" x14ac:dyDescent="0.2">
      <c r="A105" s="79" t="s">
        <v>1001</v>
      </c>
      <c r="B105" s="70" t="s">
        <v>1001</v>
      </c>
      <c r="C105" s="266" t="s">
        <v>447</v>
      </c>
      <c r="D105" s="287">
        <v>1</v>
      </c>
      <c r="E105" s="15">
        <f>Bay_Mobile_Hoist</f>
        <v>2</v>
      </c>
      <c r="F105" s="26">
        <f t="shared" si="7"/>
        <v>2</v>
      </c>
      <c r="G105" s="27"/>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row>
    <row r="106" spans="1:66" x14ac:dyDescent="0.2">
      <c r="A106" s="79" t="s">
        <v>1001</v>
      </c>
      <c r="B106" s="70" t="s">
        <v>1001</v>
      </c>
      <c r="C106" s="266" t="s">
        <v>455</v>
      </c>
      <c r="D106" s="287">
        <v>1</v>
      </c>
      <c r="E106" s="15">
        <f>Bay_XrayUS</f>
        <v>3</v>
      </c>
      <c r="F106" s="26">
        <f t="shared" si="7"/>
        <v>3</v>
      </c>
      <c r="G106" s="27"/>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row>
    <row r="107" spans="1:66" x14ac:dyDescent="0.2">
      <c r="A107" s="79" t="s">
        <v>1001</v>
      </c>
      <c r="B107" s="70" t="s">
        <v>1001</v>
      </c>
      <c r="C107" s="266" t="s">
        <v>449</v>
      </c>
      <c r="D107" s="287">
        <v>0</v>
      </c>
      <c r="E107" s="15">
        <f>Bay_MobilePC</f>
        <v>5</v>
      </c>
      <c r="F107" s="26">
        <f t="shared" si="7"/>
        <v>0</v>
      </c>
      <c r="G107" s="27"/>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row>
    <row r="108" spans="1:66" x14ac:dyDescent="0.2">
      <c r="A108" s="79" t="s">
        <v>1001</v>
      </c>
      <c r="B108" s="70" t="s">
        <v>1001</v>
      </c>
      <c r="C108" s="266" t="s">
        <v>690</v>
      </c>
      <c r="D108" s="287">
        <v>1</v>
      </c>
      <c r="E108" s="15">
        <f>Store_15</f>
        <v>15</v>
      </c>
      <c r="F108" s="26">
        <f t="shared" si="7"/>
        <v>15</v>
      </c>
      <c r="G108" s="87" t="s">
        <v>691</v>
      </c>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row>
    <row r="109" spans="1:66" x14ac:dyDescent="0.2">
      <c r="A109" s="79" t="s">
        <v>1001</v>
      </c>
      <c r="B109" s="70" t="s">
        <v>1001</v>
      </c>
      <c r="C109" s="266" t="s">
        <v>690</v>
      </c>
      <c r="D109" s="287">
        <v>1</v>
      </c>
      <c r="E109" s="15">
        <f>Store_15</f>
        <v>15</v>
      </c>
      <c r="F109" s="26">
        <f t="shared" si="7"/>
        <v>15</v>
      </c>
      <c r="G109" s="38" t="s">
        <v>692</v>
      </c>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row>
    <row r="110" spans="1:66" x14ac:dyDescent="0.2">
      <c r="A110" s="79" t="s">
        <v>1001</v>
      </c>
      <c r="B110" s="70" t="s">
        <v>1001</v>
      </c>
      <c r="C110" s="266" t="s">
        <v>54</v>
      </c>
      <c r="D110" s="287">
        <v>1</v>
      </c>
      <c r="E110" s="15">
        <f>SCS_Fluidroom</f>
        <v>8</v>
      </c>
      <c r="F110" s="26">
        <f t="shared" si="7"/>
        <v>8</v>
      </c>
      <c r="G110" s="38"/>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row>
    <row r="111" spans="1:66" x14ac:dyDescent="0.2">
      <c r="A111" s="79" t="s">
        <v>1001</v>
      </c>
      <c r="B111" s="70" t="s">
        <v>1001</v>
      </c>
      <c r="C111" s="266" t="s">
        <v>38</v>
      </c>
      <c r="D111" s="287">
        <v>1</v>
      </c>
      <c r="E111" s="15">
        <f>SRS_Cleaner_Cup</f>
        <v>5</v>
      </c>
      <c r="F111" s="26">
        <f t="shared" si="7"/>
        <v>5</v>
      </c>
      <c r="G111" s="38"/>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row>
    <row r="112" spans="1:66" x14ac:dyDescent="0.2">
      <c r="A112" s="79" t="s">
        <v>1001</v>
      </c>
      <c r="B112" s="338" t="s">
        <v>1001</v>
      </c>
      <c r="C112" s="266" t="s">
        <v>39</v>
      </c>
      <c r="D112" s="287">
        <v>1</v>
      </c>
      <c r="E112" s="34">
        <f>SRS_Cleaner_Rm</f>
        <v>8</v>
      </c>
      <c r="F112" s="39">
        <f t="shared" si="7"/>
        <v>8</v>
      </c>
      <c r="G112" s="27"/>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row>
    <row r="113" spans="1:66" x14ac:dyDescent="0.2">
      <c r="A113" s="79" t="s">
        <v>530</v>
      </c>
      <c r="B113" s="70" t="s">
        <v>530</v>
      </c>
      <c r="C113" s="266" t="s">
        <v>284</v>
      </c>
      <c r="D113" s="309">
        <v>1</v>
      </c>
      <c r="E113" s="81">
        <f>Theatres_Lobby_IP</f>
        <v>5</v>
      </c>
      <c r="F113" s="68">
        <f t="shared" ref="F113:F115" si="8">D113*E113</f>
        <v>5</v>
      </c>
      <c r="G113" s="199"/>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row>
    <row r="114" spans="1:66" x14ac:dyDescent="0.2">
      <c r="A114" s="79" t="s">
        <v>530</v>
      </c>
      <c r="B114" s="70" t="s">
        <v>530</v>
      </c>
      <c r="C114" s="266" t="s">
        <v>285</v>
      </c>
      <c r="D114" s="309">
        <v>1</v>
      </c>
      <c r="E114" s="81">
        <f>Theatres_Lobby_Emerg</f>
        <v>5</v>
      </c>
      <c r="F114" s="68">
        <f t="shared" si="8"/>
        <v>5</v>
      </c>
      <c r="G114" s="199"/>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row>
    <row r="115" spans="1:66" x14ac:dyDescent="0.2">
      <c r="A115" s="79" t="s">
        <v>530</v>
      </c>
      <c r="B115" s="70" t="s">
        <v>530</v>
      </c>
      <c r="C115" s="266" t="s">
        <v>263</v>
      </c>
      <c r="D115" s="309">
        <v>1</v>
      </c>
      <c r="E115" s="81">
        <f>Theatres_Blockroom_pp</f>
        <v>8</v>
      </c>
      <c r="F115" s="68">
        <f t="shared" si="8"/>
        <v>8</v>
      </c>
      <c r="G115" s="199" t="s">
        <v>1003</v>
      </c>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row>
    <row r="116" spans="1:66" x14ac:dyDescent="0.2">
      <c r="A116" s="79" t="s">
        <v>530</v>
      </c>
      <c r="B116" s="70" t="s">
        <v>530</v>
      </c>
      <c r="C116" s="266" t="s">
        <v>1004</v>
      </c>
      <c r="D116" s="309">
        <v>2</v>
      </c>
      <c r="E116" s="81">
        <f>SRS_Staffbase_pp</f>
        <v>4</v>
      </c>
      <c r="F116" s="68">
        <f>D116*E116</f>
        <v>8</v>
      </c>
      <c r="G116" s="199" t="s">
        <v>1005</v>
      </c>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row>
    <row r="117" spans="1:66" x14ac:dyDescent="0.2">
      <c r="A117" s="79" t="s">
        <v>530</v>
      </c>
      <c r="B117" s="65" t="s">
        <v>530</v>
      </c>
      <c r="C117" s="266" t="s">
        <v>135</v>
      </c>
      <c r="D117" s="308">
        <v>14</v>
      </c>
      <c r="E117" s="62">
        <f>SRS_Touchdown_pp</f>
        <v>2</v>
      </c>
      <c r="F117" s="66">
        <f>D117*E117</f>
        <v>28</v>
      </c>
      <c r="G117" s="200" t="s">
        <v>1006</v>
      </c>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row>
    <row r="118" spans="1:66" x14ac:dyDescent="0.2">
      <c r="A118" s="79" t="s">
        <v>530</v>
      </c>
      <c r="B118" s="65" t="s">
        <v>530</v>
      </c>
      <c r="C118" s="266" t="s">
        <v>457</v>
      </c>
      <c r="D118" s="308">
        <v>4</v>
      </c>
      <c r="E118" s="62">
        <f>Bay_Trolley_Singleside</f>
        <v>7</v>
      </c>
      <c r="F118" s="66">
        <f t="shared" ref="F118:F150" si="9">D118*E118</f>
        <v>28</v>
      </c>
      <c r="G118" s="200" t="s">
        <v>1007</v>
      </c>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row>
    <row r="119" spans="1:66" x14ac:dyDescent="0.2">
      <c r="A119" s="79" t="s">
        <v>530</v>
      </c>
      <c r="B119" s="65" t="s">
        <v>530</v>
      </c>
      <c r="C119" s="266" t="s">
        <v>74</v>
      </c>
      <c r="D119" s="308">
        <v>1</v>
      </c>
      <c r="E119" s="62">
        <f>SCS_POCT</f>
        <v>10</v>
      </c>
      <c r="F119" s="66">
        <f t="shared" si="9"/>
        <v>10</v>
      </c>
      <c r="G119" s="202"/>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row>
    <row r="120" spans="1:66" ht="25.5" x14ac:dyDescent="0.2">
      <c r="A120" s="79" t="s">
        <v>530</v>
      </c>
      <c r="B120" s="65" t="s">
        <v>530</v>
      </c>
      <c r="C120" s="266" t="s">
        <v>281</v>
      </c>
      <c r="D120" s="308">
        <v>1</v>
      </c>
      <c r="E120" s="62">
        <f>Theatres_Samplefrozen</f>
        <v>20</v>
      </c>
      <c r="F120" s="66">
        <f t="shared" si="9"/>
        <v>20</v>
      </c>
      <c r="G120" s="202" t="s">
        <v>1008</v>
      </c>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row>
    <row r="121" spans="1:66" x14ac:dyDescent="0.2">
      <c r="A121" s="79" t="s">
        <v>530</v>
      </c>
      <c r="B121" s="65" t="s">
        <v>530</v>
      </c>
      <c r="C121" s="266" t="s">
        <v>841</v>
      </c>
      <c r="D121" s="308">
        <v>2</v>
      </c>
      <c r="E121" s="62">
        <f>Imaging_Reporting_pp</f>
        <v>5.5</v>
      </c>
      <c r="F121" s="66">
        <f t="shared" si="9"/>
        <v>11</v>
      </c>
      <c r="G121" s="202" t="s">
        <v>1009</v>
      </c>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row>
    <row r="122" spans="1:66" x14ac:dyDescent="0.2">
      <c r="A122" s="79" t="s">
        <v>530</v>
      </c>
      <c r="B122" s="65" t="s">
        <v>530</v>
      </c>
      <c r="C122" s="266" t="s">
        <v>73</v>
      </c>
      <c r="D122" s="308">
        <v>1</v>
      </c>
      <c r="E122" s="62">
        <f>SCS_PTS</f>
        <v>2</v>
      </c>
      <c r="F122" s="273">
        <f t="shared" si="9"/>
        <v>2</v>
      </c>
      <c r="G122" s="364"/>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row>
    <row r="123" spans="1:66" x14ac:dyDescent="0.2">
      <c r="A123" s="79" t="s">
        <v>530</v>
      </c>
      <c r="B123" s="65" t="s">
        <v>530</v>
      </c>
      <c r="C123" s="266" t="s">
        <v>438</v>
      </c>
      <c r="D123" s="308">
        <v>1</v>
      </c>
      <c r="E123" s="62">
        <f>Bay_Bloodbankfridge</f>
        <v>2</v>
      </c>
      <c r="F123" s="273">
        <f t="shared" si="9"/>
        <v>2</v>
      </c>
      <c r="G123" s="3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row>
    <row r="124" spans="1:66" x14ac:dyDescent="0.2">
      <c r="A124" s="79" t="s">
        <v>530</v>
      </c>
      <c r="B124" s="65" t="s">
        <v>530</v>
      </c>
      <c r="C124" s="266" t="s">
        <v>401</v>
      </c>
      <c r="D124" s="308">
        <v>1</v>
      </c>
      <c r="E124" s="62">
        <f>Serviceroom_Equip_Lrg</f>
        <v>20</v>
      </c>
      <c r="F124" s="273">
        <f t="shared" si="9"/>
        <v>20</v>
      </c>
      <c r="G124" s="365"/>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row>
    <row r="125" spans="1:66" x14ac:dyDescent="0.2">
      <c r="A125" s="79" t="s">
        <v>530</v>
      </c>
      <c r="B125" s="65" t="s">
        <v>530</v>
      </c>
      <c r="C125" s="266" t="s">
        <v>800</v>
      </c>
      <c r="D125" s="308">
        <v>2</v>
      </c>
      <c r="E125" s="62">
        <f>Bay_Mobile_Imaging</f>
        <v>4</v>
      </c>
      <c r="F125" s="273">
        <f t="shared" si="9"/>
        <v>8</v>
      </c>
      <c r="G125" s="3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row>
    <row r="126" spans="1:66" x14ac:dyDescent="0.2">
      <c r="A126" s="79" t="s">
        <v>530</v>
      </c>
      <c r="B126" s="65" t="s">
        <v>530</v>
      </c>
      <c r="C126" s="266" t="s">
        <v>450</v>
      </c>
      <c r="D126" s="308">
        <v>2</v>
      </c>
      <c r="E126" s="62">
        <f>Bay_Resustroll</f>
        <v>2</v>
      </c>
      <c r="F126" s="273">
        <f t="shared" si="9"/>
        <v>4</v>
      </c>
      <c r="G126" s="3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row>
    <row r="127" spans="1:66" x14ac:dyDescent="0.2">
      <c r="A127" s="79" t="s">
        <v>530</v>
      </c>
      <c r="B127" s="65" t="s">
        <v>530</v>
      </c>
      <c r="C127" s="266" t="s">
        <v>444</v>
      </c>
      <c r="D127" s="308">
        <v>4</v>
      </c>
      <c r="E127" s="62">
        <f>Bay_Linentroll</f>
        <v>3</v>
      </c>
      <c r="F127" s="273">
        <f t="shared" si="9"/>
        <v>12</v>
      </c>
      <c r="G127" s="3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row>
    <row r="128" spans="1:66" x14ac:dyDescent="0.2">
      <c r="A128" s="79" t="s">
        <v>530</v>
      </c>
      <c r="B128" s="65" t="s">
        <v>530</v>
      </c>
      <c r="C128" s="266" t="s">
        <v>1010</v>
      </c>
      <c r="D128" s="308">
        <v>2</v>
      </c>
      <c r="E128" s="62">
        <f>Bay_Mobile_Endo</f>
        <v>2</v>
      </c>
      <c r="F128" s="273">
        <f t="shared" si="9"/>
        <v>4</v>
      </c>
      <c r="G128" s="3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row>
    <row r="129" spans="1:66" x14ac:dyDescent="0.2">
      <c r="A129" s="79" t="s">
        <v>530</v>
      </c>
      <c r="B129" s="65" t="s">
        <v>530</v>
      </c>
      <c r="C129" s="266" t="s">
        <v>466</v>
      </c>
      <c r="D129" s="308">
        <v>1</v>
      </c>
      <c r="E129" s="62">
        <f>Store_15</f>
        <v>15</v>
      </c>
      <c r="F129" s="273">
        <f t="shared" si="9"/>
        <v>15</v>
      </c>
      <c r="G129" s="283" t="s">
        <v>1011</v>
      </c>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row>
    <row r="130" spans="1:66" x14ac:dyDescent="0.2">
      <c r="A130" s="79" t="s">
        <v>530</v>
      </c>
      <c r="B130" s="65" t="s">
        <v>530</v>
      </c>
      <c r="C130" s="266" t="s">
        <v>469</v>
      </c>
      <c r="D130" s="308">
        <v>4</v>
      </c>
      <c r="E130" s="62">
        <f>Store_50</f>
        <v>50</v>
      </c>
      <c r="F130" s="273">
        <f t="shared" si="9"/>
        <v>200</v>
      </c>
      <c r="G130" s="283" t="s">
        <v>1012</v>
      </c>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row>
    <row r="131" spans="1:66" x14ac:dyDescent="0.2">
      <c r="A131" s="79" t="s">
        <v>530</v>
      </c>
      <c r="B131" s="65" t="s">
        <v>530</v>
      </c>
      <c r="C131" s="266" t="s">
        <v>469</v>
      </c>
      <c r="D131" s="308">
        <v>4</v>
      </c>
      <c r="E131" s="62">
        <f>Store_50</f>
        <v>50</v>
      </c>
      <c r="F131" s="273">
        <f t="shared" si="9"/>
        <v>200</v>
      </c>
      <c r="G131" s="283" t="s">
        <v>809</v>
      </c>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row>
    <row r="132" spans="1:66" x14ac:dyDescent="0.2">
      <c r="A132" s="79" t="s">
        <v>530</v>
      </c>
      <c r="B132" s="65" t="s">
        <v>530</v>
      </c>
      <c r="C132" s="266" t="s">
        <v>468</v>
      </c>
      <c r="D132" s="308">
        <v>4</v>
      </c>
      <c r="E132" s="62">
        <f>Store_30</f>
        <v>30</v>
      </c>
      <c r="F132" s="273">
        <f t="shared" si="9"/>
        <v>120</v>
      </c>
      <c r="G132" s="283" t="s">
        <v>1013</v>
      </c>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row>
    <row r="133" spans="1:66" x14ac:dyDescent="0.2">
      <c r="A133" s="79" t="s">
        <v>530</v>
      </c>
      <c r="B133" s="65" t="s">
        <v>530</v>
      </c>
      <c r="C133" s="266" t="s">
        <v>460</v>
      </c>
      <c r="D133" s="308">
        <v>1</v>
      </c>
      <c r="E133" s="62">
        <f>Store_DirtySSD_6</f>
        <v>30</v>
      </c>
      <c r="F133" s="273">
        <f t="shared" si="9"/>
        <v>30</v>
      </c>
      <c r="G133" s="28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row>
    <row r="134" spans="1:66" x14ac:dyDescent="0.2">
      <c r="A134" s="79" t="s">
        <v>530</v>
      </c>
      <c r="B134" s="65" t="s">
        <v>530</v>
      </c>
      <c r="C134" s="266" t="s">
        <v>459</v>
      </c>
      <c r="D134" s="308">
        <v>1</v>
      </c>
      <c r="E134" s="62">
        <f>Store_CleanSSD_6</f>
        <v>30</v>
      </c>
      <c r="F134" s="273">
        <f t="shared" si="9"/>
        <v>30</v>
      </c>
      <c r="G134" s="28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row>
    <row r="135" spans="1:66" x14ac:dyDescent="0.2">
      <c r="A135" s="79" t="s">
        <v>530</v>
      </c>
      <c r="B135" s="65" t="s">
        <v>530</v>
      </c>
      <c r="C135" s="266" t="s">
        <v>470</v>
      </c>
      <c r="D135" s="308">
        <v>2</v>
      </c>
      <c r="E135" s="62">
        <f>Store_5</f>
        <v>5</v>
      </c>
      <c r="F135" s="273">
        <f t="shared" si="9"/>
        <v>10</v>
      </c>
      <c r="G135" s="283" t="s">
        <v>1014</v>
      </c>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row>
    <row r="136" spans="1:66" x14ac:dyDescent="0.2">
      <c r="A136" s="79" t="s">
        <v>530</v>
      </c>
      <c r="B136" s="65" t="s">
        <v>530</v>
      </c>
      <c r="C136" s="266" t="s">
        <v>466</v>
      </c>
      <c r="D136" s="308">
        <v>1</v>
      </c>
      <c r="E136" s="62">
        <f>Store_15</f>
        <v>15</v>
      </c>
      <c r="F136" s="273">
        <f t="shared" si="9"/>
        <v>15</v>
      </c>
      <c r="G136" s="364" t="s">
        <v>1015</v>
      </c>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row>
    <row r="137" spans="1:66" x14ac:dyDescent="0.2">
      <c r="A137" s="79" t="s">
        <v>530</v>
      </c>
      <c r="B137" s="65" t="s">
        <v>530</v>
      </c>
      <c r="C137" s="266" t="s">
        <v>53</v>
      </c>
      <c r="D137" s="308">
        <v>2</v>
      </c>
      <c r="E137" s="62">
        <f>SRS_Disphol_Small</f>
        <v>10</v>
      </c>
      <c r="F137" s="273">
        <f t="shared" si="9"/>
        <v>20</v>
      </c>
      <c r="G137" s="364"/>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row>
    <row r="138" spans="1:66" x14ac:dyDescent="0.2">
      <c r="A138" s="79" t="s">
        <v>530</v>
      </c>
      <c r="B138" s="65" t="s">
        <v>530</v>
      </c>
      <c r="C138" s="266" t="s">
        <v>39</v>
      </c>
      <c r="D138" s="308">
        <v>2</v>
      </c>
      <c r="E138" s="62">
        <f>SCS_Cleaner_Rm</f>
        <v>8</v>
      </c>
      <c r="F138" s="273">
        <f t="shared" si="9"/>
        <v>16</v>
      </c>
      <c r="G138" s="364"/>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row>
    <row r="139" spans="1:66" x14ac:dyDescent="0.2">
      <c r="A139" s="79" t="s">
        <v>530</v>
      </c>
      <c r="B139" s="65" t="s">
        <v>530</v>
      </c>
      <c r="C139" s="266" t="s">
        <v>339</v>
      </c>
      <c r="D139" s="308">
        <v>4</v>
      </c>
      <c r="E139" s="62">
        <f>Staff_Commandcentre_pp</f>
        <v>5.5</v>
      </c>
      <c r="F139" s="273">
        <f>D139*E139</f>
        <v>22</v>
      </c>
      <c r="G139" s="364" t="s">
        <v>844</v>
      </c>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row>
    <row r="140" spans="1:66" x14ac:dyDescent="0.2">
      <c r="A140" s="79" t="s">
        <v>530</v>
      </c>
      <c r="B140" s="65" t="s">
        <v>530</v>
      </c>
      <c r="C140" s="266" t="s">
        <v>132</v>
      </c>
      <c r="D140" s="308">
        <v>30</v>
      </c>
      <c r="E140" s="62">
        <f>SRS_Staffrestbev_pp</f>
        <v>1.5</v>
      </c>
      <c r="F140" s="273">
        <f t="shared" si="9"/>
        <v>45</v>
      </c>
      <c r="G140" s="364"/>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row>
    <row r="141" spans="1:66" x14ac:dyDescent="0.2">
      <c r="A141" s="79" t="s">
        <v>530</v>
      </c>
      <c r="B141" s="65" t="s">
        <v>530</v>
      </c>
      <c r="C141" s="266" t="s">
        <v>1016</v>
      </c>
      <c r="D141" s="308">
        <v>1</v>
      </c>
      <c r="E141" s="62">
        <f>Staff_Wellbeinglact</f>
        <v>10</v>
      </c>
      <c r="F141" s="273">
        <f t="shared" si="9"/>
        <v>10</v>
      </c>
      <c r="G141" s="364" t="s">
        <v>1017</v>
      </c>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row>
    <row r="142" spans="1:66" ht="25.5" x14ac:dyDescent="0.2">
      <c r="A142" s="79" t="s">
        <v>530</v>
      </c>
      <c r="B142" s="65" t="s">
        <v>530</v>
      </c>
      <c r="C142" s="266" t="s">
        <v>60</v>
      </c>
      <c r="D142" s="308">
        <v>2</v>
      </c>
      <c r="E142" s="62">
        <f>SCS_Interview</f>
        <v>10</v>
      </c>
      <c r="F142" s="273">
        <f t="shared" si="9"/>
        <v>20</v>
      </c>
      <c r="G142" s="364" t="s">
        <v>1018</v>
      </c>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row>
    <row r="143" spans="1:66" x14ac:dyDescent="0.2">
      <c r="A143" s="79" t="s">
        <v>530</v>
      </c>
      <c r="B143" s="65" t="s">
        <v>530</v>
      </c>
      <c r="C143" s="266" t="s">
        <v>269</v>
      </c>
      <c r="D143" s="308">
        <v>1</v>
      </c>
      <c r="E143" s="62">
        <f>Theatres_Footwash</f>
        <v>4</v>
      </c>
      <c r="F143" s="273">
        <f t="shared" si="9"/>
        <v>4</v>
      </c>
      <c r="G143" s="364"/>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row>
    <row r="144" spans="1:66" x14ac:dyDescent="0.2">
      <c r="A144" s="79" t="s">
        <v>530</v>
      </c>
      <c r="B144" s="65" t="s">
        <v>530</v>
      </c>
      <c r="C144" s="266" t="s">
        <v>130</v>
      </c>
      <c r="D144" s="308">
        <v>50</v>
      </c>
      <c r="E144" s="62">
        <f>SRS_Staffchange_pp</f>
        <v>2.5</v>
      </c>
      <c r="F144" s="273">
        <f t="shared" si="9"/>
        <v>125</v>
      </c>
      <c r="G144" s="364"/>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row>
    <row r="145" spans="1:67" x14ac:dyDescent="0.2">
      <c r="A145" s="79" t="s">
        <v>530</v>
      </c>
      <c r="B145" s="65" t="s">
        <v>530</v>
      </c>
      <c r="C145" s="266" t="s">
        <v>451</v>
      </c>
      <c r="D145" s="308">
        <v>4</v>
      </c>
      <c r="E145" s="62">
        <f>Bay_Scrubdispens</f>
        <v>2</v>
      </c>
      <c r="F145" s="273">
        <f t="shared" si="9"/>
        <v>8</v>
      </c>
      <c r="G145" s="364"/>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row>
    <row r="146" spans="1:67" x14ac:dyDescent="0.2">
      <c r="A146" s="79" t="s">
        <v>530</v>
      </c>
      <c r="B146" s="65" t="s">
        <v>530</v>
      </c>
      <c r="C146" s="266" t="s">
        <v>147</v>
      </c>
      <c r="D146" s="308">
        <v>10</v>
      </c>
      <c r="E146" s="62">
        <f>SRS_WC_Amb</f>
        <v>2.5</v>
      </c>
      <c r="F146" s="273">
        <f t="shared" si="9"/>
        <v>25</v>
      </c>
      <c r="G146" s="364"/>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row>
    <row r="147" spans="1:67" x14ac:dyDescent="0.2">
      <c r="A147" s="79" t="s">
        <v>530</v>
      </c>
      <c r="B147" s="65" t="s">
        <v>530</v>
      </c>
      <c r="C147" s="266" t="s">
        <v>146</v>
      </c>
      <c r="D147" s="308">
        <v>2</v>
      </c>
      <c r="E147" s="62">
        <f>SRS_WC_Access</f>
        <v>4.5</v>
      </c>
      <c r="F147" s="273">
        <f t="shared" si="9"/>
        <v>9</v>
      </c>
      <c r="G147" s="364"/>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row>
    <row r="148" spans="1:67" x14ac:dyDescent="0.2">
      <c r="A148" s="79" t="s">
        <v>530</v>
      </c>
      <c r="B148" s="65" t="s">
        <v>530</v>
      </c>
      <c r="C148" s="266" t="s">
        <v>134</v>
      </c>
      <c r="D148" s="308">
        <v>12</v>
      </c>
      <c r="E148" s="62">
        <f>SRS_Staff_Shower</f>
        <v>3</v>
      </c>
      <c r="F148" s="273">
        <f t="shared" si="9"/>
        <v>36</v>
      </c>
      <c r="G148" s="364"/>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row>
    <row r="149" spans="1:67" s="290" customFormat="1" ht="15" x14ac:dyDescent="0.25">
      <c r="A149" s="79" t="s">
        <v>530</v>
      </c>
      <c r="B149" s="65" t="s">
        <v>530</v>
      </c>
      <c r="C149" s="266" t="s">
        <v>70</v>
      </c>
      <c r="D149" s="374">
        <v>1</v>
      </c>
      <c r="E149" s="195">
        <f>SCS_MDT_30</f>
        <v>24</v>
      </c>
      <c r="F149" s="23">
        <f t="shared" si="9"/>
        <v>24</v>
      </c>
      <c r="G149" s="27" t="s">
        <v>1019</v>
      </c>
    </row>
    <row r="150" spans="1:67" x14ac:dyDescent="0.2">
      <c r="A150" s="79" t="s">
        <v>530</v>
      </c>
      <c r="B150" s="61" t="s">
        <v>530</v>
      </c>
      <c r="C150" s="266" t="s">
        <v>125</v>
      </c>
      <c r="D150" s="306">
        <v>1</v>
      </c>
      <c r="E150" s="82">
        <f>SRS_Seminar_30</f>
        <v>45</v>
      </c>
      <c r="F150" s="366">
        <f t="shared" si="9"/>
        <v>45</v>
      </c>
      <c r="G150" s="367" t="s">
        <v>1020</v>
      </c>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row>
    <row r="151" spans="1:67" x14ac:dyDescent="0.25">
      <c r="A151" s="45"/>
      <c r="B151" s="45"/>
      <c r="C151" s="45"/>
      <c r="D151" s="57"/>
      <c r="E151" s="56"/>
      <c r="F151" s="56"/>
      <c r="G151" s="45"/>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row>
    <row r="152" spans="1:67" x14ac:dyDescent="0.25">
      <c r="A152" s="45"/>
      <c r="B152" s="45"/>
      <c r="C152" s="45"/>
      <c r="D152" s="57"/>
      <c r="E152" s="56"/>
      <c r="F152" s="56"/>
      <c r="G152" s="45"/>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row>
    <row r="153" spans="1:67" x14ac:dyDescent="0.25">
      <c r="A153" s="45"/>
      <c r="B153" s="45"/>
      <c r="C153" s="45"/>
      <c r="D153" s="57"/>
      <c r="E153" s="56"/>
      <c r="F153" s="56"/>
      <c r="G153" s="45"/>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row>
    <row r="154" spans="1:67" x14ac:dyDescent="0.25">
      <c r="A154" s="45"/>
      <c r="B154" s="45"/>
      <c r="C154" s="45"/>
      <c r="D154" s="57"/>
      <c r="E154" s="56"/>
      <c r="F154" s="56"/>
      <c r="G154" s="45"/>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row>
    <row r="155" spans="1:67" x14ac:dyDescent="0.25">
      <c r="A155" s="45"/>
      <c r="B155" s="45"/>
      <c r="C155" s="45"/>
      <c r="D155" s="57"/>
      <c r="E155" s="56"/>
      <c r="F155" s="56"/>
      <c r="G155" s="45"/>
      <c r="H155" s="43"/>
      <c r="I155" s="43"/>
      <c r="J155" s="43"/>
      <c r="K155" s="43"/>
      <c r="L155" s="43"/>
      <c r="M155" s="43"/>
      <c r="N155" s="43"/>
      <c r="O155" s="43"/>
      <c r="P155" s="43"/>
      <c r="Q155" s="43"/>
      <c r="R155" s="43"/>
      <c r="S155" s="43"/>
      <c r="T155" s="43"/>
      <c r="U155" s="43"/>
      <c r="V155" s="43"/>
      <c r="W155" s="43"/>
    </row>
    <row r="156" spans="1:67" x14ac:dyDescent="0.25">
      <c r="A156" s="45"/>
      <c r="B156" s="45"/>
      <c r="C156" s="45"/>
      <c r="D156" s="57"/>
      <c r="E156" s="56"/>
      <c r="F156" s="56"/>
      <c r="G156" s="45"/>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row>
    <row r="157" spans="1:67" x14ac:dyDescent="0.25">
      <c r="A157" s="45"/>
      <c r="B157" s="45"/>
      <c r="C157" s="45"/>
      <c r="D157" s="57"/>
      <c r="E157" s="56"/>
      <c r="F157" s="56"/>
      <c r="G157" s="45"/>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row>
    <row r="158" spans="1:67" x14ac:dyDescent="0.25">
      <c r="A158" s="45"/>
      <c r="B158" s="45"/>
      <c r="C158" s="45"/>
      <c r="D158" s="57"/>
      <c r="E158" s="56"/>
      <c r="F158" s="56"/>
      <c r="G158" s="45"/>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row>
    <row r="159" spans="1:67" x14ac:dyDescent="0.25">
      <c r="A159" s="45"/>
      <c r="B159" s="45"/>
      <c r="C159" s="45"/>
      <c r="D159" s="57"/>
      <c r="E159" s="56"/>
      <c r="F159" s="56"/>
      <c r="G159" s="45"/>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row>
    <row r="160" spans="1:67" x14ac:dyDescent="0.25">
      <c r="A160" s="45"/>
      <c r="B160" s="45"/>
      <c r="C160" s="45"/>
      <c r="D160" s="57"/>
      <c r="E160" s="56"/>
      <c r="F160" s="56"/>
      <c r="G160" s="45"/>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row>
    <row r="161" spans="1:63" x14ac:dyDescent="0.25">
      <c r="A161" s="45"/>
      <c r="B161" s="45"/>
      <c r="C161" s="45"/>
      <c r="D161" s="57"/>
      <c r="E161" s="56"/>
      <c r="F161" s="56"/>
      <c r="G161" s="45"/>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row>
    <row r="162" spans="1:63" x14ac:dyDescent="0.25">
      <c r="A162" s="45"/>
      <c r="B162" s="45"/>
      <c r="C162" s="45"/>
      <c r="D162" s="57"/>
      <c r="E162" s="56"/>
      <c r="F162" s="56"/>
      <c r="G162" s="45"/>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row>
    <row r="163" spans="1:63" x14ac:dyDescent="0.25">
      <c r="A163" s="45"/>
      <c r="B163" s="45"/>
      <c r="C163" s="45"/>
      <c r="D163" s="57"/>
      <c r="E163" s="56"/>
      <c r="F163" s="56"/>
      <c r="G163" s="45"/>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row>
    <row r="164" spans="1:63" x14ac:dyDescent="0.25">
      <c r="A164" s="45"/>
      <c r="B164" s="45"/>
      <c r="C164" s="45"/>
      <c r="D164" s="57"/>
      <c r="E164" s="56"/>
      <c r="F164" s="56"/>
      <c r="G164" s="45"/>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row>
    <row r="165" spans="1:63" x14ac:dyDescent="0.25">
      <c r="A165" s="45"/>
      <c r="B165" s="45"/>
      <c r="C165" s="45"/>
      <c r="D165" s="57"/>
      <c r="E165" s="56"/>
      <c r="F165" s="56"/>
      <c r="G165" s="45"/>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row>
    <row r="166" spans="1:63" x14ac:dyDescent="0.25">
      <c r="A166" s="45"/>
      <c r="B166" s="45"/>
      <c r="C166" s="45"/>
      <c r="D166" s="57"/>
      <c r="E166" s="56"/>
      <c r="F166" s="56"/>
      <c r="G166" s="45"/>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row>
    <row r="167" spans="1:63" x14ac:dyDescent="0.25">
      <c r="A167" s="45"/>
      <c r="B167" s="45"/>
      <c r="C167" s="45"/>
      <c r="D167" s="57"/>
      <c r="E167" s="56"/>
      <c r="F167" s="56"/>
      <c r="G167" s="45"/>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row>
    <row r="168" spans="1:63" x14ac:dyDescent="0.25">
      <c r="A168" s="45"/>
      <c r="B168" s="45"/>
      <c r="C168" s="45"/>
      <c r="D168" s="57"/>
      <c r="E168" s="56"/>
      <c r="F168" s="56"/>
      <c r="G168" s="45"/>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row>
    <row r="169" spans="1:63" x14ac:dyDescent="0.25">
      <c r="A169" s="45"/>
      <c r="B169" s="45"/>
      <c r="C169" s="45"/>
      <c r="D169" s="57"/>
      <c r="E169" s="56"/>
      <c r="F169" s="56"/>
      <c r="G169" s="45"/>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row>
    <row r="170" spans="1:63" x14ac:dyDescent="0.25">
      <c r="A170" s="45"/>
      <c r="B170" s="45"/>
      <c r="C170" s="45"/>
      <c r="D170" s="57"/>
      <c r="E170" s="56"/>
      <c r="F170" s="56"/>
      <c r="G170" s="45"/>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row>
    <row r="171" spans="1:63" x14ac:dyDescent="0.25">
      <c r="A171" s="45"/>
      <c r="B171" s="45"/>
      <c r="C171" s="45"/>
      <c r="D171" s="57"/>
      <c r="E171" s="56"/>
      <c r="F171" s="56"/>
      <c r="G171" s="45"/>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row>
    <row r="172" spans="1:63" x14ac:dyDescent="0.25">
      <c r="A172" s="45"/>
      <c r="B172" s="45"/>
      <c r="C172" s="45"/>
      <c r="D172" s="57"/>
      <c r="E172" s="56"/>
      <c r="F172" s="56"/>
      <c r="G172" s="45"/>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row>
    <row r="173" spans="1:63" x14ac:dyDescent="0.25">
      <c r="A173" s="45"/>
      <c r="B173" s="45"/>
      <c r="C173" s="45"/>
      <c r="D173" s="57"/>
      <c r="E173" s="56"/>
      <c r="F173" s="56"/>
      <c r="G173" s="45"/>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row>
    <row r="174" spans="1:63" x14ac:dyDescent="0.25">
      <c r="A174" s="45"/>
      <c r="B174" s="45"/>
      <c r="C174" s="45"/>
      <c r="D174" s="57"/>
      <c r="E174" s="56"/>
      <c r="F174" s="56"/>
      <c r="G174" s="45"/>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row>
    <row r="175" spans="1:63" x14ac:dyDescent="0.25">
      <c r="A175" s="45"/>
      <c r="B175" s="45"/>
      <c r="C175" s="45"/>
      <c r="D175" s="57"/>
      <c r="E175" s="56"/>
      <c r="F175" s="56"/>
      <c r="G175" s="45"/>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row>
    <row r="176" spans="1:63" x14ac:dyDescent="0.25">
      <c r="A176" s="45"/>
      <c r="B176" s="45"/>
      <c r="C176" s="45"/>
      <c r="D176" s="57"/>
      <c r="E176" s="56"/>
      <c r="F176" s="56"/>
      <c r="G176" s="45"/>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row>
    <row r="177" spans="1:63" x14ac:dyDescent="0.25">
      <c r="A177" s="45"/>
      <c r="B177" s="45"/>
      <c r="C177" s="45"/>
      <c r="D177" s="57"/>
      <c r="E177" s="56"/>
      <c r="F177" s="56"/>
      <c r="G177" s="45"/>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row>
    <row r="178" spans="1:63" x14ac:dyDescent="0.25">
      <c r="A178" s="45"/>
      <c r="B178" s="45"/>
      <c r="C178" s="45"/>
      <c r="D178" s="57"/>
      <c r="E178" s="56"/>
      <c r="F178" s="56"/>
      <c r="G178" s="45"/>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row>
    <row r="179" spans="1:63" x14ac:dyDescent="0.25">
      <c r="A179" s="45"/>
      <c r="B179" s="45"/>
      <c r="C179" s="45"/>
      <c r="D179" s="57"/>
      <c r="E179" s="56"/>
      <c r="F179" s="56"/>
      <c r="G179" s="45"/>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row>
    <row r="180" spans="1:63" x14ac:dyDescent="0.25">
      <c r="A180" s="45"/>
      <c r="B180" s="45"/>
      <c r="C180" s="45"/>
      <c r="D180" s="57"/>
      <c r="E180" s="56"/>
      <c r="F180" s="56"/>
      <c r="G180" s="45"/>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row>
    <row r="181" spans="1:63" x14ac:dyDescent="0.25">
      <c r="A181" s="45"/>
      <c r="B181" s="45"/>
      <c r="C181" s="45"/>
      <c r="D181" s="57"/>
      <c r="E181" s="56"/>
      <c r="F181" s="56"/>
      <c r="G181" s="45"/>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row>
    <row r="182" spans="1:63" x14ac:dyDescent="0.25">
      <c r="A182" s="45"/>
      <c r="B182" s="45"/>
      <c r="C182" s="45"/>
      <c r="D182" s="57"/>
      <c r="E182" s="56"/>
      <c r="F182" s="56"/>
      <c r="G182" s="45"/>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row>
    <row r="183" spans="1:63" x14ac:dyDescent="0.25">
      <c r="A183" s="45"/>
      <c r="B183" s="45"/>
      <c r="C183" s="45"/>
      <c r="D183" s="57"/>
      <c r="E183" s="56"/>
      <c r="F183" s="56"/>
      <c r="G183" s="45"/>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row>
    <row r="184" spans="1:63" x14ac:dyDescent="0.25">
      <c r="A184" s="45"/>
      <c r="B184" s="45"/>
      <c r="C184" s="45"/>
      <c r="D184" s="57"/>
      <c r="E184" s="56"/>
      <c r="F184" s="56"/>
      <c r="G184" s="45"/>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row>
    <row r="185" spans="1:63" x14ac:dyDescent="0.25">
      <c r="A185" s="45"/>
      <c r="B185" s="45"/>
      <c r="C185" s="45"/>
      <c r="D185" s="57"/>
      <c r="E185" s="56"/>
      <c r="F185" s="56"/>
      <c r="G185" s="45"/>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row>
    <row r="186" spans="1:63" x14ac:dyDescent="0.25">
      <c r="A186" s="45"/>
      <c r="B186" s="45"/>
      <c r="C186" s="45"/>
      <c r="D186" s="57"/>
      <c r="E186" s="56"/>
      <c r="F186" s="56"/>
      <c r="G186" s="45"/>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row>
    <row r="187" spans="1:63" x14ac:dyDescent="0.25">
      <c r="A187" s="45"/>
      <c r="B187" s="45"/>
      <c r="C187" s="45"/>
      <c r="D187" s="57"/>
      <c r="E187" s="56"/>
      <c r="F187" s="56"/>
      <c r="G187" s="45"/>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row>
    <row r="188" spans="1:63" x14ac:dyDescent="0.25">
      <c r="A188" s="45"/>
      <c r="B188" s="45"/>
      <c r="C188" s="45"/>
      <c r="D188" s="57"/>
      <c r="E188" s="56"/>
      <c r="F188" s="56"/>
      <c r="G188" s="45"/>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row>
    <row r="189" spans="1:63" x14ac:dyDescent="0.25">
      <c r="A189" s="45"/>
      <c r="B189" s="45"/>
      <c r="C189" s="45"/>
      <c r="D189" s="57"/>
      <c r="E189" s="56"/>
      <c r="F189" s="56"/>
      <c r="G189" s="45"/>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row>
    <row r="190" spans="1:63" x14ac:dyDescent="0.25">
      <c r="A190" s="45"/>
      <c r="B190" s="45"/>
      <c r="C190" s="45"/>
      <c r="D190" s="57"/>
      <c r="E190" s="56"/>
      <c r="F190" s="56"/>
      <c r="G190" s="45"/>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row>
    <row r="191" spans="1:63" x14ac:dyDescent="0.25">
      <c r="A191" s="45"/>
      <c r="B191" s="45"/>
      <c r="C191" s="45"/>
      <c r="D191" s="57"/>
      <c r="E191" s="56"/>
      <c r="F191" s="56"/>
      <c r="G191" s="45"/>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row>
    <row r="192" spans="1:63" x14ac:dyDescent="0.25">
      <c r="A192" s="45"/>
      <c r="B192" s="45"/>
      <c r="C192" s="45"/>
      <c r="D192" s="57"/>
      <c r="E192" s="56"/>
      <c r="F192" s="56"/>
      <c r="G192" s="45"/>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row>
    <row r="193" spans="1:63" x14ac:dyDescent="0.25">
      <c r="A193" s="45"/>
      <c r="B193" s="45"/>
      <c r="C193" s="45"/>
      <c r="D193" s="57"/>
      <c r="E193" s="56"/>
      <c r="F193" s="56"/>
      <c r="G193" s="45"/>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row>
    <row r="194" spans="1:63" x14ac:dyDescent="0.25">
      <c r="A194" s="45"/>
      <c r="B194" s="45"/>
      <c r="C194" s="45"/>
      <c r="D194" s="57"/>
      <c r="E194" s="56"/>
      <c r="F194" s="56"/>
      <c r="G194" s="45"/>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row>
    <row r="195" spans="1:63" x14ac:dyDescent="0.25">
      <c r="A195" s="45"/>
      <c r="B195" s="45"/>
      <c r="C195" s="45"/>
      <c r="D195" s="57"/>
      <c r="E195" s="56"/>
      <c r="F195" s="56"/>
      <c r="G195" s="45"/>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row>
    <row r="196" spans="1:63" x14ac:dyDescent="0.25">
      <c r="A196" s="45"/>
      <c r="B196" s="45"/>
      <c r="C196" s="45"/>
      <c r="D196" s="57"/>
      <c r="E196" s="56"/>
      <c r="F196" s="56"/>
      <c r="G196" s="45"/>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row>
    <row r="197" spans="1:63" x14ac:dyDescent="0.25">
      <c r="A197" s="45"/>
      <c r="B197" s="45"/>
      <c r="C197" s="45"/>
      <c r="D197" s="57"/>
      <c r="E197" s="56"/>
      <c r="F197" s="56"/>
      <c r="G197" s="45"/>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row>
    <row r="198" spans="1:63" x14ac:dyDescent="0.25">
      <c r="A198" s="45"/>
      <c r="B198" s="45"/>
      <c r="C198" s="45"/>
      <c r="D198" s="57"/>
      <c r="E198" s="56"/>
      <c r="F198" s="56"/>
      <c r="G198" s="45"/>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row>
    <row r="199" spans="1:63" x14ac:dyDescent="0.25">
      <c r="A199" s="45"/>
      <c r="B199" s="45"/>
      <c r="C199" s="45"/>
      <c r="D199" s="57"/>
      <c r="E199" s="56"/>
      <c r="F199" s="56"/>
      <c r="G199" s="45"/>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row>
    <row r="200" spans="1:63" x14ac:dyDescent="0.25">
      <c r="A200" s="45"/>
      <c r="B200" s="45"/>
      <c r="C200" s="45"/>
      <c r="D200" s="57"/>
      <c r="E200" s="56"/>
      <c r="F200" s="56"/>
      <c r="G200" s="45"/>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row>
    <row r="201" spans="1:63" x14ac:dyDescent="0.25">
      <c r="A201" s="45"/>
      <c r="B201" s="45"/>
      <c r="C201" s="45"/>
      <c r="D201" s="57"/>
      <c r="E201" s="56"/>
      <c r="F201" s="56"/>
      <c r="G201" s="45"/>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row>
    <row r="202" spans="1:63" x14ac:dyDescent="0.25">
      <c r="A202" s="45"/>
      <c r="B202" s="45"/>
      <c r="C202" s="45"/>
      <c r="D202" s="57"/>
      <c r="E202" s="56"/>
      <c r="F202" s="56"/>
      <c r="G202" s="45"/>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row>
    <row r="203" spans="1:63" x14ac:dyDescent="0.25">
      <c r="A203" s="45"/>
      <c r="B203" s="45"/>
      <c r="C203" s="45"/>
      <c r="D203" s="57"/>
      <c r="E203" s="56"/>
      <c r="F203" s="56"/>
      <c r="G203" s="45"/>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row>
  </sheetData>
  <pageMargins left="0.7" right="0.7" top="0.75" bottom="0.75" header="0.3" footer="0.3"/>
  <pageSetup paperSize="9"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F3C9-93D7-4DF3-B864-103E53AF228F}">
  <sheetPr>
    <tabColor theme="0" tint="-0.14999847407452621"/>
  </sheetPr>
  <dimension ref="A1:BN215"/>
  <sheetViews>
    <sheetView zoomScale="77" zoomScaleNormal="100" workbookViewId="0">
      <selection activeCell="C27" sqref="C27"/>
    </sheetView>
  </sheetViews>
  <sheetFormatPr defaultColWidth="8.85546875" defaultRowHeight="14.25" x14ac:dyDescent="0.25"/>
  <cols>
    <col min="1" max="1" width="44.85546875" style="47" bestFit="1" customWidth="1"/>
    <col min="2" max="2" width="44.42578125" style="47" customWidth="1"/>
    <col min="3" max="3" width="22.140625" style="48" bestFit="1" customWidth="1"/>
    <col min="4" max="4" width="16.5703125" style="55" customWidth="1"/>
    <col min="5" max="5" width="15.140625" style="54" customWidth="1"/>
    <col min="6" max="6" width="11.85546875" style="54" bestFit="1" customWidth="1"/>
    <col min="7" max="7" width="83.5703125" style="47" customWidth="1"/>
    <col min="8" max="16384" width="8.85546875" style="46"/>
  </cols>
  <sheetData>
    <row r="1" spans="1:65" ht="25.5" x14ac:dyDescent="0.25">
      <c r="A1" s="310" t="s">
        <v>671</v>
      </c>
      <c r="B1" s="311" t="s">
        <v>672</v>
      </c>
      <c r="C1" s="312" t="s">
        <v>673</v>
      </c>
      <c r="D1" s="313" t="s">
        <v>949</v>
      </c>
      <c r="E1" s="314" t="s">
        <v>950</v>
      </c>
      <c r="F1" s="314" t="s">
        <v>951</v>
      </c>
      <c r="G1" s="49" t="s">
        <v>19</v>
      </c>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row>
    <row r="2" spans="1:65" ht="14.45" customHeight="1" x14ac:dyDescent="0.25">
      <c r="A2" s="270" t="s">
        <v>1021</v>
      </c>
      <c r="B2" s="348"/>
      <c r="C2" s="348"/>
      <c r="D2" s="348"/>
      <c r="E2" s="348"/>
      <c r="F2" s="349"/>
      <c r="G2" s="355"/>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row>
    <row r="3" spans="1:65" x14ac:dyDescent="0.25">
      <c r="A3" s="70" t="s">
        <v>1021</v>
      </c>
      <c r="B3" s="197" t="s">
        <v>120</v>
      </c>
      <c r="C3" s="326" t="s">
        <v>677</v>
      </c>
      <c r="D3" s="297">
        <v>3</v>
      </c>
      <c r="E3" s="69">
        <f>SRS_Recept_pp</f>
        <v>5.5</v>
      </c>
      <c r="F3" s="68">
        <f t="shared" ref="F3:F17" si="0">E3*D3</f>
        <v>16.5</v>
      </c>
      <c r="G3" s="199"/>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row>
    <row r="4" spans="1:65" x14ac:dyDescent="0.25">
      <c r="A4" s="65" t="s">
        <v>1021</v>
      </c>
      <c r="B4" s="190" t="s">
        <v>123</v>
      </c>
      <c r="C4" s="324" t="s">
        <v>677</v>
      </c>
      <c r="D4" s="296">
        <v>8</v>
      </c>
      <c r="E4" s="67">
        <f>SRS_Selfcheckin</f>
        <v>2</v>
      </c>
      <c r="F4" s="66">
        <f t="shared" si="0"/>
        <v>16</v>
      </c>
      <c r="G4" s="200" t="s">
        <v>1022</v>
      </c>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row>
    <row r="5" spans="1:65" x14ac:dyDescent="0.25">
      <c r="A5" s="65" t="s">
        <v>1021</v>
      </c>
      <c r="B5" s="197" t="s">
        <v>422</v>
      </c>
      <c r="C5" s="324" t="s">
        <v>677</v>
      </c>
      <c r="D5" s="296">
        <v>0</v>
      </c>
      <c r="E5" s="67">
        <f>NCS_Infocentre_Small</f>
        <v>8</v>
      </c>
      <c r="F5" s="66">
        <f t="shared" si="0"/>
        <v>0</v>
      </c>
      <c r="G5" s="200" t="s">
        <v>1023</v>
      </c>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row>
    <row r="6" spans="1:65" x14ac:dyDescent="0.25">
      <c r="A6" s="65" t="s">
        <v>1021</v>
      </c>
      <c r="B6" s="190" t="s">
        <v>344</v>
      </c>
      <c r="C6" s="324" t="s">
        <v>677</v>
      </c>
      <c r="D6" s="296">
        <v>0</v>
      </c>
      <c r="E6" s="67">
        <f>Staff_Office_1</f>
        <v>8</v>
      </c>
      <c r="F6" s="66">
        <f t="shared" si="0"/>
        <v>0</v>
      </c>
      <c r="G6" s="200" t="s">
        <v>1023</v>
      </c>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row>
    <row r="7" spans="1:65" x14ac:dyDescent="0.25">
      <c r="A7" s="65" t="s">
        <v>1021</v>
      </c>
      <c r="B7" s="190" t="s">
        <v>60</v>
      </c>
      <c r="C7" s="324" t="s">
        <v>677</v>
      </c>
      <c r="D7" s="296">
        <v>2</v>
      </c>
      <c r="E7" s="67">
        <f>SCS_Interview</f>
        <v>10</v>
      </c>
      <c r="F7" s="66">
        <f t="shared" si="0"/>
        <v>20</v>
      </c>
      <c r="G7" s="200"/>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row>
    <row r="8" spans="1:65" x14ac:dyDescent="0.25">
      <c r="A8" s="65" t="s">
        <v>1021</v>
      </c>
      <c r="B8" s="197" t="s">
        <v>88</v>
      </c>
      <c r="C8" s="324" t="s">
        <v>677</v>
      </c>
      <c r="D8" s="296">
        <v>2</v>
      </c>
      <c r="E8" s="67">
        <f>SRS_Bay_Wheelstor</f>
        <v>5</v>
      </c>
      <c r="F8" s="66">
        <f t="shared" si="0"/>
        <v>10</v>
      </c>
      <c r="G8" s="200"/>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row>
    <row r="9" spans="1:65" x14ac:dyDescent="0.25">
      <c r="A9" s="65" t="s">
        <v>1021</v>
      </c>
      <c r="B9" s="190" t="s">
        <v>1024</v>
      </c>
      <c r="C9" s="324"/>
      <c r="D9" s="296">
        <v>0</v>
      </c>
      <c r="E9" s="67">
        <v>16</v>
      </c>
      <c r="F9" s="66">
        <f t="shared" si="0"/>
        <v>0</v>
      </c>
      <c r="G9" s="200" t="s">
        <v>1023</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row>
    <row r="10" spans="1:65" x14ac:dyDescent="0.25">
      <c r="A10" s="65" t="s">
        <v>1021</v>
      </c>
      <c r="B10" s="190" t="s">
        <v>1025</v>
      </c>
      <c r="C10" s="324"/>
      <c r="D10" s="296">
        <v>0</v>
      </c>
      <c r="E10" s="67">
        <v>25</v>
      </c>
      <c r="F10" s="66">
        <f t="shared" si="0"/>
        <v>0</v>
      </c>
      <c r="G10" s="200" t="s">
        <v>1023</v>
      </c>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row>
    <row r="11" spans="1:65" ht="51" x14ac:dyDescent="0.25">
      <c r="A11" s="65" t="s">
        <v>1021</v>
      </c>
      <c r="B11" s="190" t="s">
        <v>1026</v>
      </c>
      <c r="C11" s="324" t="s">
        <v>677</v>
      </c>
      <c r="D11" s="296">
        <v>0</v>
      </c>
      <c r="E11" s="350">
        <v>1.85</v>
      </c>
      <c r="F11" s="66">
        <f t="shared" si="0"/>
        <v>0</v>
      </c>
      <c r="G11" s="200" t="s">
        <v>1027</v>
      </c>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row>
    <row r="12" spans="1:65" x14ac:dyDescent="0.25">
      <c r="A12" s="65" t="s">
        <v>1021</v>
      </c>
      <c r="B12" s="190" t="s">
        <v>147</v>
      </c>
      <c r="C12" s="324" t="s">
        <v>677</v>
      </c>
      <c r="D12" s="296">
        <v>7</v>
      </c>
      <c r="E12" s="67">
        <f>SRS_WC_Amb</f>
        <v>2.5</v>
      </c>
      <c r="F12" s="66">
        <f t="shared" si="0"/>
        <v>17.5</v>
      </c>
      <c r="G12" s="200" t="s">
        <v>701</v>
      </c>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row>
    <row r="13" spans="1:65" x14ac:dyDescent="0.25">
      <c r="A13" s="65" t="s">
        <v>1021</v>
      </c>
      <c r="B13" s="190" t="s">
        <v>146</v>
      </c>
      <c r="C13" s="324" t="s">
        <v>677</v>
      </c>
      <c r="D13" s="296">
        <v>3</v>
      </c>
      <c r="E13" s="67">
        <f>SRS_WC_Access</f>
        <v>4.5</v>
      </c>
      <c r="F13" s="66">
        <f t="shared" si="0"/>
        <v>13.5</v>
      </c>
      <c r="G13" s="200"/>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x14ac:dyDescent="0.25">
      <c r="A14" s="65" t="s">
        <v>1021</v>
      </c>
      <c r="B14" s="190" t="s">
        <v>109</v>
      </c>
      <c r="C14" s="324" t="s">
        <v>677</v>
      </c>
      <c r="D14" s="296">
        <v>1</v>
      </c>
      <c r="E14" s="67">
        <f>SRS_Nappychange</f>
        <v>4.5</v>
      </c>
      <c r="F14" s="66">
        <f t="shared" si="0"/>
        <v>4.5</v>
      </c>
      <c r="G14" s="200"/>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5" x14ac:dyDescent="0.25">
      <c r="A15" s="65" t="s">
        <v>1021</v>
      </c>
      <c r="B15" s="190" t="s">
        <v>102</v>
      </c>
      <c r="C15" s="324" t="s">
        <v>677</v>
      </c>
      <c r="D15" s="296">
        <v>1</v>
      </c>
      <c r="E15" s="67">
        <f>SRS_Infantfeed</f>
        <v>5</v>
      </c>
      <c r="F15" s="66">
        <f t="shared" si="0"/>
        <v>5</v>
      </c>
      <c r="G15" s="200"/>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5" x14ac:dyDescent="0.25">
      <c r="A16" s="65" t="s">
        <v>1021</v>
      </c>
      <c r="B16" s="190" t="s">
        <v>39</v>
      </c>
      <c r="C16" s="324" t="s">
        <v>677</v>
      </c>
      <c r="D16" s="296">
        <v>1</v>
      </c>
      <c r="E16" s="67">
        <f>SRS_Cleaner_Rm</f>
        <v>8</v>
      </c>
      <c r="F16" s="66">
        <f t="shared" si="0"/>
        <v>8</v>
      </c>
      <c r="G16" s="200"/>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row>
    <row r="17" spans="1:65" x14ac:dyDescent="0.25">
      <c r="A17" s="61" t="s">
        <v>1021</v>
      </c>
      <c r="B17" s="198" t="s">
        <v>53</v>
      </c>
      <c r="C17" s="325" t="s">
        <v>677</v>
      </c>
      <c r="D17" s="307">
        <v>1</v>
      </c>
      <c r="E17" s="71">
        <f>SCS_Disphol_Small</f>
        <v>10</v>
      </c>
      <c r="F17" s="59">
        <f t="shared" si="0"/>
        <v>10</v>
      </c>
      <c r="G17" s="277"/>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x14ac:dyDescent="0.25">
      <c r="A18" s="278"/>
      <c r="B18" s="272"/>
      <c r="C18" s="272"/>
      <c r="D18" s="272"/>
      <c r="E18" s="271" t="s">
        <v>486</v>
      </c>
      <c r="F18" s="315">
        <f>SUM(F3:F17)</f>
        <v>121</v>
      </c>
      <c r="G18" s="279"/>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x14ac:dyDescent="0.25">
      <c r="A19" s="356"/>
      <c r="B19" s="269"/>
      <c r="C19" s="269"/>
      <c r="D19" s="589" t="s">
        <v>1028</v>
      </c>
      <c r="E19" s="590"/>
      <c r="F19" s="320">
        <f>F18</f>
        <v>121</v>
      </c>
      <c r="G19" s="300"/>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x14ac:dyDescent="0.25">
      <c r="A20" s="321" t="s">
        <v>1029</v>
      </c>
      <c r="B20" s="322"/>
      <c r="C20" s="322"/>
      <c r="D20" s="322"/>
      <c r="E20" s="322"/>
      <c r="F20" s="322"/>
      <c r="G20" s="357"/>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x14ac:dyDescent="0.25">
      <c r="A21" s="70" t="s">
        <v>1030</v>
      </c>
      <c r="B21" s="328" t="s">
        <v>126</v>
      </c>
      <c r="C21" s="326" t="s">
        <v>677</v>
      </c>
      <c r="D21" s="219">
        <v>2</v>
      </c>
      <c r="E21" s="78">
        <f>SRS_Staffbase_pp</f>
        <v>4</v>
      </c>
      <c r="F21" s="68">
        <f t="shared" ref="F21:F33" si="1">E21*D21</f>
        <v>8</v>
      </c>
      <c r="G21" s="199" t="s">
        <v>1031</v>
      </c>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row>
    <row r="22" spans="1:65" ht="51" x14ac:dyDescent="0.25">
      <c r="A22" s="65" t="s">
        <v>1030</v>
      </c>
      <c r="B22" s="197" t="s">
        <v>1026</v>
      </c>
      <c r="C22" s="324"/>
      <c r="D22" s="296">
        <f>14*1.5</f>
        <v>21</v>
      </c>
      <c r="E22" s="350">
        <v>1.85</v>
      </c>
      <c r="F22" s="66">
        <f t="shared" si="1"/>
        <v>38.85</v>
      </c>
      <c r="G22" s="200" t="s">
        <v>1032</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row>
    <row r="23" spans="1:65" x14ac:dyDescent="0.25">
      <c r="A23" s="65" t="s">
        <v>1030</v>
      </c>
      <c r="B23" s="190" t="s">
        <v>147</v>
      </c>
      <c r="C23" s="324" t="s">
        <v>677</v>
      </c>
      <c r="D23" s="296">
        <v>1</v>
      </c>
      <c r="E23" s="67">
        <f>SRS_WC_Amb</f>
        <v>2.5</v>
      </c>
      <c r="F23" s="66">
        <f t="shared" si="1"/>
        <v>2.5</v>
      </c>
      <c r="G23" s="200"/>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row>
    <row r="24" spans="1:65" x14ac:dyDescent="0.25">
      <c r="A24" s="65" t="s">
        <v>1030</v>
      </c>
      <c r="B24" s="190" t="s">
        <v>146</v>
      </c>
      <c r="C24" s="324" t="s">
        <v>677</v>
      </c>
      <c r="D24" s="296">
        <v>1</v>
      </c>
      <c r="E24" s="67">
        <f>SRS_WC_Access</f>
        <v>4.5</v>
      </c>
      <c r="F24" s="66">
        <f t="shared" si="1"/>
        <v>4.5</v>
      </c>
      <c r="G24" s="200"/>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5" x14ac:dyDescent="0.25">
      <c r="A25" s="65" t="s">
        <v>1030</v>
      </c>
      <c r="B25" s="190" t="s">
        <v>138</v>
      </c>
      <c r="C25" s="324" t="s">
        <v>677</v>
      </c>
      <c r="D25" s="296">
        <v>2</v>
      </c>
      <c r="E25" s="67">
        <f>SRS_Virtualconsult_2</f>
        <v>8</v>
      </c>
      <c r="F25" s="66">
        <f t="shared" si="1"/>
        <v>16</v>
      </c>
      <c r="G25" s="200" t="s">
        <v>1033</v>
      </c>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5" x14ac:dyDescent="0.25">
      <c r="A26" s="65" t="s">
        <v>1030</v>
      </c>
      <c r="B26" s="190" t="s">
        <v>41</v>
      </c>
      <c r="C26" s="324" t="s">
        <v>677</v>
      </c>
      <c r="D26" s="298">
        <v>12</v>
      </c>
      <c r="E26" s="67">
        <f>SCS_CE_Dual</f>
        <v>16</v>
      </c>
      <c r="F26" s="66">
        <f t="shared" si="1"/>
        <v>192</v>
      </c>
      <c r="G26" s="200"/>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5" x14ac:dyDescent="0.25">
      <c r="A27" s="65" t="s">
        <v>1030</v>
      </c>
      <c r="B27" s="190" t="s">
        <v>83</v>
      </c>
      <c r="C27" s="324" t="s">
        <v>677</v>
      </c>
      <c r="D27" s="298">
        <v>2</v>
      </c>
      <c r="E27" s="67">
        <f>SCS_Treatment_Stand</f>
        <v>16</v>
      </c>
      <c r="F27" s="66">
        <f t="shared" si="1"/>
        <v>32</v>
      </c>
      <c r="G27" s="200"/>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row>
    <row r="28" spans="1:65" ht="14.1" customHeight="1" x14ac:dyDescent="0.25">
      <c r="A28" s="65" t="s">
        <v>1030</v>
      </c>
      <c r="B28" s="190" t="s">
        <v>317</v>
      </c>
      <c r="C28" s="324" t="s">
        <v>677</v>
      </c>
      <c r="D28" s="296">
        <v>1</v>
      </c>
      <c r="E28" s="67">
        <f>OPD_Phlebotomy</f>
        <v>10</v>
      </c>
      <c r="F28" s="66">
        <f t="shared" si="1"/>
        <v>10</v>
      </c>
      <c r="G28" s="200" t="s">
        <v>1034</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row>
    <row r="29" spans="1:65" x14ac:dyDescent="0.25">
      <c r="A29" s="65" t="s">
        <v>1030</v>
      </c>
      <c r="B29" s="190" t="s">
        <v>69</v>
      </c>
      <c r="C29" s="294" t="s">
        <v>677</v>
      </c>
      <c r="D29" s="220">
        <v>1</v>
      </c>
      <c r="E29" s="33">
        <f>SCS_MDT_15</f>
        <v>16</v>
      </c>
      <c r="F29" s="66">
        <f t="shared" si="1"/>
        <v>16</v>
      </c>
      <c r="G29" s="200" t="s">
        <v>1035</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row>
    <row r="30" spans="1:65" x14ac:dyDescent="0.25">
      <c r="A30" s="65" t="s">
        <v>1030</v>
      </c>
      <c r="B30" s="190" t="s">
        <v>60</v>
      </c>
      <c r="C30" s="324" t="s">
        <v>677</v>
      </c>
      <c r="D30" s="296">
        <v>1</v>
      </c>
      <c r="E30" s="67">
        <f>SCS_Interview</f>
        <v>10</v>
      </c>
      <c r="F30" s="66">
        <f t="shared" si="1"/>
        <v>10</v>
      </c>
      <c r="G30" s="200"/>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row>
    <row r="31" spans="1:65" x14ac:dyDescent="0.25">
      <c r="A31" s="65" t="s">
        <v>1030</v>
      </c>
      <c r="B31" s="197" t="s">
        <v>1036</v>
      </c>
      <c r="C31" s="324"/>
      <c r="D31" s="296">
        <v>1</v>
      </c>
      <c r="E31" s="67">
        <v>8</v>
      </c>
      <c r="F31" s="66">
        <f t="shared" si="1"/>
        <v>8</v>
      </c>
      <c r="G31" s="200" t="s">
        <v>1037</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row>
    <row r="32" spans="1:65" x14ac:dyDescent="0.25">
      <c r="A32" s="65" t="s">
        <v>1030</v>
      </c>
      <c r="B32" s="190" t="s">
        <v>147</v>
      </c>
      <c r="C32" s="324" t="s">
        <v>677</v>
      </c>
      <c r="D32" s="296">
        <v>0</v>
      </c>
      <c r="E32" s="67">
        <f>SRS_WC_Amb</f>
        <v>2.5</v>
      </c>
      <c r="F32" s="66">
        <f t="shared" si="1"/>
        <v>0</v>
      </c>
      <c r="G32" s="200" t="s">
        <v>1038</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row>
    <row r="33" spans="1:65" x14ac:dyDescent="0.25">
      <c r="A33" s="61" t="s">
        <v>1030</v>
      </c>
      <c r="B33" s="198" t="s">
        <v>146</v>
      </c>
      <c r="C33" s="325" t="s">
        <v>677</v>
      </c>
      <c r="D33" s="307">
        <v>0</v>
      </c>
      <c r="E33" s="67">
        <f>SRS_WC_Access</f>
        <v>4.5</v>
      </c>
      <c r="F33" s="59">
        <f t="shared" si="1"/>
        <v>0</v>
      </c>
      <c r="G33" s="200" t="s">
        <v>1038</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row>
    <row r="34" spans="1:65" ht="14.45" customHeight="1" x14ac:dyDescent="0.25">
      <c r="A34" s="358"/>
      <c r="B34" s="336"/>
      <c r="C34" s="336"/>
      <c r="D34" s="591" t="s">
        <v>1039</v>
      </c>
      <c r="E34" s="592"/>
      <c r="F34" s="76">
        <f>SUM(F21:F33)</f>
        <v>337.85</v>
      </c>
      <c r="G34" s="359"/>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row>
    <row r="35" spans="1:65" x14ac:dyDescent="0.25">
      <c r="A35" s="83" t="s">
        <v>1040</v>
      </c>
      <c r="B35" s="328" t="s">
        <v>126</v>
      </c>
      <c r="C35" s="326" t="s">
        <v>677</v>
      </c>
      <c r="D35" s="219">
        <v>2</v>
      </c>
      <c r="E35" s="78">
        <f>SRS_Staffbase_pp</f>
        <v>4</v>
      </c>
      <c r="F35" s="68">
        <f t="shared" ref="F35:F47" si="2">E35*D35</f>
        <v>8</v>
      </c>
      <c r="G35" s="199"/>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row>
    <row r="36" spans="1:65" ht="38.25" x14ac:dyDescent="0.25">
      <c r="A36" s="84" t="s">
        <v>1040</v>
      </c>
      <c r="B36" s="190" t="s">
        <v>1026</v>
      </c>
      <c r="C36" s="324"/>
      <c r="D36" s="296">
        <f>14*1.5</f>
        <v>21</v>
      </c>
      <c r="E36" s="350">
        <v>1.85</v>
      </c>
      <c r="F36" s="66">
        <f t="shared" si="2"/>
        <v>38.85</v>
      </c>
      <c r="G36" s="200" t="s">
        <v>1041</v>
      </c>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row>
    <row r="37" spans="1:65" x14ac:dyDescent="0.25">
      <c r="A37" s="84" t="s">
        <v>1040</v>
      </c>
      <c r="B37" s="190" t="s">
        <v>147</v>
      </c>
      <c r="C37" s="324" t="s">
        <v>677</v>
      </c>
      <c r="D37" s="296">
        <v>1</v>
      </c>
      <c r="E37" s="67">
        <f>SRS_WC_Amb</f>
        <v>2.5</v>
      </c>
      <c r="F37" s="66">
        <f t="shared" si="2"/>
        <v>2.5</v>
      </c>
      <c r="G37" s="200"/>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row>
    <row r="38" spans="1:65" x14ac:dyDescent="0.25">
      <c r="A38" s="84" t="s">
        <v>1040</v>
      </c>
      <c r="B38" s="190" t="s">
        <v>146</v>
      </c>
      <c r="C38" s="324" t="s">
        <v>677</v>
      </c>
      <c r="D38" s="296">
        <v>1</v>
      </c>
      <c r="E38" s="67">
        <f>SRS_WC_Access</f>
        <v>4.5</v>
      </c>
      <c r="F38" s="66">
        <f t="shared" si="2"/>
        <v>4.5</v>
      </c>
      <c r="G38" s="200"/>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row>
    <row r="39" spans="1:65" x14ac:dyDescent="0.25">
      <c r="A39" s="84" t="s">
        <v>1040</v>
      </c>
      <c r="B39" s="190" t="s">
        <v>138</v>
      </c>
      <c r="C39" s="324" t="s">
        <v>677</v>
      </c>
      <c r="D39" s="296">
        <v>2</v>
      </c>
      <c r="E39" s="67">
        <f>SRS_Virtualconsult_2</f>
        <v>8</v>
      </c>
      <c r="F39" s="66">
        <f t="shared" si="2"/>
        <v>16</v>
      </c>
      <c r="G39" s="200" t="s">
        <v>1042</v>
      </c>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row>
    <row r="40" spans="1:65" x14ac:dyDescent="0.25">
      <c r="A40" s="84" t="s">
        <v>1040</v>
      </c>
      <c r="B40" s="190" t="s">
        <v>41</v>
      </c>
      <c r="C40" s="324" t="s">
        <v>677</v>
      </c>
      <c r="D40" s="298">
        <v>12</v>
      </c>
      <c r="E40" s="67">
        <f>SCS_CE_Dual</f>
        <v>16</v>
      </c>
      <c r="F40" s="66">
        <f t="shared" si="2"/>
        <v>192</v>
      </c>
      <c r="G40" s="200"/>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row>
    <row r="41" spans="1:65" x14ac:dyDescent="0.25">
      <c r="A41" s="84" t="s">
        <v>1040</v>
      </c>
      <c r="B41" s="190" t="s">
        <v>83</v>
      </c>
      <c r="C41" s="324"/>
      <c r="D41" s="298">
        <v>2</v>
      </c>
      <c r="E41" s="67">
        <f>SCS_Treatment_Stand</f>
        <v>16</v>
      </c>
      <c r="F41" s="66">
        <f t="shared" si="2"/>
        <v>32</v>
      </c>
      <c r="G41" s="200"/>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row>
    <row r="42" spans="1:65" x14ac:dyDescent="0.25">
      <c r="A42" s="84" t="s">
        <v>1040</v>
      </c>
      <c r="B42" s="190" t="s">
        <v>317</v>
      </c>
      <c r="C42" s="324" t="s">
        <v>677</v>
      </c>
      <c r="D42" s="296">
        <v>1</v>
      </c>
      <c r="E42" s="67">
        <f>OPD_Phlebotomy</f>
        <v>10</v>
      </c>
      <c r="F42" s="66">
        <f t="shared" si="2"/>
        <v>10</v>
      </c>
      <c r="G42" s="200"/>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row>
    <row r="43" spans="1:65" x14ac:dyDescent="0.25">
      <c r="A43" s="84" t="s">
        <v>1040</v>
      </c>
      <c r="B43" s="190" t="s">
        <v>69</v>
      </c>
      <c r="C43" s="294" t="s">
        <v>677</v>
      </c>
      <c r="D43" s="220">
        <v>1</v>
      </c>
      <c r="E43" s="33">
        <f>SCS_MDT_15</f>
        <v>16</v>
      </c>
      <c r="F43" s="66">
        <f t="shared" si="2"/>
        <v>16</v>
      </c>
      <c r="G43" s="200"/>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row>
    <row r="44" spans="1:65" x14ac:dyDescent="0.25">
      <c r="A44" s="84" t="s">
        <v>1040</v>
      </c>
      <c r="B44" s="190" t="s">
        <v>60</v>
      </c>
      <c r="C44" s="324" t="s">
        <v>677</v>
      </c>
      <c r="D44" s="296">
        <v>1</v>
      </c>
      <c r="E44" s="67">
        <f>SCS_Interview</f>
        <v>10</v>
      </c>
      <c r="F44" s="66">
        <f t="shared" si="2"/>
        <v>10</v>
      </c>
      <c r="G44" s="200"/>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row>
    <row r="45" spans="1:65" x14ac:dyDescent="0.25">
      <c r="A45" s="84" t="s">
        <v>1040</v>
      </c>
      <c r="B45" s="197" t="s">
        <v>1036</v>
      </c>
      <c r="C45" s="324" t="s">
        <v>677</v>
      </c>
      <c r="D45" s="296">
        <v>1</v>
      </c>
      <c r="E45" s="67">
        <v>8</v>
      </c>
      <c r="F45" s="66">
        <f t="shared" si="2"/>
        <v>8</v>
      </c>
      <c r="G45" s="200" t="s">
        <v>1043</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row>
    <row r="46" spans="1:65" x14ac:dyDescent="0.25">
      <c r="A46" s="84" t="s">
        <v>1040</v>
      </c>
      <c r="B46" s="190" t="s">
        <v>147</v>
      </c>
      <c r="C46" s="324" t="s">
        <v>677</v>
      </c>
      <c r="D46" s="296">
        <v>0</v>
      </c>
      <c r="E46" s="67">
        <f>SRS_WC_Amb</f>
        <v>2.5</v>
      </c>
      <c r="F46" s="66">
        <f t="shared" si="2"/>
        <v>0</v>
      </c>
      <c r="G46" s="200" t="s">
        <v>1044</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row>
    <row r="47" spans="1:65" x14ac:dyDescent="0.25">
      <c r="A47" s="85" t="s">
        <v>1040</v>
      </c>
      <c r="B47" s="198" t="s">
        <v>146</v>
      </c>
      <c r="C47" s="325" t="s">
        <v>677</v>
      </c>
      <c r="D47" s="307">
        <v>0</v>
      </c>
      <c r="E47" s="67">
        <f>SRS_WC_Access</f>
        <v>4.5</v>
      </c>
      <c r="F47" s="59">
        <f t="shared" si="2"/>
        <v>0</v>
      </c>
      <c r="G47" s="200" t="s">
        <v>1044</v>
      </c>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row>
    <row r="48" spans="1:65" x14ac:dyDescent="0.25">
      <c r="A48" s="358"/>
      <c r="B48" s="336"/>
      <c r="C48" s="336"/>
      <c r="D48" s="591" t="s">
        <v>1045</v>
      </c>
      <c r="E48" s="592"/>
      <c r="F48" s="76">
        <f>SUM(F35:F47)</f>
        <v>337.85</v>
      </c>
      <c r="G48" s="359"/>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row>
    <row r="49" spans="1:65" x14ac:dyDescent="0.25">
      <c r="A49" s="83" t="s">
        <v>1046</v>
      </c>
      <c r="B49" s="328" t="s">
        <v>126</v>
      </c>
      <c r="C49" s="326" t="s">
        <v>677</v>
      </c>
      <c r="D49" s="219">
        <v>2</v>
      </c>
      <c r="E49" s="53">
        <f>SRS_Staffbase_pp</f>
        <v>4</v>
      </c>
      <c r="F49" s="68">
        <f t="shared" ref="F49:F61" si="3">E49*D49</f>
        <v>8</v>
      </c>
      <c r="G49" s="199"/>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row>
    <row r="50" spans="1:65" ht="38.25" x14ac:dyDescent="0.25">
      <c r="A50" s="84" t="s">
        <v>1046</v>
      </c>
      <c r="B50" s="190" t="s">
        <v>1026</v>
      </c>
      <c r="C50" s="324"/>
      <c r="D50" s="296">
        <f>14*1.5</f>
        <v>21</v>
      </c>
      <c r="E50" s="350">
        <v>1.85</v>
      </c>
      <c r="F50" s="66">
        <f t="shared" si="3"/>
        <v>38.85</v>
      </c>
      <c r="G50" s="200" t="s">
        <v>1041</v>
      </c>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row>
    <row r="51" spans="1:65" x14ac:dyDescent="0.25">
      <c r="A51" s="84" t="s">
        <v>1046</v>
      </c>
      <c r="B51" s="190" t="s">
        <v>147</v>
      </c>
      <c r="C51" s="324" t="s">
        <v>677</v>
      </c>
      <c r="D51" s="296">
        <v>1</v>
      </c>
      <c r="E51" s="67">
        <f>SRS_WC_Amb</f>
        <v>2.5</v>
      </c>
      <c r="F51" s="66">
        <f t="shared" si="3"/>
        <v>2.5</v>
      </c>
      <c r="G51" s="200"/>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row>
    <row r="52" spans="1:65" x14ac:dyDescent="0.25">
      <c r="A52" s="84" t="s">
        <v>1046</v>
      </c>
      <c r="B52" s="190" t="s">
        <v>146</v>
      </c>
      <c r="C52" s="324" t="s">
        <v>677</v>
      </c>
      <c r="D52" s="296">
        <v>1</v>
      </c>
      <c r="E52" s="67">
        <f>SRS_WC_Access</f>
        <v>4.5</v>
      </c>
      <c r="F52" s="66">
        <f t="shared" si="3"/>
        <v>4.5</v>
      </c>
      <c r="G52" s="200"/>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row>
    <row r="53" spans="1:65" x14ac:dyDescent="0.25">
      <c r="A53" s="84" t="s">
        <v>1046</v>
      </c>
      <c r="B53" s="190" t="s">
        <v>138</v>
      </c>
      <c r="C53" s="324" t="s">
        <v>677</v>
      </c>
      <c r="D53" s="296">
        <v>2</v>
      </c>
      <c r="E53" s="67">
        <f>SRS_Virtualconsult_2</f>
        <v>8</v>
      </c>
      <c r="F53" s="66">
        <f t="shared" si="3"/>
        <v>16</v>
      </c>
      <c r="G53" s="200" t="s">
        <v>1042</v>
      </c>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row>
    <row r="54" spans="1:65" x14ac:dyDescent="0.25">
      <c r="A54" s="84" t="s">
        <v>1046</v>
      </c>
      <c r="B54" s="190" t="s">
        <v>41</v>
      </c>
      <c r="C54" s="324" t="s">
        <v>677</v>
      </c>
      <c r="D54" s="298">
        <v>12</v>
      </c>
      <c r="E54" s="67">
        <f>SCS_CE_Dual</f>
        <v>16</v>
      </c>
      <c r="F54" s="66">
        <f t="shared" si="3"/>
        <v>192</v>
      </c>
      <c r="G54" s="200"/>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row>
    <row r="55" spans="1:65" x14ac:dyDescent="0.25">
      <c r="A55" s="84" t="s">
        <v>1046</v>
      </c>
      <c r="B55" s="190" t="s">
        <v>83</v>
      </c>
      <c r="C55" s="324"/>
      <c r="D55" s="298">
        <v>2</v>
      </c>
      <c r="E55" s="67">
        <f>SCS_Treatment_Stand</f>
        <v>16</v>
      </c>
      <c r="F55" s="66">
        <f t="shared" si="3"/>
        <v>32</v>
      </c>
      <c r="G55" s="200"/>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row>
    <row r="56" spans="1:65" x14ac:dyDescent="0.25">
      <c r="A56" s="84" t="s">
        <v>1046</v>
      </c>
      <c r="B56" s="190" t="s">
        <v>317</v>
      </c>
      <c r="C56" s="324" t="s">
        <v>677</v>
      </c>
      <c r="D56" s="296">
        <v>1</v>
      </c>
      <c r="E56" s="67">
        <f>OPD_Phlebotomy</f>
        <v>10</v>
      </c>
      <c r="F56" s="66">
        <f t="shared" si="3"/>
        <v>10</v>
      </c>
      <c r="G56" s="200"/>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row>
    <row r="57" spans="1:65" x14ac:dyDescent="0.25">
      <c r="A57" s="84" t="s">
        <v>1046</v>
      </c>
      <c r="B57" s="190" t="s">
        <v>69</v>
      </c>
      <c r="C57" s="294" t="s">
        <v>677</v>
      </c>
      <c r="D57" s="220">
        <v>1</v>
      </c>
      <c r="E57" s="33">
        <f>SCS_MDT_15</f>
        <v>16</v>
      </c>
      <c r="F57" s="66">
        <f t="shared" si="3"/>
        <v>16</v>
      </c>
      <c r="G57" s="200"/>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row>
    <row r="58" spans="1:65" x14ac:dyDescent="0.25">
      <c r="A58" s="84" t="s">
        <v>1046</v>
      </c>
      <c r="B58" s="190" t="s">
        <v>60</v>
      </c>
      <c r="C58" s="324" t="s">
        <v>677</v>
      </c>
      <c r="D58" s="296">
        <v>1</v>
      </c>
      <c r="E58" s="67">
        <f>SCS_Interview</f>
        <v>10</v>
      </c>
      <c r="F58" s="66">
        <f t="shared" si="3"/>
        <v>10</v>
      </c>
      <c r="G58" s="200"/>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row>
    <row r="59" spans="1:65" x14ac:dyDescent="0.25">
      <c r="A59" s="84" t="s">
        <v>1046</v>
      </c>
      <c r="B59" s="197" t="s">
        <v>1036</v>
      </c>
      <c r="C59" s="324" t="s">
        <v>677</v>
      </c>
      <c r="D59" s="296">
        <v>1</v>
      </c>
      <c r="E59" s="67">
        <v>8</v>
      </c>
      <c r="F59" s="66">
        <f t="shared" si="3"/>
        <v>8</v>
      </c>
      <c r="G59" s="200" t="s">
        <v>1043</v>
      </c>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row>
    <row r="60" spans="1:65" x14ac:dyDescent="0.25">
      <c r="A60" s="84" t="s">
        <v>1046</v>
      </c>
      <c r="B60" s="190" t="s">
        <v>147</v>
      </c>
      <c r="C60" s="324" t="s">
        <v>677</v>
      </c>
      <c r="D60" s="296">
        <v>0</v>
      </c>
      <c r="E60" s="67">
        <f>SRS_WC_Amb</f>
        <v>2.5</v>
      </c>
      <c r="F60" s="66">
        <f t="shared" si="3"/>
        <v>0</v>
      </c>
      <c r="G60" s="200" t="s">
        <v>1044</v>
      </c>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row>
    <row r="61" spans="1:65" x14ac:dyDescent="0.25">
      <c r="A61" s="85" t="s">
        <v>1046</v>
      </c>
      <c r="B61" s="198" t="s">
        <v>146</v>
      </c>
      <c r="C61" s="325" t="s">
        <v>677</v>
      </c>
      <c r="D61" s="307">
        <v>0</v>
      </c>
      <c r="E61" s="67">
        <f>SRS_WC_Access</f>
        <v>4.5</v>
      </c>
      <c r="F61" s="59">
        <f t="shared" si="3"/>
        <v>0</v>
      </c>
      <c r="G61" s="200" t="s">
        <v>1044</v>
      </c>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row>
    <row r="62" spans="1:65" x14ac:dyDescent="0.25">
      <c r="A62" s="358"/>
      <c r="B62" s="336"/>
      <c r="C62" s="336"/>
      <c r="D62" s="591" t="s">
        <v>1047</v>
      </c>
      <c r="E62" s="592"/>
      <c r="F62" s="76">
        <f>SUM(F49:F61)</f>
        <v>337.85</v>
      </c>
      <c r="G62" s="359"/>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row>
    <row r="63" spans="1:65" x14ac:dyDescent="0.25">
      <c r="A63" s="70" t="s">
        <v>1048</v>
      </c>
      <c r="B63" s="328" t="s">
        <v>126</v>
      </c>
      <c r="C63" s="326" t="s">
        <v>677</v>
      </c>
      <c r="D63" s="219">
        <v>2</v>
      </c>
      <c r="E63" s="53">
        <f>SRS_Staffbase_pp</f>
        <v>4</v>
      </c>
      <c r="F63" s="68">
        <f t="shared" ref="F63:F75" si="4">E63*D63</f>
        <v>8</v>
      </c>
      <c r="G63" s="199"/>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row>
    <row r="64" spans="1:65" ht="38.25" x14ac:dyDescent="0.25">
      <c r="A64" s="65" t="s">
        <v>1048</v>
      </c>
      <c r="B64" s="190" t="s">
        <v>1026</v>
      </c>
      <c r="C64" s="324"/>
      <c r="D64" s="296">
        <f>14*1.5</f>
        <v>21</v>
      </c>
      <c r="E64" s="350">
        <v>1.85</v>
      </c>
      <c r="F64" s="66">
        <f t="shared" si="4"/>
        <v>38.85</v>
      </c>
      <c r="G64" s="200" t="s">
        <v>1041</v>
      </c>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row>
    <row r="65" spans="1:65" x14ac:dyDescent="0.25">
      <c r="A65" s="65" t="s">
        <v>1048</v>
      </c>
      <c r="B65" s="190" t="s">
        <v>147</v>
      </c>
      <c r="C65" s="324" t="s">
        <v>677</v>
      </c>
      <c r="D65" s="296">
        <v>1</v>
      </c>
      <c r="E65" s="67">
        <f>SRS_WC_Amb</f>
        <v>2.5</v>
      </c>
      <c r="F65" s="66">
        <f t="shared" si="4"/>
        <v>2.5</v>
      </c>
      <c r="G65" s="200"/>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row>
    <row r="66" spans="1:65" x14ac:dyDescent="0.25">
      <c r="A66" s="65" t="s">
        <v>1048</v>
      </c>
      <c r="B66" s="190" t="s">
        <v>146</v>
      </c>
      <c r="C66" s="324" t="s">
        <v>677</v>
      </c>
      <c r="D66" s="296">
        <v>1</v>
      </c>
      <c r="E66" s="67">
        <f>SRS_WC_Access</f>
        <v>4.5</v>
      </c>
      <c r="F66" s="66">
        <f t="shared" si="4"/>
        <v>4.5</v>
      </c>
      <c r="G66" s="200"/>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row>
    <row r="67" spans="1:65" x14ac:dyDescent="0.25">
      <c r="A67" s="65" t="s">
        <v>1048</v>
      </c>
      <c r="B67" s="190" t="s">
        <v>138</v>
      </c>
      <c r="C67" s="324" t="s">
        <v>677</v>
      </c>
      <c r="D67" s="296">
        <v>2</v>
      </c>
      <c r="E67" s="67">
        <f>SRS_Virtualconsult_2</f>
        <v>8</v>
      </c>
      <c r="F67" s="66">
        <f t="shared" si="4"/>
        <v>16</v>
      </c>
      <c r="G67" s="200" t="s">
        <v>1042</v>
      </c>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row>
    <row r="68" spans="1:65" x14ac:dyDescent="0.25">
      <c r="A68" s="65" t="s">
        <v>1048</v>
      </c>
      <c r="B68" s="190" t="s">
        <v>41</v>
      </c>
      <c r="C68" s="324" t="s">
        <v>677</v>
      </c>
      <c r="D68" s="298">
        <v>12</v>
      </c>
      <c r="E68" s="67">
        <f>SCS_CE_Dual</f>
        <v>16</v>
      </c>
      <c r="F68" s="66">
        <f t="shared" si="4"/>
        <v>192</v>
      </c>
      <c r="G68" s="200"/>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row>
    <row r="69" spans="1:65" x14ac:dyDescent="0.25">
      <c r="A69" s="65" t="s">
        <v>1048</v>
      </c>
      <c r="B69" s="190" t="s">
        <v>83</v>
      </c>
      <c r="C69" s="324"/>
      <c r="D69" s="298">
        <v>2</v>
      </c>
      <c r="E69" s="67">
        <f>SCS_Treatment_Stand</f>
        <v>16</v>
      </c>
      <c r="F69" s="66">
        <f t="shared" si="4"/>
        <v>32</v>
      </c>
      <c r="G69" s="200"/>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row>
    <row r="70" spans="1:65" x14ac:dyDescent="0.25">
      <c r="A70" s="65" t="s">
        <v>1048</v>
      </c>
      <c r="B70" s="190" t="s">
        <v>317</v>
      </c>
      <c r="C70" s="324" t="s">
        <v>677</v>
      </c>
      <c r="D70" s="296">
        <v>1</v>
      </c>
      <c r="E70" s="67">
        <f>OPD_Phlebotomy</f>
        <v>10</v>
      </c>
      <c r="F70" s="66">
        <f t="shared" si="4"/>
        <v>10</v>
      </c>
      <c r="G70" s="200"/>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row>
    <row r="71" spans="1:65" x14ac:dyDescent="0.25">
      <c r="A71" s="65" t="s">
        <v>1048</v>
      </c>
      <c r="B71" s="190" t="s">
        <v>69</v>
      </c>
      <c r="C71" s="294" t="s">
        <v>677</v>
      </c>
      <c r="D71" s="220">
        <v>1</v>
      </c>
      <c r="E71" s="33">
        <f>SCS_MDT_15</f>
        <v>16</v>
      </c>
      <c r="F71" s="66">
        <f t="shared" si="4"/>
        <v>16</v>
      </c>
      <c r="G71" s="200"/>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row>
    <row r="72" spans="1:65" x14ac:dyDescent="0.25">
      <c r="A72" s="65" t="s">
        <v>1048</v>
      </c>
      <c r="B72" s="190" t="s">
        <v>60</v>
      </c>
      <c r="C72" s="324" t="s">
        <v>677</v>
      </c>
      <c r="D72" s="296">
        <v>1</v>
      </c>
      <c r="E72" s="67">
        <f>SCS_Interview</f>
        <v>10</v>
      </c>
      <c r="F72" s="66">
        <f t="shared" si="4"/>
        <v>10</v>
      </c>
      <c r="G72" s="200"/>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row>
    <row r="73" spans="1:65" x14ac:dyDescent="0.25">
      <c r="A73" s="65" t="s">
        <v>1048</v>
      </c>
      <c r="B73" s="197" t="s">
        <v>1036</v>
      </c>
      <c r="C73" s="324" t="s">
        <v>677</v>
      </c>
      <c r="D73" s="296">
        <v>1</v>
      </c>
      <c r="E73" s="67">
        <v>8</v>
      </c>
      <c r="F73" s="66">
        <f t="shared" si="4"/>
        <v>8</v>
      </c>
      <c r="G73" s="200" t="s">
        <v>1043</v>
      </c>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row>
    <row r="74" spans="1:65" x14ac:dyDescent="0.25">
      <c r="A74" s="65" t="s">
        <v>1048</v>
      </c>
      <c r="B74" s="190" t="s">
        <v>147</v>
      </c>
      <c r="C74" s="324" t="s">
        <v>677</v>
      </c>
      <c r="D74" s="296">
        <v>0</v>
      </c>
      <c r="E74" s="67">
        <f>SRS_WC_Amb</f>
        <v>2.5</v>
      </c>
      <c r="F74" s="66">
        <f t="shared" si="4"/>
        <v>0</v>
      </c>
      <c r="G74" s="200" t="s">
        <v>1044</v>
      </c>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row>
    <row r="75" spans="1:65" x14ac:dyDescent="0.25">
      <c r="A75" s="61" t="s">
        <v>1048</v>
      </c>
      <c r="B75" s="198" t="s">
        <v>146</v>
      </c>
      <c r="C75" s="325" t="s">
        <v>677</v>
      </c>
      <c r="D75" s="307">
        <v>0</v>
      </c>
      <c r="E75" s="67">
        <f>SRS_WC_Access</f>
        <v>4.5</v>
      </c>
      <c r="F75" s="59">
        <f t="shared" si="4"/>
        <v>0</v>
      </c>
      <c r="G75" s="200" t="s">
        <v>1044</v>
      </c>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row>
    <row r="76" spans="1:65" x14ac:dyDescent="0.25">
      <c r="A76" s="360"/>
      <c r="B76" s="351"/>
      <c r="C76" s="351"/>
      <c r="D76" s="591" t="s">
        <v>1049</v>
      </c>
      <c r="E76" s="592"/>
      <c r="F76" s="76">
        <f>SUM(F63:F75)</f>
        <v>337.85</v>
      </c>
      <c r="G76" s="359"/>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row>
    <row r="77" spans="1:65" x14ac:dyDescent="0.25">
      <c r="A77" s="356"/>
      <c r="B77" s="269"/>
      <c r="C77" s="269"/>
      <c r="D77" s="301"/>
      <c r="E77" s="316" t="s">
        <v>1050</v>
      </c>
      <c r="F77" s="299">
        <f>F34+F48+F62+F76</f>
        <v>1351.4</v>
      </c>
      <c r="G77" s="300"/>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row>
    <row r="78" spans="1:65" ht="22.5" customHeight="1" x14ac:dyDescent="0.25">
      <c r="A78" s="321" t="s">
        <v>1051</v>
      </c>
      <c r="B78" s="322"/>
      <c r="C78" s="322"/>
      <c r="D78" s="322"/>
      <c r="E78" s="322"/>
      <c r="F78" s="322"/>
      <c r="G78" s="357"/>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row>
    <row r="79" spans="1:65" ht="38.25" x14ac:dyDescent="0.25">
      <c r="A79" s="70" t="s">
        <v>1051</v>
      </c>
      <c r="B79" s="232" t="s">
        <v>457</v>
      </c>
      <c r="C79" s="326" t="s">
        <v>677</v>
      </c>
      <c r="D79" s="297">
        <v>2</v>
      </c>
      <c r="E79" s="75">
        <f>Bay_Trolley_Singleside</f>
        <v>7</v>
      </c>
      <c r="F79" s="68">
        <f t="shared" ref="F79:F91" si="5">E79*D79</f>
        <v>14</v>
      </c>
      <c r="G79" s="199" t="s">
        <v>1052</v>
      </c>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row>
    <row r="80" spans="1:65" x14ac:dyDescent="0.25">
      <c r="A80" s="65" t="s">
        <v>1051</v>
      </c>
      <c r="B80" s="232" t="s">
        <v>66</v>
      </c>
      <c r="C80" s="294" t="s">
        <v>677</v>
      </c>
      <c r="D80" s="220">
        <v>2</v>
      </c>
      <c r="E80" s="16">
        <f>SCS_Medprep_Lrg</f>
        <v>16</v>
      </c>
      <c r="F80" s="66">
        <f t="shared" si="5"/>
        <v>32</v>
      </c>
      <c r="G80" s="200" t="s">
        <v>1053</v>
      </c>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row>
    <row r="81" spans="1:65" x14ac:dyDescent="0.25">
      <c r="A81" s="65" t="s">
        <v>1051</v>
      </c>
      <c r="B81" s="328" t="s">
        <v>31</v>
      </c>
      <c r="C81" s="294" t="s">
        <v>677</v>
      </c>
      <c r="D81" s="220">
        <v>2</v>
      </c>
      <c r="E81" s="33">
        <f>SCS_Cleansupply_Med</f>
        <v>9</v>
      </c>
      <c r="F81" s="66">
        <f t="shared" si="5"/>
        <v>18</v>
      </c>
      <c r="G81" s="200" t="s">
        <v>1053</v>
      </c>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row>
    <row r="82" spans="1:65" x14ac:dyDescent="0.25">
      <c r="A82" s="65" t="s">
        <v>1051</v>
      </c>
      <c r="B82" s="328" t="s">
        <v>49</v>
      </c>
      <c r="C82" s="294" t="s">
        <v>677</v>
      </c>
      <c r="D82" s="220">
        <v>2</v>
      </c>
      <c r="E82" s="16">
        <f>SCS_Dirtyutil_Med</f>
        <v>9</v>
      </c>
      <c r="F82" s="66">
        <f t="shared" si="5"/>
        <v>18</v>
      </c>
      <c r="G82" s="200" t="s">
        <v>1053</v>
      </c>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row>
    <row r="83" spans="1:65" x14ac:dyDescent="0.25">
      <c r="A83" s="65" t="s">
        <v>1051</v>
      </c>
      <c r="B83" s="190" t="s">
        <v>450</v>
      </c>
      <c r="C83" s="324" t="s">
        <v>677</v>
      </c>
      <c r="D83" s="296">
        <v>1</v>
      </c>
      <c r="E83" s="73">
        <f>Bay_Resustroll</f>
        <v>2</v>
      </c>
      <c r="F83" s="66">
        <f t="shared" si="5"/>
        <v>2</v>
      </c>
      <c r="G83" s="200" t="s">
        <v>1054</v>
      </c>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row>
    <row r="84" spans="1:65" x14ac:dyDescent="0.25">
      <c r="A84" s="65" t="s">
        <v>1051</v>
      </c>
      <c r="B84" s="190" t="s">
        <v>38</v>
      </c>
      <c r="C84" s="324" t="s">
        <v>677</v>
      </c>
      <c r="D84" s="296">
        <v>2</v>
      </c>
      <c r="E84" s="73">
        <f>SRS_Cleaner_Cup</f>
        <v>5</v>
      </c>
      <c r="F84" s="66">
        <f t="shared" si="5"/>
        <v>10</v>
      </c>
      <c r="G84" s="200" t="s">
        <v>1055</v>
      </c>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row>
    <row r="85" spans="1:65" x14ac:dyDescent="0.25">
      <c r="A85" s="65" t="s">
        <v>1051</v>
      </c>
      <c r="B85" s="328" t="s">
        <v>132</v>
      </c>
      <c r="C85" s="294" t="s">
        <v>677</v>
      </c>
      <c r="D85" s="223">
        <v>25</v>
      </c>
      <c r="E85" s="13">
        <f>SRS_Staffrestbev_pp</f>
        <v>1.5</v>
      </c>
      <c r="F85" s="66">
        <f t="shared" si="5"/>
        <v>37.5</v>
      </c>
      <c r="G85" s="200"/>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row>
    <row r="86" spans="1:65" ht="24.95" customHeight="1" x14ac:dyDescent="0.25">
      <c r="A86" s="65" t="s">
        <v>1051</v>
      </c>
      <c r="B86" s="197" t="s">
        <v>106</v>
      </c>
      <c r="C86" s="324" t="s">
        <v>677</v>
      </c>
      <c r="D86" s="296">
        <v>10</v>
      </c>
      <c r="E86" s="73">
        <f>SRS_Locker_4</f>
        <v>0.5</v>
      </c>
      <c r="F86" s="66">
        <f t="shared" si="5"/>
        <v>5</v>
      </c>
      <c r="G86" s="200" t="s">
        <v>1056</v>
      </c>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row>
    <row r="87" spans="1:65" x14ac:dyDescent="0.25">
      <c r="A87" s="65" t="s">
        <v>1051</v>
      </c>
      <c r="B87" s="197" t="s">
        <v>46</v>
      </c>
      <c r="C87" s="324" t="s">
        <v>677</v>
      </c>
      <c r="D87" s="296">
        <v>1</v>
      </c>
      <c r="E87" s="73">
        <f>SCS_Controlhub</f>
        <v>10</v>
      </c>
      <c r="F87" s="66">
        <f t="shared" si="5"/>
        <v>10</v>
      </c>
      <c r="G87" s="200" t="s">
        <v>1057</v>
      </c>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row>
    <row r="88" spans="1:65" x14ac:dyDescent="0.25">
      <c r="A88" s="65" t="s">
        <v>1051</v>
      </c>
      <c r="B88" s="190" t="s">
        <v>147</v>
      </c>
      <c r="C88" s="324" t="s">
        <v>677</v>
      </c>
      <c r="D88" s="296">
        <v>2</v>
      </c>
      <c r="E88" s="67">
        <f>SRS_WC_Amb</f>
        <v>2.5</v>
      </c>
      <c r="F88" s="66">
        <f t="shared" si="5"/>
        <v>5</v>
      </c>
      <c r="G88" s="200"/>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1:65" x14ac:dyDescent="0.25">
      <c r="A89" s="65" t="s">
        <v>1051</v>
      </c>
      <c r="B89" s="190" t="s">
        <v>146</v>
      </c>
      <c r="C89" s="324" t="s">
        <v>677</v>
      </c>
      <c r="D89" s="296">
        <v>1</v>
      </c>
      <c r="E89" s="67">
        <f>SRS_WC_Access</f>
        <v>4.5</v>
      </c>
      <c r="F89" s="66">
        <f t="shared" si="5"/>
        <v>4.5</v>
      </c>
      <c r="G89" s="200"/>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1:65" x14ac:dyDescent="0.25">
      <c r="A90" s="65" t="s">
        <v>1051</v>
      </c>
      <c r="B90" s="328" t="s">
        <v>53</v>
      </c>
      <c r="C90" s="294" t="s">
        <v>696</v>
      </c>
      <c r="D90" s="223">
        <v>1</v>
      </c>
      <c r="E90" s="13">
        <f>SCS_Disphol_Small</f>
        <v>10</v>
      </c>
      <c r="F90" s="66">
        <f t="shared" si="5"/>
        <v>10</v>
      </c>
      <c r="G90" s="200" t="s">
        <v>945</v>
      </c>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1:65" x14ac:dyDescent="0.25">
      <c r="A91" s="61" t="s">
        <v>1051</v>
      </c>
      <c r="B91" s="329" t="s">
        <v>93</v>
      </c>
      <c r="C91" s="295" t="s">
        <v>696</v>
      </c>
      <c r="D91" s="330">
        <v>1</v>
      </c>
      <c r="E91" s="352">
        <f>SRS_Delivhub_Small</f>
        <v>4.5</v>
      </c>
      <c r="F91" s="66">
        <f t="shared" si="5"/>
        <v>4.5</v>
      </c>
      <c r="G91" s="200" t="s">
        <v>946</v>
      </c>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1:65" x14ac:dyDescent="0.25">
      <c r="A92" s="356"/>
      <c r="B92" s="269"/>
      <c r="C92" s="269"/>
      <c r="D92" s="272"/>
      <c r="E92" s="271" t="s">
        <v>486</v>
      </c>
      <c r="F92" s="317">
        <f>SUM(F79:F91)</f>
        <v>170.5</v>
      </c>
      <c r="G92" s="279"/>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1:65" x14ac:dyDescent="0.25">
      <c r="A93" s="356"/>
      <c r="B93" s="269"/>
      <c r="C93" s="269"/>
      <c r="D93" s="589" t="s">
        <v>1058</v>
      </c>
      <c r="E93" s="590"/>
      <c r="F93" s="319">
        <f>F92</f>
        <v>170.5</v>
      </c>
      <c r="G93" s="300"/>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1:65" x14ac:dyDescent="0.25">
      <c r="A94" s="270" t="s">
        <v>317</v>
      </c>
      <c r="B94" s="348"/>
      <c r="C94" s="348"/>
      <c r="D94" s="348"/>
      <c r="E94" s="348"/>
      <c r="F94" s="348"/>
      <c r="G94" s="355"/>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1:65" ht="51" x14ac:dyDescent="0.25">
      <c r="A95" s="70" t="s">
        <v>317</v>
      </c>
      <c r="B95" s="190" t="s">
        <v>1026</v>
      </c>
      <c r="C95" s="326"/>
      <c r="D95" s="55">
        <f>12+8</f>
        <v>20</v>
      </c>
      <c r="E95" s="353">
        <v>1.65</v>
      </c>
      <c r="F95" s="75">
        <f>PRODUCT(C95:E95)</f>
        <v>33</v>
      </c>
      <c r="G95" s="199" t="s">
        <v>1059</v>
      </c>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1:65" x14ac:dyDescent="0.25">
      <c r="A96" s="65" t="s">
        <v>317</v>
      </c>
      <c r="B96" s="190" t="s">
        <v>317</v>
      </c>
      <c r="C96" s="324" t="s">
        <v>677</v>
      </c>
      <c r="D96" s="55">
        <v>6</v>
      </c>
      <c r="E96" s="74">
        <f>OPD_Phlebotomy</f>
        <v>10</v>
      </c>
      <c r="F96" s="73">
        <f>PRODUCT(C96:E96)</f>
        <v>60</v>
      </c>
      <c r="G96" s="202" t="s">
        <v>1060</v>
      </c>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1:65" x14ac:dyDescent="0.25">
      <c r="A97" s="65" t="s">
        <v>317</v>
      </c>
      <c r="B97" s="232" t="s">
        <v>120</v>
      </c>
      <c r="C97" s="324" t="s">
        <v>677</v>
      </c>
      <c r="D97" s="220">
        <v>1</v>
      </c>
      <c r="E97" s="33">
        <f>SRS_Recept_pp</f>
        <v>5.5</v>
      </c>
      <c r="F97" s="66">
        <f>E97*D97</f>
        <v>5.5</v>
      </c>
      <c r="G97" s="202"/>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1:65" x14ac:dyDescent="0.25">
      <c r="A98" s="65" t="s">
        <v>317</v>
      </c>
      <c r="B98" s="190" t="s">
        <v>73</v>
      </c>
      <c r="C98" s="324" t="s">
        <v>677</v>
      </c>
      <c r="D98" s="55">
        <v>1</v>
      </c>
      <c r="E98" s="74">
        <f>SCS_PTS</f>
        <v>2</v>
      </c>
      <c r="F98" s="73">
        <f>PRODUCT(C98:E98)</f>
        <v>2</v>
      </c>
      <c r="G98" s="202"/>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1:65" x14ac:dyDescent="0.25">
      <c r="A99" s="61" t="s">
        <v>317</v>
      </c>
      <c r="B99" s="361" t="s">
        <v>466</v>
      </c>
      <c r="C99" s="354" t="s">
        <v>677</v>
      </c>
      <c r="D99" s="55">
        <v>1</v>
      </c>
      <c r="E99" s="72">
        <f>Store_15</f>
        <v>15</v>
      </c>
      <c r="F99" s="71">
        <f>PRODUCT(C99:E99)</f>
        <v>15</v>
      </c>
      <c r="G99" s="347" t="s">
        <v>1061</v>
      </c>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1:65" x14ac:dyDescent="0.25">
      <c r="A100" s="356"/>
      <c r="B100" s="269"/>
      <c r="C100" s="269"/>
      <c r="D100" s="272"/>
      <c r="E100" s="271" t="s">
        <v>486</v>
      </c>
      <c r="F100" s="317">
        <f>SUM(F95:F99)</f>
        <v>115.5</v>
      </c>
      <c r="G100" s="279"/>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1:65" x14ac:dyDescent="0.25">
      <c r="A101" s="356"/>
      <c r="B101" s="269"/>
      <c r="C101" s="269"/>
      <c r="D101" s="593" t="s">
        <v>1062</v>
      </c>
      <c r="E101" s="594"/>
      <c r="F101" s="319">
        <f>F100</f>
        <v>115.5</v>
      </c>
      <c r="G101" s="300"/>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1:65" x14ac:dyDescent="0.25">
      <c r="A102" s="270" t="s">
        <v>1063</v>
      </c>
      <c r="B102" s="348"/>
      <c r="C102" s="348"/>
      <c r="D102" s="348"/>
      <c r="E102" s="348"/>
      <c r="F102" s="348"/>
      <c r="G102" s="355"/>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1:65" x14ac:dyDescent="0.25">
      <c r="A103" s="70" t="s">
        <v>1063</v>
      </c>
      <c r="B103" s="190" t="s">
        <v>120</v>
      </c>
      <c r="C103" s="326" t="s">
        <v>677</v>
      </c>
      <c r="D103" s="297">
        <v>2</v>
      </c>
      <c r="E103" s="69">
        <f>SRS_Recept_pp</f>
        <v>5.5</v>
      </c>
      <c r="F103" s="68">
        <f>SUM(E103*D103)</f>
        <v>11</v>
      </c>
      <c r="G103" s="199" t="s">
        <v>1064</v>
      </c>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1:65" ht="38.25" x14ac:dyDescent="0.25">
      <c r="A104" s="65" t="s">
        <v>1063</v>
      </c>
      <c r="B104" s="190" t="s">
        <v>1026</v>
      </c>
      <c r="C104" s="324"/>
      <c r="D104" s="296">
        <v>30</v>
      </c>
      <c r="E104" s="350">
        <v>1.85</v>
      </c>
      <c r="F104" s="66">
        <f>E104*D104</f>
        <v>55.5</v>
      </c>
      <c r="G104" s="200" t="s">
        <v>1065</v>
      </c>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1:65" x14ac:dyDescent="0.25">
      <c r="A105" s="65" t="s">
        <v>1063</v>
      </c>
      <c r="B105" s="190" t="s">
        <v>147</v>
      </c>
      <c r="C105" s="324" t="s">
        <v>677</v>
      </c>
      <c r="D105" s="296">
        <v>1</v>
      </c>
      <c r="E105" s="67">
        <f>SRS_WC_Amb</f>
        <v>2.5</v>
      </c>
      <c r="F105" s="66">
        <f>E105*D105</f>
        <v>2.5</v>
      </c>
      <c r="G105" s="200" t="s">
        <v>701</v>
      </c>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1:65" x14ac:dyDescent="0.25">
      <c r="A106" s="65" t="s">
        <v>1063</v>
      </c>
      <c r="B106" s="190" t="s">
        <v>146</v>
      </c>
      <c r="C106" s="324" t="s">
        <v>677</v>
      </c>
      <c r="D106" s="296">
        <v>1</v>
      </c>
      <c r="E106" s="67">
        <f>SRS_WC_Access</f>
        <v>4.5</v>
      </c>
      <c r="F106" s="66">
        <f>E106*D106</f>
        <v>4.5</v>
      </c>
      <c r="G106" s="200"/>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1:65" x14ac:dyDescent="0.25">
      <c r="A107" s="65" t="s">
        <v>1063</v>
      </c>
      <c r="B107" s="197" t="s">
        <v>914</v>
      </c>
      <c r="C107" s="324"/>
      <c r="D107" s="296">
        <v>1</v>
      </c>
      <c r="E107" s="67">
        <v>8</v>
      </c>
      <c r="F107" s="66">
        <f t="shared" ref="F107:F127" si="6">SUM(E107*D107)</f>
        <v>8</v>
      </c>
      <c r="G107" s="200"/>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1:65" x14ac:dyDescent="0.25">
      <c r="A108" s="65" t="s">
        <v>1063</v>
      </c>
      <c r="B108" s="197" t="s">
        <v>1066</v>
      </c>
      <c r="C108" s="324" t="s">
        <v>677</v>
      </c>
      <c r="D108" s="296">
        <v>1</v>
      </c>
      <c r="E108" s="67">
        <f>SCS_Therapyroom</f>
        <v>16</v>
      </c>
      <c r="F108" s="66">
        <f t="shared" si="6"/>
        <v>16</v>
      </c>
      <c r="G108" s="200" t="s">
        <v>1067</v>
      </c>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1:65" x14ac:dyDescent="0.25">
      <c r="A109" s="65" t="s">
        <v>1063</v>
      </c>
      <c r="B109" s="190" t="s">
        <v>41</v>
      </c>
      <c r="C109" s="324" t="s">
        <v>677</v>
      </c>
      <c r="D109" s="296">
        <v>1</v>
      </c>
      <c r="E109" s="67">
        <f>SCS_CE_Dual</f>
        <v>16</v>
      </c>
      <c r="F109" s="66">
        <f t="shared" si="6"/>
        <v>16</v>
      </c>
      <c r="G109" s="280" t="s">
        <v>1068</v>
      </c>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1:65" x14ac:dyDescent="0.25">
      <c r="A110" s="65" t="s">
        <v>1063</v>
      </c>
      <c r="B110" s="197" t="s">
        <v>421</v>
      </c>
      <c r="C110" s="324" t="s">
        <v>677</v>
      </c>
      <c r="D110" s="296">
        <v>1</v>
      </c>
      <c r="E110" s="67">
        <f>NCS_Infocentre_Lrg</f>
        <v>20</v>
      </c>
      <c r="F110" s="66">
        <f t="shared" si="6"/>
        <v>20</v>
      </c>
      <c r="G110" s="200"/>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1:65" x14ac:dyDescent="0.25">
      <c r="A111" s="65" t="s">
        <v>1063</v>
      </c>
      <c r="B111" s="190" t="s">
        <v>60</v>
      </c>
      <c r="C111" s="324" t="s">
        <v>677</v>
      </c>
      <c r="D111" s="296">
        <v>1</v>
      </c>
      <c r="E111" s="67">
        <f>SCS_Interview</f>
        <v>10</v>
      </c>
      <c r="F111" s="66">
        <f t="shared" si="6"/>
        <v>10</v>
      </c>
      <c r="G111" s="200"/>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1:65" x14ac:dyDescent="0.25">
      <c r="A112" s="65" t="s">
        <v>1063</v>
      </c>
      <c r="B112" s="190" t="s">
        <v>41</v>
      </c>
      <c r="C112" s="324" t="s">
        <v>677</v>
      </c>
      <c r="D112" s="296">
        <v>1</v>
      </c>
      <c r="E112" s="67">
        <f>SCS_CE_Dual</f>
        <v>16</v>
      </c>
      <c r="F112" s="66">
        <f t="shared" si="6"/>
        <v>16</v>
      </c>
      <c r="G112" s="200"/>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1:65" x14ac:dyDescent="0.25">
      <c r="A113" s="65" t="s">
        <v>1063</v>
      </c>
      <c r="B113" s="190" t="s">
        <v>293</v>
      </c>
      <c r="C113" s="324" t="s">
        <v>677</v>
      </c>
      <c r="D113" s="296">
        <v>30</v>
      </c>
      <c r="E113" s="67">
        <f>OPD_Cabinrecl_Medday_Stand</f>
        <v>14</v>
      </c>
      <c r="F113" s="66">
        <f t="shared" si="6"/>
        <v>420</v>
      </c>
      <c r="G113" s="200"/>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1:65" x14ac:dyDescent="0.25">
      <c r="A114" s="65" t="s">
        <v>1063</v>
      </c>
      <c r="B114" s="197" t="s">
        <v>95</v>
      </c>
      <c r="C114" s="324" t="s">
        <v>677</v>
      </c>
      <c r="D114" s="296">
        <v>6</v>
      </c>
      <c r="E114" s="67">
        <f>SRS_Ensuite_lrg</f>
        <v>7.5</v>
      </c>
      <c r="F114" s="66">
        <f t="shared" si="6"/>
        <v>45</v>
      </c>
      <c r="G114" s="200" t="s">
        <v>1069</v>
      </c>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1:65" x14ac:dyDescent="0.25">
      <c r="A115" s="65" t="s">
        <v>1063</v>
      </c>
      <c r="B115" s="190" t="s">
        <v>146</v>
      </c>
      <c r="C115" s="324" t="s">
        <v>677</v>
      </c>
      <c r="D115" s="296">
        <v>6</v>
      </c>
      <c r="E115" s="67">
        <f>SRS_WC_Access</f>
        <v>4.5</v>
      </c>
      <c r="F115" s="66">
        <f t="shared" si="6"/>
        <v>27</v>
      </c>
      <c r="G115" s="200" t="s">
        <v>1070</v>
      </c>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row>
    <row r="116" spans="1:65" x14ac:dyDescent="0.25">
      <c r="A116" s="65" t="s">
        <v>1063</v>
      </c>
      <c r="B116" s="328" t="s">
        <v>126</v>
      </c>
      <c r="C116" s="324" t="s">
        <v>677</v>
      </c>
      <c r="D116" s="296">
        <v>2</v>
      </c>
      <c r="E116" s="78">
        <f>SRS_Staffbase_pp</f>
        <v>4</v>
      </c>
      <c r="F116" s="66">
        <f t="shared" si="6"/>
        <v>8</v>
      </c>
      <c r="G116" s="200"/>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row>
    <row r="117" spans="1:65" x14ac:dyDescent="0.25">
      <c r="A117" s="65" t="s">
        <v>1063</v>
      </c>
      <c r="B117" s="190" t="s">
        <v>450</v>
      </c>
      <c r="C117" s="324" t="s">
        <v>677</v>
      </c>
      <c r="D117" s="296">
        <v>1</v>
      </c>
      <c r="E117" s="67">
        <f>Bay_Resustroll</f>
        <v>2</v>
      </c>
      <c r="F117" s="66">
        <f t="shared" si="6"/>
        <v>2</v>
      </c>
      <c r="G117" s="280" t="s">
        <v>886</v>
      </c>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row>
    <row r="118" spans="1:65" x14ac:dyDescent="0.25">
      <c r="A118" s="65" t="s">
        <v>1063</v>
      </c>
      <c r="B118" s="328" t="s">
        <v>31</v>
      </c>
      <c r="C118" s="324" t="s">
        <v>677</v>
      </c>
      <c r="D118" s="296">
        <v>2</v>
      </c>
      <c r="E118" s="33">
        <f>SCS_Cleansupply_Med</f>
        <v>9</v>
      </c>
      <c r="F118" s="66">
        <f t="shared" si="6"/>
        <v>18</v>
      </c>
      <c r="G118" s="200"/>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row>
    <row r="119" spans="1:65" x14ac:dyDescent="0.25">
      <c r="A119" s="65" t="s">
        <v>1063</v>
      </c>
      <c r="B119" s="328" t="s">
        <v>49</v>
      </c>
      <c r="C119" s="324" t="s">
        <v>677</v>
      </c>
      <c r="D119" s="296">
        <v>2</v>
      </c>
      <c r="E119" s="16">
        <f>SCS_Dirtyutil_Med</f>
        <v>9</v>
      </c>
      <c r="F119" s="66">
        <f t="shared" si="6"/>
        <v>18</v>
      </c>
      <c r="G119" s="200"/>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row>
    <row r="120" spans="1:65" x14ac:dyDescent="0.25">
      <c r="A120" s="65" t="s">
        <v>1063</v>
      </c>
      <c r="B120" s="197" t="s">
        <v>66</v>
      </c>
      <c r="C120" s="324" t="s">
        <v>677</v>
      </c>
      <c r="D120" s="296">
        <v>1</v>
      </c>
      <c r="E120" s="67">
        <f>SCS_Medprep_Lrg</f>
        <v>16</v>
      </c>
      <c r="F120" s="66">
        <f t="shared" si="6"/>
        <v>16</v>
      </c>
      <c r="G120" s="200"/>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row>
    <row r="121" spans="1:65" ht="25.5" x14ac:dyDescent="0.25">
      <c r="A121" s="65" t="s">
        <v>1063</v>
      </c>
      <c r="B121" s="197" t="s">
        <v>315</v>
      </c>
      <c r="C121" s="324" t="s">
        <v>677</v>
      </c>
      <c r="D121" s="296">
        <v>1</v>
      </c>
      <c r="E121" s="67">
        <f>OPD_Medprep_Cytotox</f>
        <v>16</v>
      </c>
      <c r="F121" s="66">
        <f t="shared" si="6"/>
        <v>16</v>
      </c>
      <c r="G121" s="200" t="s">
        <v>1071</v>
      </c>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row>
    <row r="122" spans="1:65" x14ac:dyDescent="0.25">
      <c r="A122" s="65" t="s">
        <v>1063</v>
      </c>
      <c r="B122" s="197" t="s">
        <v>113</v>
      </c>
      <c r="C122" s="324" t="s">
        <v>677</v>
      </c>
      <c r="D122" s="296">
        <v>1</v>
      </c>
      <c r="E122" s="67">
        <f>SRS_Pantry_Med</f>
        <v>12</v>
      </c>
      <c r="F122" s="66">
        <f t="shared" si="6"/>
        <v>12</v>
      </c>
      <c r="G122" s="280" t="s">
        <v>1072</v>
      </c>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row>
    <row r="123" spans="1:65" x14ac:dyDescent="0.25">
      <c r="A123" s="65" t="s">
        <v>1063</v>
      </c>
      <c r="B123" s="190" t="s">
        <v>467</v>
      </c>
      <c r="C123" s="324" t="s">
        <v>677</v>
      </c>
      <c r="D123" s="296">
        <v>1</v>
      </c>
      <c r="E123" s="67">
        <f>Store_20</f>
        <v>20</v>
      </c>
      <c r="F123" s="66">
        <f t="shared" si="6"/>
        <v>20</v>
      </c>
      <c r="G123" s="280" t="s">
        <v>1073</v>
      </c>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row>
    <row r="124" spans="1:65" x14ac:dyDescent="0.25">
      <c r="A124" s="65" t="s">
        <v>1063</v>
      </c>
      <c r="B124" s="190" t="s">
        <v>69</v>
      </c>
      <c r="C124" s="324" t="s">
        <v>677</v>
      </c>
      <c r="D124" s="296">
        <v>1</v>
      </c>
      <c r="E124" s="67">
        <f>SCS_MDT_15</f>
        <v>16</v>
      </c>
      <c r="F124" s="66">
        <f t="shared" si="6"/>
        <v>16</v>
      </c>
      <c r="G124" s="200"/>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row>
    <row r="125" spans="1:65" x14ac:dyDescent="0.25">
      <c r="A125" s="65" t="s">
        <v>1063</v>
      </c>
      <c r="B125" s="197" t="s">
        <v>134</v>
      </c>
      <c r="C125" s="324" t="s">
        <v>677</v>
      </c>
      <c r="D125" s="296">
        <v>1</v>
      </c>
      <c r="E125" s="67">
        <f>SRS_Staff_Shower</f>
        <v>3</v>
      </c>
      <c r="F125" s="66">
        <f t="shared" si="6"/>
        <v>3</v>
      </c>
      <c r="G125" s="200" t="s">
        <v>1074</v>
      </c>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row>
    <row r="126" spans="1:65" x14ac:dyDescent="0.25">
      <c r="A126" s="65" t="s">
        <v>1063</v>
      </c>
      <c r="B126" s="197" t="s">
        <v>106</v>
      </c>
      <c r="C126" s="324" t="s">
        <v>677</v>
      </c>
      <c r="D126" s="296">
        <v>10</v>
      </c>
      <c r="E126" s="73">
        <f>SRS_Locker_4</f>
        <v>0.5</v>
      </c>
      <c r="F126" s="66">
        <f t="shared" si="6"/>
        <v>5</v>
      </c>
      <c r="G126" s="200"/>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row>
    <row r="127" spans="1:65" x14ac:dyDescent="0.25">
      <c r="A127" s="65" t="s">
        <v>1063</v>
      </c>
      <c r="B127" s="190" t="s">
        <v>39</v>
      </c>
      <c r="C127" s="324" t="s">
        <v>677</v>
      </c>
      <c r="D127" s="296">
        <v>1</v>
      </c>
      <c r="E127" s="67">
        <f>SRS_Cleaner_Rm</f>
        <v>8</v>
      </c>
      <c r="F127" s="66">
        <f t="shared" si="6"/>
        <v>8</v>
      </c>
      <c r="G127" s="200"/>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row>
    <row r="128" spans="1:65" x14ac:dyDescent="0.25">
      <c r="A128" s="65" t="s">
        <v>1063</v>
      </c>
      <c r="B128" s="190" t="s">
        <v>38</v>
      </c>
      <c r="C128" s="324" t="s">
        <v>677</v>
      </c>
      <c r="D128" s="296">
        <v>1</v>
      </c>
      <c r="E128" s="73">
        <f>SRS_Cleaner_Cup</f>
        <v>5</v>
      </c>
      <c r="F128" s="66">
        <f>E128*D128</f>
        <v>5</v>
      </c>
      <c r="G128" s="200"/>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row>
    <row r="129" spans="1:65" x14ac:dyDescent="0.25">
      <c r="A129" s="65" t="s">
        <v>1063</v>
      </c>
      <c r="B129" s="190" t="s">
        <v>53</v>
      </c>
      <c r="C129" s="324" t="s">
        <v>677</v>
      </c>
      <c r="D129" s="296">
        <v>1</v>
      </c>
      <c r="E129" s="67">
        <f>SCS_Disphol_Small</f>
        <v>10</v>
      </c>
      <c r="F129" s="66">
        <f>SUM(E129*D129)</f>
        <v>10</v>
      </c>
      <c r="G129" s="200"/>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row>
    <row r="130" spans="1:65" x14ac:dyDescent="0.25">
      <c r="A130" s="65" t="s">
        <v>1063</v>
      </c>
      <c r="B130" s="190" t="s">
        <v>130</v>
      </c>
      <c r="C130" s="324" t="s">
        <v>677</v>
      </c>
      <c r="D130" s="296">
        <v>0</v>
      </c>
      <c r="E130" s="63">
        <f>SRS_Staffchange_pp</f>
        <v>2.5</v>
      </c>
      <c r="F130" s="62">
        <f>SUM(E130*D130)</f>
        <v>0</v>
      </c>
      <c r="G130" s="200" t="s">
        <v>1075</v>
      </c>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row>
    <row r="131" spans="1:65" x14ac:dyDescent="0.25">
      <c r="A131" s="65" t="s">
        <v>1063</v>
      </c>
      <c r="B131" s="328" t="s">
        <v>132</v>
      </c>
      <c r="C131" s="294" t="s">
        <v>677</v>
      </c>
      <c r="D131" s="223">
        <v>25</v>
      </c>
      <c r="E131" s="25">
        <f>SRS_Staffrestbev_pp</f>
        <v>1.5</v>
      </c>
      <c r="F131" s="66">
        <f>E131*D131</f>
        <v>37.5</v>
      </c>
      <c r="G131" s="200" t="s">
        <v>1076</v>
      </c>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row>
    <row r="132" spans="1:65" x14ac:dyDescent="0.25">
      <c r="A132" s="65" t="s">
        <v>1063</v>
      </c>
      <c r="B132" s="190" t="s">
        <v>147</v>
      </c>
      <c r="C132" s="324" t="s">
        <v>677</v>
      </c>
      <c r="D132" s="296">
        <v>1</v>
      </c>
      <c r="E132" s="67">
        <f>SRS_WC_Amb</f>
        <v>2.5</v>
      </c>
      <c r="F132" s="66">
        <f>SUM(E132*D132)</f>
        <v>2.5</v>
      </c>
      <c r="G132" s="200" t="s">
        <v>700</v>
      </c>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row>
    <row r="133" spans="1:65" x14ac:dyDescent="0.25">
      <c r="A133" s="61" t="s">
        <v>1063</v>
      </c>
      <c r="B133" s="198" t="s">
        <v>146</v>
      </c>
      <c r="C133" s="325" t="s">
        <v>677</v>
      </c>
      <c r="D133" s="307">
        <v>1</v>
      </c>
      <c r="E133" s="71">
        <f>SRS_WC_Access</f>
        <v>4.5</v>
      </c>
      <c r="F133" s="66">
        <f>SUM(E133*D133)</f>
        <v>4.5</v>
      </c>
      <c r="G133" s="200" t="s">
        <v>700</v>
      </c>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row>
    <row r="134" spans="1:65" x14ac:dyDescent="0.25">
      <c r="A134" s="356"/>
      <c r="B134" s="269"/>
      <c r="C134" s="269"/>
      <c r="D134" s="269"/>
      <c r="E134" s="301" t="s">
        <v>486</v>
      </c>
      <c r="F134" s="317">
        <f>SUM(F103:F133)</f>
        <v>853</v>
      </c>
      <c r="G134" s="279"/>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row>
    <row r="135" spans="1:65" x14ac:dyDescent="0.25">
      <c r="A135" s="356"/>
      <c r="B135" s="269"/>
      <c r="C135" s="269"/>
      <c r="D135" s="589" t="s">
        <v>1077</v>
      </c>
      <c r="E135" s="590"/>
      <c r="F135" s="318">
        <f>F134</f>
        <v>853</v>
      </c>
      <c r="G135" s="300"/>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row>
    <row r="136" spans="1:65" x14ac:dyDescent="0.25">
      <c r="A136" s="270" t="s">
        <v>1078</v>
      </c>
      <c r="B136" s="348"/>
      <c r="C136" s="348"/>
      <c r="D136" s="348"/>
      <c r="E136" s="348"/>
      <c r="F136" s="348"/>
      <c r="G136" s="355"/>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row>
    <row r="137" spans="1:65" x14ac:dyDescent="0.25">
      <c r="A137" s="70" t="s">
        <v>1078</v>
      </c>
      <c r="B137" s="190" t="s">
        <v>126</v>
      </c>
      <c r="C137" s="326" t="s">
        <v>677</v>
      </c>
      <c r="D137" s="297">
        <v>3</v>
      </c>
      <c r="E137" s="78">
        <f>SRS_Staffbase_pp</f>
        <v>4</v>
      </c>
      <c r="F137" s="68">
        <f>SUM(E137*D137)</f>
        <v>12</v>
      </c>
      <c r="G137" s="199"/>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row>
    <row r="138" spans="1:65" ht="38.25" x14ac:dyDescent="0.25">
      <c r="A138" s="65" t="s">
        <v>1078</v>
      </c>
      <c r="B138" s="190" t="s">
        <v>1026</v>
      </c>
      <c r="C138" s="324"/>
      <c r="D138" s="296">
        <v>5</v>
      </c>
      <c r="E138" s="350">
        <v>2.25</v>
      </c>
      <c r="F138" s="66">
        <f>SUM(E138*D138)</f>
        <v>11.25</v>
      </c>
      <c r="G138" s="200" t="s">
        <v>1079</v>
      </c>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row>
    <row r="139" spans="1:65" x14ac:dyDescent="0.25">
      <c r="A139" s="65" t="s">
        <v>1078</v>
      </c>
      <c r="B139" s="190" t="s">
        <v>147</v>
      </c>
      <c r="C139" s="324" t="s">
        <v>677</v>
      </c>
      <c r="D139" s="296">
        <v>1</v>
      </c>
      <c r="E139" s="67">
        <f>SRS_WC_Amb</f>
        <v>2.5</v>
      </c>
      <c r="F139" s="66">
        <f>E139*D139</f>
        <v>2.5</v>
      </c>
      <c r="G139" s="200" t="s">
        <v>701</v>
      </c>
      <c r="H139" s="43"/>
      <c r="I139" s="43">
        <f>24/8</f>
        <v>3</v>
      </c>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row>
    <row r="140" spans="1:65" x14ac:dyDescent="0.25">
      <c r="A140" s="65" t="s">
        <v>1078</v>
      </c>
      <c r="B140" s="190" t="s">
        <v>146</v>
      </c>
      <c r="C140" s="324" t="s">
        <v>677</v>
      </c>
      <c r="D140" s="296">
        <v>1</v>
      </c>
      <c r="E140" s="67">
        <f>SRS_WC_Access</f>
        <v>4.5</v>
      </c>
      <c r="F140" s="66">
        <f>E140*D140</f>
        <v>4.5</v>
      </c>
      <c r="G140" s="200"/>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row>
    <row r="141" spans="1:65" x14ac:dyDescent="0.25">
      <c r="A141" s="65" t="s">
        <v>1078</v>
      </c>
      <c r="B141" s="197" t="s">
        <v>984</v>
      </c>
      <c r="C141" s="324"/>
      <c r="D141" s="296">
        <v>4</v>
      </c>
      <c r="E141" s="67">
        <f>Theatres_Preparation</f>
        <v>12</v>
      </c>
      <c r="F141" s="66">
        <f t="shared" ref="F141:F154" si="7">SUM(E141*D141)</f>
        <v>48</v>
      </c>
      <c r="G141" s="200" t="s">
        <v>1064</v>
      </c>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row>
    <row r="142" spans="1:65" x14ac:dyDescent="0.25">
      <c r="A142" s="65" t="s">
        <v>1078</v>
      </c>
      <c r="B142" s="197" t="s">
        <v>320</v>
      </c>
      <c r="C142" s="324" t="s">
        <v>677</v>
      </c>
      <c r="D142" s="296">
        <v>4</v>
      </c>
      <c r="E142" s="67">
        <f>OPD_Minorprocedure</f>
        <v>24</v>
      </c>
      <c r="F142" s="66">
        <f t="shared" si="7"/>
        <v>96</v>
      </c>
      <c r="G142" s="200"/>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row>
    <row r="143" spans="1:65" x14ac:dyDescent="0.25">
      <c r="A143" s="65" t="s">
        <v>1078</v>
      </c>
      <c r="B143" s="328" t="s">
        <v>49</v>
      </c>
      <c r="C143" s="324" t="s">
        <v>677</v>
      </c>
      <c r="D143" s="296">
        <v>4</v>
      </c>
      <c r="E143" s="16">
        <f>SCS_Dirtyutil_Med</f>
        <v>9</v>
      </c>
      <c r="F143" s="66">
        <f t="shared" si="7"/>
        <v>36</v>
      </c>
      <c r="G143" s="200" t="s">
        <v>1080</v>
      </c>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row>
    <row r="144" spans="1:65" x14ac:dyDescent="0.25">
      <c r="A144" s="65" t="s">
        <v>1078</v>
      </c>
      <c r="B144" s="64" t="s">
        <v>1081</v>
      </c>
      <c r="C144" s="324"/>
      <c r="D144" s="296">
        <v>4</v>
      </c>
      <c r="E144" s="67">
        <v>24</v>
      </c>
      <c r="F144" s="66">
        <f t="shared" si="7"/>
        <v>96</v>
      </c>
      <c r="G144" s="200" t="s">
        <v>1082</v>
      </c>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row>
    <row r="145" spans="1:66" x14ac:dyDescent="0.25">
      <c r="A145" s="65" t="s">
        <v>1078</v>
      </c>
      <c r="B145" s="64" t="s">
        <v>89</v>
      </c>
      <c r="C145" s="324" t="s">
        <v>677</v>
      </c>
      <c r="D145" s="296">
        <v>4</v>
      </c>
      <c r="E145" s="67">
        <f>SRS_Change_Accesspt</f>
        <v>4</v>
      </c>
      <c r="F145" s="66">
        <f t="shared" si="7"/>
        <v>16</v>
      </c>
      <c r="G145" s="200"/>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row>
    <row r="146" spans="1:66" x14ac:dyDescent="0.25">
      <c r="A146" s="65" t="s">
        <v>1078</v>
      </c>
      <c r="B146" s="190" t="s">
        <v>60</v>
      </c>
      <c r="C146" s="324" t="s">
        <v>677</v>
      </c>
      <c r="D146" s="296">
        <v>1</v>
      </c>
      <c r="E146" s="67">
        <f>SCS_Interview</f>
        <v>10</v>
      </c>
      <c r="F146" s="66">
        <f t="shared" si="7"/>
        <v>10</v>
      </c>
      <c r="G146" s="200"/>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row>
    <row r="147" spans="1:66" x14ac:dyDescent="0.25">
      <c r="A147" s="65" t="s">
        <v>1078</v>
      </c>
      <c r="B147" s="190" t="s">
        <v>466</v>
      </c>
      <c r="C147" s="324" t="s">
        <v>677</v>
      </c>
      <c r="D147" s="296">
        <v>1</v>
      </c>
      <c r="E147" s="67">
        <f>Store_15</f>
        <v>15</v>
      </c>
      <c r="F147" s="66">
        <f t="shared" si="7"/>
        <v>15</v>
      </c>
      <c r="G147" s="280" t="s">
        <v>1083</v>
      </c>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row>
    <row r="148" spans="1:66" x14ac:dyDescent="0.25">
      <c r="A148" s="65" t="s">
        <v>1078</v>
      </c>
      <c r="B148" s="190" t="s">
        <v>467</v>
      </c>
      <c r="C148" s="324" t="s">
        <v>677</v>
      </c>
      <c r="D148" s="296">
        <v>1</v>
      </c>
      <c r="E148" s="67">
        <f>Store_20</f>
        <v>20</v>
      </c>
      <c r="F148" s="66">
        <f t="shared" si="7"/>
        <v>20</v>
      </c>
      <c r="G148" s="280" t="s">
        <v>1084</v>
      </c>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row>
    <row r="149" spans="1:66" x14ac:dyDescent="0.25">
      <c r="A149" s="65" t="s">
        <v>1078</v>
      </c>
      <c r="B149" s="190" t="s">
        <v>437</v>
      </c>
      <c r="C149" s="324" t="s">
        <v>677</v>
      </c>
      <c r="D149" s="296">
        <v>1</v>
      </c>
      <c r="E149" s="67">
        <f>Bay_Beverage</f>
        <v>5</v>
      </c>
      <c r="F149" s="66">
        <f t="shared" si="7"/>
        <v>5</v>
      </c>
      <c r="G149" s="280"/>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row>
    <row r="150" spans="1:66" x14ac:dyDescent="0.25">
      <c r="A150" s="65" t="s">
        <v>1078</v>
      </c>
      <c r="B150" s="190" t="s">
        <v>69</v>
      </c>
      <c r="C150" s="324" t="s">
        <v>677</v>
      </c>
      <c r="D150" s="296">
        <v>1</v>
      </c>
      <c r="E150" s="67">
        <f>SCS_MDT_15</f>
        <v>16</v>
      </c>
      <c r="F150" s="66">
        <f t="shared" si="7"/>
        <v>16</v>
      </c>
      <c r="G150" s="200"/>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row>
    <row r="151" spans="1:66" x14ac:dyDescent="0.25">
      <c r="A151" s="65" t="s">
        <v>1078</v>
      </c>
      <c r="B151" s="190" t="s">
        <v>147</v>
      </c>
      <c r="C151" s="324" t="s">
        <v>677</v>
      </c>
      <c r="D151" s="296">
        <v>1</v>
      </c>
      <c r="E151" s="67">
        <f>SRS_WC_Amb</f>
        <v>2.5</v>
      </c>
      <c r="F151" s="66">
        <f t="shared" si="7"/>
        <v>2.5</v>
      </c>
      <c r="G151" s="200" t="s">
        <v>920</v>
      </c>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row>
    <row r="152" spans="1:66" x14ac:dyDescent="0.25">
      <c r="A152" s="65" t="s">
        <v>1078</v>
      </c>
      <c r="B152" s="190" t="s">
        <v>146</v>
      </c>
      <c r="C152" s="324" t="s">
        <v>677</v>
      </c>
      <c r="D152" s="296">
        <v>1</v>
      </c>
      <c r="E152" s="67">
        <f>SRS_WC_Access</f>
        <v>4.5</v>
      </c>
      <c r="F152" s="66">
        <f t="shared" si="7"/>
        <v>4.5</v>
      </c>
      <c r="G152" s="200" t="s">
        <v>920</v>
      </c>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row>
    <row r="153" spans="1:66" x14ac:dyDescent="0.25">
      <c r="A153" s="65" t="s">
        <v>1078</v>
      </c>
      <c r="B153" s="197" t="s">
        <v>106</v>
      </c>
      <c r="C153" s="324" t="s">
        <v>677</v>
      </c>
      <c r="D153" s="296">
        <v>10</v>
      </c>
      <c r="E153" s="73">
        <f>SRS_Locker_4</f>
        <v>0.5</v>
      </c>
      <c r="F153" s="66">
        <f t="shared" si="7"/>
        <v>5</v>
      </c>
      <c r="G153" s="200"/>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row>
    <row r="154" spans="1:66" x14ac:dyDescent="0.25">
      <c r="A154" s="65" t="s">
        <v>1078</v>
      </c>
      <c r="B154" s="190" t="s">
        <v>39</v>
      </c>
      <c r="C154" s="324" t="s">
        <v>677</v>
      </c>
      <c r="D154" s="296">
        <v>1</v>
      </c>
      <c r="E154" s="67">
        <f>SRS_Cleaner_Rm</f>
        <v>8</v>
      </c>
      <c r="F154" s="66">
        <f t="shared" si="7"/>
        <v>8</v>
      </c>
      <c r="G154" s="200"/>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row>
    <row r="155" spans="1:66" x14ac:dyDescent="0.25">
      <c r="A155" s="65" t="s">
        <v>1078</v>
      </c>
      <c r="B155" s="190" t="s">
        <v>38</v>
      </c>
      <c r="C155" s="324" t="s">
        <v>677</v>
      </c>
      <c r="D155" s="296">
        <v>1</v>
      </c>
      <c r="E155" s="73">
        <f>SRS_Cleaner_Cup</f>
        <v>5</v>
      </c>
      <c r="F155" s="66">
        <f>E155*D155</f>
        <v>5</v>
      </c>
      <c r="G155" s="200"/>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row>
    <row r="156" spans="1:66" x14ac:dyDescent="0.25">
      <c r="A156" s="65" t="s">
        <v>1078</v>
      </c>
      <c r="B156" s="190" t="s">
        <v>53</v>
      </c>
      <c r="C156" s="324" t="s">
        <v>677</v>
      </c>
      <c r="D156" s="296">
        <v>1</v>
      </c>
      <c r="E156" s="67">
        <f>SCS_Disphol_Small</f>
        <v>10</v>
      </c>
      <c r="F156" s="66">
        <f>SUM(E156*D156)</f>
        <v>10</v>
      </c>
      <c r="G156" s="200"/>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row>
    <row r="157" spans="1:66" x14ac:dyDescent="0.25">
      <c r="A157" s="65" t="s">
        <v>1078</v>
      </c>
      <c r="B157" s="190" t="s">
        <v>130</v>
      </c>
      <c r="C157" s="324" t="s">
        <v>677</v>
      </c>
      <c r="D157" s="308">
        <v>20</v>
      </c>
      <c r="E157" s="63">
        <f>SRS_Staffchange_pp</f>
        <v>2.5</v>
      </c>
      <c r="F157" s="62">
        <f>SUM(E157*D157)</f>
        <v>50</v>
      </c>
      <c r="G157" s="200" t="s">
        <v>1085</v>
      </c>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row>
    <row r="158" spans="1:66" x14ac:dyDescent="0.25">
      <c r="A158" s="61" t="s">
        <v>1078</v>
      </c>
      <c r="B158" s="331" t="s">
        <v>132</v>
      </c>
      <c r="C158" s="295" t="s">
        <v>677</v>
      </c>
      <c r="D158" s="330">
        <v>15</v>
      </c>
      <c r="E158" s="60">
        <f>SRS_Staffrestbev_pp</f>
        <v>1.5</v>
      </c>
      <c r="F158" s="59">
        <f>E158*D158</f>
        <v>22.5</v>
      </c>
      <c r="G158" s="277" t="s">
        <v>1076</v>
      </c>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row>
    <row r="159" spans="1:66" x14ac:dyDescent="0.25">
      <c r="A159" s="356"/>
      <c r="B159" s="269"/>
      <c r="C159" s="269"/>
      <c r="D159" s="272"/>
      <c r="E159" s="271" t="s">
        <v>486</v>
      </c>
      <c r="F159" s="317">
        <f>SUM(F137:F158)</f>
        <v>495.75</v>
      </c>
      <c r="G159" s="279"/>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row>
    <row r="160" spans="1:66" ht="14.1" customHeight="1" thickBot="1" x14ac:dyDescent="0.3">
      <c r="A160" s="362"/>
      <c r="B160" s="304"/>
      <c r="C160" s="304"/>
      <c r="D160" s="577" t="s">
        <v>1086</v>
      </c>
      <c r="E160" s="578"/>
      <c r="F160" s="92">
        <f>F159</f>
        <v>495.75</v>
      </c>
      <c r="G160" s="36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row>
    <row r="161" spans="1:66" ht="15" thickBot="1" x14ac:dyDescent="0.3">
      <c r="A161" s="58"/>
      <c r="B161" s="58"/>
      <c r="C161" s="58"/>
      <c r="D161" s="58"/>
      <c r="E161" s="58"/>
      <c r="F161" s="56"/>
      <c r="G161" s="45"/>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row>
    <row r="162" spans="1:66" ht="18" customHeight="1" x14ac:dyDescent="0.25">
      <c r="A162" s="579" t="s">
        <v>1087</v>
      </c>
      <c r="B162" s="580"/>
      <c r="C162" s="580"/>
      <c r="D162" s="580"/>
      <c r="E162" s="581"/>
      <c r="F162" s="585">
        <f>SUM(F160,F135,F101,F93,F77,F19)</f>
        <v>3107.15</v>
      </c>
      <c r="G162" s="587"/>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row>
    <row r="163" spans="1:66" ht="14.1" customHeight="1" thickBot="1" x14ac:dyDescent="0.3">
      <c r="A163" s="582"/>
      <c r="B163" s="583"/>
      <c r="C163" s="583"/>
      <c r="D163" s="583"/>
      <c r="E163" s="584"/>
      <c r="F163" s="586"/>
      <c r="G163" s="588"/>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row>
    <row r="164" spans="1:66" x14ac:dyDescent="0.25">
      <c r="A164" s="45"/>
      <c r="B164" s="45"/>
      <c r="C164" s="44"/>
      <c r="D164" s="57"/>
      <c r="E164" s="56"/>
      <c r="F164" s="56"/>
      <c r="G164" s="45"/>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row>
    <row r="165" spans="1:66" x14ac:dyDescent="0.25">
      <c r="A165" s="45"/>
      <c r="B165" s="45"/>
      <c r="C165" s="44"/>
      <c r="D165" s="57"/>
      <c r="E165" s="56"/>
      <c r="F165" s="56"/>
      <c r="G165" s="45"/>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row>
    <row r="166" spans="1:66" x14ac:dyDescent="0.25">
      <c r="A166" s="45"/>
      <c r="B166" s="45"/>
      <c r="C166" s="44"/>
      <c r="D166" s="57"/>
      <c r="E166" s="56"/>
      <c r="F166" s="56"/>
      <c r="G166" s="45"/>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row>
    <row r="167" spans="1:66" x14ac:dyDescent="0.25">
      <c r="A167" s="45"/>
      <c r="B167" s="45"/>
      <c r="C167" s="44"/>
      <c r="D167" s="57"/>
      <c r="E167" s="56"/>
      <c r="F167" s="56"/>
      <c r="G167" s="45"/>
      <c r="H167" s="43"/>
      <c r="I167" s="43"/>
      <c r="J167" s="43"/>
      <c r="K167" s="43"/>
      <c r="L167" s="43"/>
      <c r="M167" s="43"/>
      <c r="N167" s="43"/>
      <c r="O167" s="43"/>
      <c r="P167" s="43"/>
      <c r="Q167" s="43"/>
      <c r="R167" s="43"/>
      <c r="S167" s="43"/>
      <c r="T167" s="43"/>
      <c r="U167" s="43"/>
      <c r="V167" s="43"/>
    </row>
    <row r="168" spans="1:66" x14ac:dyDescent="0.25">
      <c r="A168" s="45"/>
      <c r="B168" s="45"/>
      <c r="C168" s="44"/>
      <c r="D168" s="57"/>
      <c r="E168" s="56"/>
      <c r="F168" s="56"/>
      <c r="G168" s="45"/>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row>
    <row r="169" spans="1:66" x14ac:dyDescent="0.25">
      <c r="A169" s="45"/>
      <c r="B169" s="45"/>
      <c r="C169" s="44"/>
      <c r="D169" s="57"/>
      <c r="E169" s="56"/>
      <c r="F169" s="56"/>
      <c r="G169" s="45"/>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row>
    <row r="170" spans="1:66" x14ac:dyDescent="0.25">
      <c r="A170" s="45"/>
      <c r="B170" s="45"/>
      <c r="C170" s="44"/>
      <c r="D170" s="57"/>
      <c r="E170" s="56"/>
      <c r="F170" s="56"/>
      <c r="G170" s="45"/>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row>
    <row r="171" spans="1:66" x14ac:dyDescent="0.25">
      <c r="A171" s="45"/>
      <c r="B171" s="45"/>
      <c r="C171" s="44"/>
      <c r="D171" s="57"/>
      <c r="E171" s="56"/>
      <c r="F171" s="56"/>
      <c r="G171" s="45"/>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row>
    <row r="172" spans="1:66" x14ac:dyDescent="0.25">
      <c r="A172" s="45"/>
      <c r="B172" s="45"/>
      <c r="C172" s="44"/>
      <c r="D172" s="57"/>
      <c r="E172" s="56"/>
      <c r="F172" s="56"/>
      <c r="G172" s="45"/>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row>
    <row r="173" spans="1:66" x14ac:dyDescent="0.25">
      <c r="A173" s="45"/>
      <c r="B173" s="45"/>
      <c r="C173" s="44"/>
      <c r="D173" s="57"/>
      <c r="E173" s="56"/>
      <c r="F173" s="56"/>
      <c r="G173" s="45"/>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row>
    <row r="174" spans="1:66" x14ac:dyDescent="0.25">
      <c r="A174" s="45"/>
      <c r="B174" s="45"/>
      <c r="C174" s="44"/>
      <c r="D174" s="57"/>
      <c r="E174" s="56"/>
      <c r="F174" s="56"/>
      <c r="G174" s="45"/>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row>
    <row r="175" spans="1:66" x14ac:dyDescent="0.25">
      <c r="A175" s="45"/>
      <c r="B175" s="45"/>
      <c r="C175" s="44"/>
      <c r="D175" s="57"/>
      <c r="E175" s="56"/>
      <c r="F175" s="56"/>
      <c r="G175" s="45"/>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row>
    <row r="176" spans="1:66" x14ac:dyDescent="0.25">
      <c r="A176" s="45"/>
      <c r="B176" s="45"/>
      <c r="C176" s="44"/>
      <c r="D176" s="57"/>
      <c r="E176" s="56"/>
      <c r="F176" s="56"/>
      <c r="G176" s="45"/>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row>
    <row r="177" spans="1:62" x14ac:dyDescent="0.25">
      <c r="A177" s="45"/>
      <c r="B177" s="45"/>
      <c r="C177" s="44"/>
      <c r="D177" s="57"/>
      <c r="E177" s="56"/>
      <c r="F177" s="56"/>
      <c r="G177" s="45"/>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row>
    <row r="178" spans="1:62" x14ac:dyDescent="0.25">
      <c r="A178" s="45"/>
      <c r="B178" s="45"/>
      <c r="C178" s="44"/>
      <c r="D178" s="57"/>
      <c r="E178" s="56"/>
      <c r="F178" s="56"/>
      <c r="G178" s="45"/>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row>
    <row r="179" spans="1:62" x14ac:dyDescent="0.25">
      <c r="A179" s="45"/>
      <c r="B179" s="45"/>
      <c r="C179" s="44"/>
      <c r="D179" s="57"/>
      <c r="E179" s="56"/>
      <c r="F179" s="56"/>
      <c r="G179" s="45"/>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row>
    <row r="180" spans="1:62" x14ac:dyDescent="0.25">
      <c r="A180" s="45"/>
      <c r="B180" s="45"/>
      <c r="C180" s="44"/>
      <c r="D180" s="57"/>
      <c r="E180" s="56"/>
      <c r="F180" s="56"/>
      <c r="G180" s="45"/>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row>
    <row r="181" spans="1:62" x14ac:dyDescent="0.25">
      <c r="A181" s="45"/>
      <c r="B181" s="45"/>
      <c r="C181" s="44"/>
      <c r="D181" s="57"/>
      <c r="E181" s="56"/>
      <c r="F181" s="56"/>
      <c r="G181" s="45"/>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row>
    <row r="182" spans="1:62" x14ac:dyDescent="0.25">
      <c r="A182" s="45"/>
      <c r="B182" s="45"/>
      <c r="C182" s="44"/>
      <c r="D182" s="57"/>
      <c r="E182" s="56"/>
      <c r="F182" s="56"/>
      <c r="G182" s="45"/>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row>
    <row r="183" spans="1:62" x14ac:dyDescent="0.25">
      <c r="A183" s="45"/>
      <c r="B183" s="45"/>
      <c r="C183" s="44"/>
      <c r="D183" s="57"/>
      <c r="E183" s="56"/>
      <c r="F183" s="56"/>
      <c r="G183" s="45"/>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row>
    <row r="184" spans="1:62" x14ac:dyDescent="0.25">
      <c r="A184" s="45"/>
      <c r="B184" s="45"/>
      <c r="C184" s="44"/>
      <c r="D184" s="57"/>
      <c r="E184" s="56"/>
      <c r="F184" s="56"/>
      <c r="G184" s="45"/>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row>
    <row r="185" spans="1:62" x14ac:dyDescent="0.25">
      <c r="A185" s="45"/>
      <c r="B185" s="45"/>
      <c r="C185" s="44"/>
      <c r="D185" s="57"/>
      <c r="E185" s="56"/>
      <c r="F185" s="56"/>
      <c r="G185" s="45"/>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row>
    <row r="186" spans="1:62" x14ac:dyDescent="0.25">
      <c r="A186" s="45"/>
      <c r="B186" s="45"/>
      <c r="C186" s="44"/>
      <c r="D186" s="57"/>
      <c r="E186" s="56"/>
      <c r="F186" s="56"/>
      <c r="G186" s="45"/>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row>
    <row r="187" spans="1:62" x14ac:dyDescent="0.25">
      <c r="A187" s="45"/>
      <c r="B187" s="45"/>
      <c r="C187" s="44"/>
      <c r="D187" s="57"/>
      <c r="E187" s="56"/>
      <c r="F187" s="56"/>
      <c r="G187" s="45"/>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row>
    <row r="188" spans="1:62" x14ac:dyDescent="0.25">
      <c r="A188" s="45"/>
      <c r="B188" s="45"/>
      <c r="C188" s="44"/>
      <c r="D188" s="57"/>
      <c r="E188" s="56"/>
      <c r="F188" s="56"/>
      <c r="G188" s="45"/>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row>
    <row r="189" spans="1:62" x14ac:dyDescent="0.25">
      <c r="A189" s="45"/>
      <c r="B189" s="45"/>
      <c r="C189" s="44"/>
      <c r="D189" s="57"/>
      <c r="E189" s="56"/>
      <c r="F189" s="56"/>
      <c r="G189" s="45"/>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row>
    <row r="190" spans="1:62" x14ac:dyDescent="0.25">
      <c r="A190" s="45"/>
      <c r="B190" s="45"/>
      <c r="C190" s="44"/>
      <c r="D190" s="57"/>
      <c r="E190" s="56"/>
      <c r="F190" s="56"/>
      <c r="G190" s="45"/>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row>
    <row r="191" spans="1:62" x14ac:dyDescent="0.25">
      <c r="A191" s="45"/>
      <c r="B191" s="45"/>
      <c r="C191" s="44"/>
      <c r="D191" s="57"/>
      <c r="E191" s="56"/>
      <c r="F191" s="56"/>
      <c r="G191" s="45"/>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row>
    <row r="192" spans="1:62" x14ac:dyDescent="0.25">
      <c r="A192" s="45"/>
      <c r="B192" s="45"/>
      <c r="C192" s="44"/>
      <c r="D192" s="57"/>
      <c r="E192" s="56"/>
      <c r="F192" s="56"/>
      <c r="G192" s="45"/>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row>
    <row r="193" spans="1:62" x14ac:dyDescent="0.25">
      <c r="A193" s="45"/>
      <c r="B193" s="45"/>
      <c r="C193" s="44"/>
      <c r="D193" s="57"/>
      <c r="E193" s="56"/>
      <c r="F193" s="56"/>
      <c r="G193" s="45"/>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row>
    <row r="194" spans="1:62" x14ac:dyDescent="0.25">
      <c r="A194" s="45"/>
      <c r="B194" s="45"/>
      <c r="C194" s="44"/>
      <c r="D194" s="57"/>
      <c r="E194" s="56"/>
      <c r="F194" s="56"/>
      <c r="G194" s="45"/>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row>
    <row r="195" spans="1:62" x14ac:dyDescent="0.25">
      <c r="A195" s="45"/>
      <c r="B195" s="45"/>
      <c r="C195" s="44"/>
      <c r="D195" s="57"/>
      <c r="E195" s="56"/>
      <c r="F195" s="56"/>
      <c r="G195" s="45"/>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row>
    <row r="196" spans="1:62" x14ac:dyDescent="0.25">
      <c r="A196" s="45"/>
      <c r="B196" s="45"/>
      <c r="C196" s="44"/>
      <c r="D196" s="57"/>
      <c r="E196" s="56"/>
      <c r="F196" s="56"/>
      <c r="G196" s="45"/>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row>
    <row r="197" spans="1:62" x14ac:dyDescent="0.25">
      <c r="A197" s="45"/>
      <c r="B197" s="45"/>
      <c r="C197" s="44"/>
      <c r="D197" s="57"/>
      <c r="E197" s="56"/>
      <c r="F197" s="56"/>
      <c r="G197" s="45"/>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row>
    <row r="198" spans="1:62" x14ac:dyDescent="0.25">
      <c r="A198" s="45"/>
      <c r="B198" s="45"/>
      <c r="C198" s="44"/>
      <c r="D198" s="57"/>
      <c r="E198" s="56"/>
      <c r="F198" s="56"/>
      <c r="G198" s="45"/>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row>
    <row r="199" spans="1:62" x14ac:dyDescent="0.25">
      <c r="A199" s="45"/>
      <c r="B199" s="45"/>
      <c r="C199" s="44"/>
      <c r="D199" s="57"/>
      <c r="E199" s="56"/>
      <c r="F199" s="56"/>
      <c r="G199" s="45"/>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row>
    <row r="200" spans="1:62" x14ac:dyDescent="0.25">
      <c r="A200" s="45"/>
      <c r="B200" s="45"/>
      <c r="C200" s="44"/>
      <c r="D200" s="57"/>
      <c r="E200" s="56"/>
      <c r="F200" s="56"/>
      <c r="G200" s="45"/>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row>
    <row r="201" spans="1:62" x14ac:dyDescent="0.25">
      <c r="A201" s="45"/>
      <c r="B201" s="45"/>
      <c r="C201" s="44"/>
      <c r="D201" s="57"/>
      <c r="E201" s="56"/>
      <c r="F201" s="56"/>
      <c r="G201" s="45"/>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row>
    <row r="202" spans="1:62" x14ac:dyDescent="0.25">
      <c r="A202" s="45"/>
      <c r="B202" s="45"/>
      <c r="C202" s="44"/>
      <c r="D202" s="57"/>
      <c r="E202" s="56"/>
      <c r="F202" s="56"/>
      <c r="G202" s="45"/>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row>
    <row r="203" spans="1:62" x14ac:dyDescent="0.25">
      <c r="A203" s="45"/>
      <c r="B203" s="45"/>
      <c r="C203" s="44"/>
      <c r="D203" s="57"/>
      <c r="E203" s="56"/>
      <c r="F203" s="56"/>
      <c r="G203" s="45"/>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row>
    <row r="204" spans="1:62" x14ac:dyDescent="0.25">
      <c r="A204" s="45"/>
      <c r="B204" s="45"/>
      <c r="C204" s="44"/>
      <c r="D204" s="57"/>
      <c r="E204" s="56"/>
      <c r="F204" s="56"/>
      <c r="G204" s="45"/>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row>
    <row r="205" spans="1:62" x14ac:dyDescent="0.25">
      <c r="A205" s="45"/>
      <c r="B205" s="45"/>
      <c r="C205" s="44"/>
      <c r="D205" s="57"/>
      <c r="E205" s="56"/>
      <c r="F205" s="56"/>
      <c r="G205" s="45"/>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row>
    <row r="206" spans="1:62" x14ac:dyDescent="0.25">
      <c r="A206" s="45"/>
      <c r="B206" s="45"/>
      <c r="C206" s="44"/>
      <c r="D206" s="57"/>
      <c r="E206" s="56"/>
      <c r="F206" s="56"/>
      <c r="G206" s="45"/>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row>
    <row r="207" spans="1:62" x14ac:dyDescent="0.25">
      <c r="A207" s="45"/>
      <c r="B207" s="45"/>
      <c r="C207" s="44"/>
      <c r="D207" s="57"/>
      <c r="E207" s="56"/>
      <c r="F207" s="56"/>
      <c r="G207" s="45"/>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row>
    <row r="208" spans="1:62" x14ac:dyDescent="0.25">
      <c r="A208" s="45"/>
      <c r="B208" s="45"/>
      <c r="C208" s="44"/>
      <c r="D208" s="57"/>
      <c r="E208" s="56"/>
      <c r="F208" s="56"/>
      <c r="G208" s="45"/>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row>
    <row r="209" spans="1:62" x14ac:dyDescent="0.25">
      <c r="A209" s="45"/>
      <c r="B209" s="45"/>
      <c r="C209" s="44"/>
      <c r="D209" s="57"/>
      <c r="E209" s="56"/>
      <c r="F209" s="56"/>
      <c r="G209" s="45"/>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row>
    <row r="210" spans="1:62" x14ac:dyDescent="0.25">
      <c r="A210" s="45"/>
      <c r="B210" s="45"/>
      <c r="C210" s="44"/>
      <c r="D210" s="57"/>
      <c r="E210" s="56"/>
      <c r="F210" s="56"/>
      <c r="G210" s="45"/>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row>
    <row r="211" spans="1:62" x14ac:dyDescent="0.25">
      <c r="A211" s="45"/>
      <c r="B211" s="45"/>
      <c r="C211" s="44"/>
      <c r="D211" s="57"/>
      <c r="E211" s="56"/>
      <c r="F211" s="56"/>
      <c r="G211" s="45"/>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row>
    <row r="212" spans="1:62" x14ac:dyDescent="0.25">
      <c r="A212" s="45"/>
      <c r="B212" s="45"/>
      <c r="C212" s="44"/>
      <c r="D212" s="57"/>
      <c r="E212" s="56"/>
      <c r="F212" s="56"/>
      <c r="G212" s="45"/>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row>
    <row r="213" spans="1:62" x14ac:dyDescent="0.25">
      <c r="A213" s="45"/>
      <c r="B213" s="45"/>
      <c r="C213" s="44"/>
      <c r="D213" s="57"/>
      <c r="E213" s="56"/>
      <c r="F213" s="56"/>
      <c r="G213" s="45"/>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row>
    <row r="214" spans="1:62" x14ac:dyDescent="0.25">
      <c r="A214" s="45"/>
      <c r="B214" s="45"/>
      <c r="C214" s="44"/>
      <c r="D214" s="57"/>
      <c r="E214" s="56"/>
      <c r="F214" s="56"/>
      <c r="G214" s="45"/>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row>
    <row r="215" spans="1:62" x14ac:dyDescent="0.25">
      <c r="A215" s="45"/>
      <c r="B215" s="45"/>
      <c r="C215" s="44"/>
      <c r="D215" s="57"/>
      <c r="E215" s="56"/>
      <c r="F215" s="56"/>
      <c r="G215" s="45"/>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row>
  </sheetData>
  <mergeCells count="12">
    <mergeCell ref="D160:E160"/>
    <mergeCell ref="A162:E163"/>
    <mergeCell ref="F162:F163"/>
    <mergeCell ref="G162:G163"/>
    <mergeCell ref="D19:E19"/>
    <mergeCell ref="D34:E34"/>
    <mergeCell ref="D48:E48"/>
    <mergeCell ref="D62:E62"/>
    <mergeCell ref="D76:E76"/>
    <mergeCell ref="D93:E93"/>
    <mergeCell ref="D101:E101"/>
    <mergeCell ref="D135:E135"/>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0239E-63D3-4F64-8177-9C8256C81D6C}">
  <sheetPr>
    <tabColor theme="0" tint="-0.14999847407452621"/>
  </sheetPr>
  <dimension ref="A1:BN52"/>
  <sheetViews>
    <sheetView zoomScale="70" zoomScaleNormal="90" workbookViewId="0">
      <pane xSplit="2" ySplit="1" topLeftCell="C2" activePane="bottomRight" state="frozen"/>
      <selection pane="topRight" activeCell="C1" sqref="C1"/>
      <selection pane="bottomLeft" activeCell="A2" sqref="A2"/>
      <selection pane="bottomRight" activeCell="B15" sqref="B15"/>
    </sheetView>
  </sheetViews>
  <sheetFormatPr defaultRowHeight="15" x14ac:dyDescent="0.25"/>
  <cols>
    <col min="1" max="1" width="41.28515625" bestFit="1" customWidth="1"/>
    <col min="2" max="2" width="33.28515625" customWidth="1"/>
    <col min="3" max="3" width="50.42578125" bestFit="1" customWidth="1"/>
    <col min="4" max="4" width="10" customWidth="1"/>
    <col min="5" max="5" width="11.42578125" customWidth="1"/>
    <col min="6" max="6" width="12.85546875" customWidth="1"/>
    <col min="7" max="7" width="63.140625" customWidth="1"/>
  </cols>
  <sheetData>
    <row r="1" spans="1:66" s="448" customFormat="1" x14ac:dyDescent="0.25">
      <c r="A1" s="466" t="s">
        <v>477</v>
      </c>
      <c r="B1" s="466" t="s">
        <v>1088</v>
      </c>
      <c r="C1" s="467" t="s">
        <v>1089</v>
      </c>
      <c r="D1" s="467" t="s">
        <v>1090</v>
      </c>
      <c r="E1" s="467" t="s">
        <v>1091</v>
      </c>
      <c r="F1" s="467" t="s">
        <v>1092</v>
      </c>
      <c r="G1" s="467" t="s">
        <v>19</v>
      </c>
    </row>
    <row r="2" spans="1:66" s="46" customFormat="1" ht="25.5" x14ac:dyDescent="0.2">
      <c r="A2" s="79" t="s">
        <v>1117</v>
      </c>
      <c r="B2" s="46" t="s">
        <v>1118</v>
      </c>
      <c r="C2" s="266" t="s">
        <v>1119</v>
      </c>
      <c r="D2" s="296">
        <v>1</v>
      </c>
      <c r="E2" s="73">
        <v>12</v>
      </c>
      <c r="F2" s="66">
        <f>D2*E2</f>
        <v>12</v>
      </c>
      <c r="G2" s="201" t="s">
        <v>1120</v>
      </c>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row>
    <row r="3" spans="1:66" s="46" customFormat="1" ht="14.25" x14ac:dyDescent="0.2">
      <c r="A3" s="79" t="s">
        <v>1117</v>
      </c>
      <c r="B3" s="46" t="s">
        <v>1118</v>
      </c>
      <c r="C3" s="266" t="s">
        <v>1121</v>
      </c>
      <c r="D3" s="296">
        <v>2</v>
      </c>
      <c r="E3" s="73">
        <v>5.5</v>
      </c>
      <c r="F3" s="66">
        <f t="shared" ref="F3:F52" si="0">D3*E3</f>
        <v>11</v>
      </c>
      <c r="G3" s="201" t="s">
        <v>1122</v>
      </c>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row>
    <row r="4" spans="1:66" s="46" customFormat="1" ht="14.25" x14ac:dyDescent="0.2">
      <c r="A4" s="79" t="s">
        <v>1117</v>
      </c>
      <c r="B4" s="46" t="s">
        <v>1118</v>
      </c>
      <c r="C4" s="266" t="s">
        <v>1123</v>
      </c>
      <c r="D4" s="296">
        <v>2</v>
      </c>
      <c r="E4" s="73">
        <v>5</v>
      </c>
      <c r="F4" s="66">
        <f t="shared" si="0"/>
        <v>10</v>
      </c>
      <c r="G4" s="201" t="s">
        <v>1124</v>
      </c>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row>
    <row r="5" spans="1:66" s="46" customFormat="1" ht="51" x14ac:dyDescent="0.2">
      <c r="A5" s="79" t="s">
        <v>1117</v>
      </c>
      <c r="B5" s="46" t="s">
        <v>1118</v>
      </c>
      <c r="C5" s="266" t="s">
        <v>1125</v>
      </c>
      <c r="D5" s="296">
        <v>48</v>
      </c>
      <c r="E5" s="73">
        <v>1.85</v>
      </c>
      <c r="F5" s="66">
        <f t="shared" si="0"/>
        <v>88.800000000000011</v>
      </c>
      <c r="G5" s="201" t="s">
        <v>1126</v>
      </c>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row>
    <row r="6" spans="1:66" s="46" customFormat="1" ht="14.25" x14ac:dyDescent="0.2">
      <c r="A6" s="79" t="s">
        <v>1117</v>
      </c>
      <c r="B6" s="46" t="s">
        <v>1118</v>
      </c>
      <c r="C6" s="266" t="s">
        <v>1127</v>
      </c>
      <c r="D6" s="296">
        <v>1</v>
      </c>
      <c r="E6" s="73">
        <v>3</v>
      </c>
      <c r="F6" s="66">
        <f t="shared" si="0"/>
        <v>3</v>
      </c>
      <c r="G6" s="201" t="s">
        <v>1128</v>
      </c>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row>
    <row r="7" spans="1:66" s="46" customFormat="1" ht="14.25" x14ac:dyDescent="0.2">
      <c r="A7" s="79" t="s">
        <v>1117</v>
      </c>
      <c r="B7" s="46" t="s">
        <v>1118</v>
      </c>
      <c r="C7" s="266" t="s">
        <v>1129</v>
      </c>
      <c r="D7" s="296">
        <v>2</v>
      </c>
      <c r="E7" s="73">
        <v>2</v>
      </c>
      <c r="F7" s="66">
        <f t="shared" si="0"/>
        <v>4</v>
      </c>
      <c r="G7" s="201"/>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row>
    <row r="8" spans="1:66" s="46" customFormat="1" ht="14.25" x14ac:dyDescent="0.2">
      <c r="A8" s="79" t="s">
        <v>1117</v>
      </c>
      <c r="B8" s="46" t="s">
        <v>1118</v>
      </c>
      <c r="C8" s="266" t="s">
        <v>1130</v>
      </c>
      <c r="D8" s="296">
        <v>1</v>
      </c>
      <c r="E8" s="73">
        <v>4.5</v>
      </c>
      <c r="F8" s="66">
        <f t="shared" si="0"/>
        <v>4.5</v>
      </c>
      <c r="G8" s="201"/>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1:66" s="46" customFormat="1" ht="14.25" x14ac:dyDescent="0.2">
      <c r="A9" s="79" t="s">
        <v>1117</v>
      </c>
      <c r="B9" s="46" t="s">
        <v>1118</v>
      </c>
      <c r="C9" s="266" t="s">
        <v>1131</v>
      </c>
      <c r="D9" s="296">
        <v>1</v>
      </c>
      <c r="E9" s="73">
        <v>5.5</v>
      </c>
      <c r="F9" s="66">
        <f t="shared" si="0"/>
        <v>5.5</v>
      </c>
      <c r="G9" s="201"/>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46" customFormat="1" ht="14.25" x14ac:dyDescent="0.2">
      <c r="A10" s="79" t="s">
        <v>1117</v>
      </c>
      <c r="B10" s="46" t="s">
        <v>1118</v>
      </c>
      <c r="C10" s="266" t="s">
        <v>1132</v>
      </c>
      <c r="D10" s="296">
        <v>2</v>
      </c>
      <c r="E10" s="73">
        <v>10</v>
      </c>
      <c r="F10" s="66">
        <f t="shared" si="0"/>
        <v>20</v>
      </c>
      <c r="G10" s="201"/>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46" customFormat="1" ht="14.25" x14ac:dyDescent="0.2">
      <c r="A11" s="79" t="s">
        <v>1117</v>
      </c>
      <c r="B11" s="46" t="s">
        <v>1118</v>
      </c>
      <c r="C11" s="266" t="s">
        <v>1133</v>
      </c>
      <c r="D11" s="296">
        <v>1</v>
      </c>
      <c r="E11" s="73">
        <v>5</v>
      </c>
      <c r="F11" s="66">
        <f t="shared" si="0"/>
        <v>5</v>
      </c>
      <c r="G11" s="201" t="s">
        <v>1134</v>
      </c>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46" customFormat="1" ht="14.25" x14ac:dyDescent="0.2">
      <c r="A12" s="79" t="s">
        <v>1117</v>
      </c>
      <c r="B12" s="46" t="s">
        <v>1135</v>
      </c>
      <c r="C12" s="266" t="s">
        <v>1136</v>
      </c>
      <c r="D12" s="296">
        <v>1</v>
      </c>
      <c r="E12" s="73">
        <v>8</v>
      </c>
      <c r="F12" s="66">
        <f t="shared" si="0"/>
        <v>8</v>
      </c>
      <c r="G12" s="201"/>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46" customFormat="1" ht="14.25" x14ac:dyDescent="0.2">
      <c r="A13" s="79" t="s">
        <v>1117</v>
      </c>
      <c r="B13" s="46" t="s">
        <v>1135</v>
      </c>
      <c r="C13" s="266" t="s">
        <v>1137</v>
      </c>
      <c r="D13" s="296">
        <v>1</v>
      </c>
      <c r="E13" s="73">
        <v>9</v>
      </c>
      <c r="F13" s="66">
        <f t="shared" si="0"/>
        <v>9</v>
      </c>
      <c r="G13" s="201"/>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46" customFormat="1" ht="14.25" x14ac:dyDescent="0.2">
      <c r="A14" s="79" t="s">
        <v>1117</v>
      </c>
      <c r="B14" s="46" t="s">
        <v>1135</v>
      </c>
      <c r="C14" s="266" t="s">
        <v>1138</v>
      </c>
      <c r="D14" s="296">
        <v>8</v>
      </c>
      <c r="E14" s="73">
        <v>10</v>
      </c>
      <c r="F14" s="66">
        <f t="shared" si="0"/>
        <v>80</v>
      </c>
      <c r="G14" s="201" t="s">
        <v>1139</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1:66" s="46" customFormat="1" ht="14.25" x14ac:dyDescent="0.2">
      <c r="A15" s="79" t="s">
        <v>1117</v>
      </c>
      <c r="B15" s="46" t="s">
        <v>1135</v>
      </c>
      <c r="C15" s="266" t="s">
        <v>1140</v>
      </c>
      <c r="D15" s="296">
        <v>8</v>
      </c>
      <c r="E15" s="73">
        <v>12</v>
      </c>
      <c r="F15" s="66">
        <f t="shared" si="0"/>
        <v>96</v>
      </c>
      <c r="G15" s="201" t="s">
        <v>1139</v>
      </c>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46" customFormat="1" ht="14.25" x14ac:dyDescent="0.2">
      <c r="A16" s="79" t="s">
        <v>1117</v>
      </c>
      <c r="B16" s="46" t="s">
        <v>1135</v>
      </c>
      <c r="C16" s="266" t="s">
        <v>1141</v>
      </c>
      <c r="D16" s="296">
        <v>4</v>
      </c>
      <c r="E16" s="73">
        <v>12</v>
      </c>
      <c r="F16" s="66">
        <f t="shared" si="0"/>
        <v>48</v>
      </c>
      <c r="G16" s="201"/>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46" customFormat="1" ht="14.25" x14ac:dyDescent="0.2">
      <c r="A17" s="79" t="s">
        <v>1117</v>
      </c>
      <c r="B17" s="46" t="s">
        <v>1135</v>
      </c>
      <c r="C17" s="266" t="s">
        <v>1142</v>
      </c>
      <c r="D17" s="296">
        <v>4</v>
      </c>
      <c r="E17" s="73">
        <v>4.5</v>
      </c>
      <c r="F17" s="66">
        <f t="shared" si="0"/>
        <v>18</v>
      </c>
      <c r="G17" s="201" t="s">
        <v>1143</v>
      </c>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46" customFormat="1" ht="14.25" x14ac:dyDescent="0.2">
      <c r="A18" s="79" t="s">
        <v>1117</v>
      </c>
      <c r="B18" s="46" t="s">
        <v>1135</v>
      </c>
      <c r="C18" s="266" t="s">
        <v>1144</v>
      </c>
      <c r="D18" s="296">
        <v>4</v>
      </c>
      <c r="E18" s="73">
        <v>10</v>
      </c>
      <c r="F18" s="66">
        <f t="shared" si="0"/>
        <v>40</v>
      </c>
      <c r="G18" s="201"/>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46" customFormat="1" ht="14.25" x14ac:dyDescent="0.2">
      <c r="A19" s="79" t="s">
        <v>1117</v>
      </c>
      <c r="B19" s="46" t="s">
        <v>1135</v>
      </c>
      <c r="C19" s="266" t="s">
        <v>1145</v>
      </c>
      <c r="D19" s="296">
        <v>1</v>
      </c>
      <c r="E19" s="73">
        <v>12</v>
      </c>
      <c r="F19" s="66">
        <f t="shared" si="0"/>
        <v>12</v>
      </c>
      <c r="G19" s="201"/>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46" customFormat="1" ht="14.25" x14ac:dyDescent="0.2">
      <c r="A20" s="79" t="s">
        <v>1117</v>
      </c>
      <c r="B20" s="46" t="s">
        <v>1135</v>
      </c>
      <c r="C20" s="266" t="s">
        <v>1146</v>
      </c>
      <c r="D20" s="296">
        <v>4</v>
      </c>
      <c r="E20" s="73">
        <v>2</v>
      </c>
      <c r="F20" s="66">
        <f t="shared" si="0"/>
        <v>8</v>
      </c>
      <c r="G20" s="201"/>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46" customFormat="1" ht="14.25" x14ac:dyDescent="0.2">
      <c r="A21" s="79" t="s">
        <v>1117</v>
      </c>
      <c r="B21" s="46" t="s">
        <v>1135</v>
      </c>
      <c r="C21" s="266" t="s">
        <v>1147</v>
      </c>
      <c r="D21" s="296">
        <v>1</v>
      </c>
      <c r="E21" s="73">
        <v>16</v>
      </c>
      <c r="F21" s="66">
        <f t="shared" si="0"/>
        <v>16</v>
      </c>
      <c r="G21" s="201"/>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46" customFormat="1" ht="14.25" x14ac:dyDescent="0.2">
      <c r="A22" s="79" t="s">
        <v>1117</v>
      </c>
      <c r="B22" s="46" t="s">
        <v>1135</v>
      </c>
      <c r="C22" s="266" t="s">
        <v>1148</v>
      </c>
      <c r="D22" s="296">
        <v>1</v>
      </c>
      <c r="E22" s="73">
        <v>16</v>
      </c>
      <c r="F22" s="66">
        <f t="shared" si="0"/>
        <v>16</v>
      </c>
      <c r="G22" s="201"/>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46" customFormat="1" ht="14.25" x14ac:dyDescent="0.2">
      <c r="A23" s="79" t="s">
        <v>1117</v>
      </c>
      <c r="B23" s="46" t="s">
        <v>1135</v>
      </c>
      <c r="C23" s="266" t="s">
        <v>1149</v>
      </c>
      <c r="D23" s="296">
        <v>1</v>
      </c>
      <c r="E23" s="73">
        <v>2</v>
      </c>
      <c r="F23" s="66">
        <f t="shared" si="0"/>
        <v>2</v>
      </c>
      <c r="G23" s="201"/>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46" customFormat="1" ht="14.25" x14ac:dyDescent="0.2">
      <c r="A24" s="79" t="s">
        <v>1117</v>
      </c>
      <c r="B24" s="46" t="s">
        <v>1135</v>
      </c>
      <c r="C24" s="266" t="s">
        <v>1150</v>
      </c>
      <c r="D24" s="296">
        <v>1</v>
      </c>
      <c r="E24" s="73">
        <v>16</v>
      </c>
      <c r="F24" s="66">
        <f t="shared" si="0"/>
        <v>16</v>
      </c>
      <c r="G24" s="201"/>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46" customFormat="1" ht="14.25" x14ac:dyDescent="0.2">
      <c r="A25" s="79" t="s">
        <v>1117</v>
      </c>
      <c r="B25" s="46" t="s">
        <v>1151</v>
      </c>
      <c r="C25" s="266" t="s">
        <v>1152</v>
      </c>
      <c r="D25" s="296">
        <v>1</v>
      </c>
      <c r="E25" s="73">
        <v>8</v>
      </c>
      <c r="F25" s="66">
        <f t="shared" si="0"/>
        <v>8</v>
      </c>
      <c r="G25" s="201"/>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46" customFormat="1" ht="14.25" x14ac:dyDescent="0.2">
      <c r="A26" s="79" t="s">
        <v>1117</v>
      </c>
      <c r="B26" s="46" t="s">
        <v>1151</v>
      </c>
      <c r="C26" s="266" t="s">
        <v>1153</v>
      </c>
      <c r="D26" s="296">
        <v>1</v>
      </c>
      <c r="E26" s="73">
        <v>12</v>
      </c>
      <c r="F26" s="66">
        <f t="shared" si="0"/>
        <v>12</v>
      </c>
      <c r="G26" s="201"/>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46" customFormat="1" ht="14.25" x14ac:dyDescent="0.2">
      <c r="A27" s="79" t="s">
        <v>1117</v>
      </c>
      <c r="B27" s="46" t="s">
        <v>1151</v>
      </c>
      <c r="C27" s="266" t="s">
        <v>1154</v>
      </c>
      <c r="D27" s="296">
        <v>1</v>
      </c>
      <c r="E27" s="73">
        <v>12</v>
      </c>
      <c r="F27" s="66">
        <f t="shared" si="0"/>
        <v>12</v>
      </c>
      <c r="G27" s="201"/>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s="46" customFormat="1" ht="14.25" x14ac:dyDescent="0.2">
      <c r="A28" s="79" t="s">
        <v>1117</v>
      </c>
      <c r="B28" s="46" t="s">
        <v>1151</v>
      </c>
      <c r="C28" s="266" t="s">
        <v>1155</v>
      </c>
      <c r="D28" s="296">
        <v>1</v>
      </c>
      <c r="E28" s="73">
        <v>3</v>
      </c>
      <c r="F28" s="66">
        <f t="shared" si="0"/>
        <v>3</v>
      </c>
      <c r="G28" s="201"/>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46" customFormat="1" ht="14.25" x14ac:dyDescent="0.2">
      <c r="A29" s="79" t="s">
        <v>1117</v>
      </c>
      <c r="B29" s="46" t="s">
        <v>1151</v>
      </c>
      <c r="C29" s="266" t="s">
        <v>1156</v>
      </c>
      <c r="D29" s="296">
        <v>2</v>
      </c>
      <c r="E29" s="73">
        <v>2</v>
      </c>
      <c r="F29" s="66">
        <f t="shared" si="0"/>
        <v>4</v>
      </c>
      <c r="G29" s="201"/>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46" customFormat="1" ht="14.25" x14ac:dyDescent="0.2">
      <c r="A30" s="79" t="s">
        <v>1117</v>
      </c>
      <c r="B30" s="46" t="s">
        <v>1151</v>
      </c>
      <c r="C30" s="266" t="s">
        <v>1157</v>
      </c>
      <c r="D30" s="296">
        <v>1</v>
      </c>
      <c r="E30" s="73">
        <v>4.5</v>
      </c>
      <c r="F30" s="66">
        <f t="shared" si="0"/>
        <v>4.5</v>
      </c>
      <c r="G30" s="201"/>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46" customFormat="1" ht="14.25" x14ac:dyDescent="0.2">
      <c r="A31" s="79" t="s">
        <v>1117</v>
      </c>
      <c r="B31" s="46" t="s">
        <v>1151</v>
      </c>
      <c r="C31" s="266" t="s">
        <v>1158</v>
      </c>
      <c r="D31" s="296">
        <v>1</v>
      </c>
      <c r="E31" s="73">
        <v>12</v>
      </c>
      <c r="F31" s="66">
        <f t="shared" si="0"/>
        <v>12</v>
      </c>
      <c r="G31" s="201"/>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46" customFormat="1" ht="14.25" x14ac:dyDescent="0.2">
      <c r="A32" s="79" t="s">
        <v>1117</v>
      </c>
      <c r="B32" s="46" t="s">
        <v>1151</v>
      </c>
      <c r="C32" s="266" t="s">
        <v>1159</v>
      </c>
      <c r="D32" s="296">
        <v>1</v>
      </c>
      <c r="E32" s="73">
        <v>8</v>
      </c>
      <c r="F32" s="66">
        <f t="shared" si="0"/>
        <v>8</v>
      </c>
      <c r="G32" s="201"/>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46" customFormat="1" ht="14.25" x14ac:dyDescent="0.2">
      <c r="A33" s="79" t="s">
        <v>1117</v>
      </c>
      <c r="B33" s="46" t="s">
        <v>1151</v>
      </c>
      <c r="C33" s="266" t="s">
        <v>926</v>
      </c>
      <c r="D33" s="296">
        <v>1</v>
      </c>
      <c r="E33" s="73">
        <v>16</v>
      </c>
      <c r="F33" s="66">
        <f t="shared" si="0"/>
        <v>16</v>
      </c>
      <c r="G33" s="201"/>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46" customFormat="1" ht="14.25" x14ac:dyDescent="0.2">
      <c r="A34" s="79" t="s">
        <v>1117</v>
      </c>
      <c r="B34" s="46" t="s">
        <v>1151</v>
      </c>
      <c r="C34" s="266" t="s">
        <v>934</v>
      </c>
      <c r="D34" s="296">
        <v>1</v>
      </c>
      <c r="E34" s="73">
        <v>16</v>
      </c>
      <c r="F34" s="66">
        <f t="shared" si="0"/>
        <v>16</v>
      </c>
      <c r="G34" s="201"/>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46" customFormat="1" ht="14.25" x14ac:dyDescent="0.2">
      <c r="A35" s="79" t="s">
        <v>1117</v>
      </c>
      <c r="B35" s="46" t="s">
        <v>1151</v>
      </c>
      <c r="C35" s="266" t="s">
        <v>1160</v>
      </c>
      <c r="D35" s="296">
        <v>1</v>
      </c>
      <c r="E35" s="73">
        <v>7</v>
      </c>
      <c r="F35" s="66">
        <f t="shared" si="0"/>
        <v>7</v>
      </c>
      <c r="G35" s="201"/>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46" customFormat="1" ht="14.25" x14ac:dyDescent="0.2">
      <c r="A36" s="79" t="s">
        <v>1117</v>
      </c>
      <c r="B36" s="46" t="s">
        <v>1151</v>
      </c>
      <c r="C36" s="266" t="s">
        <v>1161</v>
      </c>
      <c r="D36" s="296">
        <v>1</v>
      </c>
      <c r="E36" s="73">
        <v>3</v>
      </c>
      <c r="F36" s="66">
        <f t="shared" si="0"/>
        <v>3</v>
      </c>
      <c r="G36" s="201"/>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46" customFormat="1" ht="14.25" x14ac:dyDescent="0.2">
      <c r="A37" s="79" t="s">
        <v>1117</v>
      </c>
      <c r="B37" s="46" t="s">
        <v>1151</v>
      </c>
      <c r="C37" s="266" t="s">
        <v>1162</v>
      </c>
      <c r="D37" s="296">
        <v>1</v>
      </c>
      <c r="E37" s="73">
        <v>20</v>
      </c>
      <c r="F37" s="66">
        <f t="shared" si="0"/>
        <v>20</v>
      </c>
      <c r="G37" s="201"/>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46" customFormat="1" ht="14.25" x14ac:dyDescent="0.2">
      <c r="A38" s="79" t="s">
        <v>1117</v>
      </c>
      <c r="B38" s="46" t="s">
        <v>1151</v>
      </c>
      <c r="C38" s="266" t="s">
        <v>1163</v>
      </c>
      <c r="D38" s="296">
        <v>1</v>
      </c>
      <c r="E38" s="73">
        <v>50</v>
      </c>
      <c r="F38" s="66">
        <f t="shared" si="0"/>
        <v>50</v>
      </c>
      <c r="G38" s="201"/>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46" customFormat="1" ht="14.25" x14ac:dyDescent="0.2">
      <c r="A39" s="79" t="s">
        <v>1117</v>
      </c>
      <c r="B39" s="46" t="s">
        <v>1151</v>
      </c>
      <c r="C39" s="266" t="s">
        <v>1164</v>
      </c>
      <c r="D39" s="296">
        <v>1</v>
      </c>
      <c r="E39" s="73">
        <v>18</v>
      </c>
      <c r="F39" s="66">
        <f t="shared" si="0"/>
        <v>18</v>
      </c>
      <c r="G39" s="201"/>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46" customFormat="1" ht="14.25" x14ac:dyDescent="0.2">
      <c r="A40" s="79" t="s">
        <v>1117</v>
      </c>
      <c r="B40" s="46" t="s">
        <v>1151</v>
      </c>
      <c r="C40" s="266" t="s">
        <v>1165</v>
      </c>
      <c r="D40" s="296">
        <v>1</v>
      </c>
      <c r="E40" s="73">
        <v>10</v>
      </c>
      <c r="F40" s="66">
        <f t="shared" si="0"/>
        <v>10</v>
      </c>
      <c r="G40" s="201"/>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46" customFormat="1" ht="25.5" x14ac:dyDescent="0.2">
      <c r="A41" s="79" t="s">
        <v>1117</v>
      </c>
      <c r="B41" s="46" t="s">
        <v>1166</v>
      </c>
      <c r="C41" s="266" t="s">
        <v>1167</v>
      </c>
      <c r="D41" s="296">
        <v>1</v>
      </c>
      <c r="E41" s="73">
        <v>40</v>
      </c>
      <c r="F41" s="66">
        <f t="shared" si="0"/>
        <v>40</v>
      </c>
      <c r="G41" s="201" t="s">
        <v>1168</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46" customFormat="1" ht="14.25" x14ac:dyDescent="0.2">
      <c r="A42" s="79" t="s">
        <v>1117</v>
      </c>
      <c r="B42" s="46" t="s">
        <v>1166</v>
      </c>
      <c r="C42" s="266" t="s">
        <v>1152</v>
      </c>
      <c r="D42" s="296">
        <v>1</v>
      </c>
      <c r="E42" s="73">
        <v>8</v>
      </c>
      <c r="F42" s="66">
        <f t="shared" si="0"/>
        <v>8</v>
      </c>
      <c r="G42" s="201"/>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46" customFormat="1" ht="14.25" x14ac:dyDescent="0.2">
      <c r="A43" s="79" t="s">
        <v>1117</v>
      </c>
      <c r="B43" s="46" t="s">
        <v>1166</v>
      </c>
      <c r="C43" s="266" t="s">
        <v>1153</v>
      </c>
      <c r="D43" s="296">
        <v>1</v>
      </c>
      <c r="E43" s="73">
        <v>8</v>
      </c>
      <c r="F43" s="66">
        <f t="shared" si="0"/>
        <v>8</v>
      </c>
      <c r="G43" s="201"/>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46" customFormat="1" ht="14.25" x14ac:dyDescent="0.2">
      <c r="A44" s="79" t="s">
        <v>1117</v>
      </c>
      <c r="B44" s="46" t="s">
        <v>1166</v>
      </c>
      <c r="C44" s="266" t="s">
        <v>1157</v>
      </c>
      <c r="D44" s="296">
        <v>1</v>
      </c>
      <c r="E44" s="73">
        <v>4.5</v>
      </c>
      <c r="F44" s="66">
        <f t="shared" si="0"/>
        <v>4.5</v>
      </c>
      <c r="G44" s="201"/>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46" customFormat="1" ht="14.25" x14ac:dyDescent="0.2">
      <c r="A45" s="79" t="s">
        <v>1117</v>
      </c>
      <c r="B45" s="46" t="s">
        <v>1166</v>
      </c>
      <c r="C45" s="266" t="s">
        <v>1158</v>
      </c>
      <c r="D45" s="296">
        <v>1</v>
      </c>
      <c r="E45" s="73">
        <v>8</v>
      </c>
      <c r="F45" s="66">
        <f t="shared" si="0"/>
        <v>8</v>
      </c>
      <c r="G45" s="201"/>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46" customFormat="1" ht="14.25" x14ac:dyDescent="0.2">
      <c r="A46" s="79" t="s">
        <v>1117</v>
      </c>
      <c r="B46" s="46" t="s">
        <v>1166</v>
      </c>
      <c r="C46" s="266" t="s">
        <v>1169</v>
      </c>
      <c r="D46" s="296">
        <v>1</v>
      </c>
      <c r="E46" s="73"/>
      <c r="F46" s="66">
        <f t="shared" si="0"/>
        <v>0</v>
      </c>
      <c r="G46" s="201"/>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46" customFormat="1" ht="14.25" x14ac:dyDescent="0.2">
      <c r="A47" s="79" t="s">
        <v>1117</v>
      </c>
      <c r="B47" s="46" t="s">
        <v>1170</v>
      </c>
      <c r="C47" s="266" t="s">
        <v>1171</v>
      </c>
      <c r="D47" s="296">
        <v>1</v>
      </c>
      <c r="E47" s="73">
        <v>24</v>
      </c>
      <c r="F47" s="66">
        <f t="shared" si="0"/>
        <v>24</v>
      </c>
      <c r="G47" s="201"/>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46" customFormat="1" ht="14.25" x14ac:dyDescent="0.2">
      <c r="A48" s="79" t="s">
        <v>1117</v>
      </c>
      <c r="B48" s="46" t="s">
        <v>1170</v>
      </c>
      <c r="C48" s="266" t="s">
        <v>1172</v>
      </c>
      <c r="D48" s="296">
        <v>1</v>
      </c>
      <c r="E48" s="73">
        <v>8</v>
      </c>
      <c r="F48" s="66">
        <f t="shared" si="0"/>
        <v>8</v>
      </c>
      <c r="G48" s="201"/>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46" customFormat="1" ht="14.25" x14ac:dyDescent="0.2">
      <c r="A49" s="79" t="s">
        <v>1117</v>
      </c>
      <c r="B49" s="46" t="s">
        <v>1170</v>
      </c>
      <c r="C49" s="266" t="s">
        <v>920</v>
      </c>
      <c r="D49" s="296">
        <v>2</v>
      </c>
      <c r="E49" s="73">
        <v>2</v>
      </c>
      <c r="F49" s="66">
        <f t="shared" si="0"/>
        <v>4</v>
      </c>
      <c r="G49" s="201"/>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46" customFormat="1" ht="14.25" x14ac:dyDescent="0.2">
      <c r="A50" s="79" t="s">
        <v>1117</v>
      </c>
      <c r="B50" s="46" t="s">
        <v>1170</v>
      </c>
      <c r="C50" s="266" t="s">
        <v>1173</v>
      </c>
      <c r="D50" s="296">
        <v>1</v>
      </c>
      <c r="E50" s="73">
        <v>4.5</v>
      </c>
      <c r="F50" s="66">
        <f t="shared" si="0"/>
        <v>4.5</v>
      </c>
      <c r="G50" s="201"/>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46" customFormat="1" ht="14.25" x14ac:dyDescent="0.2">
      <c r="A51" s="79" t="s">
        <v>1117</v>
      </c>
      <c r="B51" s="46" t="s">
        <v>1170</v>
      </c>
      <c r="C51" s="266" t="s">
        <v>1174</v>
      </c>
      <c r="D51" s="296">
        <v>15</v>
      </c>
      <c r="E51" s="73">
        <v>1.9</v>
      </c>
      <c r="F51" s="66">
        <f t="shared" si="0"/>
        <v>28.5</v>
      </c>
      <c r="G51" s="201"/>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46" customFormat="1" ht="25.5" x14ac:dyDescent="0.2">
      <c r="A52" s="79" t="s">
        <v>1117</v>
      </c>
      <c r="B52" s="46" t="s">
        <v>1170</v>
      </c>
      <c r="C52" s="266" t="s">
        <v>1175</v>
      </c>
      <c r="D52" s="296">
        <v>1</v>
      </c>
      <c r="E52" s="73">
        <v>1.45</v>
      </c>
      <c r="F52" s="66">
        <f t="shared" si="0"/>
        <v>1.45</v>
      </c>
      <c r="G52" s="201" t="s">
        <v>1176</v>
      </c>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sheetData>
  <autoFilter ref="A1:G52" xr:uid="{00000000-0009-0000-0000-000005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DA4-E208-44CB-949C-9EA5D9B5232E}">
  <sheetPr>
    <tabColor theme="8" tint="0.79998168889431442"/>
  </sheetPr>
  <dimension ref="A1:C107"/>
  <sheetViews>
    <sheetView zoomScale="70" zoomScaleNormal="70" workbookViewId="0">
      <selection activeCell="B15" sqref="B15"/>
    </sheetView>
  </sheetViews>
  <sheetFormatPr defaultRowHeight="15" x14ac:dyDescent="0.25"/>
  <cols>
    <col min="1" max="1" width="57.42578125" customWidth="1"/>
    <col min="2" max="3" width="72.85546875" customWidth="1"/>
  </cols>
  <sheetData>
    <row r="1" spans="1:3" x14ac:dyDescent="0.25">
      <c r="A1" s="404" t="s">
        <v>536</v>
      </c>
      <c r="B1" s="404" t="s">
        <v>537</v>
      </c>
      <c r="C1" s="404" t="s">
        <v>19</v>
      </c>
    </row>
    <row r="2" spans="1:3" x14ac:dyDescent="0.25">
      <c r="A2" s="405" t="s">
        <v>538</v>
      </c>
      <c r="B2" s="406"/>
      <c r="C2" s="406"/>
    </row>
    <row r="3" spans="1:3" x14ac:dyDescent="0.25">
      <c r="A3" s="434"/>
      <c r="B3" s="407" t="s">
        <v>539</v>
      </c>
      <c r="C3" s="407"/>
    </row>
    <row r="4" spans="1:3" x14ac:dyDescent="0.25">
      <c r="A4" s="434"/>
      <c r="B4" s="407" t="s">
        <v>540</v>
      </c>
      <c r="C4" s="407" t="s">
        <v>541</v>
      </c>
    </row>
    <row r="5" spans="1:3" x14ac:dyDescent="0.25">
      <c r="A5" s="434"/>
      <c r="B5" s="407" t="s">
        <v>542</v>
      </c>
      <c r="C5" s="407" t="s">
        <v>543</v>
      </c>
    </row>
    <row r="6" spans="1:3" x14ac:dyDescent="0.25">
      <c r="A6" s="434"/>
      <c r="B6" s="434" t="s">
        <v>494</v>
      </c>
      <c r="C6" s="407"/>
    </row>
    <row r="7" spans="1:3" x14ac:dyDescent="0.25">
      <c r="A7" s="434"/>
      <c r="B7" s="434" t="s">
        <v>496</v>
      </c>
      <c r="C7" s="408"/>
    </row>
    <row r="8" spans="1:3" x14ac:dyDescent="0.25">
      <c r="A8" s="434"/>
      <c r="B8" s="407" t="s">
        <v>544</v>
      </c>
      <c r="C8" s="407" t="s">
        <v>545</v>
      </c>
    </row>
    <row r="9" spans="1:3" x14ac:dyDescent="0.25">
      <c r="A9" s="434"/>
      <c r="B9" s="407" t="s">
        <v>546</v>
      </c>
      <c r="C9" s="408"/>
    </row>
    <row r="10" spans="1:3" x14ac:dyDescent="0.25">
      <c r="A10" s="434"/>
      <c r="B10" s="407" t="s">
        <v>547</v>
      </c>
      <c r="C10" s="435" t="s">
        <v>548</v>
      </c>
    </row>
    <row r="11" spans="1:3" x14ac:dyDescent="0.25">
      <c r="A11" s="434"/>
      <c r="B11" s="407" t="s">
        <v>549</v>
      </c>
      <c r="C11" s="435" t="s">
        <v>548</v>
      </c>
    </row>
    <row r="12" spans="1:3" x14ac:dyDescent="0.25">
      <c r="A12" s="405" t="s">
        <v>286</v>
      </c>
      <c r="B12" s="409"/>
      <c r="C12" s="410"/>
    </row>
    <row r="13" spans="1:3" x14ac:dyDescent="0.25">
      <c r="A13" s="411" t="s">
        <v>550</v>
      </c>
      <c r="B13" s="412"/>
      <c r="C13" s="412"/>
    </row>
    <row r="14" spans="1:3" x14ac:dyDescent="0.25">
      <c r="A14" s="434"/>
      <c r="B14" s="413" t="s">
        <v>551</v>
      </c>
      <c r="C14" s="407"/>
    </row>
    <row r="15" spans="1:3" x14ac:dyDescent="0.25">
      <c r="A15" s="434"/>
      <c r="B15" s="413" t="s">
        <v>552</v>
      </c>
      <c r="C15" s="407"/>
    </row>
    <row r="16" spans="1:3" x14ac:dyDescent="0.25">
      <c r="A16" s="434"/>
      <c r="B16" s="413" t="s">
        <v>553</v>
      </c>
      <c r="C16" s="407"/>
    </row>
    <row r="17" spans="1:3" x14ac:dyDescent="0.25">
      <c r="A17" s="434"/>
      <c r="B17" s="413" t="s">
        <v>554</v>
      </c>
      <c r="C17" s="407"/>
    </row>
    <row r="18" spans="1:3" x14ac:dyDescent="0.25">
      <c r="A18" s="434"/>
      <c r="B18" s="413" t="s">
        <v>555</v>
      </c>
      <c r="C18" s="408"/>
    </row>
    <row r="19" spans="1:3" x14ac:dyDescent="0.25">
      <c r="A19" s="434"/>
      <c r="B19" s="413" t="s">
        <v>556</v>
      </c>
      <c r="C19" s="407"/>
    </row>
    <row r="20" spans="1:3" x14ac:dyDescent="0.25">
      <c r="A20" s="434"/>
      <c r="B20" s="413" t="s">
        <v>557</v>
      </c>
      <c r="C20" s="407"/>
    </row>
    <row r="21" spans="1:3" x14ac:dyDescent="0.25">
      <c r="A21" s="434"/>
      <c r="B21" s="413" t="s">
        <v>558</v>
      </c>
      <c r="C21" s="407"/>
    </row>
    <row r="22" spans="1:3" x14ac:dyDescent="0.25">
      <c r="A22" s="434"/>
      <c r="B22" s="413" t="s">
        <v>559</v>
      </c>
      <c r="C22" s="407"/>
    </row>
    <row r="23" spans="1:3" x14ac:dyDescent="0.25">
      <c r="A23" s="434"/>
      <c r="B23" s="413" t="s">
        <v>560</v>
      </c>
      <c r="C23" s="407"/>
    </row>
    <row r="24" spans="1:3" x14ac:dyDescent="0.25">
      <c r="A24" s="434"/>
      <c r="B24" s="413" t="s">
        <v>561</v>
      </c>
      <c r="C24" s="407"/>
    </row>
    <row r="25" spans="1:3" x14ac:dyDescent="0.25">
      <c r="A25" s="434"/>
      <c r="B25" s="413" t="s">
        <v>562</v>
      </c>
      <c r="C25" s="407"/>
    </row>
    <row r="26" spans="1:3" x14ac:dyDescent="0.25">
      <c r="A26" s="434"/>
      <c r="B26" s="413" t="s">
        <v>563</v>
      </c>
      <c r="C26" s="407"/>
    </row>
    <row r="27" spans="1:3" x14ac:dyDescent="0.25">
      <c r="A27" s="434"/>
      <c r="B27" s="413" t="s">
        <v>317</v>
      </c>
      <c r="C27" s="414"/>
    </row>
    <row r="28" spans="1:3" x14ac:dyDescent="0.25">
      <c r="A28" s="434"/>
      <c r="B28" s="413" t="s">
        <v>564</v>
      </c>
      <c r="C28" s="414"/>
    </row>
    <row r="29" spans="1:3" x14ac:dyDescent="0.25">
      <c r="A29" s="434"/>
      <c r="B29" s="413" t="s">
        <v>565</v>
      </c>
      <c r="C29" s="407" t="s">
        <v>566</v>
      </c>
    </row>
    <row r="30" spans="1:3" x14ac:dyDescent="0.25">
      <c r="A30" s="434"/>
      <c r="B30" s="413" t="s">
        <v>567</v>
      </c>
      <c r="C30" s="407"/>
    </row>
    <row r="31" spans="1:3" x14ac:dyDescent="0.25">
      <c r="A31" s="434"/>
      <c r="B31" s="413" t="s">
        <v>568</v>
      </c>
      <c r="C31" s="407"/>
    </row>
    <row r="32" spans="1:3" x14ac:dyDescent="0.25">
      <c r="A32" s="415" t="s">
        <v>569</v>
      </c>
      <c r="B32" s="416"/>
      <c r="C32" s="417"/>
    </row>
    <row r="33" spans="1:3" x14ac:dyDescent="0.25">
      <c r="A33" s="434"/>
      <c r="B33" s="413" t="s">
        <v>570</v>
      </c>
      <c r="C33" s="407"/>
    </row>
    <row r="34" spans="1:3" x14ac:dyDescent="0.25">
      <c r="A34" s="434"/>
      <c r="B34" s="413" t="s">
        <v>571</v>
      </c>
      <c r="C34" s="407"/>
    </row>
    <row r="35" spans="1:3" x14ac:dyDescent="0.25">
      <c r="A35" s="434"/>
      <c r="B35" s="413" t="s">
        <v>572</v>
      </c>
      <c r="C35" s="407" t="s">
        <v>573</v>
      </c>
    </row>
    <row r="36" spans="1:3" x14ac:dyDescent="0.25">
      <c r="A36" s="434"/>
      <c r="B36" s="413" t="s">
        <v>574</v>
      </c>
      <c r="C36" s="407" t="s">
        <v>575</v>
      </c>
    </row>
    <row r="37" spans="1:3" x14ac:dyDescent="0.25">
      <c r="A37" s="434"/>
      <c r="B37" s="413" t="s">
        <v>576</v>
      </c>
      <c r="C37" s="407"/>
    </row>
    <row r="38" spans="1:3" x14ac:dyDescent="0.25">
      <c r="A38" s="434"/>
      <c r="B38" s="413" t="s">
        <v>577</v>
      </c>
      <c r="C38" s="407"/>
    </row>
    <row r="39" spans="1:3" x14ac:dyDescent="0.25">
      <c r="A39" s="434"/>
      <c r="B39" s="413" t="s">
        <v>578</v>
      </c>
      <c r="C39" s="418" t="s">
        <v>579</v>
      </c>
    </row>
    <row r="40" spans="1:3" x14ac:dyDescent="0.25">
      <c r="A40" s="434"/>
      <c r="B40" s="413" t="s">
        <v>580</v>
      </c>
      <c r="C40" s="419"/>
    </row>
    <row r="41" spans="1:3" x14ac:dyDescent="0.25">
      <c r="A41" s="434"/>
      <c r="B41" s="413" t="s">
        <v>581</v>
      </c>
      <c r="C41" s="407" t="s">
        <v>582</v>
      </c>
    </row>
    <row r="42" spans="1:3" x14ac:dyDescent="0.25">
      <c r="A42" s="434"/>
      <c r="B42" s="413" t="s">
        <v>583</v>
      </c>
      <c r="C42" s="407"/>
    </row>
    <row r="43" spans="1:3" ht="24.75" x14ac:dyDescent="0.25">
      <c r="A43" s="434"/>
      <c r="B43" s="413" t="s">
        <v>584</v>
      </c>
      <c r="C43" s="418" t="s">
        <v>585</v>
      </c>
    </row>
    <row r="44" spans="1:3" x14ac:dyDescent="0.25">
      <c r="A44" s="415" t="s">
        <v>586</v>
      </c>
      <c r="B44" s="416"/>
      <c r="C44" s="412"/>
    </row>
    <row r="45" spans="1:3" x14ac:dyDescent="0.25">
      <c r="A45" s="434"/>
      <c r="B45" s="413" t="s">
        <v>558</v>
      </c>
      <c r="C45" s="407"/>
    </row>
    <row r="46" spans="1:3" x14ac:dyDescent="0.25">
      <c r="A46" s="434"/>
      <c r="B46" s="407" t="s">
        <v>587</v>
      </c>
      <c r="C46" s="407"/>
    </row>
    <row r="47" spans="1:3" x14ac:dyDescent="0.25">
      <c r="A47" s="434"/>
      <c r="B47" s="413" t="s">
        <v>588</v>
      </c>
      <c r="C47" s="407"/>
    </row>
    <row r="48" spans="1:3" x14ac:dyDescent="0.25">
      <c r="A48" s="434"/>
      <c r="B48" s="413" t="s">
        <v>589</v>
      </c>
      <c r="C48" s="420" t="s">
        <v>590</v>
      </c>
    </row>
    <row r="49" spans="1:3" x14ac:dyDescent="0.25">
      <c r="A49" s="434"/>
      <c r="B49" s="413" t="s">
        <v>591</v>
      </c>
      <c r="C49" s="420"/>
    </row>
    <row r="50" spans="1:3" x14ac:dyDescent="0.25">
      <c r="A50" s="434"/>
      <c r="B50" s="413" t="s">
        <v>592</v>
      </c>
      <c r="C50" s="407" t="s">
        <v>593</v>
      </c>
    </row>
    <row r="51" spans="1:3" x14ac:dyDescent="0.25">
      <c r="A51" s="434"/>
      <c r="B51" s="413" t="s">
        <v>594</v>
      </c>
      <c r="C51" s="407" t="s">
        <v>595</v>
      </c>
    </row>
    <row r="52" spans="1:3" x14ac:dyDescent="0.25">
      <c r="A52" s="434"/>
      <c r="B52" s="413" t="s">
        <v>596</v>
      </c>
      <c r="C52" s="407"/>
    </row>
    <row r="53" spans="1:3" x14ac:dyDescent="0.25">
      <c r="A53" s="405" t="s">
        <v>597</v>
      </c>
      <c r="B53" s="421"/>
      <c r="C53" s="410"/>
    </row>
    <row r="54" spans="1:3" x14ac:dyDescent="0.25">
      <c r="A54" s="434"/>
      <c r="B54" s="413" t="s">
        <v>598</v>
      </c>
      <c r="C54" s="407"/>
    </row>
    <row r="55" spans="1:3" x14ac:dyDescent="0.25">
      <c r="A55" s="434"/>
      <c r="B55" s="413" t="s">
        <v>599</v>
      </c>
      <c r="C55" s="407"/>
    </row>
    <row r="56" spans="1:3" x14ac:dyDescent="0.25">
      <c r="A56" s="434"/>
      <c r="B56" s="413" t="s">
        <v>600</v>
      </c>
      <c r="C56" s="407" t="s">
        <v>601</v>
      </c>
    </row>
    <row r="57" spans="1:3" x14ac:dyDescent="0.25">
      <c r="A57" s="434"/>
      <c r="B57" s="413" t="s">
        <v>602</v>
      </c>
      <c r="C57" s="407" t="s">
        <v>603</v>
      </c>
    </row>
    <row r="58" spans="1:3" x14ac:dyDescent="0.25">
      <c r="A58" s="434"/>
      <c r="B58" s="413" t="s">
        <v>604</v>
      </c>
      <c r="C58" s="407" t="s">
        <v>605</v>
      </c>
    </row>
    <row r="59" spans="1:3" x14ac:dyDescent="0.25">
      <c r="A59" s="434"/>
      <c r="B59" s="413" t="s">
        <v>606</v>
      </c>
      <c r="C59" s="408"/>
    </row>
    <row r="60" spans="1:3" x14ac:dyDescent="0.25">
      <c r="A60" s="434"/>
      <c r="B60" s="413" t="s">
        <v>607</v>
      </c>
      <c r="C60" s="420" t="s">
        <v>608</v>
      </c>
    </row>
    <row r="61" spans="1:3" x14ac:dyDescent="0.25">
      <c r="A61" s="405" t="s">
        <v>524</v>
      </c>
      <c r="B61" s="422"/>
      <c r="C61" s="423" t="s">
        <v>609</v>
      </c>
    </row>
    <row r="62" spans="1:3" x14ac:dyDescent="0.25">
      <c r="A62" s="424"/>
      <c r="B62" s="413" t="s">
        <v>610</v>
      </c>
      <c r="C62" s="407" t="s">
        <v>611</v>
      </c>
    </row>
    <row r="63" spans="1:3" x14ac:dyDescent="0.25">
      <c r="A63" s="434"/>
      <c r="B63" s="413" t="s">
        <v>612</v>
      </c>
      <c r="C63" s="407"/>
    </row>
    <row r="64" spans="1:3" x14ac:dyDescent="0.25">
      <c r="A64" s="434"/>
      <c r="B64" s="413" t="s">
        <v>526</v>
      </c>
      <c r="C64" s="407" t="s">
        <v>613</v>
      </c>
    </row>
    <row r="65" spans="1:3" x14ac:dyDescent="0.25">
      <c r="A65" s="434"/>
      <c r="B65" s="425" t="s">
        <v>182</v>
      </c>
      <c r="C65" s="426" t="s">
        <v>614</v>
      </c>
    </row>
    <row r="66" spans="1:3" x14ac:dyDescent="0.25">
      <c r="A66" s="434"/>
      <c r="B66" s="413" t="s">
        <v>615</v>
      </c>
      <c r="C66" s="407"/>
    </row>
    <row r="67" spans="1:3" x14ac:dyDescent="0.25">
      <c r="A67" s="434"/>
      <c r="B67" s="413" t="s">
        <v>616</v>
      </c>
      <c r="C67" s="407"/>
    </row>
    <row r="68" spans="1:3" x14ac:dyDescent="0.25">
      <c r="A68" s="434"/>
      <c r="B68" s="413" t="s">
        <v>617</v>
      </c>
      <c r="C68" s="407" t="s">
        <v>618</v>
      </c>
    </row>
    <row r="69" spans="1:3" x14ac:dyDescent="0.25">
      <c r="A69" s="405" t="s">
        <v>619</v>
      </c>
      <c r="B69" s="422"/>
      <c r="C69" s="410"/>
    </row>
    <row r="70" spans="1:3" x14ac:dyDescent="0.25">
      <c r="A70" s="424"/>
      <c r="B70" s="413" t="s">
        <v>620</v>
      </c>
      <c r="C70" s="407"/>
    </row>
    <row r="71" spans="1:3" x14ac:dyDescent="0.25">
      <c r="A71" s="434"/>
      <c r="B71" s="434" t="s">
        <v>621</v>
      </c>
      <c r="C71" s="407" t="s">
        <v>622</v>
      </c>
    </row>
    <row r="72" spans="1:3" x14ac:dyDescent="0.25">
      <c r="A72" s="405" t="s">
        <v>510</v>
      </c>
      <c r="B72" s="405"/>
      <c r="C72" s="423"/>
    </row>
    <row r="73" spans="1:3" x14ac:dyDescent="0.25">
      <c r="A73" s="411" t="s">
        <v>623</v>
      </c>
      <c r="B73" s="427"/>
      <c r="C73" s="428"/>
    </row>
    <row r="74" spans="1:3" x14ac:dyDescent="0.25">
      <c r="A74" s="434"/>
      <c r="B74" s="413" t="s">
        <v>624</v>
      </c>
      <c r="C74" s="407"/>
    </row>
    <row r="75" spans="1:3" x14ac:dyDescent="0.25">
      <c r="A75" s="434"/>
      <c r="B75" s="413" t="s">
        <v>625</v>
      </c>
      <c r="C75" s="407"/>
    </row>
    <row r="76" spans="1:3" x14ac:dyDescent="0.25">
      <c r="A76" s="434"/>
      <c r="B76" s="413" t="s">
        <v>626</v>
      </c>
      <c r="C76" s="408"/>
    </row>
    <row r="77" spans="1:3" x14ac:dyDescent="0.25">
      <c r="A77" s="434"/>
      <c r="B77" s="413" t="s">
        <v>516</v>
      </c>
      <c r="C77" s="407"/>
    </row>
    <row r="78" spans="1:3" x14ac:dyDescent="0.25">
      <c r="A78" s="434"/>
      <c r="B78" s="413" t="s">
        <v>627</v>
      </c>
      <c r="C78" s="407"/>
    </row>
    <row r="79" spans="1:3" x14ac:dyDescent="0.25">
      <c r="A79" s="434"/>
      <c r="B79" s="413" t="s">
        <v>628</v>
      </c>
      <c r="C79" s="426" t="s">
        <v>629</v>
      </c>
    </row>
    <row r="80" spans="1:3" x14ac:dyDescent="0.25">
      <c r="A80" s="405" t="s">
        <v>349</v>
      </c>
      <c r="B80" s="421"/>
      <c r="C80" s="410"/>
    </row>
    <row r="81" spans="1:3" x14ac:dyDescent="0.25">
      <c r="A81" s="434"/>
      <c r="B81" s="407" t="s">
        <v>630</v>
      </c>
      <c r="C81" s="407" t="s">
        <v>631</v>
      </c>
    </row>
    <row r="82" spans="1:3" x14ac:dyDescent="0.25">
      <c r="A82" s="424"/>
      <c r="B82" s="407" t="s">
        <v>632</v>
      </c>
      <c r="C82" s="407" t="s">
        <v>633</v>
      </c>
    </row>
    <row r="83" spans="1:3" x14ac:dyDescent="0.25">
      <c r="A83" s="424"/>
      <c r="B83" s="407" t="s">
        <v>634</v>
      </c>
      <c r="C83" s="407" t="s">
        <v>635</v>
      </c>
    </row>
    <row r="84" spans="1:3" x14ac:dyDescent="0.25">
      <c r="A84" s="424"/>
      <c r="B84" s="407" t="s">
        <v>636</v>
      </c>
      <c r="C84" s="407" t="s">
        <v>637</v>
      </c>
    </row>
    <row r="85" spans="1:3" x14ac:dyDescent="0.25">
      <c r="A85" s="424"/>
      <c r="B85" s="407" t="s">
        <v>638</v>
      </c>
      <c r="C85" s="407" t="s">
        <v>639</v>
      </c>
    </row>
    <row r="86" spans="1:3" x14ac:dyDescent="0.25">
      <c r="A86" s="424"/>
      <c r="B86" s="407" t="s">
        <v>640</v>
      </c>
      <c r="C86" s="407"/>
    </row>
    <row r="87" spans="1:3" x14ac:dyDescent="0.25">
      <c r="A87" s="424"/>
      <c r="B87" s="407" t="s">
        <v>641</v>
      </c>
      <c r="C87" s="407"/>
    </row>
    <row r="88" spans="1:3" x14ac:dyDescent="0.25">
      <c r="A88" s="424"/>
      <c r="B88" s="407" t="s">
        <v>642</v>
      </c>
      <c r="C88" s="407"/>
    </row>
    <row r="89" spans="1:3" x14ac:dyDescent="0.25">
      <c r="A89" s="424"/>
      <c r="B89" s="407" t="s">
        <v>643</v>
      </c>
      <c r="C89" s="407" t="s">
        <v>644</v>
      </c>
    </row>
    <row r="90" spans="1:3" x14ac:dyDescent="0.25">
      <c r="A90" s="424"/>
      <c r="B90" s="407" t="s">
        <v>645</v>
      </c>
      <c r="C90" s="407" t="s">
        <v>646</v>
      </c>
    </row>
    <row r="91" spans="1:3" x14ac:dyDescent="0.25">
      <c r="A91" s="405" t="s">
        <v>404</v>
      </c>
      <c r="B91" s="410"/>
      <c r="C91" s="410"/>
    </row>
    <row r="92" spans="1:3" x14ac:dyDescent="0.25">
      <c r="A92" s="424"/>
      <c r="B92" s="407" t="s">
        <v>647</v>
      </c>
      <c r="C92" s="407" t="s">
        <v>648</v>
      </c>
    </row>
    <row r="93" spans="1:3" x14ac:dyDescent="0.25">
      <c r="A93" s="424"/>
      <c r="B93" s="407" t="s">
        <v>649</v>
      </c>
      <c r="C93" s="407" t="s">
        <v>650</v>
      </c>
    </row>
    <row r="94" spans="1:3" x14ac:dyDescent="0.25">
      <c r="A94" s="424"/>
      <c r="B94" s="407" t="s">
        <v>651</v>
      </c>
      <c r="C94" s="407" t="s">
        <v>652</v>
      </c>
    </row>
    <row r="95" spans="1:3" x14ac:dyDescent="0.25">
      <c r="A95" s="405" t="s">
        <v>653</v>
      </c>
      <c r="B95" s="410"/>
      <c r="C95" s="410"/>
    </row>
    <row r="96" spans="1:3" x14ac:dyDescent="0.25">
      <c r="A96" s="411" t="s">
        <v>654</v>
      </c>
      <c r="B96" s="429"/>
      <c r="C96" s="412"/>
    </row>
    <row r="97" spans="1:3" x14ac:dyDescent="0.25">
      <c r="A97" s="424"/>
      <c r="B97" s="407" t="s">
        <v>655</v>
      </c>
      <c r="C97" s="407" t="s">
        <v>656</v>
      </c>
    </row>
    <row r="98" spans="1:3" x14ac:dyDescent="0.25">
      <c r="A98" s="424"/>
      <c r="B98" s="407" t="s">
        <v>657</v>
      </c>
      <c r="C98" s="407"/>
    </row>
    <row r="99" spans="1:3" x14ac:dyDescent="0.25">
      <c r="A99" s="424"/>
      <c r="B99" s="407" t="s">
        <v>658</v>
      </c>
      <c r="C99" s="407"/>
    </row>
    <row r="100" spans="1:3" x14ac:dyDescent="0.25">
      <c r="A100" s="424"/>
      <c r="B100" s="407" t="s">
        <v>659</v>
      </c>
      <c r="C100" s="407"/>
    </row>
    <row r="101" spans="1:3" x14ac:dyDescent="0.25">
      <c r="A101" s="424"/>
      <c r="B101" s="407" t="s">
        <v>660</v>
      </c>
      <c r="C101" s="407" t="s">
        <v>661</v>
      </c>
    </row>
    <row r="102" spans="1:3" x14ac:dyDescent="0.25">
      <c r="A102" s="411" t="s">
        <v>662</v>
      </c>
      <c r="B102" s="429"/>
      <c r="C102" s="412"/>
    </row>
    <row r="103" spans="1:3" x14ac:dyDescent="0.25">
      <c r="A103" s="424"/>
      <c r="B103" s="407" t="s">
        <v>663</v>
      </c>
      <c r="C103" s="407" t="s">
        <v>664</v>
      </c>
    </row>
    <row r="104" spans="1:3" x14ac:dyDescent="0.25">
      <c r="A104" s="424"/>
      <c r="B104" s="407" t="s">
        <v>665</v>
      </c>
      <c r="C104" s="407" t="s">
        <v>666</v>
      </c>
    </row>
    <row r="105" spans="1:3" x14ac:dyDescent="0.25">
      <c r="A105" s="424"/>
      <c r="B105" s="407" t="s">
        <v>667</v>
      </c>
      <c r="C105" s="407"/>
    </row>
    <row r="106" spans="1:3" x14ac:dyDescent="0.25">
      <c r="A106" s="424"/>
      <c r="B106" s="407" t="s">
        <v>668</v>
      </c>
      <c r="C106" s="407"/>
    </row>
    <row r="107" spans="1:3" x14ac:dyDescent="0.25">
      <c r="A107" s="424"/>
      <c r="B107" s="407" t="s">
        <v>669</v>
      </c>
      <c r="C107" s="407" t="s">
        <v>670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720E-C31F-4B52-B866-F1DD76678FA4}">
  <sheetPr>
    <tabColor theme="4" tint="-0.249977111117893"/>
    <pageSetUpPr fitToPage="1"/>
  </sheetPr>
  <dimension ref="A1:L317"/>
  <sheetViews>
    <sheetView zoomScale="85" zoomScaleNormal="85" workbookViewId="0">
      <pane ySplit="2" topLeftCell="A54" activePane="bottomLeft" state="frozen"/>
      <selection activeCell="F20" sqref="F20"/>
      <selection pane="bottomLeft" activeCell="F20" sqref="F20"/>
    </sheetView>
  </sheetViews>
  <sheetFormatPr defaultColWidth="8.85546875" defaultRowHeight="12.75" x14ac:dyDescent="0.25"/>
  <cols>
    <col min="1" max="1" width="1.5703125" style="100" customWidth="1"/>
    <col min="2" max="2" width="39.5703125" style="100" customWidth="1"/>
    <col min="3" max="3" width="11.5703125" style="94" bestFit="1" customWidth="1"/>
    <col min="4" max="4" width="60.5703125" style="95" bestFit="1" customWidth="1"/>
    <col min="5" max="5" width="9.85546875" style="94" bestFit="1" customWidth="1"/>
    <col min="6" max="6" width="18.85546875" style="96" customWidth="1"/>
    <col min="7" max="7" width="99.5703125" style="149" bestFit="1" customWidth="1"/>
    <col min="8" max="8" width="25.85546875" style="96" hidden="1" customWidth="1"/>
    <col min="9" max="9" width="16.5703125" style="96" bestFit="1" customWidth="1"/>
    <col min="10" max="10" width="15.5703125" style="98" bestFit="1" customWidth="1"/>
    <col min="11" max="11" width="14.140625" style="98" bestFit="1" customWidth="1"/>
    <col min="12" max="12" width="85.140625" style="99" bestFit="1" customWidth="1"/>
    <col min="13" max="13" width="15.85546875" style="100" customWidth="1"/>
    <col min="14" max="16384" width="8.85546875" style="100"/>
  </cols>
  <sheetData>
    <row r="1" spans="2:12" ht="13.5" thickBot="1" x14ac:dyDescent="0.3">
      <c r="B1" s="93"/>
      <c r="D1" s="95" t="s">
        <v>14</v>
      </c>
      <c r="G1" s="97"/>
    </row>
    <row r="2" spans="2:12" s="101" customFormat="1" x14ac:dyDescent="0.25">
      <c r="B2" s="162" t="s">
        <v>15</v>
      </c>
      <c r="C2" s="163"/>
      <c r="D2" s="164" t="s">
        <v>16</v>
      </c>
      <c r="E2" s="165" t="s">
        <v>17</v>
      </c>
      <c r="F2" s="166" t="s">
        <v>18</v>
      </c>
      <c r="G2" s="167" t="s">
        <v>19</v>
      </c>
      <c r="H2" s="166" t="s">
        <v>20</v>
      </c>
      <c r="I2" s="166" t="s">
        <v>21</v>
      </c>
      <c r="J2" s="168" t="s">
        <v>22</v>
      </c>
      <c r="K2" s="168" t="s">
        <v>23</v>
      </c>
      <c r="L2" s="168" t="s">
        <v>24</v>
      </c>
    </row>
    <row r="3" spans="2:12" s="101" customFormat="1" x14ac:dyDescent="0.25">
      <c r="B3" s="150" t="s">
        <v>25</v>
      </c>
      <c r="C3" s="151" t="s">
        <v>26</v>
      </c>
      <c r="D3" s="152"/>
      <c r="E3" s="153"/>
      <c r="F3" s="152"/>
      <c r="G3" s="154"/>
      <c r="H3" s="152"/>
      <c r="I3" s="152"/>
      <c r="J3" s="152"/>
      <c r="K3" s="152"/>
      <c r="L3" s="152"/>
    </row>
    <row r="4" spans="2:12" s="112" customFormat="1" x14ac:dyDescent="0.25">
      <c r="B4" s="115"/>
      <c r="C4" s="103" t="s">
        <v>27</v>
      </c>
      <c r="D4" s="104" t="s">
        <v>28</v>
      </c>
      <c r="E4" s="103" t="s">
        <v>29</v>
      </c>
      <c r="F4" s="109">
        <v>12</v>
      </c>
      <c r="G4" s="122" t="s">
        <v>30</v>
      </c>
      <c r="H4" s="109"/>
      <c r="I4" s="109"/>
      <c r="J4" s="111"/>
      <c r="K4" s="111"/>
      <c r="L4" s="114"/>
    </row>
    <row r="5" spans="2:12" s="112" customFormat="1" ht="63.75" x14ac:dyDescent="0.25">
      <c r="B5" s="115"/>
      <c r="C5" s="103" t="s">
        <v>27</v>
      </c>
      <c r="D5" s="104" t="s">
        <v>31</v>
      </c>
      <c r="E5" s="103" t="s">
        <v>29</v>
      </c>
      <c r="F5" s="109">
        <v>9</v>
      </c>
      <c r="G5" s="122"/>
      <c r="H5" s="109"/>
      <c r="I5" s="109">
        <v>8</v>
      </c>
      <c r="J5" s="111" t="s">
        <v>32</v>
      </c>
      <c r="K5" s="111"/>
      <c r="L5" s="114" t="s">
        <v>33</v>
      </c>
    </row>
    <row r="6" spans="2:12" s="112" customFormat="1" x14ac:dyDescent="0.25">
      <c r="B6" s="115"/>
      <c r="C6" s="103" t="s">
        <v>27</v>
      </c>
      <c r="D6" s="104" t="s">
        <v>34</v>
      </c>
      <c r="E6" s="103" t="s">
        <v>29</v>
      </c>
      <c r="F6" s="109">
        <v>5</v>
      </c>
      <c r="G6" s="122" t="s">
        <v>35</v>
      </c>
      <c r="H6" s="109"/>
      <c r="I6" s="109"/>
      <c r="J6" s="111"/>
      <c r="K6" s="111"/>
      <c r="L6" s="114"/>
    </row>
    <row r="7" spans="2:12" s="112" customFormat="1" x14ac:dyDescent="0.25">
      <c r="B7" s="115"/>
      <c r="C7" s="103" t="s">
        <v>27</v>
      </c>
      <c r="D7" s="104" t="s">
        <v>36</v>
      </c>
      <c r="E7" s="103"/>
      <c r="F7" s="109">
        <v>26</v>
      </c>
      <c r="G7" s="122" t="s">
        <v>37</v>
      </c>
      <c r="H7" s="109"/>
      <c r="I7" s="109"/>
      <c r="J7" s="111"/>
      <c r="K7" s="111"/>
      <c r="L7" s="114"/>
    </row>
    <row r="8" spans="2:12" s="112" customFormat="1" x14ac:dyDescent="0.25">
      <c r="B8" s="102"/>
      <c r="C8" s="103" t="s">
        <v>27</v>
      </c>
      <c r="D8" s="104" t="s">
        <v>38</v>
      </c>
      <c r="E8" s="103"/>
      <c r="F8" s="109">
        <v>5</v>
      </c>
      <c r="G8" s="108"/>
      <c r="H8" s="109"/>
      <c r="I8" s="110"/>
      <c r="J8" s="111"/>
      <c r="K8" s="111"/>
      <c r="L8" s="106"/>
    </row>
    <row r="9" spans="2:12" s="112" customFormat="1" x14ac:dyDescent="0.25">
      <c r="B9" s="102"/>
      <c r="C9" s="103" t="s">
        <v>27</v>
      </c>
      <c r="D9" s="104" t="s">
        <v>39</v>
      </c>
      <c r="E9" s="103"/>
      <c r="F9" s="109">
        <v>8</v>
      </c>
      <c r="G9" s="108"/>
      <c r="H9" s="109"/>
      <c r="I9" s="110"/>
      <c r="J9" s="111" t="s">
        <v>40</v>
      </c>
      <c r="K9" s="111"/>
      <c r="L9" s="106"/>
    </row>
    <row r="10" spans="2:12" s="112" customFormat="1" x14ac:dyDescent="0.25">
      <c r="B10" s="102"/>
      <c r="C10" s="103" t="s">
        <v>27</v>
      </c>
      <c r="D10" s="104" t="s">
        <v>41</v>
      </c>
      <c r="E10" s="103" t="s">
        <v>42</v>
      </c>
      <c r="F10" s="175">
        <v>16</v>
      </c>
      <c r="H10" s="109"/>
      <c r="I10" s="110">
        <v>16</v>
      </c>
      <c r="J10" s="111" t="s">
        <v>43</v>
      </c>
      <c r="K10" s="111"/>
      <c r="L10" s="106"/>
    </row>
    <row r="11" spans="2:12" s="112" customFormat="1" x14ac:dyDescent="0.25">
      <c r="B11" s="102"/>
      <c r="C11" s="103"/>
      <c r="D11" s="104" t="s">
        <v>44</v>
      </c>
      <c r="E11" s="103"/>
      <c r="F11" s="179">
        <v>14</v>
      </c>
      <c r="G11" s="120" t="s">
        <v>45</v>
      </c>
      <c r="H11" s="113"/>
      <c r="I11" s="113"/>
      <c r="J11" s="111"/>
      <c r="K11" s="111"/>
      <c r="L11" s="114"/>
    </row>
    <row r="12" spans="2:12" s="112" customFormat="1" x14ac:dyDescent="0.25">
      <c r="B12" s="119"/>
      <c r="C12" s="103" t="s">
        <v>27</v>
      </c>
      <c r="D12" s="104" t="s">
        <v>46</v>
      </c>
      <c r="E12" s="103"/>
      <c r="F12" s="109">
        <v>10</v>
      </c>
      <c r="G12" s="122"/>
      <c r="H12" s="109"/>
      <c r="I12" s="109"/>
      <c r="J12" s="111"/>
      <c r="K12" s="111"/>
      <c r="L12" s="121"/>
    </row>
    <row r="13" spans="2:12" s="112" customFormat="1" x14ac:dyDescent="0.25">
      <c r="B13" s="115"/>
      <c r="C13" s="103" t="s">
        <v>27</v>
      </c>
      <c r="D13" s="104" t="s">
        <v>47</v>
      </c>
      <c r="E13" s="103" t="s">
        <v>42</v>
      </c>
      <c r="F13" s="109">
        <v>12</v>
      </c>
      <c r="G13" s="122" t="s">
        <v>48</v>
      </c>
      <c r="H13" s="109"/>
      <c r="I13" s="109"/>
      <c r="J13" s="111"/>
      <c r="K13" s="111"/>
      <c r="L13" s="114"/>
    </row>
    <row r="14" spans="2:12" s="112" customFormat="1" ht="25.5" x14ac:dyDescent="0.25">
      <c r="B14" s="115"/>
      <c r="C14" s="103" t="s">
        <v>27</v>
      </c>
      <c r="D14" s="104" t="s">
        <v>49</v>
      </c>
      <c r="E14" s="103" t="s">
        <v>42</v>
      </c>
      <c r="F14" s="109">
        <v>9</v>
      </c>
      <c r="G14" s="122"/>
      <c r="H14" s="109"/>
      <c r="I14" s="109">
        <v>8</v>
      </c>
      <c r="J14" s="111" t="s">
        <v>32</v>
      </c>
      <c r="K14" s="111"/>
      <c r="L14" s="114" t="s">
        <v>50</v>
      </c>
    </row>
    <row r="15" spans="2:12" s="112" customFormat="1" x14ac:dyDescent="0.25">
      <c r="B15" s="119"/>
      <c r="C15" s="103" t="s">
        <v>27</v>
      </c>
      <c r="D15" s="104" t="s">
        <v>51</v>
      </c>
      <c r="E15" s="103"/>
      <c r="F15" s="109">
        <v>20</v>
      </c>
      <c r="G15" s="122"/>
      <c r="H15" s="109"/>
      <c r="I15" s="109"/>
      <c r="J15" s="111"/>
      <c r="K15" s="111"/>
      <c r="L15" s="121"/>
    </row>
    <row r="16" spans="2:12" s="112" customFormat="1" x14ac:dyDescent="0.25">
      <c r="B16" s="119"/>
      <c r="C16" s="103" t="s">
        <v>27</v>
      </c>
      <c r="D16" s="104" t="s">
        <v>52</v>
      </c>
      <c r="E16" s="103"/>
      <c r="F16" s="109">
        <v>14</v>
      </c>
      <c r="G16" s="122"/>
      <c r="H16" s="109"/>
      <c r="I16" s="109"/>
      <c r="J16" s="111"/>
      <c r="K16" s="111"/>
      <c r="L16" s="121"/>
    </row>
    <row r="17" spans="1:12" s="112" customFormat="1" x14ac:dyDescent="0.25">
      <c r="B17" s="119"/>
      <c r="C17" s="103" t="s">
        <v>27</v>
      </c>
      <c r="D17" s="104" t="s">
        <v>53</v>
      </c>
      <c r="E17" s="103" t="s">
        <v>29</v>
      </c>
      <c r="F17" s="109">
        <v>10</v>
      </c>
      <c r="G17" s="122"/>
      <c r="H17" s="109"/>
      <c r="I17" s="109">
        <v>12</v>
      </c>
      <c r="J17" s="111" t="s">
        <v>40</v>
      </c>
      <c r="K17" s="111"/>
      <c r="L17" s="121"/>
    </row>
    <row r="18" spans="1:12" x14ac:dyDescent="0.25">
      <c r="B18" s="115"/>
      <c r="C18" s="103" t="s">
        <v>27</v>
      </c>
      <c r="D18" s="104" t="s">
        <v>54</v>
      </c>
      <c r="E18" s="103"/>
      <c r="F18" s="109">
        <v>8</v>
      </c>
      <c r="G18" s="122"/>
      <c r="H18" s="109"/>
      <c r="I18" s="109"/>
      <c r="J18" s="111"/>
      <c r="K18" s="111"/>
      <c r="L18" s="114"/>
    </row>
    <row r="19" spans="1:12" x14ac:dyDescent="0.25">
      <c r="B19" s="102"/>
      <c r="C19" s="103" t="s">
        <v>27</v>
      </c>
      <c r="D19" s="104" t="s">
        <v>55</v>
      </c>
      <c r="E19" s="103" t="s">
        <v>42</v>
      </c>
      <c r="F19" s="109">
        <v>26</v>
      </c>
      <c r="G19" s="108" t="s">
        <v>56</v>
      </c>
      <c r="H19" s="109"/>
      <c r="I19" s="110"/>
      <c r="J19" s="111"/>
      <c r="K19" s="111"/>
      <c r="L19" s="106"/>
    </row>
    <row r="20" spans="1:12" x14ac:dyDescent="0.25">
      <c r="B20" s="102"/>
      <c r="C20" s="103" t="s">
        <v>27</v>
      </c>
      <c r="D20" s="104" t="s">
        <v>57</v>
      </c>
      <c r="E20" s="103" t="s">
        <v>42</v>
      </c>
      <c r="F20" s="109">
        <v>18</v>
      </c>
      <c r="G20" s="108"/>
      <c r="H20" s="109"/>
      <c r="I20" s="110"/>
      <c r="J20" s="111"/>
      <c r="K20" s="111"/>
      <c r="L20" s="106"/>
    </row>
    <row r="21" spans="1:12" x14ac:dyDescent="0.25">
      <c r="B21" s="102"/>
      <c r="C21" s="103" t="s">
        <v>27</v>
      </c>
      <c r="D21" s="104" t="s">
        <v>58</v>
      </c>
      <c r="E21" s="103" t="s">
        <v>42</v>
      </c>
      <c r="F21" s="109">
        <v>55</v>
      </c>
      <c r="G21" s="108" t="s">
        <v>59</v>
      </c>
      <c r="H21" s="109"/>
      <c r="I21" s="110"/>
      <c r="J21" s="111"/>
      <c r="K21" s="111"/>
      <c r="L21" s="106"/>
    </row>
    <row r="22" spans="1:12" x14ac:dyDescent="0.25">
      <c r="B22" s="115"/>
      <c r="C22" s="103" t="s">
        <v>27</v>
      </c>
      <c r="D22" s="104" t="s">
        <v>60</v>
      </c>
      <c r="E22" s="103" t="s">
        <v>29</v>
      </c>
      <c r="F22" s="109">
        <v>10</v>
      </c>
      <c r="G22" s="122" t="s">
        <v>61</v>
      </c>
      <c r="H22" s="109"/>
      <c r="I22" s="109">
        <v>9</v>
      </c>
      <c r="J22" s="111" t="s">
        <v>62</v>
      </c>
      <c r="K22" s="111"/>
      <c r="L22" s="121"/>
    </row>
    <row r="23" spans="1:12" x14ac:dyDescent="0.25">
      <c r="B23" s="115"/>
      <c r="C23" s="103" t="s">
        <v>27</v>
      </c>
      <c r="D23" s="104" t="s">
        <v>63</v>
      </c>
      <c r="E23" s="103" t="s">
        <v>64</v>
      </c>
      <c r="F23" s="109">
        <v>6</v>
      </c>
      <c r="G23" s="108"/>
      <c r="H23" s="109"/>
      <c r="I23" s="109"/>
      <c r="J23" s="111"/>
      <c r="K23" s="111"/>
      <c r="L23" s="114" t="s">
        <v>65</v>
      </c>
    </row>
    <row r="24" spans="1:12" x14ac:dyDescent="0.25">
      <c r="B24" s="115"/>
      <c r="C24" s="103" t="s">
        <v>27</v>
      </c>
      <c r="D24" s="104" t="s">
        <v>66</v>
      </c>
      <c r="E24" s="103" t="s">
        <v>42</v>
      </c>
      <c r="F24" s="109">
        <v>16</v>
      </c>
      <c r="G24" s="108"/>
      <c r="H24" s="109"/>
      <c r="I24" s="113"/>
      <c r="J24" s="111"/>
      <c r="K24" s="111"/>
      <c r="L24" s="114"/>
    </row>
    <row r="25" spans="1:12" s="112" customFormat="1" ht="25.5" x14ac:dyDescent="0.25">
      <c r="B25" s="115"/>
      <c r="C25" s="103" t="s">
        <v>27</v>
      </c>
      <c r="D25" s="104" t="s">
        <v>67</v>
      </c>
      <c r="E25" s="103" t="s">
        <v>42</v>
      </c>
      <c r="F25" s="109">
        <v>12</v>
      </c>
      <c r="G25" s="108"/>
      <c r="H25" s="109"/>
      <c r="I25" s="113">
        <v>8</v>
      </c>
      <c r="J25" s="111" t="s">
        <v>32</v>
      </c>
      <c r="K25" s="111"/>
      <c r="L25" s="114" t="s">
        <v>68</v>
      </c>
    </row>
    <row r="26" spans="1:12" s="112" customFormat="1" x14ac:dyDescent="0.25">
      <c r="B26" s="119"/>
      <c r="C26" s="103" t="s">
        <v>27</v>
      </c>
      <c r="D26" s="104" t="s">
        <v>69</v>
      </c>
      <c r="E26" s="103"/>
      <c r="F26" s="109">
        <v>16</v>
      </c>
      <c r="G26" s="122"/>
      <c r="H26" s="109"/>
      <c r="I26" s="109"/>
      <c r="J26" s="111"/>
      <c r="K26" s="111"/>
      <c r="L26" s="121"/>
    </row>
    <row r="27" spans="1:12" s="112" customFormat="1" x14ac:dyDescent="0.25">
      <c r="B27" s="119"/>
      <c r="C27" s="103" t="s">
        <v>27</v>
      </c>
      <c r="D27" s="104" t="s">
        <v>70</v>
      </c>
      <c r="E27" s="103"/>
      <c r="F27" s="109">
        <v>24</v>
      </c>
      <c r="G27" s="122"/>
      <c r="H27" s="109"/>
      <c r="I27" s="109"/>
      <c r="J27" s="111"/>
      <c r="K27" s="111"/>
      <c r="L27" s="121"/>
    </row>
    <row r="28" spans="1:12" x14ac:dyDescent="0.25">
      <c r="A28" s="176"/>
      <c r="B28" s="102"/>
      <c r="C28" s="103"/>
      <c r="D28" s="104" t="s">
        <v>71</v>
      </c>
      <c r="E28" s="103"/>
      <c r="F28" s="109">
        <v>14</v>
      </c>
      <c r="G28" s="122" t="s">
        <v>72</v>
      </c>
      <c r="H28" s="184"/>
      <c r="I28" s="184"/>
      <c r="J28" s="185"/>
      <c r="K28" s="185"/>
      <c r="L28" s="186"/>
    </row>
    <row r="29" spans="1:12" s="112" customFormat="1" x14ac:dyDescent="0.25">
      <c r="B29" s="102"/>
      <c r="C29" s="103" t="s">
        <v>27</v>
      </c>
      <c r="D29" s="104" t="s">
        <v>73</v>
      </c>
      <c r="E29" s="103" t="s">
        <v>29</v>
      </c>
      <c r="F29" s="113">
        <v>2</v>
      </c>
      <c r="G29" s="104"/>
      <c r="H29" s="113"/>
      <c r="I29" s="110"/>
      <c r="J29" s="111"/>
      <c r="K29" s="111"/>
      <c r="L29" s="114"/>
    </row>
    <row r="30" spans="1:12" s="112" customFormat="1" x14ac:dyDescent="0.25">
      <c r="B30" s="115"/>
      <c r="C30" s="103" t="s">
        <v>27</v>
      </c>
      <c r="D30" s="104" t="s">
        <v>74</v>
      </c>
      <c r="E30" s="103" t="s">
        <v>29</v>
      </c>
      <c r="F30" s="113">
        <v>10</v>
      </c>
      <c r="G30" s="104"/>
      <c r="H30" s="113"/>
      <c r="I30" s="113">
        <v>8</v>
      </c>
      <c r="J30" s="111" t="s">
        <v>75</v>
      </c>
      <c r="K30" s="111"/>
      <c r="L30" s="114" t="s">
        <v>76</v>
      </c>
    </row>
    <row r="31" spans="1:12" s="112" customFormat="1" x14ac:dyDescent="0.25">
      <c r="B31" s="102"/>
      <c r="C31" s="103" t="s">
        <v>27</v>
      </c>
      <c r="D31" s="115" t="s">
        <v>77</v>
      </c>
      <c r="E31" s="178" t="s">
        <v>42</v>
      </c>
      <c r="F31" s="175">
        <v>5</v>
      </c>
      <c r="G31" s="122" t="s">
        <v>78</v>
      </c>
      <c r="H31" s="109"/>
      <c r="I31" s="110">
        <v>6</v>
      </c>
      <c r="J31" s="111" t="s">
        <v>79</v>
      </c>
      <c r="K31" s="111"/>
      <c r="L31" s="116"/>
    </row>
    <row r="32" spans="1:12" s="112" customFormat="1" x14ac:dyDescent="0.25">
      <c r="B32" s="119"/>
      <c r="C32" s="103" t="s">
        <v>27</v>
      </c>
      <c r="D32" s="104" t="s">
        <v>80</v>
      </c>
      <c r="E32" s="103"/>
      <c r="F32" s="109">
        <v>16</v>
      </c>
      <c r="G32" s="122"/>
      <c r="H32" s="109"/>
      <c r="I32" s="109"/>
      <c r="J32" s="111"/>
      <c r="K32" s="111"/>
      <c r="L32" s="121"/>
    </row>
    <row r="33" spans="2:12" s="112" customFormat="1" ht="38.25" x14ac:dyDescent="0.25">
      <c r="B33" s="102"/>
      <c r="C33" s="103" t="s">
        <v>27</v>
      </c>
      <c r="D33" s="104" t="s">
        <v>81</v>
      </c>
      <c r="E33" s="103" t="s">
        <v>42</v>
      </c>
      <c r="F33" s="113">
        <v>18</v>
      </c>
      <c r="G33" s="108"/>
      <c r="H33" s="113"/>
      <c r="I33" s="113">
        <v>18</v>
      </c>
      <c r="J33" s="111" t="s">
        <v>43</v>
      </c>
      <c r="K33" s="111"/>
      <c r="L33" s="114" t="s">
        <v>82</v>
      </c>
    </row>
    <row r="34" spans="2:12" s="112" customFormat="1" x14ac:dyDescent="0.25">
      <c r="B34" s="119"/>
      <c r="C34" s="103"/>
      <c r="D34" s="104" t="s">
        <v>83</v>
      </c>
      <c r="E34" s="103" t="s">
        <v>42</v>
      </c>
      <c r="F34" s="109">
        <v>16</v>
      </c>
      <c r="G34" s="122"/>
      <c r="H34" s="109"/>
      <c r="I34" s="109"/>
      <c r="J34" s="111"/>
      <c r="K34" s="111"/>
      <c r="L34" s="121" t="s">
        <v>84</v>
      </c>
    </row>
    <row r="35" spans="2:12" s="112" customFormat="1" x14ac:dyDescent="0.25">
      <c r="B35" s="155" t="s">
        <v>85</v>
      </c>
      <c r="C35" s="156"/>
      <c r="D35" s="155"/>
      <c r="E35" s="157"/>
      <c r="F35" s="158"/>
      <c r="G35" s="159"/>
      <c r="H35" s="158"/>
      <c r="I35" s="160"/>
      <c r="J35" s="160"/>
      <c r="K35" s="160"/>
      <c r="L35" s="161"/>
    </row>
    <row r="36" spans="2:12" s="95" customFormat="1" x14ac:dyDescent="0.25">
      <c r="B36" s="104"/>
      <c r="C36" s="103" t="s">
        <v>27</v>
      </c>
      <c r="D36" s="104" t="s">
        <v>86</v>
      </c>
      <c r="E36" s="103" t="s">
        <v>29</v>
      </c>
      <c r="F36" s="109">
        <v>15</v>
      </c>
      <c r="G36" s="122" t="s">
        <v>87</v>
      </c>
      <c r="H36" s="109"/>
      <c r="I36" s="109"/>
      <c r="J36" s="111"/>
      <c r="K36" s="111"/>
      <c r="L36" s="104"/>
    </row>
    <row r="37" spans="2:12" s="95" customFormat="1" x14ac:dyDescent="0.25">
      <c r="B37" s="104"/>
      <c r="C37" s="103" t="s">
        <v>27</v>
      </c>
      <c r="D37" s="104" t="s">
        <v>88</v>
      </c>
      <c r="E37" s="103" t="s">
        <v>29</v>
      </c>
      <c r="F37" s="109">
        <v>5</v>
      </c>
      <c r="G37" s="187"/>
      <c r="H37" s="109"/>
      <c r="I37" s="109"/>
      <c r="J37" s="111"/>
      <c r="K37" s="111"/>
      <c r="L37" s="104"/>
    </row>
    <row r="38" spans="2:12" s="95" customFormat="1" x14ac:dyDescent="0.25">
      <c r="B38" s="104"/>
      <c r="C38" s="103" t="s">
        <v>27</v>
      </c>
      <c r="D38" s="104" t="s">
        <v>89</v>
      </c>
      <c r="E38" s="103" t="s">
        <v>29</v>
      </c>
      <c r="F38" s="109">
        <v>4</v>
      </c>
      <c r="G38" s="122"/>
      <c r="H38" s="109"/>
      <c r="I38" s="109">
        <v>4.5</v>
      </c>
      <c r="J38" s="111" t="s">
        <v>90</v>
      </c>
      <c r="K38" s="111"/>
      <c r="L38" s="104"/>
    </row>
    <row r="39" spans="2:12" s="95" customFormat="1" x14ac:dyDescent="0.25">
      <c r="B39" s="104"/>
      <c r="C39" s="103" t="s">
        <v>27</v>
      </c>
      <c r="D39" s="104" t="s">
        <v>91</v>
      </c>
      <c r="E39" s="103" t="s">
        <v>29</v>
      </c>
      <c r="F39" s="109">
        <v>2</v>
      </c>
      <c r="G39" s="122"/>
      <c r="H39" s="109"/>
      <c r="I39" s="109">
        <v>2.5</v>
      </c>
      <c r="J39" s="111" t="s">
        <v>90</v>
      </c>
      <c r="K39" s="111"/>
      <c r="L39" s="104"/>
    </row>
    <row r="40" spans="2:12" s="95" customFormat="1" x14ac:dyDescent="0.25">
      <c r="B40" s="104"/>
      <c r="C40" s="103" t="s">
        <v>27</v>
      </c>
      <c r="D40" s="104" t="s">
        <v>92</v>
      </c>
      <c r="E40" s="103" t="s">
        <v>29</v>
      </c>
      <c r="F40" s="109">
        <v>10</v>
      </c>
      <c r="G40" s="122"/>
      <c r="H40" s="109"/>
      <c r="I40" s="109"/>
      <c r="J40" s="111"/>
      <c r="K40" s="111"/>
      <c r="L40" s="104"/>
    </row>
    <row r="41" spans="2:12" s="95" customFormat="1" x14ac:dyDescent="0.25">
      <c r="B41" s="104"/>
      <c r="C41" s="103" t="s">
        <v>27</v>
      </c>
      <c r="D41" s="104" t="s">
        <v>93</v>
      </c>
      <c r="E41" s="103" t="s">
        <v>29</v>
      </c>
      <c r="F41" s="109">
        <v>4.5</v>
      </c>
      <c r="G41" s="122"/>
      <c r="H41" s="109"/>
      <c r="I41" s="109"/>
      <c r="J41" s="111"/>
      <c r="K41" s="111"/>
      <c r="L41" s="104"/>
    </row>
    <row r="42" spans="2:12" s="95" customFormat="1" x14ac:dyDescent="0.25">
      <c r="B42" s="104"/>
      <c r="C42" s="103" t="s">
        <v>27</v>
      </c>
      <c r="D42" s="104" t="s">
        <v>94</v>
      </c>
      <c r="E42" s="103" t="s">
        <v>29</v>
      </c>
      <c r="F42" s="109">
        <v>0.5</v>
      </c>
      <c r="G42" s="122"/>
      <c r="H42" s="109"/>
      <c r="I42" s="109"/>
      <c r="J42" s="111"/>
      <c r="K42" s="111"/>
      <c r="L42" s="104"/>
    </row>
    <row r="43" spans="2:12" s="95" customFormat="1" ht="25.5" x14ac:dyDescent="0.25">
      <c r="B43" s="104"/>
      <c r="C43" s="103" t="s">
        <v>27</v>
      </c>
      <c r="D43" s="115" t="s">
        <v>95</v>
      </c>
      <c r="E43" s="103" t="s">
        <v>29</v>
      </c>
      <c r="F43" s="113">
        <v>7.5</v>
      </c>
      <c r="G43" s="108"/>
      <c r="H43" s="113">
        <v>6.3</v>
      </c>
      <c r="I43" s="113">
        <v>6.5</v>
      </c>
      <c r="J43" s="111" t="s">
        <v>96</v>
      </c>
      <c r="K43" s="111"/>
      <c r="L43" s="108" t="s">
        <v>97</v>
      </c>
    </row>
    <row r="44" spans="2:12" s="95" customFormat="1" ht="38.25" x14ac:dyDescent="0.25">
      <c r="B44" s="104"/>
      <c r="C44" s="103" t="s">
        <v>27</v>
      </c>
      <c r="D44" s="115" t="s">
        <v>98</v>
      </c>
      <c r="E44" s="103" t="s">
        <v>29</v>
      </c>
      <c r="F44" s="113">
        <v>4.5</v>
      </c>
      <c r="G44" s="108"/>
      <c r="H44" s="113" t="s">
        <v>99</v>
      </c>
      <c r="I44" s="113">
        <v>4.5</v>
      </c>
      <c r="J44" s="111" t="s">
        <v>100</v>
      </c>
      <c r="K44" s="111"/>
      <c r="L44" s="108" t="s">
        <v>101</v>
      </c>
    </row>
    <row r="45" spans="2:12" s="188" customFormat="1" x14ac:dyDescent="0.25">
      <c r="B45" s="104"/>
      <c r="C45" s="103" t="s">
        <v>27</v>
      </c>
      <c r="D45" s="104" t="s">
        <v>102</v>
      </c>
      <c r="E45" s="103" t="s">
        <v>29</v>
      </c>
      <c r="F45" s="109">
        <v>5</v>
      </c>
      <c r="G45" s="122"/>
      <c r="H45" s="109"/>
      <c r="I45" s="109">
        <v>5</v>
      </c>
      <c r="J45" s="111" t="s">
        <v>103</v>
      </c>
      <c r="K45" s="111"/>
      <c r="L45" s="104"/>
    </row>
    <row r="46" spans="2:12" s="95" customFormat="1" x14ac:dyDescent="0.25">
      <c r="B46" s="104"/>
      <c r="C46" s="103" t="s">
        <v>27</v>
      </c>
      <c r="D46" s="104" t="s">
        <v>104</v>
      </c>
      <c r="E46" s="103" t="s">
        <v>29</v>
      </c>
      <c r="F46" s="109">
        <v>25</v>
      </c>
      <c r="G46" s="122" t="s">
        <v>105</v>
      </c>
      <c r="H46" s="109"/>
      <c r="I46" s="109"/>
      <c r="J46" s="111"/>
      <c r="K46" s="111"/>
      <c r="L46" s="104"/>
    </row>
    <row r="47" spans="2:12" x14ac:dyDescent="0.25">
      <c r="B47" s="119"/>
      <c r="C47" s="103" t="s">
        <v>27</v>
      </c>
      <c r="D47" s="104" t="s">
        <v>106</v>
      </c>
      <c r="E47" s="103" t="s">
        <v>29</v>
      </c>
      <c r="F47" s="109">
        <v>0.5</v>
      </c>
      <c r="G47" s="116" t="s">
        <v>107</v>
      </c>
      <c r="H47" s="109"/>
      <c r="I47" s="109">
        <v>1.5</v>
      </c>
      <c r="J47" s="111" t="s">
        <v>108</v>
      </c>
      <c r="K47" s="111"/>
      <c r="L47" s="121"/>
    </row>
    <row r="48" spans="2:12" s="112" customFormat="1" x14ac:dyDescent="0.25">
      <c r="B48" s="119"/>
      <c r="C48" s="103" t="s">
        <v>27</v>
      </c>
      <c r="D48" s="104" t="s">
        <v>109</v>
      </c>
      <c r="E48" s="103" t="s">
        <v>29</v>
      </c>
      <c r="F48" s="109">
        <v>4.5</v>
      </c>
      <c r="G48" s="116"/>
      <c r="H48" s="109"/>
      <c r="I48" s="109"/>
      <c r="J48" s="111"/>
      <c r="K48" s="111"/>
      <c r="L48" s="121"/>
    </row>
    <row r="49" spans="2:12" s="112" customFormat="1" x14ac:dyDescent="0.25">
      <c r="B49" s="121"/>
      <c r="C49" s="103" t="s">
        <v>27</v>
      </c>
      <c r="D49" s="104" t="s">
        <v>110</v>
      </c>
      <c r="E49" s="103" t="s">
        <v>29</v>
      </c>
      <c r="F49" s="110">
        <v>16</v>
      </c>
      <c r="G49" s="116"/>
      <c r="H49" s="110"/>
      <c r="I49" s="110">
        <v>17</v>
      </c>
      <c r="J49" s="111" t="s">
        <v>103</v>
      </c>
      <c r="K49" s="111"/>
      <c r="L49" s="125"/>
    </row>
    <row r="50" spans="2:12" x14ac:dyDescent="0.25">
      <c r="B50" s="121"/>
      <c r="C50" s="103" t="s">
        <v>27</v>
      </c>
      <c r="D50" s="117" t="s">
        <v>111</v>
      </c>
      <c r="E50" s="103" t="s">
        <v>29</v>
      </c>
      <c r="F50" s="126">
        <v>16</v>
      </c>
      <c r="G50" s="120" t="s">
        <v>112</v>
      </c>
      <c r="H50" s="110"/>
      <c r="I50" s="110"/>
      <c r="J50" s="111"/>
      <c r="K50" s="111"/>
      <c r="L50" s="125"/>
    </row>
    <row r="51" spans="2:12" ht="38.25" x14ac:dyDescent="0.2">
      <c r="B51" s="121"/>
      <c r="C51" s="103" t="s">
        <v>27</v>
      </c>
      <c r="D51" s="104" t="s">
        <v>113</v>
      </c>
      <c r="E51" s="103" t="s">
        <v>29</v>
      </c>
      <c r="F51" s="110">
        <v>12</v>
      </c>
      <c r="G51" s="174" t="s">
        <v>114</v>
      </c>
      <c r="H51" s="110"/>
      <c r="I51" s="110">
        <v>12</v>
      </c>
      <c r="J51" s="111" t="s">
        <v>115</v>
      </c>
      <c r="K51" s="111"/>
      <c r="L51" s="125" t="s">
        <v>116</v>
      </c>
    </row>
    <row r="52" spans="2:12" x14ac:dyDescent="0.25">
      <c r="B52" s="121"/>
      <c r="C52" s="103" t="s">
        <v>27</v>
      </c>
      <c r="D52" s="104" t="s">
        <v>117</v>
      </c>
      <c r="E52" s="103" t="s">
        <v>29</v>
      </c>
      <c r="F52" s="110">
        <v>8</v>
      </c>
      <c r="G52" s="116" t="s">
        <v>118</v>
      </c>
      <c r="H52" s="110"/>
      <c r="I52" s="110">
        <v>8</v>
      </c>
      <c r="J52" s="111" t="s">
        <v>108</v>
      </c>
      <c r="K52" s="111"/>
      <c r="L52" s="125" t="s">
        <v>119</v>
      </c>
    </row>
    <row r="53" spans="2:12" x14ac:dyDescent="0.25">
      <c r="B53" s="119"/>
      <c r="C53" s="103" t="s">
        <v>27</v>
      </c>
      <c r="D53" s="104" t="s">
        <v>120</v>
      </c>
      <c r="E53" s="103" t="s">
        <v>29</v>
      </c>
      <c r="F53" s="109">
        <v>5.5</v>
      </c>
      <c r="G53" s="122"/>
      <c r="H53" s="109"/>
      <c r="I53" s="109">
        <v>5.5</v>
      </c>
      <c r="J53" s="111" t="s">
        <v>121</v>
      </c>
      <c r="K53" s="111"/>
      <c r="L53" s="121" t="s">
        <v>122</v>
      </c>
    </row>
    <row r="54" spans="2:12" s="112" customFormat="1" x14ac:dyDescent="0.25">
      <c r="B54" s="121"/>
      <c r="C54" s="103" t="s">
        <v>27</v>
      </c>
      <c r="D54" s="104" t="s">
        <v>123</v>
      </c>
      <c r="E54" s="103" t="s">
        <v>29</v>
      </c>
      <c r="F54" s="110">
        <v>2</v>
      </c>
      <c r="G54" s="189"/>
      <c r="H54" s="110"/>
      <c r="I54" s="110"/>
      <c r="J54" s="111"/>
      <c r="K54" s="111"/>
      <c r="L54" s="125"/>
    </row>
    <row r="55" spans="2:12" s="112" customFormat="1" ht="26.1" customHeight="1" x14ac:dyDescent="0.25">
      <c r="B55" s="119"/>
      <c r="C55" s="103" t="s">
        <v>27</v>
      </c>
      <c r="D55" s="104" t="s">
        <v>124</v>
      </c>
      <c r="E55" s="103" t="s">
        <v>29</v>
      </c>
      <c r="F55" s="109">
        <v>30</v>
      </c>
      <c r="G55" s="104"/>
      <c r="H55" s="109"/>
      <c r="I55" s="109"/>
      <c r="J55" s="111"/>
      <c r="K55" s="111"/>
      <c r="L55" s="121"/>
    </row>
    <row r="56" spans="2:12" s="112" customFormat="1" x14ac:dyDescent="0.25">
      <c r="B56" s="119"/>
      <c r="C56" s="103" t="s">
        <v>27</v>
      </c>
      <c r="D56" s="104" t="s">
        <v>125</v>
      </c>
      <c r="E56" s="103" t="s">
        <v>29</v>
      </c>
      <c r="F56" s="109">
        <v>45</v>
      </c>
      <c r="G56" s="122"/>
      <c r="H56" s="109"/>
      <c r="I56" s="109"/>
      <c r="J56" s="111"/>
      <c r="K56" s="111"/>
      <c r="L56" s="121"/>
    </row>
    <row r="57" spans="2:12" s="112" customFormat="1" x14ac:dyDescent="0.25">
      <c r="B57" s="115"/>
      <c r="C57" s="103" t="s">
        <v>27</v>
      </c>
      <c r="D57" s="104" t="s">
        <v>126</v>
      </c>
      <c r="E57" s="103" t="s">
        <v>29</v>
      </c>
      <c r="F57" s="109">
        <v>4</v>
      </c>
      <c r="G57" s="122"/>
      <c r="H57" s="109"/>
      <c r="I57" s="109" t="s">
        <v>127</v>
      </c>
      <c r="J57" s="111" t="s">
        <v>79</v>
      </c>
      <c r="K57" s="111"/>
      <c r="L57" s="121"/>
    </row>
    <row r="58" spans="2:12" x14ac:dyDescent="0.25">
      <c r="B58" s="102"/>
      <c r="C58" s="103" t="s">
        <v>27</v>
      </c>
      <c r="D58" s="104" t="s">
        <v>128</v>
      </c>
      <c r="E58" s="103" t="s">
        <v>29</v>
      </c>
      <c r="F58" s="113">
        <v>1.5</v>
      </c>
      <c r="G58" s="104"/>
      <c r="H58" s="113"/>
      <c r="I58" s="110">
        <v>6</v>
      </c>
      <c r="J58" s="111" t="s">
        <v>121</v>
      </c>
      <c r="K58" s="111"/>
      <c r="L58" s="114" t="s">
        <v>129</v>
      </c>
    </row>
    <row r="59" spans="2:12" ht="25.5" x14ac:dyDescent="0.25">
      <c r="B59" s="119"/>
      <c r="C59" s="103" t="s">
        <v>27</v>
      </c>
      <c r="D59" s="104" t="s">
        <v>130</v>
      </c>
      <c r="E59" s="103" t="s">
        <v>29</v>
      </c>
      <c r="F59" s="109">
        <v>2.5</v>
      </c>
      <c r="G59" s="122"/>
      <c r="H59" s="109"/>
      <c r="I59" s="109" t="s">
        <v>131</v>
      </c>
      <c r="J59" s="111" t="s">
        <v>90</v>
      </c>
      <c r="K59" s="111"/>
      <c r="L59" s="121"/>
    </row>
    <row r="60" spans="2:12" x14ac:dyDescent="0.25">
      <c r="B60" s="119"/>
      <c r="C60" s="103" t="s">
        <v>27</v>
      </c>
      <c r="D60" s="104" t="s">
        <v>132</v>
      </c>
      <c r="E60" s="103" t="s">
        <v>29</v>
      </c>
      <c r="F60" s="113">
        <v>1.5</v>
      </c>
      <c r="G60" s="104"/>
      <c r="H60" s="113"/>
      <c r="I60" s="110">
        <v>28</v>
      </c>
      <c r="J60" s="111" t="s">
        <v>43</v>
      </c>
      <c r="K60" s="111"/>
      <c r="L60" s="114" t="s">
        <v>133</v>
      </c>
    </row>
    <row r="61" spans="2:12" x14ac:dyDescent="0.25">
      <c r="B61" s="119"/>
      <c r="C61" s="103" t="s">
        <v>27</v>
      </c>
      <c r="D61" s="104" t="s">
        <v>134</v>
      </c>
      <c r="E61" s="103" t="s">
        <v>29</v>
      </c>
      <c r="F61" s="109">
        <v>3</v>
      </c>
      <c r="G61" s="122"/>
      <c r="H61" s="109"/>
      <c r="I61" s="109">
        <v>4.5</v>
      </c>
      <c r="J61" s="111" t="s">
        <v>121</v>
      </c>
      <c r="K61" s="111"/>
      <c r="L61" s="121"/>
    </row>
    <row r="62" spans="2:12" s="112" customFormat="1" x14ac:dyDescent="0.25">
      <c r="B62" s="115"/>
      <c r="C62" s="103" t="s">
        <v>27</v>
      </c>
      <c r="D62" s="104" t="s">
        <v>135</v>
      </c>
      <c r="E62" s="103" t="s">
        <v>29</v>
      </c>
      <c r="F62" s="109">
        <v>2</v>
      </c>
      <c r="G62" s="122"/>
      <c r="H62" s="109"/>
      <c r="I62" s="109">
        <v>1.5</v>
      </c>
      <c r="J62" s="111" t="s">
        <v>121</v>
      </c>
      <c r="K62" s="111"/>
      <c r="L62" s="121"/>
    </row>
    <row r="63" spans="2:12" s="188" customFormat="1" x14ac:dyDescent="0.25">
      <c r="B63" s="104"/>
      <c r="C63" s="103" t="s">
        <v>27</v>
      </c>
      <c r="D63" s="104" t="s">
        <v>136</v>
      </c>
      <c r="E63" s="103" t="s">
        <v>29</v>
      </c>
      <c r="F63" s="109">
        <v>5</v>
      </c>
      <c r="G63" s="122"/>
      <c r="H63" s="109"/>
      <c r="I63" s="127"/>
      <c r="J63" s="111"/>
      <c r="K63" s="111"/>
      <c r="L63" s="104" t="s">
        <v>137</v>
      </c>
    </row>
    <row r="64" spans="2:12" s="95" customFormat="1" x14ac:dyDescent="0.25">
      <c r="B64" s="104"/>
      <c r="C64" s="103" t="s">
        <v>27</v>
      </c>
      <c r="D64" s="104" t="s">
        <v>138</v>
      </c>
      <c r="E64" s="103" t="s">
        <v>29</v>
      </c>
      <c r="F64" s="109">
        <v>8</v>
      </c>
      <c r="G64" s="122"/>
      <c r="H64" s="109"/>
      <c r="I64" s="127"/>
      <c r="J64" s="111"/>
      <c r="K64" s="111"/>
      <c r="L64" s="104" t="s">
        <v>137</v>
      </c>
    </row>
    <row r="65" spans="2:12" x14ac:dyDescent="0.25">
      <c r="B65" s="119"/>
      <c r="C65" s="103" t="s">
        <v>27</v>
      </c>
      <c r="D65" s="104" t="s">
        <v>139</v>
      </c>
      <c r="E65" s="103" t="s">
        <v>29</v>
      </c>
      <c r="F65" s="109">
        <v>3</v>
      </c>
      <c r="G65" s="122"/>
      <c r="H65" s="109"/>
      <c r="I65" s="109"/>
      <c r="J65" s="111"/>
      <c r="K65" s="111"/>
      <c r="L65" s="121" t="s">
        <v>140</v>
      </c>
    </row>
    <row r="66" spans="2:12" x14ac:dyDescent="0.25">
      <c r="B66" s="119"/>
      <c r="C66" s="103" t="s">
        <v>27</v>
      </c>
      <c r="D66" s="104" t="s">
        <v>141</v>
      </c>
      <c r="E66" s="103" t="s">
        <v>29</v>
      </c>
      <c r="F66" s="109">
        <v>3</v>
      </c>
      <c r="G66" s="122"/>
      <c r="H66" s="109"/>
      <c r="I66" s="109">
        <v>3</v>
      </c>
      <c r="J66" s="111" t="s">
        <v>142</v>
      </c>
      <c r="K66" s="111"/>
      <c r="L66" s="121"/>
    </row>
    <row r="67" spans="2:12" x14ac:dyDescent="0.25">
      <c r="B67" s="119"/>
      <c r="C67" s="103" t="s">
        <v>27</v>
      </c>
      <c r="D67" s="104" t="s">
        <v>143</v>
      </c>
      <c r="E67" s="103" t="s">
        <v>29</v>
      </c>
      <c r="F67" s="109">
        <v>1.5</v>
      </c>
      <c r="G67" s="122" t="s">
        <v>144</v>
      </c>
      <c r="H67" s="109"/>
      <c r="I67" s="109">
        <v>1.5</v>
      </c>
      <c r="J67" s="111" t="s">
        <v>121</v>
      </c>
      <c r="K67" s="111"/>
      <c r="L67" s="121" t="s">
        <v>145</v>
      </c>
    </row>
    <row r="68" spans="2:12" x14ac:dyDescent="0.25">
      <c r="B68" s="115"/>
      <c r="C68" s="103" t="s">
        <v>27</v>
      </c>
      <c r="D68" s="104" t="s">
        <v>146</v>
      </c>
      <c r="E68" s="103" t="s">
        <v>29</v>
      </c>
      <c r="F68" s="109">
        <v>4.5</v>
      </c>
      <c r="G68" s="122"/>
      <c r="H68" s="109"/>
      <c r="I68" s="109">
        <v>4.5</v>
      </c>
      <c r="J68" s="111" t="s">
        <v>121</v>
      </c>
      <c r="K68" s="111"/>
      <c r="L68" s="121"/>
    </row>
    <row r="69" spans="2:12" x14ac:dyDescent="0.25">
      <c r="B69" s="115"/>
      <c r="C69" s="103" t="s">
        <v>27</v>
      </c>
      <c r="D69" s="104" t="s">
        <v>147</v>
      </c>
      <c r="E69" s="103" t="s">
        <v>29</v>
      </c>
      <c r="F69" s="109">
        <v>2.5</v>
      </c>
      <c r="G69" s="122"/>
      <c r="H69" s="109"/>
      <c r="I69" s="109">
        <v>2</v>
      </c>
      <c r="J69" s="111" t="s">
        <v>121</v>
      </c>
      <c r="K69" s="111"/>
      <c r="L69" s="114" t="s">
        <v>148</v>
      </c>
    </row>
    <row r="70" spans="2:12" x14ac:dyDescent="0.25">
      <c r="B70" s="115"/>
      <c r="C70" s="103" t="s">
        <v>27</v>
      </c>
      <c r="D70" s="104" t="s">
        <v>149</v>
      </c>
      <c r="E70" s="103" t="s">
        <v>29</v>
      </c>
      <c r="F70" s="109">
        <v>12</v>
      </c>
      <c r="G70" s="122"/>
      <c r="H70" s="109"/>
      <c r="I70" s="109">
        <v>12</v>
      </c>
      <c r="J70" s="111" t="s">
        <v>96</v>
      </c>
      <c r="K70" s="111"/>
      <c r="L70" s="121" t="s">
        <v>150</v>
      </c>
    </row>
    <row r="71" spans="2:12" x14ac:dyDescent="0.25">
      <c r="B71" s="128"/>
      <c r="C71" s="103" t="s">
        <v>27</v>
      </c>
      <c r="D71" s="104" t="s">
        <v>151</v>
      </c>
      <c r="E71" s="103" t="s">
        <v>29</v>
      </c>
      <c r="F71" s="109">
        <v>6.5</v>
      </c>
      <c r="G71" s="116"/>
      <c r="H71" s="109"/>
      <c r="I71" s="109">
        <v>6.5</v>
      </c>
      <c r="J71" s="111" t="s">
        <v>121</v>
      </c>
      <c r="K71" s="111"/>
      <c r="L71" s="121"/>
    </row>
    <row r="72" spans="2:12" s="112" customFormat="1" x14ac:dyDescent="0.2">
      <c r="B72" s="129" t="s">
        <v>152</v>
      </c>
      <c r="C72" s="129"/>
      <c r="D72" s="129"/>
      <c r="E72" s="129"/>
      <c r="F72" s="129"/>
      <c r="G72" s="129"/>
      <c r="H72" s="129"/>
      <c r="I72" s="129"/>
      <c r="J72" s="129"/>
      <c r="K72" s="129"/>
      <c r="L72" s="129"/>
    </row>
    <row r="73" spans="2:12" s="112" customFormat="1" x14ac:dyDescent="0.25">
      <c r="B73" s="102"/>
      <c r="C73" s="103" t="s">
        <v>27</v>
      </c>
      <c r="D73" s="104" t="s">
        <v>153</v>
      </c>
      <c r="E73" s="103" t="s">
        <v>64</v>
      </c>
      <c r="F73" s="113">
        <v>26</v>
      </c>
      <c r="G73" s="115"/>
      <c r="H73" s="113"/>
      <c r="I73" s="110" t="s">
        <v>154</v>
      </c>
      <c r="J73" s="111" t="s">
        <v>75</v>
      </c>
      <c r="K73" s="111"/>
      <c r="L73" s="114" t="s">
        <v>155</v>
      </c>
    </row>
    <row r="74" spans="2:12" s="112" customFormat="1" ht="25.5" x14ac:dyDescent="0.25">
      <c r="B74" s="102"/>
      <c r="C74" s="103" t="s">
        <v>27</v>
      </c>
      <c r="D74" s="108" t="s">
        <v>156</v>
      </c>
      <c r="E74" s="111" t="s">
        <v>42</v>
      </c>
      <c r="F74" s="113">
        <v>7.5</v>
      </c>
      <c r="G74" s="124" t="s">
        <v>157</v>
      </c>
      <c r="H74" s="113"/>
      <c r="I74" s="113">
        <v>6</v>
      </c>
      <c r="J74" s="111" t="s">
        <v>96</v>
      </c>
      <c r="K74" s="111"/>
      <c r="L74" s="114" t="s">
        <v>158</v>
      </c>
    </row>
    <row r="75" spans="2:12" s="112" customFormat="1" x14ac:dyDescent="0.25">
      <c r="B75" s="102"/>
      <c r="C75" s="103"/>
      <c r="D75" s="108" t="s">
        <v>159</v>
      </c>
      <c r="E75" s="111"/>
      <c r="F75" s="113">
        <v>20</v>
      </c>
      <c r="G75" s="124"/>
      <c r="H75" s="113"/>
      <c r="I75" s="113"/>
      <c r="J75" s="111"/>
      <c r="K75" s="111"/>
      <c r="L75" s="114"/>
    </row>
    <row r="76" spans="2:12" s="112" customFormat="1" x14ac:dyDescent="0.2">
      <c r="B76" s="129" t="s">
        <v>160</v>
      </c>
      <c r="C76" s="129"/>
      <c r="D76" s="129"/>
      <c r="E76" s="129"/>
      <c r="F76" s="129"/>
      <c r="G76" s="129"/>
      <c r="H76" s="129"/>
      <c r="I76" s="129"/>
      <c r="J76" s="129"/>
      <c r="K76" s="129"/>
      <c r="L76" s="129" t="s">
        <v>161</v>
      </c>
    </row>
    <row r="77" spans="2:12" s="188" customFormat="1" x14ac:dyDescent="0.25">
      <c r="B77" s="104"/>
      <c r="C77" s="103"/>
      <c r="D77" s="104" t="s">
        <v>162</v>
      </c>
      <c r="E77" s="103"/>
      <c r="F77" s="109">
        <v>14</v>
      </c>
      <c r="G77" s="122" t="s">
        <v>163</v>
      </c>
      <c r="H77" s="113"/>
      <c r="I77" s="113"/>
      <c r="J77" s="111"/>
      <c r="K77" s="111"/>
      <c r="L77" s="108"/>
    </row>
    <row r="78" spans="2:12" s="188" customFormat="1" x14ac:dyDescent="0.25">
      <c r="B78" s="104"/>
      <c r="C78" s="103"/>
      <c r="D78" s="104" t="s">
        <v>164</v>
      </c>
      <c r="E78" s="103"/>
      <c r="F78" s="109">
        <v>16</v>
      </c>
      <c r="G78" s="122" t="s">
        <v>165</v>
      </c>
      <c r="H78" s="113"/>
      <c r="I78" s="113"/>
      <c r="J78" s="111"/>
      <c r="K78" s="111"/>
      <c r="L78" s="108"/>
    </row>
    <row r="79" spans="2:12" s="112" customFormat="1" x14ac:dyDescent="0.25">
      <c r="B79" s="115"/>
      <c r="C79" s="103"/>
      <c r="D79" s="115" t="s">
        <v>166</v>
      </c>
      <c r="E79" s="103"/>
      <c r="F79" s="175">
        <v>14</v>
      </c>
      <c r="G79" s="120" t="s">
        <v>167</v>
      </c>
      <c r="H79" s="113"/>
      <c r="I79" s="113"/>
      <c r="J79" s="111"/>
      <c r="K79" s="111"/>
      <c r="L79" s="114"/>
    </row>
    <row r="80" spans="2:12" s="112" customFormat="1" x14ac:dyDescent="0.25">
      <c r="B80" s="115"/>
      <c r="C80" s="103"/>
      <c r="D80" s="115" t="s">
        <v>168</v>
      </c>
      <c r="E80" s="103"/>
      <c r="F80" s="175">
        <v>16</v>
      </c>
      <c r="G80" s="116" t="s">
        <v>169</v>
      </c>
      <c r="H80" s="113"/>
      <c r="I80" s="113"/>
      <c r="J80" s="111"/>
      <c r="K80" s="111"/>
      <c r="L80" s="114"/>
    </row>
    <row r="81" spans="2:12" s="188" customFormat="1" x14ac:dyDescent="0.25">
      <c r="B81" s="104"/>
      <c r="C81" s="103"/>
      <c r="D81" s="104" t="s">
        <v>170</v>
      </c>
      <c r="E81" s="103"/>
      <c r="F81" s="109">
        <v>2</v>
      </c>
      <c r="G81" s="122"/>
      <c r="H81" s="113"/>
      <c r="I81" s="113"/>
      <c r="J81" s="111"/>
      <c r="K81" s="111"/>
      <c r="L81" s="108"/>
    </row>
    <row r="82" spans="2:12" s="112" customFormat="1" x14ac:dyDescent="0.25">
      <c r="B82" s="102"/>
      <c r="C82" s="103" t="s">
        <v>27</v>
      </c>
      <c r="D82" s="104" t="s">
        <v>171</v>
      </c>
      <c r="E82" s="103" t="s">
        <v>42</v>
      </c>
      <c r="F82" s="113">
        <v>16</v>
      </c>
      <c r="G82" s="124"/>
      <c r="H82" s="113"/>
      <c r="I82" s="113"/>
      <c r="J82" s="111"/>
      <c r="K82" s="111"/>
      <c r="L82" s="114"/>
    </row>
    <row r="83" spans="2:12" s="112" customFormat="1" x14ac:dyDescent="0.25">
      <c r="B83" s="102"/>
      <c r="C83" s="103" t="s">
        <v>27</v>
      </c>
      <c r="D83" s="104" t="s">
        <v>172</v>
      </c>
      <c r="E83" s="103" t="s">
        <v>42</v>
      </c>
      <c r="F83" s="113">
        <v>16</v>
      </c>
      <c r="G83" s="124"/>
      <c r="H83" s="113"/>
      <c r="I83" s="113"/>
      <c r="J83" s="111"/>
      <c r="K83" s="111"/>
      <c r="L83" s="114"/>
    </row>
    <row r="84" spans="2:12" s="112" customFormat="1" x14ac:dyDescent="0.25">
      <c r="B84" s="102"/>
      <c r="C84" s="103" t="s">
        <v>27</v>
      </c>
      <c r="D84" s="115" t="s">
        <v>173</v>
      </c>
      <c r="E84" s="178" t="s">
        <v>42</v>
      </c>
      <c r="F84" s="179">
        <v>12</v>
      </c>
      <c r="G84" s="115"/>
      <c r="H84" s="113"/>
      <c r="I84" s="113"/>
      <c r="J84" s="111"/>
      <c r="K84" s="111"/>
      <c r="L84" s="114"/>
    </row>
    <row r="85" spans="2:12" s="112" customFormat="1" x14ac:dyDescent="0.25">
      <c r="B85" s="102"/>
      <c r="C85" s="103" t="s">
        <v>27</v>
      </c>
      <c r="D85" s="104" t="s">
        <v>174</v>
      </c>
      <c r="E85" s="103" t="s">
        <v>64</v>
      </c>
      <c r="F85" s="113">
        <v>30</v>
      </c>
      <c r="G85" s="124" t="s">
        <v>175</v>
      </c>
      <c r="H85" s="113"/>
      <c r="I85" s="113"/>
      <c r="J85" s="111"/>
      <c r="K85" s="111"/>
      <c r="L85" s="114"/>
    </row>
    <row r="86" spans="2:12" s="112" customFormat="1" x14ac:dyDescent="0.25">
      <c r="B86" s="102"/>
      <c r="C86" s="103" t="s">
        <v>27</v>
      </c>
      <c r="D86" s="104" t="s">
        <v>176</v>
      </c>
      <c r="E86" s="103" t="s">
        <v>64</v>
      </c>
      <c r="F86" s="113">
        <v>26</v>
      </c>
      <c r="G86" s="124"/>
      <c r="H86" s="113"/>
      <c r="I86" s="113">
        <v>42.5</v>
      </c>
      <c r="J86" s="111" t="s">
        <v>177</v>
      </c>
      <c r="K86" s="111"/>
      <c r="L86" s="114" t="s">
        <v>178</v>
      </c>
    </row>
    <row r="87" spans="2:12" s="112" customFormat="1" x14ac:dyDescent="0.25">
      <c r="B87" s="102"/>
      <c r="C87" s="103" t="s">
        <v>27</v>
      </c>
      <c r="D87" s="104" t="s">
        <v>179</v>
      </c>
      <c r="E87" s="103" t="s">
        <v>42</v>
      </c>
      <c r="F87" s="113">
        <v>8</v>
      </c>
      <c r="G87" s="124"/>
      <c r="H87" s="113"/>
      <c r="I87" s="113"/>
      <c r="J87" s="111"/>
      <c r="K87" s="111"/>
      <c r="L87" s="114"/>
    </row>
    <row r="88" spans="2:12" s="112" customFormat="1" x14ac:dyDescent="0.25">
      <c r="B88" s="102"/>
      <c r="C88" s="103" t="s">
        <v>27</v>
      </c>
      <c r="D88" s="104" t="s">
        <v>180</v>
      </c>
      <c r="E88" s="103" t="s">
        <v>42</v>
      </c>
      <c r="F88" s="113">
        <v>14</v>
      </c>
      <c r="G88" s="124" t="s">
        <v>181</v>
      </c>
      <c r="H88" s="113"/>
      <c r="I88" s="113"/>
      <c r="J88" s="111"/>
      <c r="K88" s="111"/>
      <c r="L88" s="114"/>
    </row>
    <row r="89" spans="2:12" s="112" customFormat="1" x14ac:dyDescent="0.2">
      <c r="B89" s="129" t="s">
        <v>182</v>
      </c>
      <c r="C89" s="129"/>
      <c r="D89" s="129"/>
      <c r="E89" s="129"/>
      <c r="F89" s="129"/>
      <c r="G89" s="129"/>
      <c r="H89" s="129"/>
      <c r="I89" s="129"/>
      <c r="J89" s="129"/>
      <c r="K89" s="129"/>
      <c r="L89" s="129"/>
    </row>
    <row r="90" spans="2:12" s="112" customFormat="1" x14ac:dyDescent="0.25">
      <c r="B90" s="102"/>
      <c r="C90" s="103" t="s">
        <v>27</v>
      </c>
      <c r="D90" s="104" t="s">
        <v>183</v>
      </c>
      <c r="E90" s="103" t="s">
        <v>42</v>
      </c>
      <c r="F90" s="109">
        <v>10</v>
      </c>
      <c r="G90" s="106"/>
      <c r="H90" s="109"/>
      <c r="I90" s="130"/>
      <c r="J90" s="111"/>
      <c r="K90" s="111"/>
      <c r="L90" s="106"/>
    </row>
    <row r="91" spans="2:12" s="112" customFormat="1" x14ac:dyDescent="0.25">
      <c r="B91" s="102"/>
      <c r="C91" s="103" t="s">
        <v>27</v>
      </c>
      <c r="D91" s="131" t="s">
        <v>184</v>
      </c>
      <c r="E91" s="103" t="s">
        <v>42</v>
      </c>
      <c r="F91" s="109">
        <v>10</v>
      </c>
      <c r="G91" s="106"/>
      <c r="H91" s="109"/>
      <c r="I91" s="130"/>
      <c r="J91" s="111"/>
      <c r="K91" s="111"/>
      <c r="L91" s="106"/>
    </row>
    <row r="92" spans="2:12" s="112" customFormat="1" x14ac:dyDescent="0.25">
      <c r="B92" s="102"/>
      <c r="C92" s="103" t="s">
        <v>27</v>
      </c>
      <c r="D92" s="131" t="s">
        <v>185</v>
      </c>
      <c r="E92" s="103" t="s">
        <v>42</v>
      </c>
      <c r="F92" s="109">
        <v>10</v>
      </c>
      <c r="G92" s="106"/>
      <c r="H92" s="109"/>
      <c r="I92" s="130"/>
      <c r="J92" s="111"/>
      <c r="K92" s="111"/>
      <c r="L92" s="106"/>
    </row>
    <row r="93" spans="2:12" s="112" customFormat="1" ht="25.5" x14ac:dyDescent="0.25">
      <c r="B93" s="102"/>
      <c r="C93" s="103" t="s">
        <v>27</v>
      </c>
      <c r="D93" s="104" t="s">
        <v>186</v>
      </c>
      <c r="E93" s="103" t="s">
        <v>64</v>
      </c>
      <c r="F93" s="109">
        <v>28</v>
      </c>
      <c r="G93" s="182"/>
      <c r="H93" s="109"/>
      <c r="I93" s="130"/>
      <c r="J93" s="111"/>
      <c r="K93" s="111"/>
      <c r="L93" s="106" t="s">
        <v>187</v>
      </c>
    </row>
    <row r="94" spans="2:12" s="112" customFormat="1" x14ac:dyDescent="0.2">
      <c r="B94" s="129" t="s">
        <v>188</v>
      </c>
      <c r="C94" s="129"/>
      <c r="D94" s="129"/>
      <c r="E94" s="129"/>
      <c r="F94" s="129"/>
      <c r="G94" s="129"/>
      <c r="H94" s="129"/>
      <c r="I94" s="129"/>
      <c r="J94" s="129"/>
      <c r="K94" s="129"/>
      <c r="L94" s="129" t="s">
        <v>189</v>
      </c>
    </row>
    <row r="95" spans="2:12" s="112" customFormat="1" x14ac:dyDescent="0.25">
      <c r="B95" s="102"/>
      <c r="C95" s="103"/>
      <c r="D95" s="104" t="s">
        <v>190</v>
      </c>
      <c r="E95" s="103"/>
      <c r="F95" s="109">
        <v>0.5</v>
      </c>
      <c r="G95" s="106" t="s">
        <v>191</v>
      </c>
      <c r="H95" s="109"/>
      <c r="I95" s="109"/>
      <c r="J95" s="111"/>
      <c r="K95" s="111"/>
      <c r="L95" s="106"/>
    </row>
    <row r="96" spans="2:12" s="112" customFormat="1" x14ac:dyDescent="0.25">
      <c r="B96" s="119"/>
      <c r="C96" s="103" t="s">
        <v>27</v>
      </c>
      <c r="D96" s="104" t="s">
        <v>192</v>
      </c>
      <c r="E96" s="103"/>
      <c r="F96" s="109">
        <v>12</v>
      </c>
      <c r="G96" s="120"/>
      <c r="H96" s="109"/>
      <c r="I96" s="109"/>
      <c r="J96" s="111"/>
      <c r="K96" s="111"/>
      <c r="L96" s="121"/>
    </row>
    <row r="97" spans="2:12" s="112" customFormat="1" x14ac:dyDescent="0.25">
      <c r="B97" s="102"/>
      <c r="C97" s="103" t="s">
        <v>27</v>
      </c>
      <c r="D97" s="104" t="s">
        <v>193</v>
      </c>
      <c r="E97" s="103" t="s">
        <v>42</v>
      </c>
      <c r="F97" s="109">
        <v>10</v>
      </c>
      <c r="G97" s="106"/>
      <c r="H97" s="109"/>
      <c r="I97" s="109"/>
      <c r="J97" s="111"/>
      <c r="K97" s="111"/>
      <c r="L97" s="106"/>
    </row>
    <row r="98" spans="2:12" s="112" customFormat="1" x14ac:dyDescent="0.25">
      <c r="B98" s="102"/>
      <c r="C98" s="103" t="s">
        <v>27</v>
      </c>
      <c r="D98" s="104" t="s">
        <v>194</v>
      </c>
      <c r="E98" s="103" t="s">
        <v>42</v>
      </c>
      <c r="F98" s="109">
        <v>26</v>
      </c>
      <c r="G98" s="106"/>
      <c r="H98" s="109"/>
      <c r="I98" s="109"/>
      <c r="J98" s="111"/>
      <c r="K98" s="111"/>
      <c r="L98" s="106"/>
    </row>
    <row r="99" spans="2:12" s="112" customFormat="1" x14ac:dyDescent="0.25">
      <c r="B99" s="102"/>
      <c r="C99" s="103" t="s">
        <v>27</v>
      </c>
      <c r="D99" s="104" t="s">
        <v>195</v>
      </c>
      <c r="E99" s="103" t="s">
        <v>42</v>
      </c>
      <c r="F99" s="109">
        <v>16</v>
      </c>
      <c r="G99" s="106"/>
      <c r="H99" s="109"/>
      <c r="I99" s="109"/>
      <c r="J99" s="111"/>
      <c r="K99" s="111"/>
      <c r="L99" s="106"/>
    </row>
    <row r="100" spans="2:12" s="112" customFormat="1" x14ac:dyDescent="0.25">
      <c r="B100" s="102"/>
      <c r="C100" s="103" t="s">
        <v>27</v>
      </c>
      <c r="D100" s="104" t="s">
        <v>196</v>
      </c>
      <c r="E100" s="103" t="s">
        <v>64</v>
      </c>
      <c r="F100" s="109">
        <v>38</v>
      </c>
      <c r="G100" s="106"/>
      <c r="H100" s="109"/>
      <c r="I100" s="109">
        <v>36</v>
      </c>
      <c r="J100" s="111" t="s">
        <v>197</v>
      </c>
      <c r="K100" s="111"/>
      <c r="L100" s="106"/>
    </row>
    <row r="101" spans="2:12" s="112" customFormat="1" x14ac:dyDescent="0.25">
      <c r="B101" s="102"/>
      <c r="C101" s="103" t="s">
        <v>27</v>
      </c>
      <c r="D101" s="104" t="s">
        <v>198</v>
      </c>
      <c r="E101" s="103" t="s">
        <v>42</v>
      </c>
      <c r="F101" s="109">
        <v>10</v>
      </c>
      <c r="G101" s="106" t="s">
        <v>191</v>
      </c>
      <c r="H101" s="109"/>
      <c r="I101" s="109"/>
      <c r="J101" s="111"/>
      <c r="K101" s="111"/>
      <c r="L101" s="106"/>
    </row>
    <row r="102" spans="2:12" s="112" customFormat="1" x14ac:dyDescent="0.25">
      <c r="B102" s="102"/>
      <c r="C102" s="103" t="s">
        <v>27</v>
      </c>
      <c r="D102" s="104" t="s">
        <v>199</v>
      </c>
      <c r="E102" s="103" t="s">
        <v>42</v>
      </c>
      <c r="F102" s="109">
        <v>20</v>
      </c>
      <c r="G102" s="106"/>
      <c r="H102" s="109"/>
      <c r="I102" s="109"/>
      <c r="J102" s="111"/>
      <c r="K102" s="111"/>
      <c r="L102" s="106"/>
    </row>
    <row r="103" spans="2:12" s="112" customFormat="1" x14ac:dyDescent="0.25">
      <c r="B103" s="102"/>
      <c r="C103" s="103"/>
      <c r="D103" s="104" t="s">
        <v>200</v>
      </c>
      <c r="E103" s="103"/>
      <c r="F103" s="109">
        <v>14</v>
      </c>
      <c r="G103" s="106" t="s">
        <v>191</v>
      </c>
      <c r="H103" s="109"/>
      <c r="I103" s="109"/>
      <c r="J103" s="111"/>
      <c r="K103" s="111"/>
      <c r="L103" s="106"/>
    </row>
    <row r="104" spans="2:12" s="112" customFormat="1" x14ac:dyDescent="0.25">
      <c r="B104" s="102"/>
      <c r="C104" s="103" t="s">
        <v>27</v>
      </c>
      <c r="D104" s="104" t="s">
        <v>201</v>
      </c>
      <c r="E104" s="103" t="s">
        <v>64</v>
      </c>
      <c r="F104" s="109">
        <v>38</v>
      </c>
      <c r="G104" s="106"/>
      <c r="H104" s="109"/>
      <c r="I104" s="109">
        <v>39</v>
      </c>
      <c r="J104" s="111" t="s">
        <v>197</v>
      </c>
      <c r="K104" s="111"/>
      <c r="L104" s="106"/>
    </row>
    <row r="105" spans="2:12" s="112" customFormat="1" x14ac:dyDescent="0.25">
      <c r="B105" s="102"/>
      <c r="C105" s="103" t="s">
        <v>27</v>
      </c>
      <c r="D105" s="104" t="s">
        <v>202</v>
      </c>
      <c r="E105" s="103" t="s">
        <v>64</v>
      </c>
      <c r="F105" s="109">
        <v>16</v>
      </c>
      <c r="G105" s="115"/>
      <c r="H105" s="109"/>
      <c r="I105" s="109">
        <v>16</v>
      </c>
      <c r="J105" s="111" t="s">
        <v>197</v>
      </c>
      <c r="K105" s="111"/>
      <c r="L105" s="106"/>
    </row>
    <row r="106" spans="2:12" s="112" customFormat="1" x14ac:dyDescent="0.25">
      <c r="B106" s="102"/>
      <c r="C106" s="103" t="s">
        <v>27</v>
      </c>
      <c r="D106" s="108" t="s">
        <v>203</v>
      </c>
      <c r="E106" s="103" t="s">
        <v>29</v>
      </c>
      <c r="F106" s="113">
        <v>0.5</v>
      </c>
      <c r="G106" s="106"/>
      <c r="H106" s="113"/>
      <c r="I106" s="109"/>
      <c r="J106" s="111"/>
      <c r="K106" s="111"/>
      <c r="L106" s="106"/>
    </row>
    <row r="107" spans="2:12" s="112" customFormat="1" x14ac:dyDescent="0.25">
      <c r="B107" s="102"/>
      <c r="C107" s="103" t="s">
        <v>27</v>
      </c>
      <c r="D107" s="104" t="s">
        <v>204</v>
      </c>
      <c r="E107" s="103" t="s">
        <v>42</v>
      </c>
      <c r="F107" s="109">
        <v>8</v>
      </c>
      <c r="G107" s="106" t="s">
        <v>191</v>
      </c>
      <c r="H107" s="109"/>
      <c r="I107" s="109"/>
      <c r="J107" s="111"/>
      <c r="K107" s="111"/>
      <c r="L107" s="106"/>
    </row>
    <row r="108" spans="2:12" s="112" customFormat="1" x14ac:dyDescent="0.25">
      <c r="B108" s="102"/>
      <c r="C108" s="103"/>
      <c r="D108" s="104" t="s">
        <v>205</v>
      </c>
      <c r="E108" s="103"/>
      <c r="F108" s="109">
        <v>10</v>
      </c>
      <c r="G108" s="106" t="s">
        <v>191</v>
      </c>
      <c r="H108" s="109"/>
      <c r="I108" s="109"/>
      <c r="J108" s="111"/>
      <c r="K108" s="111"/>
      <c r="L108" s="106"/>
    </row>
    <row r="109" spans="2:12" s="112" customFormat="1" x14ac:dyDescent="0.25">
      <c r="B109" s="102"/>
      <c r="C109" s="103"/>
      <c r="D109" s="104" t="s">
        <v>206</v>
      </c>
      <c r="E109" s="103"/>
      <c r="F109" s="109">
        <v>14</v>
      </c>
      <c r="G109" s="106" t="s">
        <v>191</v>
      </c>
      <c r="H109" s="109"/>
      <c r="I109" s="109"/>
      <c r="J109" s="111"/>
      <c r="K109" s="111"/>
      <c r="L109" s="106"/>
    </row>
    <row r="110" spans="2:12" s="112" customFormat="1" x14ac:dyDescent="0.25">
      <c r="B110" s="102"/>
      <c r="C110" s="103"/>
      <c r="D110" s="104" t="s">
        <v>207</v>
      </c>
      <c r="E110" s="103"/>
      <c r="F110" s="109">
        <v>5</v>
      </c>
      <c r="G110" s="106" t="s">
        <v>191</v>
      </c>
      <c r="H110" s="109"/>
      <c r="I110" s="109"/>
      <c r="J110" s="111"/>
      <c r="K110" s="111"/>
      <c r="L110" s="106"/>
    </row>
    <row r="111" spans="2:12" s="112" customFormat="1" x14ac:dyDescent="0.25">
      <c r="B111" s="102"/>
      <c r="C111" s="103" t="s">
        <v>27</v>
      </c>
      <c r="D111" s="108" t="s">
        <v>208</v>
      </c>
      <c r="E111" s="111"/>
      <c r="F111" s="113">
        <v>14</v>
      </c>
      <c r="G111" s="106"/>
      <c r="H111" s="113"/>
      <c r="I111" s="109"/>
      <c r="J111" s="111"/>
      <c r="K111" s="111"/>
      <c r="L111" s="106"/>
    </row>
    <row r="112" spans="2:12" s="112" customFormat="1" x14ac:dyDescent="0.25">
      <c r="B112" s="102"/>
      <c r="C112" s="103"/>
      <c r="D112" s="108" t="s">
        <v>209</v>
      </c>
      <c r="E112" s="111"/>
      <c r="F112" s="113">
        <v>20</v>
      </c>
      <c r="G112" s="106"/>
      <c r="H112" s="113"/>
      <c r="I112" s="109"/>
      <c r="J112" s="111"/>
      <c r="K112" s="111"/>
      <c r="L112" s="106"/>
    </row>
    <row r="113" spans="2:12" s="112" customFormat="1" x14ac:dyDescent="0.25">
      <c r="B113" s="102"/>
      <c r="C113" s="103" t="s">
        <v>27</v>
      </c>
      <c r="D113" s="104" t="s">
        <v>210</v>
      </c>
      <c r="E113" s="103" t="s">
        <v>42</v>
      </c>
      <c r="F113" s="109">
        <v>16</v>
      </c>
      <c r="G113" s="106"/>
      <c r="H113" s="109"/>
      <c r="I113" s="109"/>
      <c r="J113" s="111"/>
      <c r="K113" s="111"/>
      <c r="L113" s="106"/>
    </row>
    <row r="114" spans="2:12" s="112" customFormat="1" x14ac:dyDescent="0.25">
      <c r="B114" s="102"/>
      <c r="C114" s="103" t="s">
        <v>27</v>
      </c>
      <c r="D114" s="104" t="s">
        <v>211</v>
      </c>
      <c r="E114" s="103" t="s">
        <v>64</v>
      </c>
      <c r="F114" s="109">
        <v>45</v>
      </c>
      <c r="G114" s="106"/>
      <c r="H114" s="109"/>
      <c r="I114" s="109">
        <v>45</v>
      </c>
      <c r="J114" s="111" t="s">
        <v>197</v>
      </c>
      <c r="K114" s="111"/>
      <c r="L114" s="106"/>
    </row>
    <row r="115" spans="2:12" s="112" customFormat="1" x14ac:dyDescent="0.25">
      <c r="B115" s="102"/>
      <c r="C115" s="103"/>
      <c r="D115" s="104" t="s">
        <v>212</v>
      </c>
      <c r="E115" s="103"/>
      <c r="F115" s="109">
        <v>26</v>
      </c>
      <c r="G115" s="106"/>
      <c r="H115" s="109"/>
      <c r="I115" s="109"/>
      <c r="J115" s="111"/>
      <c r="K115" s="111"/>
      <c r="L115" s="106"/>
    </row>
    <row r="116" spans="2:12" s="112" customFormat="1" x14ac:dyDescent="0.25">
      <c r="B116" s="102"/>
      <c r="C116" s="103"/>
      <c r="D116" s="104" t="s">
        <v>213</v>
      </c>
      <c r="E116" s="103"/>
      <c r="F116" s="109">
        <v>16</v>
      </c>
      <c r="G116" s="106"/>
      <c r="H116" s="109"/>
      <c r="I116" s="109"/>
      <c r="J116" s="111"/>
      <c r="K116" s="111"/>
      <c r="L116" s="106"/>
    </row>
    <row r="117" spans="2:12" s="112" customFormat="1" x14ac:dyDescent="0.25">
      <c r="B117" s="102"/>
      <c r="C117" s="103" t="s">
        <v>27</v>
      </c>
      <c r="D117" s="104" t="s">
        <v>214</v>
      </c>
      <c r="E117" s="103" t="s">
        <v>42</v>
      </c>
      <c r="F117" s="109">
        <v>42</v>
      </c>
      <c r="G117" s="106"/>
      <c r="H117" s="109"/>
      <c r="I117" s="109"/>
      <c r="J117" s="111"/>
      <c r="K117" s="111"/>
      <c r="L117" s="106"/>
    </row>
    <row r="118" spans="2:12" s="112" customFormat="1" x14ac:dyDescent="0.25">
      <c r="B118" s="102"/>
      <c r="C118" s="103" t="s">
        <v>27</v>
      </c>
      <c r="D118" s="104" t="s">
        <v>215</v>
      </c>
      <c r="E118" s="103" t="s">
        <v>42</v>
      </c>
      <c r="F118" s="109">
        <v>14</v>
      </c>
      <c r="G118" s="106"/>
      <c r="H118" s="109"/>
      <c r="I118" s="109"/>
      <c r="J118" s="111"/>
      <c r="K118" s="111"/>
      <c r="L118" s="106"/>
    </row>
    <row r="119" spans="2:12" s="132" customFormat="1" x14ac:dyDescent="0.25">
      <c r="B119" s="102"/>
      <c r="C119" s="103" t="s">
        <v>27</v>
      </c>
      <c r="D119" s="104" t="s">
        <v>216</v>
      </c>
      <c r="E119" s="103" t="s">
        <v>42</v>
      </c>
      <c r="F119" s="109">
        <v>5.5</v>
      </c>
      <c r="G119" s="106"/>
      <c r="H119" s="109"/>
      <c r="I119" s="109"/>
      <c r="J119" s="111"/>
      <c r="K119" s="111"/>
      <c r="L119" s="106"/>
    </row>
    <row r="120" spans="2:12" s="112" customFormat="1" x14ac:dyDescent="0.25">
      <c r="B120" s="102"/>
      <c r="C120" s="103" t="s">
        <v>27</v>
      </c>
      <c r="D120" s="104" t="s">
        <v>217</v>
      </c>
      <c r="E120" s="103" t="s">
        <v>42</v>
      </c>
      <c r="F120" s="109">
        <v>9</v>
      </c>
      <c r="G120" s="106" t="s">
        <v>191</v>
      </c>
      <c r="H120" s="109"/>
      <c r="I120" s="109"/>
      <c r="J120" s="111"/>
      <c r="K120" s="111"/>
      <c r="L120" s="106"/>
    </row>
    <row r="121" spans="2:12" x14ac:dyDescent="0.25">
      <c r="B121" s="102"/>
      <c r="C121" s="103" t="s">
        <v>27</v>
      </c>
      <c r="D121" s="104" t="s">
        <v>218</v>
      </c>
      <c r="E121" s="103" t="s">
        <v>42</v>
      </c>
      <c r="F121" s="109">
        <v>40</v>
      </c>
      <c r="G121" s="106" t="s">
        <v>191</v>
      </c>
      <c r="H121" s="109"/>
      <c r="I121" s="109"/>
      <c r="J121" s="111"/>
      <c r="K121" s="111"/>
      <c r="L121" s="106"/>
    </row>
    <row r="122" spans="2:12" x14ac:dyDescent="0.25">
      <c r="B122" s="102"/>
      <c r="C122" s="103" t="s">
        <v>27</v>
      </c>
      <c r="D122" s="104" t="s">
        <v>219</v>
      </c>
      <c r="E122" s="103" t="s">
        <v>64</v>
      </c>
      <c r="F122" s="109">
        <v>20</v>
      </c>
      <c r="G122" s="106" t="s">
        <v>220</v>
      </c>
      <c r="H122" s="109"/>
      <c r="I122" s="109">
        <v>20</v>
      </c>
      <c r="J122" s="111" t="s">
        <v>197</v>
      </c>
      <c r="K122" s="111"/>
      <c r="L122" s="106"/>
    </row>
    <row r="123" spans="2:12" x14ac:dyDescent="0.25">
      <c r="B123" s="102"/>
      <c r="C123" s="103"/>
      <c r="D123" s="104" t="s">
        <v>221</v>
      </c>
      <c r="E123" s="103"/>
      <c r="F123" s="109">
        <v>10</v>
      </c>
      <c r="G123" s="106" t="s">
        <v>222</v>
      </c>
      <c r="H123" s="109"/>
      <c r="I123" s="109"/>
      <c r="J123" s="111"/>
      <c r="K123" s="111"/>
      <c r="L123" s="106"/>
    </row>
    <row r="124" spans="2:12" s="112" customFormat="1" x14ac:dyDescent="0.25">
      <c r="B124" s="102"/>
      <c r="C124" s="103" t="s">
        <v>27</v>
      </c>
      <c r="D124" s="104" t="s">
        <v>223</v>
      </c>
      <c r="E124" s="103" t="s">
        <v>42</v>
      </c>
      <c r="F124" s="109">
        <v>16</v>
      </c>
      <c r="G124" s="106"/>
      <c r="H124" s="109"/>
      <c r="I124" s="109"/>
      <c r="J124" s="111"/>
      <c r="K124" s="111"/>
      <c r="L124" s="106"/>
    </row>
    <row r="125" spans="2:12" s="112" customFormat="1" x14ac:dyDescent="0.25">
      <c r="B125" s="102"/>
      <c r="C125" s="103"/>
      <c r="D125" s="104" t="s">
        <v>224</v>
      </c>
      <c r="E125" s="103"/>
      <c r="F125" s="109">
        <v>1.5</v>
      </c>
      <c r="G125" s="106" t="s">
        <v>191</v>
      </c>
      <c r="H125" s="109"/>
      <c r="I125" s="109"/>
      <c r="J125" s="111"/>
      <c r="K125" s="111"/>
      <c r="L125" s="106"/>
    </row>
    <row r="126" spans="2:12" s="112" customFormat="1" x14ac:dyDescent="0.25">
      <c r="B126" s="102"/>
      <c r="C126" s="103"/>
      <c r="D126" s="104" t="s">
        <v>225</v>
      </c>
      <c r="E126" s="103"/>
      <c r="F126" s="109">
        <v>5.5</v>
      </c>
      <c r="G126" s="106" t="s">
        <v>191</v>
      </c>
      <c r="H126" s="109"/>
      <c r="I126" s="109"/>
      <c r="J126" s="111"/>
      <c r="K126" s="111"/>
      <c r="L126" s="106"/>
    </row>
    <row r="127" spans="2:12" s="112" customFormat="1" x14ac:dyDescent="0.25">
      <c r="B127" s="102"/>
      <c r="C127" s="103"/>
      <c r="D127" s="104" t="s">
        <v>226</v>
      </c>
      <c r="E127" s="103"/>
      <c r="F127" s="109">
        <v>4.5</v>
      </c>
      <c r="G127" s="106" t="s">
        <v>191</v>
      </c>
      <c r="H127" s="109"/>
      <c r="I127" s="109"/>
      <c r="J127" s="111"/>
      <c r="K127" s="111"/>
      <c r="L127" s="106"/>
    </row>
    <row r="128" spans="2:12" s="112" customFormat="1" x14ac:dyDescent="0.25">
      <c r="B128" s="133"/>
      <c r="C128" s="103" t="s">
        <v>27</v>
      </c>
      <c r="D128" s="104" t="s">
        <v>227</v>
      </c>
      <c r="E128" s="103" t="s">
        <v>42</v>
      </c>
      <c r="F128" s="109">
        <v>38</v>
      </c>
      <c r="G128" s="134"/>
      <c r="H128" s="135"/>
      <c r="I128" s="135"/>
      <c r="J128" s="136"/>
      <c r="K128" s="136"/>
      <c r="L128" s="134"/>
    </row>
    <row r="129" spans="2:12" s="112" customFormat="1" x14ac:dyDescent="0.25">
      <c r="B129" s="102"/>
      <c r="C129" s="103" t="s">
        <v>27</v>
      </c>
      <c r="D129" s="108" t="s">
        <v>228</v>
      </c>
      <c r="E129" s="111" t="s">
        <v>64</v>
      </c>
      <c r="F129" s="113">
        <v>30</v>
      </c>
      <c r="G129" s="108" t="s">
        <v>229</v>
      </c>
      <c r="H129" s="113"/>
      <c r="I129" s="109">
        <v>30</v>
      </c>
      <c r="J129" s="111" t="s">
        <v>197</v>
      </c>
      <c r="K129" s="111"/>
      <c r="L129" s="106"/>
    </row>
    <row r="130" spans="2:12" s="112" customFormat="1" x14ac:dyDescent="0.25">
      <c r="B130" s="102"/>
      <c r="C130" s="103" t="s">
        <v>27</v>
      </c>
      <c r="D130" s="104" t="s">
        <v>230</v>
      </c>
      <c r="E130" s="103" t="s">
        <v>42</v>
      </c>
      <c r="F130" s="109">
        <v>10</v>
      </c>
      <c r="G130" s="106"/>
      <c r="H130" s="109"/>
      <c r="I130" s="109"/>
      <c r="J130" s="111"/>
      <c r="K130" s="111"/>
      <c r="L130" s="106"/>
    </row>
    <row r="131" spans="2:12" s="112" customFormat="1" x14ac:dyDescent="0.2">
      <c r="B131" s="129" t="s">
        <v>231</v>
      </c>
      <c r="C131" s="129"/>
      <c r="D131" s="129"/>
      <c r="E131" s="129"/>
      <c r="F131" s="129"/>
      <c r="G131" s="129"/>
      <c r="H131" s="129"/>
      <c r="I131" s="129"/>
      <c r="J131" s="129"/>
      <c r="K131" s="129"/>
      <c r="L131" s="129"/>
    </row>
    <row r="132" spans="2:12" s="112" customFormat="1" x14ac:dyDescent="0.25">
      <c r="B132" s="115"/>
      <c r="C132" s="103" t="s">
        <v>27</v>
      </c>
      <c r="D132" s="104" t="s">
        <v>232</v>
      </c>
      <c r="E132" s="103" t="s">
        <v>64</v>
      </c>
      <c r="F132" s="109">
        <v>19</v>
      </c>
      <c r="G132" s="118"/>
      <c r="H132" s="109"/>
      <c r="I132" s="109"/>
      <c r="J132" s="111"/>
      <c r="K132" s="111"/>
      <c r="L132" s="114"/>
    </row>
    <row r="133" spans="2:12" s="112" customFormat="1" x14ac:dyDescent="0.25">
      <c r="B133" s="115"/>
      <c r="C133" s="103" t="s">
        <v>27</v>
      </c>
      <c r="D133" s="104" t="s">
        <v>233</v>
      </c>
      <c r="E133" s="103" t="s">
        <v>64</v>
      </c>
      <c r="F133" s="109">
        <v>22</v>
      </c>
      <c r="G133" s="118"/>
      <c r="H133" s="109"/>
      <c r="I133" s="109"/>
      <c r="J133" s="111"/>
      <c r="K133" s="111"/>
      <c r="L133" s="114"/>
    </row>
    <row r="134" spans="2:12" s="112" customFormat="1" x14ac:dyDescent="0.25">
      <c r="B134" s="115"/>
      <c r="C134" s="103"/>
      <c r="D134" s="104" t="s">
        <v>234</v>
      </c>
      <c r="E134" s="103" t="s">
        <v>64</v>
      </c>
      <c r="F134" s="109">
        <v>19</v>
      </c>
      <c r="G134" s="118"/>
      <c r="H134" s="109"/>
      <c r="I134" s="109"/>
      <c r="J134" s="111"/>
      <c r="K134" s="111"/>
      <c r="L134" s="114"/>
    </row>
    <row r="135" spans="2:12" s="112" customFormat="1" x14ac:dyDescent="0.25">
      <c r="B135" s="115"/>
      <c r="C135" s="103" t="s">
        <v>27</v>
      </c>
      <c r="D135" s="104" t="s">
        <v>235</v>
      </c>
      <c r="E135" s="103" t="s">
        <v>64</v>
      </c>
      <c r="F135" s="109">
        <v>19</v>
      </c>
      <c r="G135" s="118"/>
      <c r="H135" s="109"/>
      <c r="I135" s="109"/>
      <c r="J135" s="111"/>
      <c r="K135" s="111"/>
      <c r="L135" s="114"/>
    </row>
    <row r="136" spans="2:12" s="112" customFormat="1" x14ac:dyDescent="0.25">
      <c r="B136" s="115"/>
      <c r="C136" s="103" t="s">
        <v>27</v>
      </c>
      <c r="D136" s="104" t="s">
        <v>236</v>
      </c>
      <c r="E136" s="103" t="s">
        <v>64</v>
      </c>
      <c r="F136" s="109">
        <v>19</v>
      </c>
      <c r="G136" s="118"/>
      <c r="H136" s="109"/>
      <c r="I136" s="109"/>
      <c r="J136" s="111"/>
      <c r="K136" s="111"/>
      <c r="L136" s="114"/>
    </row>
    <row r="137" spans="2:12" s="112" customFormat="1" x14ac:dyDescent="0.25">
      <c r="B137" s="115"/>
      <c r="C137" s="103" t="s">
        <v>27</v>
      </c>
      <c r="D137" s="104" t="s">
        <v>237</v>
      </c>
      <c r="E137" s="103" t="s">
        <v>64</v>
      </c>
      <c r="F137" s="175">
        <v>12</v>
      </c>
      <c r="G137" s="118" t="s">
        <v>238</v>
      </c>
      <c r="H137" s="109"/>
      <c r="I137" s="109"/>
      <c r="J137" s="111"/>
      <c r="K137" s="111"/>
      <c r="L137" s="114"/>
    </row>
    <row r="138" spans="2:12" s="112" customFormat="1" x14ac:dyDescent="0.25">
      <c r="B138" s="102"/>
      <c r="C138" s="103" t="s">
        <v>27</v>
      </c>
      <c r="D138" s="104" t="s">
        <v>239</v>
      </c>
      <c r="E138" s="103" t="s">
        <v>29</v>
      </c>
      <c r="F138" s="113">
        <v>12</v>
      </c>
      <c r="G138" s="124" t="s">
        <v>240</v>
      </c>
      <c r="H138" s="113"/>
      <c r="I138" s="110">
        <v>12</v>
      </c>
      <c r="J138" s="111" t="s">
        <v>121</v>
      </c>
      <c r="K138" s="111"/>
      <c r="L138" s="114" t="s">
        <v>241</v>
      </c>
    </row>
    <row r="139" spans="2:12" s="112" customFormat="1" x14ac:dyDescent="0.2">
      <c r="B139" s="129" t="s">
        <v>242</v>
      </c>
      <c r="C139" s="129"/>
      <c r="D139" s="129"/>
      <c r="E139" s="129"/>
      <c r="F139" s="129"/>
      <c r="G139" s="129"/>
      <c r="H139" s="129"/>
      <c r="I139" s="129"/>
      <c r="J139" s="129"/>
      <c r="K139" s="129"/>
      <c r="L139" s="129" t="s">
        <v>243</v>
      </c>
    </row>
    <row r="140" spans="2:12" s="112" customFormat="1" x14ac:dyDescent="0.25">
      <c r="B140" s="102"/>
      <c r="C140" s="103" t="s">
        <v>27</v>
      </c>
      <c r="D140" s="104" t="s">
        <v>244</v>
      </c>
      <c r="E140" s="103"/>
      <c r="F140" s="109">
        <v>24</v>
      </c>
      <c r="G140" s="106"/>
      <c r="H140" s="109"/>
      <c r="I140" s="110"/>
      <c r="J140" s="111"/>
      <c r="K140" s="111"/>
      <c r="L140" s="106"/>
    </row>
    <row r="141" spans="2:12" s="112" customFormat="1" x14ac:dyDescent="0.25">
      <c r="B141" s="102"/>
      <c r="C141" s="103" t="s">
        <v>27</v>
      </c>
      <c r="D141" s="104" t="s">
        <v>245</v>
      </c>
      <c r="E141" s="103"/>
      <c r="F141" s="109">
        <v>24</v>
      </c>
      <c r="G141" s="120" t="s">
        <v>246</v>
      </c>
      <c r="H141" s="109"/>
      <c r="I141" s="110"/>
      <c r="J141" s="111"/>
      <c r="K141" s="111"/>
      <c r="L141" s="106"/>
    </row>
    <row r="142" spans="2:12" s="112" customFormat="1" x14ac:dyDescent="0.25">
      <c r="B142" s="102"/>
      <c r="C142" s="103" t="s">
        <v>27</v>
      </c>
      <c r="D142" s="108" t="s">
        <v>247</v>
      </c>
      <c r="E142" s="103"/>
      <c r="F142" s="109">
        <v>34.5</v>
      </c>
      <c r="G142" s="106"/>
      <c r="H142" s="109"/>
      <c r="I142" s="110"/>
      <c r="J142" s="111"/>
      <c r="K142" s="111"/>
      <c r="L142" s="106"/>
    </row>
    <row r="143" spans="2:12" s="112" customFormat="1" x14ac:dyDescent="0.25">
      <c r="B143" s="102"/>
      <c r="C143" s="103"/>
      <c r="D143" s="108" t="s">
        <v>248</v>
      </c>
      <c r="E143" s="103"/>
      <c r="F143" s="109">
        <v>5</v>
      </c>
      <c r="G143" s="106"/>
      <c r="H143" s="109"/>
      <c r="I143" s="110"/>
      <c r="J143" s="111"/>
      <c r="K143" s="111"/>
      <c r="L143" s="106"/>
    </row>
    <row r="144" spans="2:12" s="112" customFormat="1" x14ac:dyDescent="0.2">
      <c r="B144" s="129" t="s">
        <v>249</v>
      </c>
      <c r="C144" s="129"/>
      <c r="D144" s="129"/>
      <c r="E144" s="129"/>
      <c r="F144" s="129"/>
      <c r="G144" s="129"/>
      <c r="H144" s="129"/>
      <c r="I144" s="129"/>
      <c r="J144" s="129"/>
      <c r="K144" s="129"/>
      <c r="L144" s="129"/>
    </row>
    <row r="145" spans="2:12" s="112" customFormat="1" x14ac:dyDescent="0.25">
      <c r="B145" s="115"/>
      <c r="C145" s="103" t="s">
        <v>27</v>
      </c>
      <c r="D145" s="104" t="s">
        <v>250</v>
      </c>
      <c r="E145" s="103"/>
      <c r="F145" s="105">
        <v>16</v>
      </c>
      <c r="G145" s="118"/>
      <c r="H145" s="113"/>
      <c r="I145" s="113"/>
      <c r="J145" s="111"/>
      <c r="K145" s="111"/>
      <c r="L145" s="114"/>
    </row>
    <row r="146" spans="2:12" s="112" customFormat="1" x14ac:dyDescent="0.25">
      <c r="B146" s="115"/>
      <c r="C146" s="103" t="s">
        <v>27</v>
      </c>
      <c r="D146" s="104" t="s">
        <v>251</v>
      </c>
      <c r="E146" s="103" t="s">
        <v>29</v>
      </c>
      <c r="F146" s="113">
        <v>12</v>
      </c>
      <c r="G146" s="118"/>
      <c r="H146" s="113"/>
      <c r="I146" s="113"/>
      <c r="J146" s="111"/>
      <c r="K146" s="111"/>
      <c r="L146" s="114"/>
    </row>
    <row r="147" spans="2:12" s="112" customFormat="1" x14ac:dyDescent="0.25">
      <c r="B147" s="115"/>
      <c r="C147" s="103" t="s">
        <v>27</v>
      </c>
      <c r="D147" s="104" t="s">
        <v>252</v>
      </c>
      <c r="E147" s="103" t="s">
        <v>64</v>
      </c>
      <c r="F147" s="113">
        <v>20</v>
      </c>
      <c r="G147" s="118"/>
      <c r="H147" s="113"/>
      <c r="I147" s="113"/>
      <c r="J147" s="111"/>
      <c r="K147" s="111"/>
      <c r="L147" s="114"/>
    </row>
    <row r="148" spans="2:12" s="112" customFormat="1" x14ac:dyDescent="0.25">
      <c r="B148" s="115"/>
      <c r="C148" s="103" t="s">
        <v>27</v>
      </c>
      <c r="D148" s="104" t="s">
        <v>253</v>
      </c>
      <c r="E148" s="103" t="s">
        <v>42</v>
      </c>
      <c r="F148" s="113">
        <v>6.5</v>
      </c>
      <c r="G148" s="114" t="s">
        <v>254</v>
      </c>
      <c r="H148" s="113"/>
      <c r="I148" s="113"/>
      <c r="J148" s="111"/>
      <c r="K148" s="111"/>
      <c r="L148" s="114"/>
    </row>
    <row r="149" spans="2:12" s="112" customFormat="1" x14ac:dyDescent="0.25">
      <c r="B149" s="115"/>
      <c r="C149" s="103" t="s">
        <v>27</v>
      </c>
      <c r="D149" s="104" t="s">
        <v>255</v>
      </c>
      <c r="E149" s="103" t="s">
        <v>42</v>
      </c>
      <c r="F149" s="113">
        <v>2.8</v>
      </c>
      <c r="G149" s="114" t="s">
        <v>256</v>
      </c>
      <c r="H149" s="113"/>
      <c r="I149" s="113"/>
      <c r="J149" s="111"/>
      <c r="K149" s="111"/>
      <c r="L149" s="114"/>
    </row>
    <row r="150" spans="2:12" x14ac:dyDescent="0.25">
      <c r="B150" s="119"/>
      <c r="C150" s="103" t="s">
        <v>27</v>
      </c>
      <c r="D150" s="104" t="s">
        <v>257</v>
      </c>
      <c r="E150" s="103" t="s">
        <v>29</v>
      </c>
      <c r="F150" s="109">
        <v>10</v>
      </c>
      <c r="G150" s="116"/>
      <c r="H150" s="109"/>
      <c r="I150" s="109"/>
      <c r="J150" s="111"/>
      <c r="K150" s="111"/>
      <c r="L150" s="121"/>
    </row>
    <row r="151" spans="2:12" x14ac:dyDescent="0.25">
      <c r="B151" s="119"/>
      <c r="C151" s="103" t="s">
        <v>27</v>
      </c>
      <c r="D151" s="104" t="s">
        <v>258</v>
      </c>
      <c r="E151" s="103"/>
      <c r="F151" s="109">
        <v>12</v>
      </c>
      <c r="G151" s="116"/>
      <c r="H151" s="109"/>
      <c r="I151" s="109"/>
      <c r="J151" s="111"/>
      <c r="K151" s="111"/>
      <c r="L151" s="121"/>
    </row>
    <row r="152" spans="2:12" s="112" customFormat="1" x14ac:dyDescent="0.2">
      <c r="B152" s="129" t="s">
        <v>259</v>
      </c>
      <c r="C152" s="129"/>
      <c r="D152" s="129"/>
      <c r="E152" s="129"/>
      <c r="F152" s="129"/>
      <c r="G152" s="129"/>
      <c r="H152" s="129"/>
      <c r="I152" s="129"/>
      <c r="J152" s="129"/>
      <c r="K152" s="129"/>
      <c r="L152" s="129"/>
    </row>
    <row r="153" spans="2:12" s="112" customFormat="1" ht="25.5" x14ac:dyDescent="0.25">
      <c r="B153" s="102"/>
      <c r="C153" s="103" t="s">
        <v>27</v>
      </c>
      <c r="D153" s="131" t="s">
        <v>260</v>
      </c>
      <c r="E153" s="103" t="s">
        <v>64</v>
      </c>
      <c r="F153" s="109">
        <v>19</v>
      </c>
      <c r="G153" s="106"/>
      <c r="H153" s="109"/>
      <c r="I153" s="110">
        <v>19</v>
      </c>
      <c r="J153" s="111" t="s">
        <v>261</v>
      </c>
      <c r="K153" s="111"/>
      <c r="L153" s="106"/>
    </row>
    <row r="154" spans="2:12" s="112" customFormat="1" x14ac:dyDescent="0.25">
      <c r="B154" s="102"/>
      <c r="C154" s="103" t="s">
        <v>27</v>
      </c>
      <c r="D154" s="104" t="s">
        <v>262</v>
      </c>
      <c r="E154" s="103" t="s">
        <v>42</v>
      </c>
      <c r="F154" s="109">
        <v>8</v>
      </c>
      <c r="G154" s="114"/>
      <c r="H154" s="109"/>
      <c r="I154" s="110"/>
      <c r="J154" s="130"/>
      <c r="K154" s="130"/>
      <c r="L154" s="106"/>
    </row>
    <row r="155" spans="2:12" s="112" customFormat="1" x14ac:dyDescent="0.25">
      <c r="B155" s="102"/>
      <c r="C155" s="103" t="s">
        <v>27</v>
      </c>
      <c r="D155" s="104" t="s">
        <v>263</v>
      </c>
      <c r="E155" s="103"/>
      <c r="F155" s="109">
        <v>8</v>
      </c>
      <c r="G155" s="106"/>
      <c r="H155" s="109"/>
      <c r="I155" s="111"/>
      <c r="J155" s="111"/>
      <c r="K155" s="111"/>
      <c r="L155" s="106"/>
    </row>
    <row r="156" spans="2:12" s="112" customFormat="1" x14ac:dyDescent="0.25">
      <c r="B156" s="102"/>
      <c r="C156" s="103"/>
      <c r="D156" s="190" t="s">
        <v>264</v>
      </c>
      <c r="E156" s="103"/>
      <c r="F156" s="109">
        <v>14</v>
      </c>
      <c r="G156" s="177"/>
      <c r="H156" s="109"/>
      <c r="I156" s="110"/>
      <c r="J156" s="130"/>
      <c r="K156" s="130"/>
      <c r="L156" s="106"/>
    </row>
    <row r="157" spans="2:12" s="112" customFormat="1" x14ac:dyDescent="0.25">
      <c r="B157" s="102"/>
      <c r="C157" s="103"/>
      <c r="D157" s="190" t="s">
        <v>265</v>
      </c>
      <c r="E157" s="103"/>
      <c r="F157" s="109">
        <v>16</v>
      </c>
      <c r="G157" s="177"/>
      <c r="H157" s="109"/>
      <c r="I157" s="110"/>
      <c r="J157" s="130"/>
      <c r="K157" s="130"/>
      <c r="L157" s="106"/>
    </row>
    <row r="158" spans="2:12" s="112" customFormat="1" x14ac:dyDescent="0.25">
      <c r="B158" s="102"/>
      <c r="C158" s="103"/>
      <c r="D158" s="104" t="s">
        <v>266</v>
      </c>
      <c r="E158" s="103"/>
      <c r="F158" s="109">
        <v>14</v>
      </c>
      <c r="H158" s="109"/>
      <c r="I158" s="110"/>
      <c r="J158" s="130"/>
      <c r="K158" s="130"/>
      <c r="L158" s="106"/>
    </row>
    <row r="159" spans="2:12" s="112" customFormat="1" x14ac:dyDescent="0.25">
      <c r="B159" s="102"/>
      <c r="C159" s="103"/>
      <c r="D159" s="104" t="s">
        <v>267</v>
      </c>
      <c r="E159" s="103"/>
      <c r="F159" s="109">
        <v>16</v>
      </c>
      <c r="G159" s="114"/>
      <c r="H159" s="109"/>
      <c r="I159" s="110"/>
      <c r="J159" s="130"/>
      <c r="K159" s="130"/>
      <c r="L159" s="106"/>
    </row>
    <row r="160" spans="2:12" s="112" customFormat="1" x14ac:dyDescent="0.25">
      <c r="B160" s="102"/>
      <c r="C160" s="103" t="s">
        <v>27</v>
      </c>
      <c r="D160" s="104" t="s">
        <v>268</v>
      </c>
      <c r="E160" s="103" t="s">
        <v>64</v>
      </c>
      <c r="F160" s="109">
        <v>55</v>
      </c>
      <c r="G160" s="106"/>
      <c r="H160" s="109"/>
      <c r="I160" s="110"/>
      <c r="J160" s="111"/>
      <c r="K160" s="111"/>
      <c r="L160" s="106"/>
    </row>
    <row r="161" spans="2:12" s="112" customFormat="1" x14ac:dyDescent="0.25">
      <c r="B161" s="102"/>
      <c r="C161" s="103" t="s">
        <v>27</v>
      </c>
      <c r="D161" s="104" t="s">
        <v>269</v>
      </c>
      <c r="E161" s="103"/>
      <c r="F161" s="109">
        <v>4</v>
      </c>
      <c r="G161" s="114"/>
      <c r="H161" s="109"/>
      <c r="I161" s="110"/>
      <c r="J161" s="130"/>
      <c r="K161" s="130"/>
      <c r="L161" s="106"/>
    </row>
    <row r="162" spans="2:12" s="112" customFormat="1" ht="76.5" x14ac:dyDescent="0.25">
      <c r="B162" s="102"/>
      <c r="C162" s="103" t="s">
        <v>27</v>
      </c>
      <c r="D162" s="104" t="s">
        <v>270</v>
      </c>
      <c r="E162" s="103" t="s">
        <v>64</v>
      </c>
      <c r="F162" s="109">
        <v>55</v>
      </c>
      <c r="G162" s="106"/>
      <c r="H162" s="109"/>
      <c r="I162" s="110">
        <v>55</v>
      </c>
      <c r="J162" s="111" t="s">
        <v>271</v>
      </c>
      <c r="K162" s="111"/>
      <c r="L162" s="106" t="s">
        <v>272</v>
      </c>
    </row>
    <row r="163" spans="2:12" s="112" customFormat="1" x14ac:dyDescent="0.25">
      <c r="B163" s="102"/>
      <c r="C163" s="103" t="s">
        <v>27</v>
      </c>
      <c r="D163" s="104" t="s">
        <v>273</v>
      </c>
      <c r="E163" s="103"/>
      <c r="F163" s="110">
        <v>55</v>
      </c>
      <c r="G163" s="106"/>
      <c r="H163" s="110"/>
      <c r="I163" s="110"/>
      <c r="J163" s="111"/>
      <c r="K163" s="111"/>
      <c r="L163" s="106"/>
    </row>
    <row r="164" spans="2:12" s="112" customFormat="1" x14ac:dyDescent="0.25">
      <c r="B164" s="102"/>
      <c r="C164" s="103" t="s">
        <v>27</v>
      </c>
      <c r="D164" s="104" t="s">
        <v>274</v>
      </c>
      <c r="E164" s="103" t="s">
        <v>64</v>
      </c>
      <c r="F164" s="109">
        <v>80</v>
      </c>
      <c r="G164" s="106"/>
      <c r="H164" s="109"/>
      <c r="I164" s="137"/>
      <c r="J164" s="111"/>
      <c r="K164" s="111"/>
      <c r="L164" s="114" t="s">
        <v>275</v>
      </c>
    </row>
    <row r="165" spans="2:12" s="112" customFormat="1" x14ac:dyDescent="0.25">
      <c r="B165" s="102"/>
      <c r="C165" s="103" t="s">
        <v>27</v>
      </c>
      <c r="D165" s="104" t="s">
        <v>276</v>
      </c>
      <c r="E165" s="103" t="s">
        <v>64</v>
      </c>
      <c r="F165" s="109">
        <v>90</v>
      </c>
      <c r="G165" s="106"/>
      <c r="H165" s="109"/>
      <c r="I165" s="137"/>
      <c r="J165" s="111"/>
      <c r="K165" s="111"/>
      <c r="L165" s="114"/>
    </row>
    <row r="166" spans="2:12" s="112" customFormat="1" x14ac:dyDescent="0.25">
      <c r="B166" s="102"/>
      <c r="C166" s="103" t="s">
        <v>27</v>
      </c>
      <c r="D166" s="104" t="s">
        <v>277</v>
      </c>
      <c r="E166" s="103"/>
      <c r="F166" s="110">
        <v>60</v>
      </c>
      <c r="G166" s="122" t="s">
        <v>278</v>
      </c>
      <c r="H166" s="110"/>
      <c r="I166" s="110"/>
      <c r="J166" s="111"/>
      <c r="K166" s="111"/>
      <c r="L166" s="106"/>
    </row>
    <row r="167" spans="2:12" s="112" customFormat="1" ht="25.5" x14ac:dyDescent="0.25">
      <c r="B167" s="102"/>
      <c r="C167" s="103" t="s">
        <v>27</v>
      </c>
      <c r="D167" s="104" t="s">
        <v>279</v>
      </c>
      <c r="E167" s="103" t="s">
        <v>64</v>
      </c>
      <c r="F167" s="110">
        <v>55</v>
      </c>
      <c r="G167" s="106"/>
      <c r="H167" s="110"/>
      <c r="I167" s="110">
        <v>55</v>
      </c>
      <c r="J167" s="111" t="s">
        <v>261</v>
      </c>
      <c r="K167" s="111"/>
      <c r="L167" s="106"/>
    </row>
    <row r="168" spans="2:12" s="112" customFormat="1" ht="25.5" x14ac:dyDescent="0.25">
      <c r="B168" s="102"/>
      <c r="C168" s="103" t="s">
        <v>27</v>
      </c>
      <c r="D168" s="131" t="s">
        <v>280</v>
      </c>
      <c r="E168" s="103" t="s">
        <v>64</v>
      </c>
      <c r="F168" s="109">
        <v>12</v>
      </c>
      <c r="G168" s="106"/>
      <c r="H168" s="109"/>
      <c r="I168" s="110">
        <v>12</v>
      </c>
      <c r="J168" s="111" t="s">
        <v>261</v>
      </c>
      <c r="K168" s="111"/>
      <c r="L168" s="106"/>
    </row>
    <row r="169" spans="2:12" s="112" customFormat="1" x14ac:dyDescent="0.25">
      <c r="B169" s="102"/>
      <c r="C169" s="103" t="s">
        <v>27</v>
      </c>
      <c r="D169" s="104" t="s">
        <v>281</v>
      </c>
      <c r="E169" s="103"/>
      <c r="F169" s="109">
        <v>20</v>
      </c>
      <c r="G169" s="114"/>
      <c r="H169" s="109"/>
      <c r="I169" s="110"/>
      <c r="J169" s="130"/>
      <c r="K169" s="130"/>
      <c r="L169" s="106"/>
    </row>
    <row r="170" spans="2:12" s="112" customFormat="1" ht="25.5" x14ac:dyDescent="0.25">
      <c r="B170" s="102"/>
      <c r="C170" s="103" t="s">
        <v>27</v>
      </c>
      <c r="D170" s="131" t="s">
        <v>282</v>
      </c>
      <c r="E170" s="103" t="s">
        <v>42</v>
      </c>
      <c r="F170" s="109">
        <v>12</v>
      </c>
      <c r="G170" s="106"/>
      <c r="H170" s="109"/>
      <c r="I170" s="110">
        <v>11</v>
      </c>
      <c r="J170" s="111" t="s">
        <v>261</v>
      </c>
      <c r="K170" s="111"/>
      <c r="L170" s="121" t="s">
        <v>283</v>
      </c>
    </row>
    <row r="171" spans="2:12" s="112" customFormat="1" x14ac:dyDescent="0.25">
      <c r="B171" s="102"/>
      <c r="C171" s="103" t="s">
        <v>27</v>
      </c>
      <c r="D171" s="131" t="s">
        <v>284</v>
      </c>
      <c r="E171" s="103"/>
      <c r="F171" s="109">
        <v>5</v>
      </c>
      <c r="G171" s="106"/>
      <c r="H171" s="109"/>
      <c r="I171" s="110"/>
      <c r="J171" s="111"/>
      <c r="K171" s="111"/>
      <c r="L171" s="121"/>
    </row>
    <row r="172" spans="2:12" s="112" customFormat="1" x14ac:dyDescent="0.25">
      <c r="B172" s="102"/>
      <c r="C172" s="103" t="s">
        <v>27</v>
      </c>
      <c r="D172" s="131" t="s">
        <v>285</v>
      </c>
      <c r="E172" s="103"/>
      <c r="F172" s="109">
        <v>5</v>
      </c>
      <c r="G172" s="106"/>
      <c r="H172" s="109"/>
      <c r="I172" s="110"/>
      <c r="J172" s="111"/>
      <c r="K172" s="111"/>
      <c r="L172" s="121"/>
    </row>
    <row r="173" spans="2:12" s="112" customFormat="1" x14ac:dyDescent="0.2">
      <c r="B173" s="129" t="s">
        <v>286</v>
      </c>
      <c r="C173" s="129"/>
      <c r="D173" s="129"/>
      <c r="E173" s="129"/>
      <c r="F173" s="129"/>
      <c r="G173" s="129"/>
      <c r="H173" s="129"/>
      <c r="I173" s="129"/>
      <c r="J173" s="129"/>
      <c r="K173" s="129"/>
      <c r="L173" s="129"/>
    </row>
    <row r="174" spans="2:12" s="112" customFormat="1" x14ac:dyDescent="0.25">
      <c r="B174" s="124"/>
      <c r="C174" s="103" t="s">
        <v>27</v>
      </c>
      <c r="D174" s="104" t="s">
        <v>287</v>
      </c>
      <c r="E174" s="103" t="s">
        <v>42</v>
      </c>
      <c r="F174" s="109">
        <v>25</v>
      </c>
      <c r="G174" s="106"/>
      <c r="H174" s="109"/>
      <c r="I174" s="111"/>
      <c r="J174" s="111"/>
      <c r="K174" s="111"/>
      <c r="L174" s="106"/>
    </row>
    <row r="175" spans="2:12" s="112" customFormat="1" x14ac:dyDescent="0.25">
      <c r="B175" s="124"/>
      <c r="C175" s="103" t="s">
        <v>27</v>
      </c>
      <c r="D175" s="104" t="s">
        <v>288</v>
      </c>
      <c r="E175" s="103" t="s">
        <v>42</v>
      </c>
      <c r="F175" s="109">
        <v>14</v>
      </c>
      <c r="G175" s="124" t="s">
        <v>289</v>
      </c>
      <c r="H175" s="109"/>
      <c r="I175" s="111"/>
      <c r="J175" s="111"/>
      <c r="K175" s="111"/>
      <c r="L175" s="106"/>
    </row>
    <row r="176" spans="2:12" s="112" customFormat="1" x14ac:dyDescent="0.25">
      <c r="B176" s="124"/>
      <c r="C176" s="103" t="s">
        <v>27</v>
      </c>
      <c r="D176" s="104" t="s">
        <v>290</v>
      </c>
      <c r="E176" s="103" t="s">
        <v>42</v>
      </c>
      <c r="F176" s="109">
        <v>14</v>
      </c>
      <c r="G176" s="124" t="s">
        <v>291</v>
      </c>
      <c r="H176" s="109"/>
      <c r="I176" s="111"/>
      <c r="J176" s="111"/>
      <c r="K176" s="111"/>
      <c r="L176" s="106"/>
    </row>
    <row r="177" spans="2:12" s="112" customFormat="1" x14ac:dyDescent="0.25">
      <c r="B177" s="124"/>
      <c r="C177" s="103"/>
      <c r="D177" s="115" t="s">
        <v>292</v>
      </c>
      <c r="E177" s="103"/>
      <c r="F177" s="175">
        <v>14</v>
      </c>
      <c r="G177" s="124"/>
      <c r="H177" s="109"/>
      <c r="I177" s="111"/>
      <c r="J177" s="111"/>
      <c r="K177" s="111"/>
      <c r="L177" s="106"/>
    </row>
    <row r="178" spans="2:12" s="112" customFormat="1" x14ac:dyDescent="0.25">
      <c r="B178" s="124"/>
      <c r="C178" s="103"/>
      <c r="D178" s="115" t="s">
        <v>293</v>
      </c>
      <c r="E178" s="103"/>
      <c r="F178" s="175">
        <v>14</v>
      </c>
      <c r="G178" s="124"/>
      <c r="H178" s="109"/>
      <c r="I178" s="111"/>
      <c r="J178" s="111"/>
      <c r="K178" s="111"/>
      <c r="L178" s="106"/>
    </row>
    <row r="179" spans="2:12" s="112" customFormat="1" x14ac:dyDescent="0.25">
      <c r="B179" s="124"/>
      <c r="C179" s="103" t="s">
        <v>27</v>
      </c>
      <c r="D179" s="104" t="s">
        <v>294</v>
      </c>
      <c r="E179" s="103" t="s">
        <v>42</v>
      </c>
      <c r="F179" s="109">
        <v>20</v>
      </c>
      <c r="G179" s="124" t="s">
        <v>295</v>
      </c>
      <c r="H179" s="109"/>
      <c r="I179" s="111"/>
      <c r="J179" s="111"/>
      <c r="K179" s="111"/>
      <c r="L179" s="106"/>
    </row>
    <row r="180" spans="2:12" s="112" customFormat="1" x14ac:dyDescent="0.25">
      <c r="B180" s="124"/>
      <c r="C180" s="103" t="s">
        <v>27</v>
      </c>
      <c r="D180" s="104" t="s">
        <v>296</v>
      </c>
      <c r="E180" s="103" t="s">
        <v>64</v>
      </c>
      <c r="F180" s="109">
        <v>16</v>
      </c>
      <c r="G180" s="124" t="s">
        <v>297</v>
      </c>
      <c r="H180" s="109"/>
      <c r="I180" s="130"/>
      <c r="J180" s="111"/>
      <c r="K180" s="111"/>
      <c r="L180" s="106"/>
    </row>
    <row r="181" spans="2:12" s="112" customFormat="1" x14ac:dyDescent="0.25">
      <c r="B181" s="102"/>
      <c r="C181" s="103" t="s">
        <v>27</v>
      </c>
      <c r="D181" s="104" t="s">
        <v>298</v>
      </c>
      <c r="E181" s="103" t="s">
        <v>42</v>
      </c>
      <c r="F181" s="109">
        <v>30</v>
      </c>
      <c r="G181" s="106"/>
      <c r="H181" s="109"/>
      <c r="I181" s="111"/>
      <c r="J181" s="111"/>
      <c r="K181" s="111"/>
      <c r="L181" s="106"/>
    </row>
    <row r="182" spans="2:12" x14ac:dyDescent="0.25">
      <c r="B182" s="145"/>
      <c r="C182" s="103" t="s">
        <v>27</v>
      </c>
      <c r="D182" s="104" t="s">
        <v>299</v>
      </c>
      <c r="E182" s="103"/>
      <c r="F182" s="110">
        <v>16</v>
      </c>
      <c r="G182" s="116"/>
      <c r="H182" s="110"/>
      <c r="I182" s="110"/>
      <c r="J182" s="111"/>
      <c r="K182" s="111"/>
      <c r="L182" s="125"/>
    </row>
    <row r="183" spans="2:12" s="112" customFormat="1" x14ac:dyDescent="0.25">
      <c r="B183" s="124"/>
      <c r="C183" s="103" t="s">
        <v>27</v>
      </c>
      <c r="D183" s="104" t="s">
        <v>300</v>
      </c>
      <c r="E183" s="103" t="s">
        <v>29</v>
      </c>
      <c r="F183" s="109">
        <v>100</v>
      </c>
      <c r="G183" s="124" t="s">
        <v>301</v>
      </c>
      <c r="H183" s="109"/>
      <c r="I183" s="130"/>
      <c r="J183" s="111"/>
      <c r="K183" s="111"/>
      <c r="L183" s="106"/>
    </row>
    <row r="184" spans="2:12" s="112" customFormat="1" x14ac:dyDescent="0.25">
      <c r="B184" s="124"/>
      <c r="C184" s="103" t="s">
        <v>27</v>
      </c>
      <c r="D184" s="104" t="s">
        <v>302</v>
      </c>
      <c r="E184" s="103" t="s">
        <v>42</v>
      </c>
      <c r="F184" s="110">
        <v>20</v>
      </c>
      <c r="G184" s="124" t="s">
        <v>301</v>
      </c>
      <c r="H184" s="110"/>
      <c r="I184" s="110"/>
      <c r="J184" s="111"/>
      <c r="K184" s="111"/>
      <c r="L184" s="125"/>
    </row>
    <row r="185" spans="2:12" s="112" customFormat="1" x14ac:dyDescent="0.25">
      <c r="B185" s="124"/>
      <c r="C185" s="103" t="s">
        <v>27</v>
      </c>
      <c r="D185" s="104" t="s">
        <v>303</v>
      </c>
      <c r="E185" s="103" t="s">
        <v>29</v>
      </c>
      <c r="F185" s="110">
        <v>150</v>
      </c>
      <c r="G185" s="124" t="s">
        <v>301</v>
      </c>
      <c r="H185" s="110"/>
      <c r="I185" s="110"/>
      <c r="J185" s="111"/>
      <c r="K185" s="111"/>
      <c r="L185" s="125"/>
    </row>
    <row r="186" spans="2:12" s="112" customFormat="1" x14ac:dyDescent="0.25">
      <c r="B186" s="124"/>
      <c r="C186" s="103" t="s">
        <v>27</v>
      </c>
      <c r="D186" s="104" t="s">
        <v>304</v>
      </c>
      <c r="E186" s="103" t="s">
        <v>42</v>
      </c>
      <c r="F186" s="175">
        <v>16</v>
      </c>
      <c r="G186" s="124" t="s">
        <v>305</v>
      </c>
      <c r="H186" s="109"/>
      <c r="I186" s="111">
        <v>12</v>
      </c>
      <c r="J186" s="111" t="s">
        <v>306</v>
      </c>
      <c r="K186" s="111"/>
      <c r="L186" s="106" t="s">
        <v>307</v>
      </c>
    </row>
    <row r="187" spans="2:12" s="112" customFormat="1" x14ac:dyDescent="0.25">
      <c r="B187" s="124"/>
      <c r="C187" s="103"/>
      <c r="D187" s="104" t="s">
        <v>308</v>
      </c>
      <c r="E187" s="103" t="s">
        <v>42</v>
      </c>
      <c r="F187" s="175">
        <v>14</v>
      </c>
      <c r="G187" s="115" t="s">
        <v>309</v>
      </c>
      <c r="H187" s="109"/>
      <c r="I187" s="111"/>
      <c r="J187" s="111"/>
      <c r="K187" s="111"/>
      <c r="L187" s="106"/>
    </row>
    <row r="188" spans="2:12" s="112" customFormat="1" x14ac:dyDescent="0.25">
      <c r="B188" s="124"/>
      <c r="C188" s="103" t="s">
        <v>27</v>
      </c>
      <c r="D188" s="104" t="s">
        <v>310</v>
      </c>
      <c r="E188" s="103" t="s">
        <v>42</v>
      </c>
      <c r="F188" s="109">
        <v>16</v>
      </c>
      <c r="G188" s="124" t="s">
        <v>297</v>
      </c>
      <c r="H188" s="109"/>
      <c r="I188" s="111"/>
      <c r="J188" s="111"/>
      <c r="K188" s="111"/>
      <c r="L188" s="106"/>
    </row>
    <row r="189" spans="2:12" s="112" customFormat="1" x14ac:dyDescent="0.25">
      <c r="B189" s="124"/>
      <c r="C189" s="103" t="s">
        <v>27</v>
      </c>
      <c r="D189" s="104" t="s">
        <v>311</v>
      </c>
      <c r="E189" s="103" t="s">
        <v>42</v>
      </c>
      <c r="F189" s="109">
        <v>14</v>
      </c>
      <c r="G189" s="124" t="s">
        <v>291</v>
      </c>
      <c r="H189" s="109"/>
      <c r="I189" s="111"/>
      <c r="J189" s="111"/>
      <c r="K189" s="111"/>
      <c r="L189" s="106"/>
    </row>
    <row r="190" spans="2:12" x14ac:dyDescent="0.25">
      <c r="B190" s="124"/>
      <c r="C190" s="103" t="s">
        <v>27</v>
      </c>
      <c r="D190" s="104" t="s">
        <v>312</v>
      </c>
      <c r="E190" s="103" t="s">
        <v>42</v>
      </c>
      <c r="F190" s="109">
        <v>14</v>
      </c>
      <c r="G190" s="124" t="s">
        <v>295</v>
      </c>
      <c r="H190" s="109"/>
      <c r="I190" s="111"/>
      <c r="J190" s="111"/>
      <c r="K190" s="111"/>
      <c r="L190" s="106"/>
    </row>
    <row r="191" spans="2:12" x14ac:dyDescent="0.25">
      <c r="B191" s="124"/>
      <c r="C191" s="103" t="s">
        <v>27</v>
      </c>
      <c r="D191" s="104" t="s">
        <v>313</v>
      </c>
      <c r="E191" s="103" t="s">
        <v>29</v>
      </c>
      <c r="F191" s="110">
        <v>14</v>
      </c>
      <c r="G191" s="124" t="s">
        <v>314</v>
      </c>
      <c r="H191" s="110"/>
      <c r="I191" s="110"/>
      <c r="J191" s="111"/>
      <c r="K191" s="111"/>
      <c r="L191" s="125"/>
    </row>
    <row r="192" spans="2:12" x14ac:dyDescent="0.25">
      <c r="B192" s="102"/>
      <c r="C192" s="103" t="s">
        <v>27</v>
      </c>
      <c r="D192" s="104" t="s">
        <v>315</v>
      </c>
      <c r="E192" s="103"/>
      <c r="F192" s="109">
        <v>16</v>
      </c>
      <c r="G192" s="106"/>
      <c r="H192" s="109"/>
      <c r="I192" s="111"/>
      <c r="J192" s="111"/>
      <c r="K192" s="111"/>
      <c r="L192" s="106"/>
    </row>
    <row r="193" spans="2:12" s="112" customFormat="1" x14ac:dyDescent="0.25">
      <c r="B193" s="124"/>
      <c r="C193" s="103" t="s">
        <v>27</v>
      </c>
      <c r="D193" s="104" t="s">
        <v>316</v>
      </c>
      <c r="E193" s="103" t="s">
        <v>42</v>
      </c>
      <c r="F193" s="109">
        <v>22</v>
      </c>
      <c r="G193" s="124" t="s">
        <v>291</v>
      </c>
      <c r="H193" s="109"/>
      <c r="I193" s="111"/>
      <c r="J193" s="111"/>
      <c r="K193" s="111"/>
      <c r="L193" s="106"/>
    </row>
    <row r="194" spans="2:12" s="112" customFormat="1" x14ac:dyDescent="0.25">
      <c r="B194" s="124"/>
      <c r="C194" s="103" t="s">
        <v>27</v>
      </c>
      <c r="D194" s="104" t="s">
        <v>317</v>
      </c>
      <c r="E194" s="103" t="s">
        <v>42</v>
      </c>
      <c r="F194" s="109">
        <v>10</v>
      </c>
      <c r="G194" s="107"/>
      <c r="H194" s="107"/>
      <c r="I194" s="107"/>
      <c r="J194" s="107"/>
      <c r="K194" s="107"/>
      <c r="L194" s="107"/>
    </row>
    <row r="195" spans="2:12" x14ac:dyDescent="0.25">
      <c r="B195" s="124"/>
      <c r="C195" s="103" t="s">
        <v>27</v>
      </c>
      <c r="D195" s="131" t="s">
        <v>318</v>
      </c>
      <c r="E195" s="103" t="s">
        <v>42</v>
      </c>
      <c r="F195" s="109">
        <v>16</v>
      </c>
      <c r="G195" s="106" t="s">
        <v>319</v>
      </c>
      <c r="H195" s="109"/>
      <c r="I195" s="111"/>
      <c r="J195" s="111"/>
      <c r="K195" s="111"/>
      <c r="L195" s="106"/>
    </row>
    <row r="196" spans="2:12" s="112" customFormat="1" x14ac:dyDescent="0.25">
      <c r="B196" s="102"/>
      <c r="C196" s="103" t="s">
        <v>27</v>
      </c>
      <c r="D196" s="104" t="s">
        <v>320</v>
      </c>
      <c r="E196" s="103" t="s">
        <v>64</v>
      </c>
      <c r="F196" s="109">
        <v>24</v>
      </c>
      <c r="G196" s="122" t="s">
        <v>321</v>
      </c>
      <c r="H196" s="109"/>
      <c r="I196" s="111">
        <v>22</v>
      </c>
      <c r="J196" s="111" t="s">
        <v>322</v>
      </c>
      <c r="K196" s="111"/>
      <c r="L196" s="106"/>
    </row>
    <row r="197" spans="2:12" x14ac:dyDescent="0.25">
      <c r="B197" s="124"/>
      <c r="C197" s="103" t="s">
        <v>27</v>
      </c>
      <c r="D197" s="104" t="s">
        <v>323</v>
      </c>
      <c r="E197" s="103" t="s">
        <v>42</v>
      </c>
      <c r="F197" s="109">
        <v>14</v>
      </c>
      <c r="G197" s="124" t="s">
        <v>289</v>
      </c>
      <c r="H197" s="109"/>
      <c r="I197" s="111"/>
      <c r="J197" s="111"/>
      <c r="K197" s="111"/>
      <c r="L197" s="106"/>
    </row>
    <row r="198" spans="2:12" s="112" customFormat="1" x14ac:dyDescent="0.25">
      <c r="B198" s="124"/>
      <c r="C198" s="103" t="s">
        <v>27</v>
      </c>
      <c r="D198" s="104" t="s">
        <v>324</v>
      </c>
      <c r="E198" s="103" t="s">
        <v>42</v>
      </c>
      <c r="F198" s="110">
        <v>10</v>
      </c>
      <c r="G198" s="124" t="s">
        <v>325</v>
      </c>
      <c r="H198" s="110"/>
      <c r="I198" s="110"/>
      <c r="J198" s="111"/>
      <c r="K198" s="111"/>
      <c r="L198" s="125"/>
    </row>
    <row r="199" spans="2:12" s="112" customFormat="1" x14ac:dyDescent="0.25">
      <c r="B199" s="124"/>
      <c r="C199" s="103" t="s">
        <v>27</v>
      </c>
      <c r="D199" s="104" t="s">
        <v>326</v>
      </c>
      <c r="E199" s="103" t="s">
        <v>42</v>
      </c>
      <c r="F199" s="109">
        <v>16</v>
      </c>
      <c r="G199" s="124" t="s">
        <v>291</v>
      </c>
      <c r="H199" s="109"/>
      <c r="I199" s="111"/>
      <c r="J199" s="111"/>
      <c r="K199" s="111"/>
      <c r="L199" s="106"/>
    </row>
    <row r="200" spans="2:12" s="112" customFormat="1" x14ac:dyDescent="0.25">
      <c r="B200" s="124"/>
      <c r="C200" s="103" t="s">
        <v>27</v>
      </c>
      <c r="D200" s="104" t="s">
        <v>327</v>
      </c>
      <c r="E200" s="103" t="s">
        <v>42</v>
      </c>
      <c r="F200" s="110">
        <v>20</v>
      </c>
      <c r="G200" s="124" t="s">
        <v>314</v>
      </c>
      <c r="H200" s="110"/>
      <c r="I200" s="110"/>
      <c r="J200" s="111"/>
      <c r="K200" s="111"/>
      <c r="L200" s="125"/>
    </row>
    <row r="201" spans="2:12" s="112" customFormat="1" x14ac:dyDescent="0.2">
      <c r="B201" s="129" t="s">
        <v>328</v>
      </c>
      <c r="C201" s="129"/>
      <c r="D201" s="129"/>
      <c r="E201" s="129"/>
      <c r="F201" s="129"/>
      <c r="G201" s="129"/>
      <c r="H201" s="129"/>
      <c r="I201" s="129"/>
      <c r="J201" s="129"/>
      <c r="K201" s="129"/>
      <c r="L201" s="129"/>
    </row>
    <row r="202" spans="2:12" s="112" customFormat="1" x14ac:dyDescent="0.25">
      <c r="B202" s="119"/>
      <c r="C202" s="103" t="s">
        <v>27</v>
      </c>
      <c r="D202" s="115" t="s">
        <v>329</v>
      </c>
      <c r="E202" s="103" t="s">
        <v>29</v>
      </c>
      <c r="F202" s="175">
        <v>16</v>
      </c>
      <c r="G202" s="122" t="s">
        <v>330</v>
      </c>
      <c r="H202" s="109"/>
      <c r="I202" s="109"/>
      <c r="J202" s="111"/>
      <c r="K202" s="111"/>
      <c r="L202" s="121"/>
    </row>
    <row r="203" spans="2:12" s="188" customFormat="1" x14ac:dyDescent="0.25">
      <c r="B203" s="104"/>
      <c r="C203" s="103" t="s">
        <v>27</v>
      </c>
      <c r="D203" s="104" t="s">
        <v>331</v>
      </c>
      <c r="E203" s="103"/>
      <c r="F203" s="113">
        <v>1.5</v>
      </c>
      <c r="G203" s="108"/>
      <c r="H203" s="113"/>
      <c r="I203" s="113"/>
      <c r="J203" s="111"/>
      <c r="K203" s="111"/>
      <c r="L203" s="107"/>
    </row>
    <row r="204" spans="2:12" s="188" customFormat="1" x14ac:dyDescent="0.25">
      <c r="B204" s="104"/>
      <c r="C204" s="103" t="s">
        <v>27</v>
      </c>
      <c r="D204" s="104" t="s">
        <v>332</v>
      </c>
      <c r="E204" s="103" t="s">
        <v>29</v>
      </c>
      <c r="F204" s="113">
        <v>1.5</v>
      </c>
      <c r="G204" s="108" t="s">
        <v>333</v>
      </c>
      <c r="H204" s="113"/>
      <c r="I204" s="113"/>
      <c r="J204" s="111"/>
      <c r="K204" s="111"/>
      <c r="L204" s="107"/>
    </row>
    <row r="205" spans="2:12" s="112" customFormat="1" x14ac:dyDescent="0.25">
      <c r="B205" s="115"/>
      <c r="C205" s="103" t="s">
        <v>27</v>
      </c>
      <c r="D205" s="104" t="s">
        <v>334</v>
      </c>
      <c r="E205" s="103" t="s">
        <v>29</v>
      </c>
      <c r="F205" s="113">
        <v>20</v>
      </c>
      <c r="G205" s="114"/>
      <c r="H205" s="113"/>
      <c r="I205" s="113"/>
      <c r="J205" s="111"/>
      <c r="K205" s="111"/>
      <c r="L205" s="114"/>
    </row>
    <row r="206" spans="2:12" x14ac:dyDescent="0.25">
      <c r="B206" s="115"/>
      <c r="C206" s="103" t="s">
        <v>27</v>
      </c>
      <c r="D206" s="104" t="s">
        <v>335</v>
      </c>
      <c r="E206" s="103"/>
      <c r="F206" s="179">
        <v>15</v>
      </c>
      <c r="G206" s="118"/>
      <c r="H206" s="113"/>
      <c r="I206" s="113"/>
      <c r="J206" s="111"/>
      <c r="K206" s="111"/>
      <c r="L206" s="102"/>
    </row>
    <row r="207" spans="2:12" x14ac:dyDescent="0.25">
      <c r="B207" s="115"/>
      <c r="C207" s="103"/>
      <c r="D207" s="104" t="s">
        <v>336</v>
      </c>
      <c r="E207" s="103"/>
      <c r="F207" s="179">
        <v>25</v>
      </c>
      <c r="G207" s="118"/>
      <c r="H207" s="113"/>
      <c r="I207" s="113"/>
      <c r="J207" s="111"/>
      <c r="K207" s="111"/>
      <c r="L207" s="102"/>
    </row>
    <row r="208" spans="2:12" x14ac:dyDescent="0.25">
      <c r="B208" s="119"/>
      <c r="C208" s="103" t="s">
        <v>27</v>
      </c>
      <c r="D208" s="104" t="s">
        <v>337</v>
      </c>
      <c r="E208" s="103"/>
      <c r="F208" s="109">
        <v>12</v>
      </c>
      <c r="G208" s="122"/>
      <c r="H208" s="109"/>
      <c r="I208" s="109"/>
      <c r="J208" s="111"/>
      <c r="K208" s="111"/>
      <c r="L208" s="121"/>
    </row>
    <row r="209" spans="2:12" x14ac:dyDescent="0.25">
      <c r="B209" s="183" t="s">
        <v>338</v>
      </c>
      <c r="C209" s="138"/>
      <c r="D209" s="138"/>
      <c r="E209" s="138"/>
      <c r="F209" s="138"/>
      <c r="G209" s="138"/>
      <c r="H209" s="138"/>
      <c r="I209" s="138"/>
      <c r="J209" s="138"/>
      <c r="K209" s="138"/>
      <c r="L209" s="138"/>
    </row>
    <row r="210" spans="2:12" x14ac:dyDescent="0.25">
      <c r="B210" s="119"/>
      <c r="C210" s="103" t="s">
        <v>27</v>
      </c>
      <c r="D210" s="104" t="s">
        <v>339</v>
      </c>
      <c r="E210" s="103" t="s">
        <v>29</v>
      </c>
      <c r="F210" s="109">
        <v>5.5</v>
      </c>
      <c r="G210" s="181"/>
      <c r="H210" s="109"/>
      <c r="I210" s="109"/>
      <c r="J210" s="111"/>
      <c r="K210" s="111"/>
      <c r="L210" s="121" t="s">
        <v>340</v>
      </c>
    </row>
    <row r="211" spans="2:12" x14ac:dyDescent="0.25">
      <c r="B211" s="119"/>
      <c r="C211" s="103" t="s">
        <v>27</v>
      </c>
      <c r="D211" s="104" t="s">
        <v>341</v>
      </c>
      <c r="E211" s="103" t="s">
        <v>29</v>
      </c>
      <c r="F211" s="109">
        <v>18</v>
      </c>
      <c r="G211" s="120"/>
      <c r="H211" s="109"/>
      <c r="I211" s="109"/>
      <c r="J211" s="111"/>
      <c r="K211" s="111"/>
      <c r="L211" s="121"/>
    </row>
    <row r="212" spans="2:12" x14ac:dyDescent="0.25">
      <c r="B212" s="121"/>
      <c r="C212" s="103" t="s">
        <v>27</v>
      </c>
      <c r="D212" s="104" t="s">
        <v>342</v>
      </c>
      <c r="E212" s="103" t="s">
        <v>29</v>
      </c>
      <c r="F212" s="110">
        <v>6</v>
      </c>
      <c r="G212" s="120"/>
      <c r="H212" s="110"/>
      <c r="I212" s="110">
        <v>6</v>
      </c>
      <c r="J212" s="111" t="s">
        <v>43</v>
      </c>
      <c r="K212" s="111"/>
      <c r="L212" s="125"/>
    </row>
    <row r="213" spans="2:12" x14ac:dyDescent="0.25">
      <c r="B213" s="121"/>
      <c r="C213" s="103" t="s">
        <v>27</v>
      </c>
      <c r="D213" s="104" t="s">
        <v>343</v>
      </c>
      <c r="E213" s="103" t="s">
        <v>29</v>
      </c>
      <c r="F213" s="110">
        <v>1.5</v>
      </c>
      <c r="G213" s="116"/>
      <c r="H213" s="110"/>
      <c r="I213" s="110">
        <v>16</v>
      </c>
      <c r="J213" s="111" t="s">
        <v>121</v>
      </c>
      <c r="K213" s="111"/>
      <c r="L213" s="125"/>
    </row>
    <row r="214" spans="2:12" ht="25.5" x14ac:dyDescent="0.25">
      <c r="B214" s="119"/>
      <c r="C214" s="103" t="s">
        <v>27</v>
      </c>
      <c r="D214" s="104" t="s">
        <v>344</v>
      </c>
      <c r="E214" s="103" t="s">
        <v>29</v>
      </c>
      <c r="F214" s="109">
        <v>8</v>
      </c>
      <c r="G214" s="120"/>
      <c r="H214" s="109"/>
      <c r="I214" s="109">
        <v>8</v>
      </c>
      <c r="J214" s="111" t="s">
        <v>40</v>
      </c>
      <c r="K214" s="111"/>
      <c r="L214" s="114" t="s">
        <v>345</v>
      </c>
    </row>
    <row r="215" spans="2:12" x14ac:dyDescent="0.25">
      <c r="B215" s="121"/>
      <c r="C215" s="103" t="s">
        <v>27</v>
      </c>
      <c r="D215" s="104" t="s">
        <v>346</v>
      </c>
      <c r="E215" s="103" t="s">
        <v>29</v>
      </c>
      <c r="F215" s="110">
        <v>2</v>
      </c>
      <c r="G215" s="116"/>
      <c r="H215" s="110"/>
      <c r="I215" s="110">
        <v>1.5</v>
      </c>
      <c r="J215" s="111" t="s">
        <v>103</v>
      </c>
      <c r="K215" s="111"/>
      <c r="L215" s="125"/>
    </row>
    <row r="216" spans="2:12" x14ac:dyDescent="0.25">
      <c r="B216" s="121"/>
      <c r="C216" s="103" t="s">
        <v>27</v>
      </c>
      <c r="D216" s="104" t="s">
        <v>347</v>
      </c>
      <c r="E216" s="103" t="s">
        <v>29</v>
      </c>
      <c r="F216" s="110">
        <v>10</v>
      </c>
      <c r="G216" s="116"/>
      <c r="H216" s="110"/>
      <c r="I216" s="110">
        <v>9</v>
      </c>
      <c r="J216" s="111" t="s">
        <v>62</v>
      </c>
      <c r="K216" s="111"/>
      <c r="L216" s="125"/>
    </row>
    <row r="217" spans="2:12" s="95" customFormat="1" x14ac:dyDescent="0.25">
      <c r="B217" s="104"/>
      <c r="C217" s="103" t="s">
        <v>27</v>
      </c>
      <c r="D217" s="104" t="s">
        <v>348</v>
      </c>
      <c r="E217" s="103" t="s">
        <v>29</v>
      </c>
      <c r="F217" s="109">
        <v>4.5</v>
      </c>
      <c r="G217" s="122"/>
      <c r="H217" s="109"/>
      <c r="I217" s="109">
        <v>5</v>
      </c>
      <c r="J217" s="111" t="s">
        <v>43</v>
      </c>
      <c r="K217" s="111"/>
      <c r="L217" s="104"/>
    </row>
    <row r="218" spans="2:12" x14ac:dyDescent="0.25">
      <c r="B218" s="138" t="s">
        <v>349</v>
      </c>
      <c r="C218" s="139"/>
      <c r="D218" s="140"/>
      <c r="E218" s="139"/>
      <c r="F218" s="141"/>
      <c r="G218" s="142"/>
      <c r="H218" s="141"/>
      <c r="I218" s="141"/>
      <c r="J218" s="143"/>
      <c r="K218" s="143"/>
      <c r="L218" s="144"/>
    </row>
    <row r="219" spans="2:12" x14ac:dyDescent="0.25">
      <c r="B219" s="119"/>
      <c r="C219" s="103" t="s">
        <v>27</v>
      </c>
      <c r="D219" s="104" t="s">
        <v>350</v>
      </c>
      <c r="E219" s="103"/>
      <c r="F219" s="109">
        <v>40</v>
      </c>
      <c r="G219" s="120"/>
      <c r="H219" s="109"/>
      <c r="I219" s="109"/>
      <c r="J219" s="111"/>
      <c r="K219" s="111"/>
      <c r="L219" s="121"/>
    </row>
    <row r="220" spans="2:12" x14ac:dyDescent="0.25">
      <c r="B220" s="119"/>
      <c r="C220" s="103" t="s">
        <v>27</v>
      </c>
      <c r="D220" s="104" t="s">
        <v>351</v>
      </c>
      <c r="E220" s="103"/>
      <c r="F220" s="109">
        <v>16</v>
      </c>
      <c r="G220" s="120"/>
      <c r="H220" s="109"/>
      <c r="I220" s="109"/>
      <c r="J220" s="111"/>
      <c r="K220" s="111"/>
      <c r="L220" s="121"/>
    </row>
    <row r="221" spans="2:12" x14ac:dyDescent="0.25">
      <c r="B221" s="121"/>
      <c r="C221" s="103" t="s">
        <v>27</v>
      </c>
      <c r="D221" s="104" t="s">
        <v>352</v>
      </c>
      <c r="E221" s="103" t="s">
        <v>29</v>
      </c>
      <c r="F221" s="110">
        <v>1.8</v>
      </c>
      <c r="G221" s="116"/>
      <c r="H221" s="110"/>
      <c r="I221" s="110"/>
      <c r="J221" s="111"/>
      <c r="K221" s="111"/>
      <c r="L221" s="125"/>
    </row>
    <row r="222" spans="2:12" x14ac:dyDescent="0.25">
      <c r="B222" s="121"/>
      <c r="C222" s="103" t="s">
        <v>27</v>
      </c>
      <c r="D222" s="104" t="s">
        <v>353</v>
      </c>
      <c r="E222" s="103" t="s">
        <v>29</v>
      </c>
      <c r="F222" s="110">
        <v>1.8</v>
      </c>
      <c r="G222" s="116"/>
      <c r="H222" s="110"/>
      <c r="I222" s="110"/>
      <c r="J222" s="111"/>
      <c r="K222" s="111"/>
      <c r="L222" s="125"/>
    </row>
    <row r="223" spans="2:12" x14ac:dyDescent="0.25">
      <c r="B223" s="121"/>
      <c r="C223" s="103" t="s">
        <v>27</v>
      </c>
      <c r="D223" s="104" t="s">
        <v>354</v>
      </c>
      <c r="E223" s="103" t="s">
        <v>29</v>
      </c>
      <c r="F223" s="110">
        <v>1.8</v>
      </c>
      <c r="G223" s="116"/>
      <c r="H223" s="110"/>
      <c r="I223" s="110">
        <v>25</v>
      </c>
      <c r="J223" s="111" t="s">
        <v>355</v>
      </c>
      <c r="K223" s="111"/>
      <c r="L223" s="125" t="s">
        <v>356</v>
      </c>
    </row>
    <row r="224" spans="2:12" x14ac:dyDescent="0.25">
      <c r="B224" s="145"/>
      <c r="C224" s="103" t="s">
        <v>27</v>
      </c>
      <c r="D224" s="104" t="s">
        <v>357</v>
      </c>
      <c r="E224" s="103" t="s">
        <v>29</v>
      </c>
      <c r="F224" s="110">
        <v>1</v>
      </c>
      <c r="G224" s="116"/>
      <c r="H224" s="110"/>
      <c r="I224" s="110"/>
      <c r="J224" s="111"/>
      <c r="K224" s="111"/>
      <c r="L224" s="125"/>
    </row>
    <row r="225" spans="2:12" x14ac:dyDescent="0.25">
      <c r="B225" s="121"/>
      <c r="C225" s="103"/>
      <c r="D225" s="117" t="s">
        <v>358</v>
      </c>
      <c r="E225" s="103"/>
      <c r="F225" s="126" t="s">
        <v>359</v>
      </c>
      <c r="G225" s="180"/>
      <c r="H225" s="110"/>
      <c r="I225" s="110"/>
      <c r="J225" s="111"/>
      <c r="K225" s="111"/>
      <c r="L225" s="125"/>
    </row>
    <row r="226" spans="2:12" x14ac:dyDescent="0.25">
      <c r="B226" s="121"/>
      <c r="C226" s="103"/>
      <c r="D226" s="117" t="s">
        <v>360</v>
      </c>
      <c r="E226" s="103"/>
      <c r="F226" s="126" t="s">
        <v>359</v>
      </c>
      <c r="G226" s="116"/>
      <c r="H226" s="110"/>
      <c r="I226" s="110"/>
      <c r="J226" s="111"/>
      <c r="K226" s="111"/>
      <c r="L226" s="125"/>
    </row>
    <row r="227" spans="2:12" x14ac:dyDescent="0.25">
      <c r="B227" s="121"/>
      <c r="C227" s="103" t="s">
        <v>27</v>
      </c>
      <c r="D227" s="117" t="s">
        <v>361</v>
      </c>
      <c r="E227" s="103"/>
      <c r="F227" s="126">
        <v>16</v>
      </c>
      <c r="G227" s="120" t="s">
        <v>362</v>
      </c>
      <c r="H227" s="110"/>
      <c r="I227" s="110"/>
      <c r="J227" s="111"/>
      <c r="K227" s="111"/>
      <c r="L227" s="125"/>
    </row>
    <row r="228" spans="2:12" x14ac:dyDescent="0.25">
      <c r="B228" s="121"/>
      <c r="C228" s="103" t="s">
        <v>27</v>
      </c>
      <c r="D228" s="104" t="s">
        <v>363</v>
      </c>
      <c r="E228" s="103" t="s">
        <v>42</v>
      </c>
      <c r="F228" s="110" t="s">
        <v>364</v>
      </c>
      <c r="G228" s="116"/>
      <c r="H228" s="110"/>
      <c r="I228" s="110">
        <v>80.5</v>
      </c>
      <c r="J228" s="111" t="s">
        <v>365</v>
      </c>
      <c r="K228" s="111"/>
      <c r="L228" s="125" t="s">
        <v>366</v>
      </c>
    </row>
    <row r="229" spans="2:12" x14ac:dyDescent="0.25">
      <c r="B229" s="121"/>
      <c r="C229" s="103" t="s">
        <v>27</v>
      </c>
      <c r="D229" s="104" t="s">
        <v>367</v>
      </c>
      <c r="E229" s="103" t="s">
        <v>64</v>
      </c>
      <c r="F229" s="110" t="s">
        <v>364</v>
      </c>
      <c r="G229" s="116"/>
      <c r="H229" s="110"/>
      <c r="I229" s="110"/>
      <c r="J229" s="111"/>
      <c r="K229" s="111"/>
      <c r="L229" s="125"/>
    </row>
    <row r="230" spans="2:12" x14ac:dyDescent="0.25">
      <c r="B230" s="121"/>
      <c r="C230" s="103" t="s">
        <v>27</v>
      </c>
      <c r="D230" s="104" t="s">
        <v>368</v>
      </c>
      <c r="E230" s="103" t="s">
        <v>64</v>
      </c>
      <c r="F230" s="110" t="s">
        <v>364</v>
      </c>
      <c r="G230" s="116"/>
      <c r="H230" s="110"/>
      <c r="I230" s="110"/>
      <c r="J230" s="111"/>
      <c r="K230" s="111"/>
      <c r="L230" s="125"/>
    </row>
    <row r="231" spans="2:12" x14ac:dyDescent="0.25">
      <c r="B231" s="121"/>
      <c r="C231" s="103" t="s">
        <v>27</v>
      </c>
      <c r="D231" s="104" t="s">
        <v>369</v>
      </c>
      <c r="E231" s="103" t="s">
        <v>42</v>
      </c>
      <c r="F231" s="110" t="s">
        <v>364</v>
      </c>
      <c r="G231" s="116"/>
      <c r="H231" s="110"/>
      <c r="I231" s="110"/>
      <c r="J231" s="111"/>
      <c r="K231" s="111"/>
      <c r="L231" s="125"/>
    </row>
    <row r="232" spans="2:12" x14ac:dyDescent="0.25">
      <c r="B232" s="121"/>
      <c r="C232" s="103" t="s">
        <v>27</v>
      </c>
      <c r="D232" s="104" t="s">
        <v>370</v>
      </c>
      <c r="E232" s="103" t="s">
        <v>42</v>
      </c>
      <c r="F232" s="110" t="s">
        <v>364</v>
      </c>
      <c r="G232" s="116"/>
      <c r="H232" s="110"/>
      <c r="I232" s="110"/>
      <c r="J232" s="111"/>
      <c r="K232" s="111"/>
      <c r="L232" s="125"/>
    </row>
    <row r="233" spans="2:12" x14ac:dyDescent="0.25">
      <c r="B233" s="121"/>
      <c r="C233" s="103" t="s">
        <v>27</v>
      </c>
      <c r="D233" s="104" t="s">
        <v>371</v>
      </c>
      <c r="E233" s="103" t="s">
        <v>42</v>
      </c>
      <c r="F233" s="110" t="s">
        <v>364</v>
      </c>
      <c r="G233" s="116"/>
      <c r="H233" s="110"/>
      <c r="I233" s="110">
        <v>77</v>
      </c>
      <c r="J233" s="111" t="s">
        <v>365</v>
      </c>
      <c r="K233" s="111"/>
      <c r="L233" s="125" t="s">
        <v>372</v>
      </c>
    </row>
    <row r="234" spans="2:12" x14ac:dyDescent="0.25">
      <c r="B234" s="121"/>
      <c r="C234" s="103" t="s">
        <v>27</v>
      </c>
      <c r="D234" s="104" t="s">
        <v>373</v>
      </c>
      <c r="E234" s="103" t="s">
        <v>42</v>
      </c>
      <c r="F234" s="110" t="s">
        <v>364</v>
      </c>
      <c r="G234" s="116"/>
      <c r="H234" s="110"/>
      <c r="I234" s="110"/>
      <c r="J234" s="111"/>
      <c r="K234" s="111"/>
      <c r="L234" s="125"/>
    </row>
    <row r="235" spans="2:12" x14ac:dyDescent="0.25">
      <c r="B235" s="121"/>
      <c r="C235" s="103" t="s">
        <v>27</v>
      </c>
      <c r="D235" s="104" t="s">
        <v>374</v>
      </c>
      <c r="E235" s="103" t="s">
        <v>42</v>
      </c>
      <c r="F235" s="110" t="s">
        <v>364</v>
      </c>
      <c r="G235" s="116"/>
      <c r="H235" s="110"/>
      <c r="I235" s="110"/>
      <c r="J235" s="111"/>
      <c r="K235" s="111"/>
      <c r="L235" s="125"/>
    </row>
    <row r="236" spans="2:12" x14ac:dyDescent="0.25">
      <c r="B236" s="121"/>
      <c r="C236" s="103" t="s">
        <v>27</v>
      </c>
      <c r="D236" s="104" t="s">
        <v>375</v>
      </c>
      <c r="E236" s="103" t="s">
        <v>42</v>
      </c>
      <c r="F236" s="110" t="s">
        <v>364</v>
      </c>
      <c r="G236" s="116"/>
      <c r="H236" s="110"/>
      <c r="I236" s="110">
        <v>41.5</v>
      </c>
      <c r="J236" s="111" t="s">
        <v>365</v>
      </c>
      <c r="K236" s="111"/>
      <c r="L236" s="125" t="s">
        <v>376</v>
      </c>
    </row>
    <row r="237" spans="2:12" x14ac:dyDescent="0.25">
      <c r="B237" s="121"/>
      <c r="C237" s="103" t="s">
        <v>27</v>
      </c>
      <c r="D237" s="104" t="s">
        <v>377</v>
      </c>
      <c r="E237" s="103" t="s">
        <v>42</v>
      </c>
      <c r="F237" s="110" t="s">
        <v>364</v>
      </c>
      <c r="G237" s="116"/>
      <c r="H237" s="110"/>
      <c r="I237" s="110">
        <v>13</v>
      </c>
      <c r="J237" s="111" t="s">
        <v>365</v>
      </c>
      <c r="K237" s="111"/>
      <c r="L237" s="125" t="s">
        <v>378</v>
      </c>
    </row>
    <row r="238" spans="2:12" x14ac:dyDescent="0.25">
      <c r="B238" s="121"/>
      <c r="C238" s="103" t="s">
        <v>27</v>
      </c>
      <c r="D238" s="104" t="s">
        <v>379</v>
      </c>
      <c r="E238" s="103" t="s">
        <v>42</v>
      </c>
      <c r="F238" s="110" t="s">
        <v>364</v>
      </c>
      <c r="G238" s="116"/>
      <c r="H238" s="110"/>
      <c r="I238" s="110">
        <v>15</v>
      </c>
      <c r="J238" s="111" t="s">
        <v>365</v>
      </c>
      <c r="K238" s="111"/>
      <c r="L238" s="125"/>
    </row>
    <row r="239" spans="2:12" x14ac:dyDescent="0.25">
      <c r="B239" s="121"/>
      <c r="C239" s="103" t="s">
        <v>27</v>
      </c>
      <c r="D239" s="104" t="s">
        <v>380</v>
      </c>
      <c r="E239" s="103" t="s">
        <v>42</v>
      </c>
      <c r="F239" s="110" t="s">
        <v>364</v>
      </c>
      <c r="G239" s="116"/>
      <c r="H239" s="110"/>
      <c r="I239" s="110"/>
      <c r="J239" s="111"/>
      <c r="K239" s="111"/>
      <c r="L239" s="125"/>
    </row>
    <row r="240" spans="2:12" x14ac:dyDescent="0.25">
      <c r="B240" s="121"/>
      <c r="C240" s="103" t="s">
        <v>27</v>
      </c>
      <c r="D240" s="104" t="s">
        <v>381</v>
      </c>
      <c r="E240" s="103" t="s">
        <v>42</v>
      </c>
      <c r="F240" s="110" t="s">
        <v>364</v>
      </c>
      <c r="G240" s="116"/>
      <c r="H240" s="110"/>
      <c r="I240" s="110"/>
      <c r="J240" s="111"/>
      <c r="K240" s="111"/>
      <c r="L240" s="125"/>
    </row>
    <row r="241" spans="2:12" x14ac:dyDescent="0.25">
      <c r="B241" s="121"/>
      <c r="C241" s="103" t="s">
        <v>27</v>
      </c>
      <c r="D241" s="104" t="s">
        <v>382</v>
      </c>
      <c r="E241" s="103" t="s">
        <v>42</v>
      </c>
      <c r="F241" s="110">
        <v>10</v>
      </c>
      <c r="G241" s="121"/>
      <c r="H241" s="110"/>
      <c r="I241" s="110">
        <v>10</v>
      </c>
      <c r="J241" s="111" t="s">
        <v>383</v>
      </c>
      <c r="K241" s="111"/>
      <c r="L241" s="125"/>
    </row>
    <row r="242" spans="2:12" ht="38.25" x14ac:dyDescent="0.25">
      <c r="B242" s="121"/>
      <c r="C242" s="103" t="s">
        <v>27</v>
      </c>
      <c r="D242" s="115" t="s">
        <v>384</v>
      </c>
      <c r="E242" s="103" t="s">
        <v>29</v>
      </c>
      <c r="F242" s="110">
        <v>50</v>
      </c>
      <c r="G242" s="118" t="s">
        <v>385</v>
      </c>
      <c r="H242" s="110"/>
      <c r="I242" s="110"/>
      <c r="J242" s="111"/>
      <c r="K242" s="111"/>
      <c r="L242" s="125"/>
    </row>
    <row r="243" spans="2:12" x14ac:dyDescent="0.25">
      <c r="B243" s="121"/>
      <c r="C243" s="103" t="s">
        <v>27</v>
      </c>
      <c r="D243" s="104" t="s">
        <v>386</v>
      </c>
      <c r="E243" s="103" t="s">
        <v>42</v>
      </c>
      <c r="F243" s="110">
        <v>20</v>
      </c>
      <c r="G243" s="121"/>
      <c r="H243" s="110"/>
      <c r="I243" s="110"/>
      <c r="J243" s="111"/>
      <c r="K243" s="111"/>
      <c r="L243" s="125"/>
    </row>
    <row r="244" spans="2:12" x14ac:dyDescent="0.25">
      <c r="B244" s="121"/>
      <c r="C244" s="103" t="s">
        <v>27</v>
      </c>
      <c r="D244" s="104" t="s">
        <v>387</v>
      </c>
      <c r="E244" s="103" t="s">
        <v>64</v>
      </c>
      <c r="F244" s="110">
        <v>50</v>
      </c>
      <c r="G244" s="121"/>
      <c r="H244" s="110"/>
      <c r="I244" s="110"/>
      <c r="J244" s="111"/>
      <c r="K244" s="111"/>
      <c r="L244" s="125"/>
    </row>
    <row r="245" spans="2:12" x14ac:dyDescent="0.2">
      <c r="B245" s="121"/>
      <c r="C245" s="103" t="s">
        <v>27</v>
      </c>
      <c r="D245" s="191" t="s">
        <v>388</v>
      </c>
      <c r="E245" s="103" t="s">
        <v>42</v>
      </c>
      <c r="F245" s="110">
        <v>10</v>
      </c>
      <c r="G245" s="121"/>
      <c r="H245" s="110"/>
      <c r="I245" s="110"/>
      <c r="J245" s="111"/>
      <c r="K245" s="111"/>
      <c r="L245" s="125"/>
    </row>
    <row r="246" spans="2:12" x14ac:dyDescent="0.25">
      <c r="B246" s="121"/>
      <c r="C246" s="103" t="s">
        <v>27</v>
      </c>
      <c r="D246" s="104" t="s">
        <v>389</v>
      </c>
      <c r="E246" s="103" t="s">
        <v>29</v>
      </c>
      <c r="F246" s="110">
        <v>10</v>
      </c>
      <c r="G246" s="121"/>
      <c r="H246" s="110"/>
      <c r="I246" s="110">
        <v>8</v>
      </c>
      <c r="J246" s="111" t="s">
        <v>383</v>
      </c>
      <c r="K246" s="111"/>
      <c r="L246" s="125"/>
    </row>
    <row r="247" spans="2:12" x14ac:dyDescent="0.25">
      <c r="B247" s="121"/>
      <c r="C247" s="103" t="s">
        <v>27</v>
      </c>
      <c r="D247" s="104" t="s">
        <v>390</v>
      </c>
      <c r="E247" s="103" t="s">
        <v>64</v>
      </c>
      <c r="F247" s="110" t="s">
        <v>364</v>
      </c>
      <c r="G247" s="116"/>
      <c r="H247" s="110"/>
      <c r="I247" s="110"/>
      <c r="J247" s="111"/>
      <c r="K247" s="111"/>
      <c r="L247" s="125"/>
    </row>
    <row r="248" spans="2:12" x14ac:dyDescent="0.25">
      <c r="B248" s="121"/>
      <c r="C248" s="103" t="s">
        <v>27</v>
      </c>
      <c r="D248" s="104" t="s">
        <v>391</v>
      </c>
      <c r="E248" s="103" t="s">
        <v>42</v>
      </c>
      <c r="F248" s="110" t="s">
        <v>364</v>
      </c>
      <c r="G248" s="116"/>
      <c r="H248" s="110"/>
      <c r="I248" s="110"/>
      <c r="J248" s="111"/>
      <c r="K248" s="111"/>
      <c r="L248" s="125"/>
    </row>
    <row r="249" spans="2:12" x14ac:dyDescent="0.25">
      <c r="B249" s="121"/>
      <c r="C249" s="103" t="s">
        <v>27</v>
      </c>
      <c r="D249" s="104" t="s">
        <v>392</v>
      </c>
      <c r="E249" s="103" t="s">
        <v>29</v>
      </c>
      <c r="F249" s="110" t="s">
        <v>364</v>
      </c>
      <c r="G249" s="116"/>
      <c r="H249" s="110"/>
      <c r="I249" s="110"/>
      <c r="J249" s="111"/>
      <c r="K249" s="111"/>
      <c r="L249" s="125"/>
    </row>
    <row r="250" spans="2:12" x14ac:dyDescent="0.25">
      <c r="B250" s="121"/>
      <c r="C250" s="103" t="s">
        <v>27</v>
      </c>
      <c r="D250" s="104" t="s">
        <v>393</v>
      </c>
      <c r="E250" s="103" t="s">
        <v>42</v>
      </c>
      <c r="F250" s="110" t="s">
        <v>364</v>
      </c>
      <c r="G250" s="116"/>
      <c r="H250" s="110"/>
      <c r="I250" s="110">
        <v>75</v>
      </c>
      <c r="J250" s="111" t="s">
        <v>394</v>
      </c>
      <c r="K250" s="111"/>
      <c r="L250" s="125" t="s">
        <v>395</v>
      </c>
    </row>
    <row r="251" spans="2:12" x14ac:dyDescent="0.25">
      <c r="B251" s="121"/>
      <c r="C251" s="103" t="s">
        <v>27</v>
      </c>
      <c r="D251" s="104" t="s">
        <v>396</v>
      </c>
      <c r="E251" s="103" t="s">
        <v>42</v>
      </c>
      <c r="F251" s="110" t="s">
        <v>364</v>
      </c>
      <c r="G251" s="116"/>
      <c r="H251" s="110"/>
      <c r="I251" s="110"/>
      <c r="J251" s="111"/>
      <c r="K251" s="111"/>
      <c r="L251" s="125"/>
    </row>
    <row r="252" spans="2:12" x14ac:dyDescent="0.25">
      <c r="B252" s="121"/>
      <c r="C252" s="103" t="s">
        <v>27</v>
      </c>
      <c r="D252" s="104" t="s">
        <v>397</v>
      </c>
      <c r="E252" s="103" t="s">
        <v>42</v>
      </c>
      <c r="F252" s="110" t="s">
        <v>364</v>
      </c>
      <c r="G252" s="116"/>
      <c r="H252" s="110"/>
      <c r="I252" s="110"/>
      <c r="J252" s="111"/>
      <c r="K252" s="111"/>
      <c r="L252" s="125"/>
    </row>
    <row r="253" spans="2:12" x14ac:dyDescent="0.25">
      <c r="B253" s="121"/>
      <c r="C253" s="103" t="s">
        <v>27</v>
      </c>
      <c r="D253" s="104" t="s">
        <v>398</v>
      </c>
      <c r="E253" s="103" t="s">
        <v>42</v>
      </c>
      <c r="F253" s="110" t="s">
        <v>364</v>
      </c>
      <c r="G253" s="116"/>
      <c r="H253" s="110"/>
      <c r="I253" s="110"/>
      <c r="J253" s="111"/>
      <c r="K253" s="111"/>
      <c r="L253" s="125"/>
    </row>
    <row r="254" spans="2:12" x14ac:dyDescent="0.25">
      <c r="B254" s="145"/>
      <c r="C254" s="103" t="s">
        <v>27</v>
      </c>
      <c r="D254" s="104" t="s">
        <v>399</v>
      </c>
      <c r="E254" s="103"/>
      <c r="F254" s="110">
        <v>10</v>
      </c>
      <c r="G254" s="116"/>
      <c r="H254" s="110"/>
      <c r="I254" s="110"/>
      <c r="J254" s="111"/>
      <c r="K254" s="111"/>
      <c r="L254" s="125"/>
    </row>
    <row r="255" spans="2:12" x14ac:dyDescent="0.25">
      <c r="B255" s="145"/>
      <c r="C255" s="103" t="s">
        <v>27</v>
      </c>
      <c r="D255" s="104" t="s">
        <v>400</v>
      </c>
      <c r="E255" s="103"/>
      <c r="F255" s="110">
        <v>4</v>
      </c>
      <c r="G255" s="116"/>
      <c r="H255" s="110"/>
      <c r="I255" s="110"/>
      <c r="J255" s="111"/>
      <c r="K255" s="111"/>
      <c r="L255" s="125"/>
    </row>
    <row r="256" spans="2:12" x14ac:dyDescent="0.25">
      <c r="B256" s="145"/>
      <c r="C256" s="103" t="s">
        <v>27</v>
      </c>
      <c r="D256" s="104" t="s">
        <v>401</v>
      </c>
      <c r="E256" s="103"/>
      <c r="F256" s="110">
        <v>20</v>
      </c>
      <c r="G256" s="116"/>
      <c r="H256" s="110"/>
      <c r="I256" s="110"/>
      <c r="J256" s="111"/>
      <c r="K256" s="111"/>
      <c r="L256" s="125"/>
    </row>
    <row r="257" spans="2:12" x14ac:dyDescent="0.25">
      <c r="B257" s="145"/>
      <c r="C257" s="103" t="s">
        <v>27</v>
      </c>
      <c r="D257" s="104" t="s">
        <v>402</v>
      </c>
      <c r="E257" s="103"/>
      <c r="F257" s="110">
        <v>12</v>
      </c>
      <c r="G257" s="116"/>
      <c r="H257" s="110"/>
      <c r="I257" s="110"/>
      <c r="J257" s="111"/>
      <c r="K257" s="111"/>
      <c r="L257" s="125"/>
    </row>
    <row r="258" spans="2:12" x14ac:dyDescent="0.25">
      <c r="B258" s="121"/>
      <c r="C258" s="103" t="s">
        <v>27</v>
      </c>
      <c r="D258" s="104" t="s">
        <v>403</v>
      </c>
      <c r="E258" s="103" t="s">
        <v>29</v>
      </c>
      <c r="F258" s="110">
        <v>20</v>
      </c>
      <c r="G258" s="116"/>
      <c r="H258" s="110"/>
      <c r="I258" s="110"/>
      <c r="J258" s="111"/>
      <c r="K258" s="111"/>
      <c r="L258" s="125"/>
    </row>
    <row r="259" spans="2:12" x14ac:dyDescent="0.25">
      <c r="B259" s="138" t="s">
        <v>404</v>
      </c>
      <c r="C259" s="139"/>
      <c r="D259" s="140"/>
      <c r="E259" s="139"/>
      <c r="F259" s="141"/>
      <c r="G259" s="142"/>
      <c r="H259" s="141"/>
      <c r="I259" s="141"/>
      <c r="J259" s="143"/>
      <c r="K259" s="143"/>
      <c r="L259" s="144"/>
    </row>
    <row r="260" spans="2:12" x14ac:dyDescent="0.25">
      <c r="B260" s="121"/>
      <c r="C260" s="103" t="s">
        <v>27</v>
      </c>
      <c r="D260" s="104" t="s">
        <v>405</v>
      </c>
      <c r="E260" s="103" t="s">
        <v>29</v>
      </c>
      <c r="F260" s="110" t="s">
        <v>364</v>
      </c>
      <c r="G260" s="116"/>
      <c r="H260" s="110"/>
      <c r="I260" s="110"/>
      <c r="J260" s="111"/>
      <c r="K260" s="111"/>
      <c r="L260" s="125"/>
    </row>
    <row r="261" spans="2:12" x14ac:dyDescent="0.25">
      <c r="B261" s="121"/>
      <c r="C261" s="103" t="s">
        <v>27</v>
      </c>
      <c r="D261" s="104" t="s">
        <v>406</v>
      </c>
      <c r="E261" s="103" t="s">
        <v>29</v>
      </c>
      <c r="F261" s="110" t="s">
        <v>364</v>
      </c>
      <c r="G261" s="116"/>
      <c r="H261" s="110"/>
      <c r="I261" s="110"/>
      <c r="J261" s="111"/>
      <c r="K261" s="111"/>
      <c r="L261" s="125"/>
    </row>
    <row r="262" spans="2:12" x14ac:dyDescent="0.25">
      <c r="B262" s="121"/>
      <c r="C262" s="103" t="s">
        <v>27</v>
      </c>
      <c r="D262" s="104" t="s">
        <v>407</v>
      </c>
      <c r="E262" s="103" t="s">
        <v>29</v>
      </c>
      <c r="F262" s="110" t="s">
        <v>364</v>
      </c>
      <c r="G262" s="116"/>
      <c r="H262" s="110"/>
      <c r="I262" s="110"/>
      <c r="J262" s="111"/>
      <c r="K262" s="111"/>
      <c r="L262" s="125"/>
    </row>
    <row r="263" spans="2:12" x14ac:dyDescent="0.25">
      <c r="B263" s="121"/>
      <c r="C263" s="103" t="s">
        <v>27</v>
      </c>
      <c r="D263" s="104" t="s">
        <v>408</v>
      </c>
      <c r="E263" s="103" t="s">
        <v>29</v>
      </c>
      <c r="F263" s="110" t="s">
        <v>364</v>
      </c>
      <c r="G263" s="116"/>
      <c r="H263" s="110"/>
      <c r="I263" s="110"/>
      <c r="J263" s="111"/>
      <c r="K263" s="111"/>
      <c r="L263" s="125"/>
    </row>
    <row r="264" spans="2:12" x14ac:dyDescent="0.25">
      <c r="B264" s="121"/>
      <c r="C264" s="103" t="s">
        <v>27</v>
      </c>
      <c r="D264" s="104" t="s">
        <v>409</v>
      </c>
      <c r="E264" s="103" t="s">
        <v>29</v>
      </c>
      <c r="F264" s="110" t="s">
        <v>364</v>
      </c>
      <c r="G264" s="116"/>
      <c r="H264" s="110"/>
      <c r="I264" s="110"/>
      <c r="J264" s="111"/>
      <c r="K264" s="111"/>
      <c r="L264" s="125"/>
    </row>
    <row r="265" spans="2:12" x14ac:dyDescent="0.25">
      <c r="B265" s="121"/>
      <c r="C265" s="103" t="s">
        <v>27</v>
      </c>
      <c r="D265" s="104" t="s">
        <v>410</v>
      </c>
      <c r="E265" s="103" t="s">
        <v>29</v>
      </c>
      <c r="F265" s="110" t="s">
        <v>364</v>
      </c>
      <c r="G265" s="116"/>
      <c r="H265" s="110"/>
      <c r="I265" s="110">
        <v>15</v>
      </c>
      <c r="J265" s="111" t="s">
        <v>411</v>
      </c>
      <c r="K265" s="111"/>
      <c r="L265" s="125" t="s">
        <v>412</v>
      </c>
    </row>
    <row r="266" spans="2:12" x14ac:dyDescent="0.25">
      <c r="B266" s="121"/>
      <c r="C266" s="103" t="s">
        <v>27</v>
      </c>
      <c r="D266" s="104" t="s">
        <v>413</v>
      </c>
      <c r="E266" s="103" t="s">
        <v>29</v>
      </c>
      <c r="F266" s="110" t="s">
        <v>364</v>
      </c>
      <c r="G266" s="116"/>
      <c r="H266" s="110"/>
      <c r="I266" s="110">
        <v>29.5</v>
      </c>
      <c r="J266" s="111" t="s">
        <v>411</v>
      </c>
      <c r="K266" s="111"/>
      <c r="L266" s="125" t="s">
        <v>414</v>
      </c>
    </row>
    <row r="267" spans="2:12" x14ac:dyDescent="0.25">
      <c r="B267" s="121"/>
      <c r="C267" s="103" t="s">
        <v>27</v>
      </c>
      <c r="D267" s="104" t="s">
        <v>415</v>
      </c>
      <c r="E267" s="103" t="s">
        <v>29</v>
      </c>
      <c r="F267" s="110">
        <v>5.5</v>
      </c>
      <c r="G267" s="122"/>
      <c r="H267" s="110"/>
      <c r="I267" s="110"/>
      <c r="J267" s="111"/>
      <c r="K267" s="111"/>
      <c r="L267" s="125"/>
    </row>
    <row r="268" spans="2:12" x14ac:dyDescent="0.25">
      <c r="B268" s="121"/>
      <c r="C268" s="103" t="s">
        <v>27</v>
      </c>
      <c r="D268" s="104" t="s">
        <v>416</v>
      </c>
      <c r="E268" s="103" t="s">
        <v>29</v>
      </c>
      <c r="F268" s="110" t="s">
        <v>364</v>
      </c>
      <c r="G268" s="116"/>
      <c r="H268" s="110"/>
      <c r="I268" s="110"/>
      <c r="J268" s="111"/>
      <c r="K268" s="111"/>
      <c r="L268" s="125"/>
    </row>
    <row r="269" spans="2:12" x14ac:dyDescent="0.25">
      <c r="B269" s="121"/>
      <c r="C269" s="103" t="s">
        <v>27</v>
      </c>
      <c r="D269" s="104" t="s">
        <v>417</v>
      </c>
      <c r="E269" s="103" t="s">
        <v>29</v>
      </c>
      <c r="F269" s="110" t="s">
        <v>364</v>
      </c>
      <c r="G269" s="116"/>
      <c r="H269" s="110"/>
      <c r="I269" s="110">
        <v>41.5</v>
      </c>
      <c r="J269" s="111" t="s">
        <v>418</v>
      </c>
      <c r="K269" s="111"/>
      <c r="L269" s="125" t="s">
        <v>419</v>
      </c>
    </row>
    <row r="270" spans="2:12" x14ac:dyDescent="0.25">
      <c r="B270" s="121"/>
      <c r="C270" s="103" t="s">
        <v>27</v>
      </c>
      <c r="D270" s="104" t="s">
        <v>420</v>
      </c>
      <c r="E270" s="103" t="s">
        <v>29</v>
      </c>
      <c r="F270" s="110" t="s">
        <v>364</v>
      </c>
      <c r="G270" s="116"/>
      <c r="H270" s="110"/>
      <c r="I270" s="110"/>
      <c r="J270" s="111"/>
      <c r="K270" s="111"/>
      <c r="L270" s="125"/>
    </row>
    <row r="271" spans="2:12" x14ac:dyDescent="0.25">
      <c r="B271" s="145"/>
      <c r="C271" s="103" t="s">
        <v>27</v>
      </c>
      <c r="D271" s="104" t="s">
        <v>421</v>
      </c>
      <c r="E271" s="103" t="s">
        <v>29</v>
      </c>
      <c r="F271" s="110">
        <v>20</v>
      </c>
      <c r="G271" s="116"/>
      <c r="H271" s="110"/>
      <c r="I271" s="110"/>
      <c r="J271" s="111"/>
      <c r="K271" s="111"/>
      <c r="L271" s="125"/>
    </row>
    <row r="272" spans="2:12" x14ac:dyDescent="0.25">
      <c r="B272" s="145"/>
      <c r="C272" s="103" t="s">
        <v>27</v>
      </c>
      <c r="D272" s="104" t="s">
        <v>422</v>
      </c>
      <c r="E272" s="103" t="s">
        <v>29</v>
      </c>
      <c r="F272" s="110">
        <v>8</v>
      </c>
      <c r="G272" s="116"/>
      <c r="H272" s="110"/>
      <c r="I272" s="110"/>
      <c r="J272" s="111"/>
      <c r="K272" s="111"/>
      <c r="L272" s="125"/>
    </row>
    <row r="273" spans="2:12" x14ac:dyDescent="0.25">
      <c r="B273" s="121"/>
      <c r="C273" s="103" t="s">
        <v>27</v>
      </c>
      <c r="D273" s="104" t="s">
        <v>423</v>
      </c>
      <c r="E273" s="103" t="s">
        <v>29</v>
      </c>
      <c r="F273" s="110" t="s">
        <v>364</v>
      </c>
      <c r="G273" s="116"/>
      <c r="H273" s="110"/>
      <c r="I273" s="110"/>
      <c r="J273" s="111"/>
      <c r="K273" s="111"/>
      <c r="L273" s="125"/>
    </row>
    <row r="274" spans="2:12" x14ac:dyDescent="0.25">
      <c r="B274" s="121"/>
      <c r="C274" s="103" t="s">
        <v>27</v>
      </c>
      <c r="D274" s="104" t="s">
        <v>424</v>
      </c>
      <c r="E274" s="103" t="s">
        <v>29</v>
      </c>
      <c r="F274" s="110" t="s">
        <v>364</v>
      </c>
      <c r="G274" s="116"/>
      <c r="H274" s="110"/>
      <c r="I274" s="110"/>
      <c r="J274" s="111"/>
      <c r="K274" s="111"/>
      <c r="L274" s="125"/>
    </row>
    <row r="275" spans="2:12" x14ac:dyDescent="0.25">
      <c r="B275" s="121"/>
      <c r="C275" s="103" t="s">
        <v>27</v>
      </c>
      <c r="D275" s="104" t="s">
        <v>425</v>
      </c>
      <c r="E275" s="103" t="s">
        <v>29</v>
      </c>
      <c r="F275" s="110" t="s">
        <v>364</v>
      </c>
      <c r="G275" s="116"/>
      <c r="H275" s="110"/>
      <c r="I275" s="110">
        <v>12</v>
      </c>
      <c r="J275" s="111" t="s">
        <v>426</v>
      </c>
      <c r="K275" s="111"/>
      <c r="L275" s="125" t="s">
        <v>427</v>
      </c>
    </row>
    <row r="276" spans="2:12" x14ac:dyDescent="0.25">
      <c r="B276" s="121"/>
      <c r="C276" s="103" t="s">
        <v>27</v>
      </c>
      <c r="D276" s="104" t="s">
        <v>428</v>
      </c>
      <c r="E276" s="103" t="s">
        <v>29</v>
      </c>
      <c r="F276" s="110" t="s">
        <v>364</v>
      </c>
      <c r="G276" s="116"/>
      <c r="H276" s="110"/>
      <c r="I276" s="110"/>
      <c r="J276" s="111"/>
      <c r="K276" s="111"/>
      <c r="L276" s="125"/>
    </row>
    <row r="277" spans="2:12" x14ac:dyDescent="0.25">
      <c r="B277" s="121"/>
      <c r="C277" s="103" t="s">
        <v>27</v>
      </c>
      <c r="D277" s="104" t="s">
        <v>429</v>
      </c>
      <c r="E277" s="103" t="s">
        <v>29</v>
      </c>
      <c r="F277" s="110" t="s">
        <v>364</v>
      </c>
      <c r="G277" s="116"/>
      <c r="H277" s="110"/>
      <c r="I277" s="110"/>
      <c r="J277" s="111"/>
      <c r="K277" s="111"/>
      <c r="L277" s="125"/>
    </row>
    <row r="278" spans="2:12" x14ac:dyDescent="0.25">
      <c r="B278" s="121"/>
      <c r="C278" s="103" t="s">
        <v>27</v>
      </c>
      <c r="D278" s="104" t="s">
        <v>430</v>
      </c>
      <c r="E278" s="103" t="s">
        <v>29</v>
      </c>
      <c r="F278" s="110" t="s">
        <v>364</v>
      </c>
      <c r="G278" s="116"/>
      <c r="H278" s="110"/>
      <c r="I278" s="110">
        <v>40</v>
      </c>
      <c r="J278" s="111" t="s">
        <v>431</v>
      </c>
      <c r="K278" s="111"/>
      <c r="L278" s="125" t="s">
        <v>432</v>
      </c>
    </row>
    <row r="279" spans="2:12" x14ac:dyDescent="0.25">
      <c r="B279" s="121"/>
      <c r="C279" s="103" t="s">
        <v>27</v>
      </c>
      <c r="D279" s="104" t="s">
        <v>433</v>
      </c>
      <c r="E279" s="103" t="s">
        <v>29</v>
      </c>
      <c r="F279" s="110" t="s">
        <v>364</v>
      </c>
      <c r="G279" s="116"/>
      <c r="H279" s="110"/>
      <c r="I279" s="110"/>
      <c r="J279" s="111"/>
      <c r="K279" s="111"/>
      <c r="L279" s="125"/>
    </row>
    <row r="280" spans="2:12" s="112" customFormat="1" x14ac:dyDescent="0.25">
      <c r="B280" s="146" t="s">
        <v>434</v>
      </c>
      <c r="C280" s="139"/>
      <c r="D280" s="140"/>
      <c r="E280" s="139"/>
      <c r="F280" s="147"/>
      <c r="G280" s="148"/>
      <c r="H280" s="147"/>
      <c r="I280" s="143"/>
      <c r="J280" s="143"/>
      <c r="K280" s="143"/>
      <c r="L280" s="148"/>
    </row>
    <row r="281" spans="2:12" x14ac:dyDescent="0.25">
      <c r="B281" s="145"/>
      <c r="C281" s="103"/>
      <c r="D281" s="104" t="s">
        <v>435</v>
      </c>
      <c r="F281" s="103">
        <v>2</v>
      </c>
      <c r="G281" s="122" t="s">
        <v>436</v>
      </c>
    </row>
    <row r="282" spans="2:12" x14ac:dyDescent="0.25">
      <c r="B282" s="145"/>
      <c r="C282" s="103"/>
      <c r="D282" s="104" t="s">
        <v>437</v>
      </c>
      <c r="F282" s="103">
        <v>5</v>
      </c>
      <c r="G282" s="122"/>
    </row>
    <row r="283" spans="2:12" x14ac:dyDescent="0.25">
      <c r="B283" s="121"/>
      <c r="C283" s="103"/>
      <c r="D283" s="104" t="s">
        <v>438</v>
      </c>
      <c r="F283" s="103">
        <v>2</v>
      </c>
      <c r="G283" s="122" t="s">
        <v>439</v>
      </c>
    </row>
    <row r="284" spans="2:12" x14ac:dyDescent="0.25">
      <c r="B284" s="121"/>
      <c r="C284" s="103"/>
      <c r="D284" s="104" t="s">
        <v>440</v>
      </c>
      <c r="F284" s="103">
        <v>2</v>
      </c>
      <c r="G284" s="122"/>
    </row>
    <row r="285" spans="2:12" x14ac:dyDescent="0.25">
      <c r="B285" s="145"/>
      <c r="C285" s="103"/>
      <c r="D285" s="104" t="s">
        <v>441</v>
      </c>
      <c r="F285" s="103">
        <v>4</v>
      </c>
      <c r="G285" s="122"/>
    </row>
    <row r="286" spans="2:12" x14ac:dyDescent="0.25">
      <c r="B286" s="145"/>
      <c r="C286" s="103"/>
      <c r="D286" s="104" t="s">
        <v>442</v>
      </c>
      <c r="F286" s="103">
        <v>2</v>
      </c>
      <c r="G286" s="122"/>
    </row>
    <row r="287" spans="2:12" x14ac:dyDescent="0.25">
      <c r="B287" s="121"/>
      <c r="C287" s="103"/>
      <c r="D287" s="104" t="s">
        <v>443</v>
      </c>
      <c r="F287" s="103">
        <v>2</v>
      </c>
      <c r="G287" s="122" t="s">
        <v>436</v>
      </c>
    </row>
    <row r="288" spans="2:12" x14ac:dyDescent="0.25">
      <c r="B288" s="121"/>
      <c r="C288" s="103"/>
      <c r="D288" s="104" t="s">
        <v>444</v>
      </c>
      <c r="F288" s="103">
        <v>3</v>
      </c>
      <c r="G288" s="122"/>
    </row>
    <row r="289" spans="1:12" x14ac:dyDescent="0.25">
      <c r="B289" s="145"/>
      <c r="C289" s="103"/>
      <c r="D289" s="104" t="s">
        <v>445</v>
      </c>
      <c r="F289" s="103">
        <v>2</v>
      </c>
      <c r="G289" s="122" t="s">
        <v>439</v>
      </c>
    </row>
    <row r="290" spans="1:12" x14ac:dyDescent="0.25">
      <c r="B290" s="145"/>
      <c r="C290" s="103"/>
      <c r="D290" s="104" t="s">
        <v>446</v>
      </c>
      <c r="F290" s="103">
        <v>2</v>
      </c>
      <c r="G290" s="122"/>
    </row>
    <row r="291" spans="1:12" x14ac:dyDescent="0.25">
      <c r="B291" s="121"/>
      <c r="C291" s="103"/>
      <c r="D291" s="104" t="s">
        <v>447</v>
      </c>
      <c r="F291" s="103">
        <v>2</v>
      </c>
      <c r="G291" s="122"/>
    </row>
    <row r="292" spans="1:12" x14ac:dyDescent="0.25">
      <c r="B292" s="121"/>
      <c r="C292" s="103"/>
      <c r="D292" s="104" t="s">
        <v>448</v>
      </c>
      <c r="F292" s="103">
        <v>4</v>
      </c>
      <c r="G292" s="122"/>
    </row>
    <row r="293" spans="1:12" x14ac:dyDescent="0.25">
      <c r="B293" s="145"/>
      <c r="C293" s="103"/>
      <c r="D293" s="104" t="s">
        <v>449</v>
      </c>
      <c r="F293" s="103">
        <v>5</v>
      </c>
      <c r="G293" s="122"/>
    </row>
    <row r="294" spans="1:12" s="176" customFormat="1" x14ac:dyDescent="0.25">
      <c r="A294" s="100"/>
      <c r="B294" s="145"/>
      <c r="C294" s="103"/>
      <c r="D294" s="104" t="s">
        <v>450</v>
      </c>
      <c r="F294" s="103">
        <v>2</v>
      </c>
      <c r="G294" s="122"/>
      <c r="H294" s="96"/>
      <c r="I294" s="96"/>
      <c r="J294" s="98"/>
      <c r="K294" s="98"/>
      <c r="L294" s="99"/>
    </row>
    <row r="295" spans="1:12" s="176" customFormat="1" x14ac:dyDescent="0.25">
      <c r="A295" s="100"/>
      <c r="B295" s="121"/>
      <c r="C295" s="103"/>
      <c r="D295" s="104" t="s">
        <v>451</v>
      </c>
      <c r="F295" s="103">
        <v>2</v>
      </c>
      <c r="G295" s="122" t="s">
        <v>439</v>
      </c>
      <c r="H295" s="96"/>
      <c r="I295" s="96"/>
      <c r="J295" s="98"/>
      <c r="K295" s="98"/>
      <c r="L295" s="99"/>
    </row>
    <row r="296" spans="1:12" x14ac:dyDescent="0.25">
      <c r="B296" s="121"/>
      <c r="C296" s="103"/>
      <c r="D296" s="104" t="s">
        <v>452</v>
      </c>
      <c r="F296" s="103">
        <v>2</v>
      </c>
      <c r="G296" s="122"/>
    </row>
    <row r="297" spans="1:12" x14ac:dyDescent="0.25">
      <c r="B297" s="145"/>
      <c r="C297" s="103"/>
      <c r="D297" s="104" t="s">
        <v>453</v>
      </c>
      <c r="F297" s="103">
        <v>4</v>
      </c>
      <c r="G297" s="122" t="s">
        <v>333</v>
      </c>
    </row>
    <row r="298" spans="1:12" x14ac:dyDescent="0.25">
      <c r="B298" s="145"/>
      <c r="C298" s="103"/>
      <c r="D298" s="104" t="s">
        <v>454</v>
      </c>
      <c r="F298" s="103">
        <v>3</v>
      </c>
      <c r="G298" s="122"/>
    </row>
    <row r="299" spans="1:12" x14ac:dyDescent="0.25">
      <c r="B299" s="145"/>
      <c r="C299" s="103"/>
      <c r="D299" s="104" t="s">
        <v>455</v>
      </c>
      <c r="F299" s="103">
        <v>3</v>
      </c>
      <c r="G299" s="122"/>
    </row>
    <row r="300" spans="1:12" x14ac:dyDescent="0.25">
      <c r="B300" s="121"/>
      <c r="C300" s="103"/>
      <c r="D300" s="104" t="s">
        <v>456</v>
      </c>
      <c r="F300" s="103">
        <v>9</v>
      </c>
      <c r="G300" s="122"/>
    </row>
    <row r="301" spans="1:12" x14ac:dyDescent="0.25">
      <c r="B301" s="121"/>
      <c r="C301" s="103"/>
      <c r="D301" s="104" t="s">
        <v>457</v>
      </c>
      <c r="F301" s="103">
        <v>7</v>
      </c>
      <c r="G301" s="122" t="s">
        <v>458</v>
      </c>
    </row>
    <row r="302" spans="1:12" x14ac:dyDescent="0.25">
      <c r="B302" s="145"/>
      <c r="C302" s="103"/>
      <c r="D302" s="104" t="s">
        <v>459</v>
      </c>
      <c r="F302" s="103">
        <v>30</v>
      </c>
      <c r="G302" s="122" t="s">
        <v>439</v>
      </c>
    </row>
    <row r="303" spans="1:12" x14ac:dyDescent="0.25">
      <c r="B303" s="145"/>
      <c r="C303" s="103"/>
      <c r="D303" s="104" t="s">
        <v>460</v>
      </c>
      <c r="F303" s="103">
        <v>30</v>
      </c>
      <c r="G303" s="122" t="s">
        <v>439</v>
      </c>
    </row>
    <row r="304" spans="1:12" x14ac:dyDescent="0.25">
      <c r="B304" s="121"/>
      <c r="C304" s="103"/>
      <c r="D304" s="104" t="s">
        <v>461</v>
      </c>
      <c r="F304" s="103">
        <v>2</v>
      </c>
      <c r="G304" s="122" t="s">
        <v>462</v>
      </c>
    </row>
    <row r="305" spans="1:12" x14ac:dyDescent="0.25">
      <c r="A305" s="176"/>
      <c r="B305" s="121"/>
      <c r="C305" s="103"/>
      <c r="D305" s="104" t="s">
        <v>463</v>
      </c>
      <c r="F305" s="103">
        <v>5</v>
      </c>
      <c r="G305" s="122"/>
      <c r="H305" s="184"/>
      <c r="I305" s="184"/>
      <c r="J305" s="185"/>
      <c r="K305" s="185"/>
      <c r="L305" s="186"/>
    </row>
    <row r="306" spans="1:12" ht="12.95" customHeight="1" x14ac:dyDescent="0.25">
      <c r="B306" s="119"/>
      <c r="C306" s="103" t="s">
        <v>27</v>
      </c>
      <c r="D306" s="104" t="s">
        <v>464</v>
      </c>
      <c r="E306" s="103" t="s">
        <v>42</v>
      </c>
      <c r="F306" s="109">
        <v>10</v>
      </c>
      <c r="G306" s="570" t="s">
        <v>465</v>
      </c>
      <c r="H306" s="109"/>
      <c r="I306" s="109"/>
      <c r="J306" s="111"/>
      <c r="K306" s="111"/>
      <c r="L306" s="121"/>
    </row>
    <row r="307" spans="1:12" x14ac:dyDescent="0.25">
      <c r="B307" s="119"/>
      <c r="C307" s="103" t="s">
        <v>27</v>
      </c>
      <c r="D307" s="104" t="s">
        <v>466</v>
      </c>
      <c r="E307" s="103" t="s">
        <v>42</v>
      </c>
      <c r="F307" s="109">
        <v>15</v>
      </c>
      <c r="G307" s="571"/>
      <c r="H307" s="109"/>
      <c r="I307" s="109"/>
      <c r="J307" s="111"/>
      <c r="K307" s="111"/>
      <c r="L307" s="121"/>
    </row>
    <row r="308" spans="1:12" x14ac:dyDescent="0.25">
      <c r="B308" s="119"/>
      <c r="C308" s="103" t="s">
        <v>27</v>
      </c>
      <c r="D308" s="104" t="s">
        <v>467</v>
      </c>
      <c r="E308" s="103" t="s">
        <v>42</v>
      </c>
      <c r="F308" s="109">
        <v>20</v>
      </c>
      <c r="G308" s="571"/>
      <c r="H308" s="109"/>
      <c r="I308" s="109"/>
      <c r="J308" s="111"/>
      <c r="K308" s="111"/>
      <c r="L308" s="121"/>
    </row>
    <row r="309" spans="1:12" x14ac:dyDescent="0.25">
      <c r="B309" s="119"/>
      <c r="C309" s="103" t="s">
        <v>27</v>
      </c>
      <c r="D309" s="104" t="s">
        <v>468</v>
      </c>
      <c r="E309" s="103" t="s">
        <v>42</v>
      </c>
      <c r="F309" s="109">
        <v>30</v>
      </c>
      <c r="G309" s="571"/>
      <c r="H309" s="109"/>
      <c r="I309" s="109"/>
      <c r="J309" s="111"/>
      <c r="K309" s="111"/>
      <c r="L309" s="121"/>
    </row>
    <row r="310" spans="1:12" x14ac:dyDescent="0.25">
      <c r="B310" s="119"/>
      <c r="C310" s="103" t="s">
        <v>27</v>
      </c>
      <c r="D310" s="104" t="s">
        <v>469</v>
      </c>
      <c r="E310" s="103" t="s">
        <v>42</v>
      </c>
      <c r="F310" s="109">
        <v>50</v>
      </c>
      <c r="G310" s="571"/>
      <c r="H310" s="109"/>
      <c r="I310" s="109"/>
      <c r="J310" s="111"/>
      <c r="K310" s="111"/>
      <c r="L310" s="121"/>
    </row>
    <row r="311" spans="1:12" x14ac:dyDescent="0.25">
      <c r="B311" s="119"/>
      <c r="C311" s="103" t="s">
        <v>27</v>
      </c>
      <c r="D311" s="104" t="s">
        <v>470</v>
      </c>
      <c r="E311" s="103" t="s">
        <v>42</v>
      </c>
      <c r="F311" s="109">
        <v>5</v>
      </c>
      <c r="G311" s="572"/>
      <c r="H311" s="109"/>
      <c r="I311" s="109"/>
      <c r="J311" s="111"/>
      <c r="K311" s="111"/>
      <c r="L311" s="121"/>
    </row>
    <row r="312" spans="1:12" x14ac:dyDescent="0.25">
      <c r="B312" s="146" t="s">
        <v>471</v>
      </c>
      <c r="C312" s="139"/>
      <c r="D312" s="140"/>
      <c r="E312" s="139"/>
      <c r="F312" s="140"/>
      <c r="G312" s="140"/>
      <c r="H312" s="140"/>
      <c r="I312" s="140"/>
      <c r="J312" s="140"/>
      <c r="K312" s="140"/>
      <c r="L312" s="140"/>
    </row>
    <row r="313" spans="1:12" x14ac:dyDescent="0.25">
      <c r="B313" s="119"/>
      <c r="C313" s="103" t="s">
        <v>27</v>
      </c>
      <c r="D313" s="104" t="s">
        <v>472</v>
      </c>
      <c r="E313" s="103" t="s">
        <v>42</v>
      </c>
      <c r="F313" s="109">
        <v>0</v>
      </c>
      <c r="G313" s="116"/>
      <c r="H313" s="109"/>
      <c r="I313" s="109"/>
      <c r="J313" s="111"/>
      <c r="K313" s="111"/>
      <c r="L313" s="121"/>
    </row>
    <row r="314" spans="1:12" x14ac:dyDescent="0.25">
      <c r="B314" s="119"/>
      <c r="C314" s="103" t="s">
        <v>27</v>
      </c>
      <c r="D314" s="104" t="s">
        <v>473</v>
      </c>
      <c r="E314" s="103" t="s">
        <v>42</v>
      </c>
      <c r="F314" s="109">
        <v>0</v>
      </c>
      <c r="G314" s="116"/>
      <c r="H314" s="109"/>
      <c r="I314" s="109"/>
      <c r="J314" s="111"/>
      <c r="K314" s="111"/>
      <c r="L314" s="121"/>
    </row>
    <row r="315" spans="1:12" x14ac:dyDescent="0.25">
      <c r="B315" s="119"/>
      <c r="C315" s="103" t="s">
        <v>27</v>
      </c>
      <c r="D315" s="104" t="s">
        <v>474</v>
      </c>
      <c r="E315" s="103" t="s">
        <v>42</v>
      </c>
      <c r="F315" s="116"/>
      <c r="G315" s="116"/>
      <c r="H315" s="109"/>
      <c r="I315" s="109"/>
      <c r="J315" s="111"/>
      <c r="K315" s="111"/>
      <c r="L315" s="121"/>
    </row>
    <row r="316" spans="1:12" x14ac:dyDescent="0.25">
      <c r="B316" s="119"/>
      <c r="C316" s="103" t="s">
        <v>27</v>
      </c>
      <c r="D316" s="104" t="s">
        <v>475</v>
      </c>
      <c r="E316" s="103" t="s">
        <v>42</v>
      </c>
      <c r="F316" s="123">
        <v>10</v>
      </c>
      <c r="G316" s="116"/>
      <c r="H316" s="109"/>
      <c r="I316" s="109"/>
      <c r="J316" s="111"/>
      <c r="K316" s="111"/>
      <c r="L316" s="121"/>
    </row>
    <row r="317" spans="1:12" x14ac:dyDescent="0.25">
      <c r="B317" s="169" t="s">
        <v>476</v>
      </c>
      <c r="C317" s="170"/>
      <c r="D317" s="171">
        <f>COUNTIF(D4:D316,"*")</f>
        <v>297</v>
      </c>
      <c r="E317" s="172"/>
      <c r="F317" s="173"/>
      <c r="G317" s="173"/>
      <c r="H317" s="173"/>
      <c r="I317" s="173"/>
      <c r="J317" s="173"/>
      <c r="K317" s="173"/>
      <c r="L317" s="173"/>
    </row>
  </sheetData>
  <autoFilter ref="B2:L317" xr:uid="{00000000-0009-0000-0000-000011000000}"/>
  <sortState xmlns:xlrd2="http://schemas.microsoft.com/office/spreadsheetml/2017/richdata2" ref="A281:L301">
    <sortCondition ref="D281:D301"/>
  </sortState>
  <mergeCells count="1">
    <mergeCell ref="G306:G311"/>
  </mergeCells>
  <conditionalFormatting sqref="F146:F147">
    <cfRule type="cellIs" dxfId="6" priority="1" operator="equal">
      <formula>8</formula>
    </cfRule>
    <cfRule type="cellIs" dxfId="5" priority="2" operator="equal">
      <formula>4</formula>
    </cfRule>
  </conditionalFormatting>
  <pageMargins left="0.25" right="0.25" top="0.75" bottom="0.75" header="0.3" footer="0.3"/>
  <pageSetup paperSize="9" scale="39" fitToHeight="0" orientation="landscape" r:id="rId1"/>
  <headerFooter>
    <oddFooter>&amp;R&amp;P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51CA-BA76-4682-BFC8-1A25625CE25F}">
  <sheetPr>
    <tabColor theme="4" tint="-0.249977111117893"/>
  </sheetPr>
  <dimension ref="A1:N77"/>
  <sheetViews>
    <sheetView tabSelected="1" zoomScale="84" zoomScaleNormal="145" workbookViewId="0">
      <selection activeCell="F20" sqref="F20"/>
    </sheetView>
  </sheetViews>
  <sheetFormatPr defaultColWidth="8.85546875" defaultRowHeight="14.25" x14ac:dyDescent="0.2"/>
  <cols>
    <col min="1" max="1" width="62.140625" style="541" customWidth="1"/>
    <col min="2" max="2" width="14.5703125" style="542" customWidth="1"/>
    <col min="3" max="3" width="11.42578125" style="542" customWidth="1"/>
    <col min="4" max="4" width="12.42578125" style="543" customWidth="1"/>
    <col min="5" max="5" width="11.5703125" style="543" customWidth="1"/>
    <col min="6" max="6" width="8.42578125" style="543" bestFit="1" customWidth="1"/>
    <col min="7" max="7" width="13.5703125" style="543" customWidth="1"/>
    <col min="8" max="8" width="8.42578125" style="543" customWidth="1"/>
    <col min="9" max="9" width="14.42578125" style="543" customWidth="1"/>
    <col min="10" max="10" width="8.42578125" style="543" customWidth="1"/>
    <col min="11" max="11" width="10.42578125" style="543" customWidth="1"/>
    <col min="12" max="12" width="10.140625" style="493" customWidth="1"/>
    <col min="13" max="13" width="13.5703125" style="493" customWidth="1"/>
    <col min="14" max="16384" width="8.85546875" style="493"/>
  </cols>
  <sheetData>
    <row r="1" spans="1:14" ht="39" thickBot="1" x14ac:dyDescent="0.25">
      <c r="A1" s="487" t="s">
        <v>477</v>
      </c>
      <c r="B1" s="487" t="s">
        <v>478</v>
      </c>
      <c r="C1" s="488" t="s">
        <v>479</v>
      </c>
      <c r="D1" s="489" t="s">
        <v>480</v>
      </c>
      <c r="E1" s="490" t="s">
        <v>481</v>
      </c>
      <c r="F1" s="489" t="s">
        <v>482</v>
      </c>
      <c r="G1" s="489" t="s">
        <v>483</v>
      </c>
      <c r="H1" s="489" t="s">
        <v>482</v>
      </c>
      <c r="I1" s="489" t="s">
        <v>484</v>
      </c>
      <c r="J1" s="489" t="s">
        <v>482</v>
      </c>
      <c r="K1" s="491" t="s">
        <v>485</v>
      </c>
      <c r="L1" s="492" t="s">
        <v>486</v>
      </c>
    </row>
    <row r="2" spans="1:14" x14ac:dyDescent="0.2">
      <c r="A2" s="494" t="s">
        <v>487</v>
      </c>
      <c r="B2" s="495"/>
      <c r="C2" s="495"/>
      <c r="D2" s="496"/>
      <c r="E2" s="496"/>
      <c r="F2" s="496"/>
      <c r="G2" s="496"/>
      <c r="H2" s="496"/>
      <c r="I2" s="496"/>
      <c r="J2" s="496"/>
      <c r="K2" s="496"/>
      <c r="L2" s="497"/>
    </row>
    <row r="3" spans="1:14" x14ac:dyDescent="0.2">
      <c r="A3" s="498" t="s">
        <v>488</v>
      </c>
      <c r="B3" s="499" t="s">
        <v>489</v>
      </c>
      <c r="C3" s="499">
        <v>32</v>
      </c>
      <c r="D3" s="484" t="e">
        <f>' Inpatients'!#REF!</f>
        <v>#REF!</v>
      </c>
      <c r="E3" s="500">
        <v>0.05</v>
      </c>
      <c r="F3" s="501" t="e">
        <f t="shared" ref="F3:F5" si="0">D3*E3</f>
        <v>#REF!</v>
      </c>
      <c r="G3" s="502">
        <v>0.32</v>
      </c>
      <c r="H3" s="503" t="e">
        <f>D3*G3</f>
        <v>#REF!</v>
      </c>
      <c r="I3" s="504">
        <v>0.05</v>
      </c>
      <c r="J3" s="503" t="e">
        <f>D3*I3</f>
        <v>#REF!</v>
      </c>
      <c r="K3" s="505" t="e">
        <f>SUM(D3+F3+H3+J3)</f>
        <v>#REF!</v>
      </c>
      <c r="L3" s="506"/>
      <c r="N3" s="507"/>
    </row>
    <row r="4" spans="1:14" x14ac:dyDescent="0.2">
      <c r="A4" s="498" t="s">
        <v>1102</v>
      </c>
      <c r="B4" s="499"/>
      <c r="C4" s="499"/>
      <c r="D4" s="484" t="e">
        <f>' Inpatients'!#REF!</f>
        <v>#REF!</v>
      </c>
      <c r="E4" s="500">
        <v>0.05</v>
      </c>
      <c r="F4" s="501" t="e">
        <f>D4*E4</f>
        <v>#REF!</v>
      </c>
      <c r="G4" s="502">
        <v>0.3</v>
      </c>
      <c r="H4" s="503" t="e">
        <f t="shared" ref="H4:H5" si="1">D4*G4</f>
        <v>#REF!</v>
      </c>
      <c r="I4" s="504">
        <v>0.05</v>
      </c>
      <c r="J4" s="503" t="e">
        <f t="shared" ref="J4:J5" si="2">D4*I4</f>
        <v>#REF!</v>
      </c>
      <c r="K4" s="505" t="e">
        <f t="shared" ref="K4" si="3">SUM(D4+F4+H4+J4)</f>
        <v>#REF!</v>
      </c>
      <c r="L4" s="508"/>
      <c r="N4" s="507"/>
    </row>
    <row r="5" spans="1:14" ht="15" customHeight="1" x14ac:dyDescent="0.2">
      <c r="A5" s="498" t="s">
        <v>1105</v>
      </c>
      <c r="B5" s="499"/>
      <c r="C5" s="499"/>
      <c r="D5" s="484" t="e">
        <f>' Inpatients'!#REF!</f>
        <v>#REF!</v>
      </c>
      <c r="E5" s="500">
        <v>0.05</v>
      </c>
      <c r="F5" s="501" t="e">
        <f t="shared" si="0"/>
        <v>#REF!</v>
      </c>
      <c r="G5" s="502">
        <v>0.3</v>
      </c>
      <c r="H5" s="503" t="e">
        <f t="shared" si="1"/>
        <v>#REF!</v>
      </c>
      <c r="I5" s="502">
        <v>0.05</v>
      </c>
      <c r="J5" s="503" t="e">
        <f t="shared" si="2"/>
        <v>#REF!</v>
      </c>
      <c r="K5" s="505" t="e">
        <f>SUM(D5+F5+H5+J5)</f>
        <v>#REF!</v>
      </c>
      <c r="L5" s="508"/>
      <c r="N5" s="507"/>
    </row>
    <row r="6" spans="1:14" ht="15" customHeight="1" thickBot="1" x14ac:dyDescent="0.25">
      <c r="A6" s="509"/>
      <c r="B6" s="510"/>
      <c r="C6" s="510"/>
      <c r="D6" s="485"/>
      <c r="E6" s="511"/>
      <c r="F6" s="512"/>
      <c r="G6" s="513"/>
      <c r="H6" s="514"/>
      <c r="I6" s="513"/>
      <c r="J6" s="514"/>
      <c r="K6" s="515"/>
      <c r="L6" s="516"/>
      <c r="N6" s="507"/>
    </row>
    <row r="7" spans="1:14" ht="15" customHeight="1" x14ac:dyDescent="0.2">
      <c r="A7" s="574" t="s">
        <v>490</v>
      </c>
      <c r="B7" s="575"/>
      <c r="C7" s="575"/>
      <c r="D7" s="575"/>
      <c r="E7" s="575"/>
      <c r="F7" s="575"/>
      <c r="G7" s="575"/>
      <c r="H7" s="575"/>
      <c r="I7" s="575"/>
      <c r="J7" s="575"/>
      <c r="K7" s="575"/>
      <c r="L7" s="576"/>
      <c r="N7" s="507"/>
    </row>
    <row r="8" spans="1:14" ht="15" customHeight="1" x14ac:dyDescent="0.2">
      <c r="A8" s="498" t="s">
        <v>490</v>
      </c>
      <c r="B8" s="499" t="s">
        <v>489</v>
      </c>
      <c r="C8" s="499">
        <v>16</v>
      </c>
      <c r="D8" s="484" t="e">
        <f>'Critical Care Unit'!#REF!</f>
        <v>#REF!</v>
      </c>
      <c r="E8" s="500">
        <v>0.05</v>
      </c>
      <c r="F8" s="501" t="e">
        <f>D8*E8</f>
        <v>#REF!</v>
      </c>
      <c r="G8" s="502">
        <v>0.35</v>
      </c>
      <c r="H8" s="503" t="e">
        <f>D8*G8</f>
        <v>#REF!</v>
      </c>
      <c r="I8" s="504">
        <v>0.05</v>
      </c>
      <c r="J8" s="503" t="e">
        <f>D8*I8</f>
        <v>#REF!</v>
      </c>
      <c r="K8" s="505" t="e">
        <f>SUM(D8+F8+H8+J8)</f>
        <v>#REF!</v>
      </c>
      <c r="L8" s="508"/>
      <c r="N8" s="507"/>
    </row>
    <row r="9" spans="1:14" ht="15" customHeight="1" thickBot="1" x14ac:dyDescent="0.25">
      <c r="A9" s="509"/>
      <c r="B9" s="510"/>
      <c r="C9" s="510"/>
      <c r="D9" s="485"/>
      <c r="E9" s="511"/>
      <c r="F9" s="512"/>
      <c r="G9" s="513"/>
      <c r="H9" s="514"/>
      <c r="I9" s="513"/>
      <c r="J9" s="514"/>
      <c r="K9" s="515"/>
      <c r="L9" s="516"/>
      <c r="N9" s="507"/>
    </row>
    <row r="10" spans="1:14" ht="15" customHeight="1" x14ac:dyDescent="0.2">
      <c r="A10" s="574" t="s">
        <v>491</v>
      </c>
      <c r="B10" s="575"/>
      <c r="C10" s="575"/>
      <c r="D10" s="575"/>
      <c r="E10" s="575"/>
      <c r="F10" s="575"/>
      <c r="G10" s="575"/>
      <c r="H10" s="575"/>
      <c r="I10" s="575"/>
      <c r="J10" s="575"/>
      <c r="K10" s="575"/>
      <c r="L10" s="576"/>
      <c r="N10" s="507"/>
    </row>
    <row r="11" spans="1:14" ht="15" customHeight="1" x14ac:dyDescent="0.2">
      <c r="A11" s="498" t="s">
        <v>492</v>
      </c>
      <c r="B11" s="498"/>
      <c r="C11" s="499"/>
      <c r="D11" s="484" t="e">
        <f>'Urgent and Emergency Care'!#REF!</f>
        <v>#REF!</v>
      </c>
      <c r="E11" s="500">
        <v>0.05</v>
      </c>
      <c r="F11" s="501" t="e">
        <f t="shared" ref="F11:F21" si="4">D11*E11</f>
        <v>#REF!</v>
      </c>
      <c r="G11" s="502">
        <v>0.35</v>
      </c>
      <c r="H11" s="503" t="e">
        <f t="shared" ref="H11:H21" si="5">D11*G11</f>
        <v>#REF!</v>
      </c>
      <c r="I11" s="504">
        <v>0.03</v>
      </c>
      <c r="J11" s="503" t="e">
        <f>D11*I11</f>
        <v>#REF!</v>
      </c>
      <c r="K11" s="505" t="e">
        <f>SUM(D11+F11+H11+J11)</f>
        <v>#REF!</v>
      </c>
      <c r="L11" s="508"/>
      <c r="N11" s="507"/>
    </row>
    <row r="12" spans="1:14" ht="15" customHeight="1" x14ac:dyDescent="0.2">
      <c r="A12" s="498" t="s">
        <v>493</v>
      </c>
      <c r="B12" s="498"/>
      <c r="C12" s="499">
        <v>19</v>
      </c>
      <c r="D12" s="484" t="e">
        <f>'Urgent and Emergency Care'!#REF!</f>
        <v>#REF!</v>
      </c>
      <c r="E12" s="500">
        <v>0.05</v>
      </c>
      <c r="F12" s="501" t="e">
        <f t="shared" si="4"/>
        <v>#REF!</v>
      </c>
      <c r="G12" s="502">
        <v>0.35</v>
      </c>
      <c r="H12" s="503" t="e">
        <f t="shared" si="5"/>
        <v>#REF!</v>
      </c>
      <c r="I12" s="504">
        <v>0.03</v>
      </c>
      <c r="J12" s="503" t="e">
        <f t="shared" ref="J12:J21" si="6">D12*I12</f>
        <v>#REF!</v>
      </c>
      <c r="K12" s="505" t="e">
        <f t="shared" ref="K12:K21" si="7">SUM(D12+F12+H12+J12)</f>
        <v>#REF!</v>
      </c>
      <c r="L12" s="508"/>
      <c r="N12" s="507"/>
    </row>
    <row r="13" spans="1:14" ht="15" customHeight="1" x14ac:dyDescent="0.2">
      <c r="A13" s="498" t="s">
        <v>494</v>
      </c>
      <c r="B13" s="498" t="s">
        <v>495</v>
      </c>
      <c r="C13" s="499">
        <v>7</v>
      </c>
      <c r="D13" s="484" t="e">
        <f>'Urgent and Emergency Care'!#REF!</f>
        <v>#REF!</v>
      </c>
      <c r="E13" s="500">
        <v>0.05</v>
      </c>
      <c r="F13" s="501" t="e">
        <f t="shared" si="4"/>
        <v>#REF!</v>
      </c>
      <c r="G13" s="502">
        <v>0.35</v>
      </c>
      <c r="H13" s="503" t="e">
        <f t="shared" si="5"/>
        <v>#REF!</v>
      </c>
      <c r="I13" s="504">
        <v>0.03</v>
      </c>
      <c r="J13" s="503" t="e">
        <f t="shared" si="6"/>
        <v>#REF!</v>
      </c>
      <c r="K13" s="505" t="e">
        <f t="shared" si="7"/>
        <v>#REF!</v>
      </c>
      <c r="L13" s="508"/>
      <c r="N13" s="507"/>
    </row>
    <row r="14" spans="1:14" ht="15" customHeight="1" x14ac:dyDescent="0.2">
      <c r="A14" s="498" t="s">
        <v>496</v>
      </c>
      <c r="B14" s="498" t="s">
        <v>497</v>
      </c>
      <c r="C14" s="499">
        <v>30</v>
      </c>
      <c r="D14" s="484" t="e">
        <f>'Urgent and Emergency Care'!#REF!</f>
        <v>#REF!</v>
      </c>
      <c r="E14" s="500">
        <v>0.05</v>
      </c>
      <c r="F14" s="501" t="e">
        <f t="shared" si="4"/>
        <v>#REF!</v>
      </c>
      <c r="G14" s="502">
        <v>0.35</v>
      </c>
      <c r="H14" s="503" t="e">
        <f t="shared" si="5"/>
        <v>#REF!</v>
      </c>
      <c r="I14" s="504">
        <v>0.03</v>
      </c>
      <c r="J14" s="503" t="e">
        <f t="shared" si="6"/>
        <v>#REF!</v>
      </c>
      <c r="K14" s="505" t="e">
        <f t="shared" si="7"/>
        <v>#REF!</v>
      </c>
      <c r="L14" s="508"/>
      <c r="N14" s="507"/>
    </row>
    <row r="15" spans="1:14" ht="15" customHeight="1" x14ac:dyDescent="0.2">
      <c r="A15" s="498" t="s">
        <v>498</v>
      </c>
      <c r="B15" s="498"/>
      <c r="C15" s="499"/>
      <c r="D15" s="484" t="e">
        <f>'Urgent and Emergency Care'!#REF!</f>
        <v>#REF!</v>
      </c>
      <c r="E15" s="500">
        <v>0.05</v>
      </c>
      <c r="F15" s="501" t="e">
        <f>D15*E15</f>
        <v>#REF!</v>
      </c>
      <c r="G15" s="502">
        <v>0.35</v>
      </c>
      <c r="H15" s="503" t="e">
        <f t="shared" si="5"/>
        <v>#REF!</v>
      </c>
      <c r="I15" s="504">
        <v>0.03</v>
      </c>
      <c r="J15" s="503" t="e">
        <f t="shared" si="6"/>
        <v>#REF!</v>
      </c>
      <c r="K15" s="505" t="e">
        <f t="shared" si="7"/>
        <v>#REF!</v>
      </c>
      <c r="L15" s="508"/>
      <c r="N15" s="507"/>
    </row>
    <row r="16" spans="1:14" ht="15" customHeight="1" x14ac:dyDescent="0.2">
      <c r="A16" s="498" t="s">
        <v>499</v>
      </c>
      <c r="B16" s="498" t="s">
        <v>497</v>
      </c>
      <c r="C16" s="499">
        <v>10</v>
      </c>
      <c r="D16" s="484" t="e">
        <f>'Urgent and Emergency Care'!#REF!</f>
        <v>#REF!</v>
      </c>
      <c r="E16" s="500">
        <v>0.05</v>
      </c>
      <c r="F16" s="501" t="e">
        <f t="shared" si="4"/>
        <v>#REF!</v>
      </c>
      <c r="G16" s="502">
        <v>0.35</v>
      </c>
      <c r="H16" s="503" t="e">
        <f t="shared" si="5"/>
        <v>#REF!</v>
      </c>
      <c r="I16" s="504">
        <v>0.03</v>
      </c>
      <c r="J16" s="503" t="e">
        <f t="shared" si="6"/>
        <v>#REF!</v>
      </c>
      <c r="K16" s="505" t="e">
        <f t="shared" si="7"/>
        <v>#REF!</v>
      </c>
      <c r="L16" s="508"/>
      <c r="N16" s="507"/>
    </row>
    <row r="17" spans="1:14" ht="15" customHeight="1" x14ac:dyDescent="0.2">
      <c r="A17" s="498" t="s">
        <v>500</v>
      </c>
      <c r="B17" s="498" t="s">
        <v>497</v>
      </c>
      <c r="C17" s="499">
        <v>20</v>
      </c>
      <c r="D17" s="484" t="e">
        <f>'Urgent and Emergency Care'!#REF!</f>
        <v>#REF!</v>
      </c>
      <c r="E17" s="500">
        <v>0.05</v>
      </c>
      <c r="F17" s="501" t="e">
        <f t="shared" si="4"/>
        <v>#REF!</v>
      </c>
      <c r="G17" s="502">
        <v>0.35</v>
      </c>
      <c r="H17" s="503" t="e">
        <f t="shared" si="5"/>
        <v>#REF!</v>
      </c>
      <c r="I17" s="504">
        <v>0.03</v>
      </c>
      <c r="J17" s="503" t="e">
        <f t="shared" si="6"/>
        <v>#REF!</v>
      </c>
      <c r="K17" s="505" t="e">
        <f t="shared" si="7"/>
        <v>#REF!</v>
      </c>
      <c r="L17" s="508"/>
      <c r="N17" s="507"/>
    </row>
    <row r="18" spans="1:14" ht="15" customHeight="1" x14ac:dyDescent="0.2">
      <c r="A18" s="498" t="s">
        <v>501</v>
      </c>
      <c r="B18" s="498" t="s">
        <v>497</v>
      </c>
      <c r="C18" s="499">
        <v>40</v>
      </c>
      <c r="D18" s="484" t="e">
        <f>'Urgent and Emergency Care'!#REF!</f>
        <v>#REF!</v>
      </c>
      <c r="E18" s="500">
        <v>0.05</v>
      </c>
      <c r="F18" s="501" t="e">
        <f t="shared" si="4"/>
        <v>#REF!</v>
      </c>
      <c r="G18" s="502">
        <v>0.35</v>
      </c>
      <c r="H18" s="503" t="e">
        <f t="shared" si="5"/>
        <v>#REF!</v>
      </c>
      <c r="I18" s="504">
        <v>0.03</v>
      </c>
      <c r="J18" s="503" t="e">
        <f t="shared" si="6"/>
        <v>#REF!</v>
      </c>
      <c r="K18" s="505" t="e">
        <f t="shared" si="7"/>
        <v>#REF!</v>
      </c>
      <c r="L18" s="508"/>
      <c r="N18" s="507"/>
    </row>
    <row r="19" spans="1:14" ht="15" customHeight="1" x14ac:dyDescent="0.2">
      <c r="A19" s="498" t="s">
        <v>502</v>
      </c>
      <c r="B19" s="498" t="s">
        <v>503</v>
      </c>
      <c r="C19" s="499"/>
      <c r="D19" s="484" t="e">
        <f>'Urgent and Emergency Care'!#REF!</f>
        <v>#REF!</v>
      </c>
      <c r="E19" s="500">
        <v>0.05</v>
      </c>
      <c r="F19" s="501" t="e">
        <f t="shared" si="4"/>
        <v>#REF!</v>
      </c>
      <c r="G19" s="502">
        <v>0.35</v>
      </c>
      <c r="H19" s="503" t="e">
        <f t="shared" si="5"/>
        <v>#REF!</v>
      </c>
      <c r="I19" s="504">
        <v>0.03</v>
      </c>
      <c r="J19" s="503" t="e">
        <f t="shared" si="6"/>
        <v>#REF!</v>
      </c>
      <c r="K19" s="505" t="e">
        <f t="shared" si="7"/>
        <v>#REF!</v>
      </c>
      <c r="L19" s="508"/>
      <c r="N19" s="507"/>
    </row>
    <row r="20" spans="1:14" ht="15" customHeight="1" x14ac:dyDescent="0.2">
      <c r="A20" s="498" t="s">
        <v>504</v>
      </c>
      <c r="B20" s="498" t="s">
        <v>489</v>
      </c>
      <c r="C20" s="499">
        <v>32</v>
      </c>
      <c r="D20" s="484" t="e">
        <f>'Urgent and Emergency Care'!#REF!</f>
        <v>#REF!</v>
      </c>
      <c r="E20" s="500">
        <v>0.05</v>
      </c>
      <c r="F20" s="501" t="e">
        <f t="shared" si="4"/>
        <v>#REF!</v>
      </c>
      <c r="G20" s="502">
        <v>0.35</v>
      </c>
      <c r="H20" s="503" t="e">
        <f t="shared" si="5"/>
        <v>#REF!</v>
      </c>
      <c r="I20" s="504">
        <v>0.03</v>
      </c>
      <c r="J20" s="503" t="e">
        <f t="shared" si="6"/>
        <v>#REF!</v>
      </c>
      <c r="K20" s="505" t="e">
        <f t="shared" si="7"/>
        <v>#REF!</v>
      </c>
      <c r="L20" s="508"/>
      <c r="N20" s="507"/>
    </row>
    <row r="21" spans="1:14" ht="15" customHeight="1" x14ac:dyDescent="0.2">
      <c r="A21" s="498" t="s">
        <v>505</v>
      </c>
      <c r="B21" s="498"/>
      <c r="C21" s="499"/>
      <c r="D21" s="484" t="e">
        <f>'Urgent and Emergency Care'!#REF!</f>
        <v>#REF!</v>
      </c>
      <c r="E21" s="500">
        <v>0.05</v>
      </c>
      <c r="F21" s="501" t="e">
        <f t="shared" si="4"/>
        <v>#REF!</v>
      </c>
      <c r="G21" s="502">
        <v>0.35</v>
      </c>
      <c r="H21" s="503" t="e">
        <f t="shared" si="5"/>
        <v>#REF!</v>
      </c>
      <c r="I21" s="504">
        <v>0.03</v>
      </c>
      <c r="J21" s="503" t="e">
        <f t="shared" si="6"/>
        <v>#REF!</v>
      </c>
      <c r="K21" s="505" t="e">
        <f t="shared" si="7"/>
        <v>#REF!</v>
      </c>
      <c r="L21" s="508"/>
      <c r="N21" s="507"/>
    </row>
    <row r="22" spans="1:14" ht="15" customHeight="1" thickBot="1" x14ac:dyDescent="0.25">
      <c r="A22" s="509"/>
      <c r="B22" s="510"/>
      <c r="C22" s="510"/>
      <c r="D22" s="485"/>
      <c r="E22" s="511"/>
      <c r="F22" s="512"/>
      <c r="G22" s="513"/>
      <c r="H22" s="514"/>
      <c r="I22" s="513"/>
      <c r="J22" s="514"/>
      <c r="K22" s="515"/>
      <c r="L22" s="516"/>
      <c r="N22" s="507"/>
    </row>
    <row r="23" spans="1:14" ht="15" customHeight="1" x14ac:dyDescent="0.2">
      <c r="A23" s="574" t="s">
        <v>328</v>
      </c>
      <c r="B23" s="575"/>
      <c r="C23" s="575"/>
      <c r="D23" s="575"/>
      <c r="E23" s="575"/>
      <c r="F23" s="575"/>
      <c r="G23" s="575"/>
      <c r="H23" s="575"/>
      <c r="I23" s="575"/>
      <c r="J23" s="575"/>
      <c r="K23" s="575"/>
      <c r="L23" s="576"/>
      <c r="N23" s="507"/>
    </row>
    <row r="24" spans="1:14" ht="15" customHeight="1" x14ac:dyDescent="0.2">
      <c r="A24" s="24" t="s">
        <v>506</v>
      </c>
      <c r="B24" s="499"/>
      <c r="C24" s="499"/>
      <c r="D24" s="484" t="e">
        <f>'Paediatric Inpatients'!#REF!</f>
        <v>#REF!</v>
      </c>
      <c r="E24" s="500">
        <v>0.05</v>
      </c>
      <c r="F24" s="501" t="e">
        <f t="shared" ref="F24:F28" si="8">D24*E24</f>
        <v>#REF!</v>
      </c>
      <c r="G24" s="502">
        <v>0.4</v>
      </c>
      <c r="H24" s="503" t="e">
        <f t="shared" ref="H24:H28" si="9">D24*G24</f>
        <v>#REF!</v>
      </c>
      <c r="I24" s="504">
        <v>0.03</v>
      </c>
      <c r="J24" s="503" t="e">
        <f t="shared" ref="J24:J28" si="10">D24*I24</f>
        <v>#REF!</v>
      </c>
      <c r="K24" s="505" t="e">
        <f t="shared" ref="K24:K28" si="11">SUM(D24+F24+H24+J24)</f>
        <v>#REF!</v>
      </c>
      <c r="L24" s="508"/>
      <c r="N24" s="507"/>
    </row>
    <row r="25" spans="1:14" ht="15" customHeight="1" x14ac:dyDescent="0.2">
      <c r="A25" s="24" t="s">
        <v>507</v>
      </c>
      <c r="B25" s="499"/>
      <c r="C25" s="499"/>
      <c r="D25" s="484" t="e">
        <f>'Paediatric Inpatients'!#REF!</f>
        <v>#REF!</v>
      </c>
      <c r="E25" s="500">
        <v>0.05</v>
      </c>
      <c r="F25" s="501" t="e">
        <f t="shared" si="8"/>
        <v>#REF!</v>
      </c>
      <c r="G25" s="502">
        <v>0.3</v>
      </c>
      <c r="H25" s="503" t="e">
        <f t="shared" si="9"/>
        <v>#REF!</v>
      </c>
      <c r="I25" s="504">
        <v>0.03</v>
      </c>
      <c r="J25" s="503" t="e">
        <f t="shared" si="10"/>
        <v>#REF!</v>
      </c>
      <c r="K25" s="505" t="e">
        <f t="shared" si="11"/>
        <v>#REF!</v>
      </c>
      <c r="L25" s="508"/>
      <c r="N25" s="507"/>
    </row>
    <row r="26" spans="1:14" ht="15" customHeight="1" x14ac:dyDescent="0.2">
      <c r="A26" s="24" t="s">
        <v>508</v>
      </c>
      <c r="B26" s="499"/>
      <c r="C26" s="499"/>
      <c r="D26" s="484" t="e">
        <f>'Paediatric Inpatients'!#REF!</f>
        <v>#REF!</v>
      </c>
      <c r="E26" s="500">
        <v>0.05</v>
      </c>
      <c r="F26" s="501" t="e">
        <f t="shared" si="8"/>
        <v>#REF!</v>
      </c>
      <c r="G26" s="502">
        <v>0.3</v>
      </c>
      <c r="H26" s="503" t="e">
        <f t="shared" si="9"/>
        <v>#REF!</v>
      </c>
      <c r="I26" s="504">
        <v>0.03</v>
      </c>
      <c r="J26" s="503" t="e">
        <f t="shared" si="10"/>
        <v>#REF!</v>
      </c>
      <c r="K26" s="505" t="e">
        <f t="shared" si="11"/>
        <v>#REF!</v>
      </c>
      <c r="L26" s="508"/>
      <c r="N26" s="507"/>
    </row>
    <row r="27" spans="1:14" ht="15" customHeight="1" x14ac:dyDescent="0.2">
      <c r="A27" s="24" t="s">
        <v>509</v>
      </c>
      <c r="B27" s="499"/>
      <c r="C27" s="499"/>
      <c r="D27" s="484" t="e">
        <f>'Paediatric Inpatients'!#REF!</f>
        <v>#REF!</v>
      </c>
      <c r="E27" s="500">
        <v>0.05</v>
      </c>
      <c r="F27" s="501" t="e">
        <f t="shared" si="8"/>
        <v>#REF!</v>
      </c>
      <c r="G27" s="502">
        <v>0.3</v>
      </c>
      <c r="H27" s="503" t="e">
        <f t="shared" si="9"/>
        <v>#REF!</v>
      </c>
      <c r="I27" s="504">
        <v>0.03</v>
      </c>
      <c r="J27" s="503" t="e">
        <f t="shared" si="10"/>
        <v>#REF!</v>
      </c>
      <c r="K27" s="505" t="e">
        <f t="shared" si="11"/>
        <v>#REF!</v>
      </c>
      <c r="L27" s="508"/>
      <c r="N27" s="507"/>
    </row>
    <row r="28" spans="1:14" ht="15" customHeight="1" x14ac:dyDescent="0.2">
      <c r="A28" s="24" t="s">
        <v>1103</v>
      </c>
      <c r="B28" s="499"/>
      <c r="C28" s="499"/>
      <c r="D28" s="484" t="e">
        <f>'Paediatric Inpatients'!#REF!</f>
        <v>#REF!</v>
      </c>
      <c r="E28" s="500">
        <v>0.05</v>
      </c>
      <c r="F28" s="501" t="e">
        <f t="shared" si="8"/>
        <v>#REF!</v>
      </c>
      <c r="G28" s="502">
        <v>0.3</v>
      </c>
      <c r="H28" s="503" t="e">
        <f t="shared" si="9"/>
        <v>#REF!</v>
      </c>
      <c r="I28" s="504">
        <v>0.03</v>
      </c>
      <c r="J28" s="503" t="e">
        <f t="shared" si="10"/>
        <v>#REF!</v>
      </c>
      <c r="K28" s="505" t="e">
        <f t="shared" si="11"/>
        <v>#REF!</v>
      </c>
      <c r="L28" s="508"/>
      <c r="N28" s="507"/>
    </row>
    <row r="29" spans="1:14" ht="15" customHeight="1" thickBot="1" x14ac:dyDescent="0.25">
      <c r="A29" s="509"/>
      <c r="B29" s="510"/>
      <c r="C29" s="510"/>
      <c r="D29" s="485"/>
      <c r="E29" s="511"/>
      <c r="F29" s="512"/>
      <c r="G29" s="513"/>
      <c r="H29" s="514"/>
      <c r="I29" s="513"/>
      <c r="J29" s="514"/>
      <c r="K29" s="515"/>
      <c r="L29" s="516"/>
      <c r="N29" s="507"/>
    </row>
    <row r="30" spans="1:14" ht="15" customHeight="1" x14ac:dyDescent="0.2">
      <c r="A30" s="574" t="s">
        <v>510</v>
      </c>
      <c r="B30" s="575"/>
      <c r="C30" s="575"/>
      <c r="D30" s="575"/>
      <c r="E30" s="575"/>
      <c r="F30" s="575"/>
      <c r="G30" s="575"/>
      <c r="H30" s="575"/>
      <c r="I30" s="575"/>
      <c r="J30" s="575"/>
      <c r="K30" s="575"/>
      <c r="L30" s="576"/>
      <c r="N30" s="507"/>
    </row>
    <row r="31" spans="1:14" ht="15" customHeight="1" x14ac:dyDescent="0.2">
      <c r="A31" s="498" t="s">
        <v>511</v>
      </c>
      <c r="B31" s="499"/>
      <c r="C31" s="499"/>
      <c r="D31" s="484" t="e">
        <f>Imaging!#REF!</f>
        <v>#REF!</v>
      </c>
      <c r="E31" s="500">
        <v>0.05</v>
      </c>
      <c r="F31" s="501" t="e">
        <f t="shared" ref="F31:F39" si="12">D31*E31</f>
        <v>#REF!</v>
      </c>
      <c r="G31" s="502">
        <v>0.3</v>
      </c>
      <c r="H31" s="503" t="e">
        <f>D31*G31</f>
        <v>#REF!</v>
      </c>
      <c r="I31" s="504">
        <v>0.05</v>
      </c>
      <c r="J31" s="503" t="e">
        <f>D31*I31</f>
        <v>#REF!</v>
      </c>
      <c r="K31" s="505" t="e">
        <f>SUM(D31+F31+H31+J31)</f>
        <v>#REF!</v>
      </c>
      <c r="L31" s="508"/>
      <c r="N31" s="507"/>
    </row>
    <row r="32" spans="1:14" ht="15" customHeight="1" x14ac:dyDescent="0.2">
      <c r="A32" s="498" t="s">
        <v>512</v>
      </c>
      <c r="B32" s="499"/>
      <c r="C32" s="499"/>
      <c r="D32" s="484" t="e">
        <f>Imaging!#REF!</f>
        <v>#REF!</v>
      </c>
      <c r="E32" s="500">
        <v>0.05</v>
      </c>
      <c r="F32" s="501" t="e">
        <f t="shared" si="12"/>
        <v>#REF!</v>
      </c>
      <c r="G32" s="502">
        <v>0.4</v>
      </c>
      <c r="H32" s="503" t="e">
        <f t="shared" ref="H32:H39" si="13">D32*G32</f>
        <v>#REF!</v>
      </c>
      <c r="I32" s="504">
        <v>0.05</v>
      </c>
      <c r="J32" s="503" t="e">
        <f t="shared" ref="J32:J39" si="14">D32*I32</f>
        <v>#REF!</v>
      </c>
      <c r="K32" s="505" t="e">
        <f t="shared" ref="K32:K39" si="15">SUM(D32+F32+H32+J32)</f>
        <v>#REF!</v>
      </c>
      <c r="L32" s="508"/>
      <c r="N32" s="507"/>
    </row>
    <row r="33" spans="1:14" ht="15" customHeight="1" x14ac:dyDescent="0.2">
      <c r="A33" s="498" t="s">
        <v>513</v>
      </c>
      <c r="B33" s="499"/>
      <c r="C33" s="499"/>
      <c r="D33" s="484" t="e">
        <f>Imaging!#REF!</f>
        <v>#REF!</v>
      </c>
      <c r="E33" s="500">
        <v>0.05</v>
      </c>
      <c r="F33" s="501" t="e">
        <f t="shared" si="12"/>
        <v>#REF!</v>
      </c>
      <c r="G33" s="502">
        <v>0.4</v>
      </c>
      <c r="H33" s="503" t="e">
        <f t="shared" si="13"/>
        <v>#REF!</v>
      </c>
      <c r="I33" s="504">
        <v>0.05</v>
      </c>
      <c r="J33" s="503" t="e">
        <f t="shared" si="14"/>
        <v>#REF!</v>
      </c>
      <c r="K33" s="505" t="e">
        <f t="shared" si="15"/>
        <v>#REF!</v>
      </c>
      <c r="L33" s="508"/>
      <c r="N33" s="507"/>
    </row>
    <row r="34" spans="1:14" ht="15" customHeight="1" x14ac:dyDescent="0.2">
      <c r="A34" s="498" t="s">
        <v>514</v>
      </c>
      <c r="B34" s="499"/>
      <c r="C34" s="499"/>
      <c r="D34" s="484" t="e">
        <f>Imaging!#REF!</f>
        <v>#REF!</v>
      </c>
      <c r="E34" s="500">
        <v>0.05</v>
      </c>
      <c r="F34" s="501" t="e">
        <f t="shared" si="12"/>
        <v>#REF!</v>
      </c>
      <c r="G34" s="502">
        <v>0.4</v>
      </c>
      <c r="H34" s="503" t="e">
        <f t="shared" si="13"/>
        <v>#REF!</v>
      </c>
      <c r="I34" s="504">
        <v>0.05</v>
      </c>
      <c r="J34" s="503" t="e">
        <f t="shared" si="14"/>
        <v>#REF!</v>
      </c>
      <c r="K34" s="505" t="e">
        <f t="shared" si="15"/>
        <v>#REF!</v>
      </c>
      <c r="L34" s="508"/>
      <c r="N34" s="507"/>
    </row>
    <row r="35" spans="1:14" ht="15" customHeight="1" x14ac:dyDescent="0.2">
      <c r="A35" s="498" t="s">
        <v>515</v>
      </c>
      <c r="B35" s="499"/>
      <c r="C35" s="499"/>
      <c r="D35" s="484" t="e">
        <f>Imaging!#REF!</f>
        <v>#REF!</v>
      </c>
      <c r="E35" s="500">
        <v>0.05</v>
      </c>
      <c r="F35" s="501" t="e">
        <f t="shared" si="12"/>
        <v>#REF!</v>
      </c>
      <c r="G35" s="502">
        <v>0.4</v>
      </c>
      <c r="H35" s="503" t="e">
        <f t="shared" si="13"/>
        <v>#REF!</v>
      </c>
      <c r="I35" s="504">
        <v>0.05</v>
      </c>
      <c r="J35" s="503" t="e">
        <f t="shared" si="14"/>
        <v>#REF!</v>
      </c>
      <c r="K35" s="505" t="e">
        <f t="shared" si="15"/>
        <v>#REF!</v>
      </c>
      <c r="L35" s="508"/>
      <c r="N35" s="507"/>
    </row>
    <row r="36" spans="1:14" ht="15" customHeight="1" x14ac:dyDescent="0.2">
      <c r="A36" s="498" t="s">
        <v>516</v>
      </c>
      <c r="B36" s="499"/>
      <c r="C36" s="499"/>
      <c r="D36" s="484" t="e">
        <f>Imaging!#REF!</f>
        <v>#REF!</v>
      </c>
      <c r="E36" s="500">
        <v>0.05</v>
      </c>
      <c r="F36" s="501" t="e">
        <f t="shared" si="12"/>
        <v>#REF!</v>
      </c>
      <c r="G36" s="502">
        <v>0.4</v>
      </c>
      <c r="H36" s="503" t="e">
        <f t="shared" si="13"/>
        <v>#REF!</v>
      </c>
      <c r="I36" s="504">
        <v>0.05</v>
      </c>
      <c r="J36" s="503" t="e">
        <f t="shared" si="14"/>
        <v>#REF!</v>
      </c>
      <c r="K36" s="505" t="e">
        <f t="shared" si="15"/>
        <v>#REF!</v>
      </c>
      <c r="L36" s="508"/>
      <c r="N36" s="507"/>
    </row>
    <row r="37" spans="1:14" ht="15" customHeight="1" x14ac:dyDescent="0.2">
      <c r="A37" s="498" t="s">
        <v>517</v>
      </c>
      <c r="B37" s="499"/>
      <c r="C37" s="499"/>
      <c r="D37" s="484" t="e">
        <f>Imaging!#REF!</f>
        <v>#REF!</v>
      </c>
      <c r="E37" s="500">
        <v>0.05</v>
      </c>
      <c r="F37" s="501" t="e">
        <f t="shared" si="12"/>
        <v>#REF!</v>
      </c>
      <c r="G37" s="502">
        <v>0.17</v>
      </c>
      <c r="H37" s="503" t="e">
        <f t="shared" si="13"/>
        <v>#REF!</v>
      </c>
      <c r="I37" s="504">
        <v>0.05</v>
      </c>
      <c r="J37" s="503" t="e">
        <f t="shared" si="14"/>
        <v>#REF!</v>
      </c>
      <c r="K37" s="505" t="e">
        <f t="shared" si="15"/>
        <v>#REF!</v>
      </c>
      <c r="L37" s="508"/>
      <c r="N37" s="507"/>
    </row>
    <row r="38" spans="1:14" ht="15" customHeight="1" x14ac:dyDescent="0.2">
      <c r="A38" s="498" t="s">
        <v>518</v>
      </c>
      <c r="B38" s="499"/>
      <c r="C38" s="499"/>
      <c r="D38" s="484" t="e">
        <f>Imaging!#REF!</f>
        <v>#REF!</v>
      </c>
      <c r="E38" s="500">
        <v>0.05</v>
      </c>
      <c r="F38" s="501" t="e">
        <f t="shared" si="12"/>
        <v>#REF!</v>
      </c>
      <c r="G38" s="502">
        <v>0.3</v>
      </c>
      <c r="H38" s="503" t="e">
        <f t="shared" si="13"/>
        <v>#REF!</v>
      </c>
      <c r="I38" s="504">
        <v>0.05</v>
      </c>
      <c r="J38" s="503" t="e">
        <f t="shared" si="14"/>
        <v>#REF!</v>
      </c>
      <c r="K38" s="505" t="e">
        <f t="shared" si="15"/>
        <v>#REF!</v>
      </c>
      <c r="L38" s="508"/>
      <c r="N38" s="507"/>
    </row>
    <row r="39" spans="1:14" ht="15" customHeight="1" x14ac:dyDescent="0.2">
      <c r="A39" s="498" t="s">
        <v>519</v>
      </c>
      <c r="B39" s="499"/>
      <c r="C39" s="499"/>
      <c r="D39" s="484" t="e">
        <f>Imaging!#REF!</f>
        <v>#REF!</v>
      </c>
      <c r="E39" s="500">
        <v>0.05</v>
      </c>
      <c r="F39" s="501" t="e">
        <f t="shared" si="12"/>
        <v>#REF!</v>
      </c>
      <c r="G39" s="502">
        <v>0.4</v>
      </c>
      <c r="H39" s="503" t="e">
        <f t="shared" si="13"/>
        <v>#REF!</v>
      </c>
      <c r="I39" s="504">
        <v>0.05</v>
      </c>
      <c r="J39" s="503" t="e">
        <f t="shared" si="14"/>
        <v>#REF!</v>
      </c>
      <c r="K39" s="505" t="e">
        <f t="shared" si="15"/>
        <v>#REF!</v>
      </c>
      <c r="L39" s="508"/>
      <c r="N39" s="507"/>
    </row>
    <row r="40" spans="1:14" ht="15" customHeight="1" thickBot="1" x14ac:dyDescent="0.25">
      <c r="A40" s="509"/>
      <c r="B40" s="510"/>
      <c r="C40" s="510"/>
      <c r="D40" s="485"/>
      <c r="E40" s="511"/>
      <c r="F40" s="512"/>
      <c r="G40" s="513"/>
      <c r="H40" s="514"/>
      <c r="I40" s="513"/>
      <c r="J40" s="514"/>
      <c r="K40" s="515"/>
      <c r="L40" s="516"/>
      <c r="N40" s="507"/>
    </row>
    <row r="41" spans="1:14" ht="15" customHeight="1" x14ac:dyDescent="0.2">
      <c r="A41" s="574" t="s">
        <v>520</v>
      </c>
      <c r="B41" s="575"/>
      <c r="C41" s="575"/>
      <c r="D41" s="575"/>
      <c r="E41" s="575"/>
      <c r="F41" s="575"/>
      <c r="G41" s="575"/>
      <c r="H41" s="575"/>
      <c r="I41" s="575"/>
      <c r="J41" s="575"/>
      <c r="K41" s="575"/>
      <c r="L41" s="576"/>
      <c r="N41" s="507"/>
    </row>
    <row r="42" spans="1:14" ht="15" customHeight="1" x14ac:dyDescent="0.2">
      <c r="A42" s="498" t="e">
        <f>Maternity!#REF!</f>
        <v>#REF!</v>
      </c>
      <c r="B42" s="499"/>
      <c r="C42" s="499"/>
      <c r="D42" s="484" t="e">
        <f>Maternity!#REF!</f>
        <v>#REF!</v>
      </c>
      <c r="E42" s="500">
        <v>0.05</v>
      </c>
      <c r="F42" s="501" t="e">
        <f t="shared" ref="F42:F53" si="16">D42*E42</f>
        <v>#REF!</v>
      </c>
      <c r="G42" s="502">
        <v>0.4</v>
      </c>
      <c r="H42" s="503" t="e">
        <f t="shared" ref="H42:H53" si="17">D42*G42</f>
        <v>#REF!</v>
      </c>
      <c r="I42" s="504">
        <v>0.03</v>
      </c>
      <c r="J42" s="503" t="e">
        <f t="shared" ref="J42:J53" si="18">D42*I42</f>
        <v>#REF!</v>
      </c>
      <c r="K42" s="505" t="e">
        <f t="shared" ref="K42:K53" si="19">SUM(D42+F42+H42+J42)</f>
        <v>#REF!</v>
      </c>
      <c r="L42" s="508"/>
      <c r="N42" s="507"/>
    </row>
    <row r="43" spans="1:14" ht="15" customHeight="1" x14ac:dyDescent="0.2">
      <c r="A43" s="498" t="e">
        <f>Maternity!#REF!</f>
        <v>#REF!</v>
      </c>
      <c r="B43" s="499"/>
      <c r="C43" s="499"/>
      <c r="D43" s="484" t="e">
        <f>Maternity!#REF!</f>
        <v>#REF!</v>
      </c>
      <c r="E43" s="500">
        <v>0.05</v>
      </c>
      <c r="F43" s="501" t="e">
        <f t="shared" si="16"/>
        <v>#REF!</v>
      </c>
      <c r="G43" s="502">
        <v>0.3</v>
      </c>
      <c r="H43" s="503" t="e">
        <f t="shared" si="17"/>
        <v>#REF!</v>
      </c>
      <c r="I43" s="504">
        <v>0.03</v>
      </c>
      <c r="J43" s="503" t="e">
        <f t="shared" si="18"/>
        <v>#REF!</v>
      </c>
      <c r="K43" s="505" t="e">
        <f t="shared" si="19"/>
        <v>#REF!</v>
      </c>
      <c r="L43" s="508"/>
      <c r="N43" s="507"/>
    </row>
    <row r="44" spans="1:14" ht="15" customHeight="1" x14ac:dyDescent="0.2">
      <c r="A44" s="498" t="e">
        <f>Maternity!#REF!</f>
        <v>#REF!</v>
      </c>
      <c r="B44" s="499"/>
      <c r="C44" s="499"/>
      <c r="D44" s="484" t="e">
        <f>Maternity!#REF!</f>
        <v>#REF!</v>
      </c>
      <c r="E44" s="500">
        <v>0.05</v>
      </c>
      <c r="F44" s="501" t="e">
        <f t="shared" si="16"/>
        <v>#REF!</v>
      </c>
      <c r="G44" s="502">
        <v>0.3</v>
      </c>
      <c r="H44" s="503" t="e">
        <f t="shared" si="17"/>
        <v>#REF!</v>
      </c>
      <c r="I44" s="504">
        <v>0.03</v>
      </c>
      <c r="J44" s="503" t="e">
        <f t="shared" si="18"/>
        <v>#REF!</v>
      </c>
      <c r="K44" s="505" t="e">
        <f t="shared" si="19"/>
        <v>#REF!</v>
      </c>
      <c r="L44" s="508"/>
      <c r="N44" s="507"/>
    </row>
    <row r="45" spans="1:14" ht="15" customHeight="1" x14ac:dyDescent="0.2">
      <c r="A45" s="517" t="e">
        <f>Maternity!#REF!</f>
        <v>#REF!</v>
      </c>
      <c r="B45" s="499"/>
      <c r="C45" s="499"/>
      <c r="D45" s="484" t="e">
        <f>Maternity!#REF!</f>
        <v>#REF!</v>
      </c>
      <c r="E45" s="500">
        <v>0.05</v>
      </c>
      <c r="F45" s="501" t="e">
        <f t="shared" si="16"/>
        <v>#REF!</v>
      </c>
      <c r="G45" s="502">
        <v>0.3</v>
      </c>
      <c r="H45" s="503" t="e">
        <f t="shared" si="17"/>
        <v>#REF!</v>
      </c>
      <c r="I45" s="504">
        <v>0.03</v>
      </c>
      <c r="J45" s="503" t="e">
        <f t="shared" si="18"/>
        <v>#REF!</v>
      </c>
      <c r="K45" s="505" t="e">
        <f t="shared" si="19"/>
        <v>#REF!</v>
      </c>
      <c r="L45" s="508"/>
      <c r="N45" s="507"/>
    </row>
    <row r="46" spans="1:14" ht="15" customHeight="1" x14ac:dyDescent="0.2">
      <c r="A46" s="498" t="e">
        <f>Maternity!#REF!</f>
        <v>#REF!</v>
      </c>
      <c r="B46" s="499"/>
      <c r="C46" s="499"/>
      <c r="D46" s="484" t="e">
        <f>Maternity!#REF!</f>
        <v>#REF!</v>
      </c>
      <c r="E46" s="500">
        <v>0.05</v>
      </c>
      <c r="F46" s="501" t="e">
        <f t="shared" si="16"/>
        <v>#REF!</v>
      </c>
      <c r="G46" s="502">
        <v>0.3</v>
      </c>
      <c r="H46" s="503" t="e">
        <f t="shared" si="17"/>
        <v>#REF!</v>
      </c>
      <c r="I46" s="504">
        <v>0.03</v>
      </c>
      <c r="J46" s="503" t="e">
        <f t="shared" si="18"/>
        <v>#REF!</v>
      </c>
      <c r="K46" s="505" t="e">
        <f t="shared" si="19"/>
        <v>#REF!</v>
      </c>
      <c r="L46" s="508"/>
      <c r="N46" s="507"/>
    </row>
    <row r="47" spans="1:14" ht="15" customHeight="1" x14ac:dyDescent="0.2">
      <c r="A47" s="498" t="e">
        <f>Maternity!#REF!</f>
        <v>#REF!</v>
      </c>
      <c r="B47" s="499"/>
      <c r="C47" s="499"/>
      <c r="D47" s="484" t="e">
        <f>Maternity!#REF!</f>
        <v>#REF!</v>
      </c>
      <c r="E47" s="500">
        <v>0.05</v>
      </c>
      <c r="F47" s="501" t="e">
        <f t="shared" si="16"/>
        <v>#REF!</v>
      </c>
      <c r="G47" s="502">
        <v>0.3</v>
      </c>
      <c r="H47" s="503" t="e">
        <f t="shared" si="17"/>
        <v>#REF!</v>
      </c>
      <c r="I47" s="504">
        <v>0.03</v>
      </c>
      <c r="J47" s="503" t="e">
        <f t="shared" si="18"/>
        <v>#REF!</v>
      </c>
      <c r="K47" s="505" t="e">
        <f t="shared" si="19"/>
        <v>#REF!</v>
      </c>
      <c r="L47" s="508"/>
      <c r="N47" s="507"/>
    </row>
    <row r="48" spans="1:14" ht="15" customHeight="1" x14ac:dyDescent="0.2">
      <c r="A48" s="498" t="e">
        <f>Maternity!#REF!</f>
        <v>#REF!</v>
      </c>
      <c r="B48" s="499"/>
      <c r="C48" s="499"/>
      <c r="D48" s="484" t="e">
        <f>Maternity!#REF!</f>
        <v>#REF!</v>
      </c>
      <c r="E48" s="500">
        <v>0.05</v>
      </c>
      <c r="F48" s="501" t="e">
        <f t="shared" si="16"/>
        <v>#REF!</v>
      </c>
      <c r="G48" s="502">
        <v>0.3</v>
      </c>
      <c r="H48" s="503" t="e">
        <f t="shared" si="17"/>
        <v>#REF!</v>
      </c>
      <c r="I48" s="504">
        <v>0.03</v>
      </c>
      <c r="J48" s="503" t="e">
        <f t="shared" si="18"/>
        <v>#REF!</v>
      </c>
      <c r="K48" s="505" t="e">
        <f t="shared" si="19"/>
        <v>#REF!</v>
      </c>
      <c r="L48" s="508"/>
      <c r="N48" s="507"/>
    </row>
    <row r="49" spans="1:14" ht="15" customHeight="1" x14ac:dyDescent="0.2">
      <c r="A49" s="498" t="e">
        <f>Maternity!#REF!</f>
        <v>#REF!</v>
      </c>
      <c r="B49" s="499"/>
      <c r="C49" s="499"/>
      <c r="D49" s="484" t="e">
        <f>Maternity!#REF!</f>
        <v>#REF!</v>
      </c>
      <c r="E49" s="500">
        <v>0.05</v>
      </c>
      <c r="F49" s="501" t="e">
        <f t="shared" si="16"/>
        <v>#REF!</v>
      </c>
      <c r="G49" s="502">
        <v>0.3</v>
      </c>
      <c r="H49" s="503" t="e">
        <f t="shared" si="17"/>
        <v>#REF!</v>
      </c>
      <c r="I49" s="504">
        <v>0.03</v>
      </c>
      <c r="J49" s="503" t="e">
        <f t="shared" si="18"/>
        <v>#REF!</v>
      </c>
      <c r="K49" s="505" t="e">
        <f t="shared" si="19"/>
        <v>#REF!</v>
      </c>
      <c r="L49" s="508"/>
      <c r="N49" s="507"/>
    </row>
    <row r="50" spans="1:14" ht="15" customHeight="1" x14ac:dyDescent="0.2">
      <c r="A50" s="498" t="e">
        <f>Maternity!#REF!</f>
        <v>#REF!</v>
      </c>
      <c r="B50" s="499"/>
      <c r="C50" s="499"/>
      <c r="D50" s="484" t="e">
        <f>Maternity!#REF!</f>
        <v>#REF!</v>
      </c>
      <c r="E50" s="500">
        <v>0.05</v>
      </c>
      <c r="F50" s="501" t="e">
        <f t="shared" si="16"/>
        <v>#REF!</v>
      </c>
      <c r="G50" s="502">
        <v>0.3</v>
      </c>
      <c r="H50" s="503" t="e">
        <f t="shared" si="17"/>
        <v>#REF!</v>
      </c>
      <c r="I50" s="504">
        <v>0.03</v>
      </c>
      <c r="J50" s="503" t="e">
        <f t="shared" si="18"/>
        <v>#REF!</v>
      </c>
      <c r="K50" s="505" t="e">
        <f t="shared" si="19"/>
        <v>#REF!</v>
      </c>
      <c r="L50" s="508"/>
      <c r="N50" s="507"/>
    </row>
    <row r="51" spans="1:14" ht="15" customHeight="1" x14ac:dyDescent="0.2">
      <c r="A51" s="498" t="e">
        <f>Maternity!#REF!</f>
        <v>#REF!</v>
      </c>
      <c r="B51" s="499"/>
      <c r="C51" s="499"/>
      <c r="D51" s="484" t="e">
        <f>Maternity!#REF!</f>
        <v>#REF!</v>
      </c>
      <c r="E51" s="500">
        <v>0.05</v>
      </c>
      <c r="F51" s="501" t="e">
        <f t="shared" si="16"/>
        <v>#REF!</v>
      </c>
      <c r="G51" s="502">
        <v>0.3</v>
      </c>
      <c r="H51" s="503" t="e">
        <f t="shared" si="17"/>
        <v>#REF!</v>
      </c>
      <c r="I51" s="504">
        <v>0.03</v>
      </c>
      <c r="J51" s="503" t="e">
        <f t="shared" si="18"/>
        <v>#REF!</v>
      </c>
      <c r="K51" s="505" t="e">
        <f t="shared" si="19"/>
        <v>#REF!</v>
      </c>
      <c r="L51" s="508"/>
      <c r="N51" s="507"/>
    </row>
    <row r="52" spans="1:14" ht="15" customHeight="1" x14ac:dyDescent="0.2">
      <c r="A52" s="498" t="e">
        <f>Maternity!#REF!</f>
        <v>#REF!</v>
      </c>
      <c r="B52" s="499"/>
      <c r="C52" s="499"/>
      <c r="D52" s="484" t="e">
        <f>Maternity!#REF!</f>
        <v>#REF!</v>
      </c>
      <c r="E52" s="500">
        <v>0.05</v>
      </c>
      <c r="F52" s="501" t="e">
        <f t="shared" si="16"/>
        <v>#REF!</v>
      </c>
      <c r="G52" s="502">
        <v>0.3</v>
      </c>
      <c r="H52" s="503" t="e">
        <f t="shared" si="17"/>
        <v>#REF!</v>
      </c>
      <c r="I52" s="504">
        <v>0.03</v>
      </c>
      <c r="J52" s="503" t="e">
        <f t="shared" si="18"/>
        <v>#REF!</v>
      </c>
      <c r="K52" s="505" t="e">
        <f t="shared" si="19"/>
        <v>#REF!</v>
      </c>
      <c r="L52" s="508"/>
      <c r="N52" s="507"/>
    </row>
    <row r="53" spans="1:14" ht="15" customHeight="1" x14ac:dyDescent="0.2">
      <c r="A53" s="24" t="e">
        <f>Maternity!#REF!</f>
        <v>#REF!</v>
      </c>
      <c r="B53" s="499"/>
      <c r="C53" s="499"/>
      <c r="D53" s="484" t="e">
        <f>Maternity!#REF!</f>
        <v>#REF!</v>
      </c>
      <c r="E53" s="500">
        <v>0.05</v>
      </c>
      <c r="F53" s="501" t="e">
        <f t="shared" si="16"/>
        <v>#REF!</v>
      </c>
      <c r="G53" s="502">
        <v>0.3</v>
      </c>
      <c r="H53" s="503" t="e">
        <f t="shared" si="17"/>
        <v>#REF!</v>
      </c>
      <c r="I53" s="504">
        <v>0.03</v>
      </c>
      <c r="J53" s="503" t="e">
        <f t="shared" si="18"/>
        <v>#REF!</v>
      </c>
      <c r="K53" s="505" t="e">
        <f t="shared" si="19"/>
        <v>#REF!</v>
      </c>
      <c r="L53" s="508"/>
      <c r="N53" s="507"/>
    </row>
    <row r="54" spans="1:14" ht="15" customHeight="1" thickBot="1" x14ac:dyDescent="0.25">
      <c r="A54" s="518"/>
      <c r="B54" s="510"/>
      <c r="C54" s="510"/>
      <c r="D54" s="485"/>
      <c r="E54" s="511"/>
      <c r="F54" s="512"/>
      <c r="G54" s="513"/>
      <c r="H54" s="514"/>
      <c r="I54" s="519"/>
      <c r="J54" s="514"/>
      <c r="K54" s="515"/>
      <c r="L54" s="516"/>
      <c r="N54" s="507"/>
    </row>
    <row r="55" spans="1:14" ht="15" customHeight="1" x14ac:dyDescent="0.2">
      <c r="A55" s="574" t="s">
        <v>521</v>
      </c>
      <c r="B55" s="575"/>
      <c r="C55" s="575"/>
      <c r="D55" s="575"/>
      <c r="E55" s="575"/>
      <c r="F55" s="575"/>
      <c r="G55" s="575"/>
      <c r="H55" s="575"/>
      <c r="I55" s="575"/>
      <c r="J55" s="575"/>
      <c r="K55" s="575"/>
      <c r="L55" s="576"/>
      <c r="N55" s="507"/>
    </row>
    <row r="56" spans="1:14" ht="15" customHeight="1" x14ac:dyDescent="0.2">
      <c r="A56" s="498" t="s">
        <v>522</v>
      </c>
      <c r="B56" s="499" t="s">
        <v>523</v>
      </c>
      <c r="C56" s="499">
        <v>18</v>
      </c>
      <c r="D56" s="484" t="e">
        <f>'Neonatal Unit 18 SFRs'!#REF!</f>
        <v>#REF!</v>
      </c>
      <c r="E56" s="500">
        <v>0.05</v>
      </c>
      <c r="F56" s="501" t="e">
        <f t="shared" ref="F56" si="20">D56*E56</f>
        <v>#REF!</v>
      </c>
      <c r="G56" s="502">
        <v>0.35</v>
      </c>
      <c r="H56" s="503" t="e">
        <f t="shared" ref="H56" si="21">D56*G56</f>
        <v>#REF!</v>
      </c>
      <c r="I56" s="504">
        <v>0.05</v>
      </c>
      <c r="J56" s="503" t="e">
        <f>D56*I56</f>
        <v>#REF!</v>
      </c>
      <c r="K56" s="505" t="e">
        <f>SUM(D56+F56+H56+J56)</f>
        <v>#REF!</v>
      </c>
      <c r="L56" s="508"/>
      <c r="N56" s="507"/>
    </row>
    <row r="57" spans="1:14" ht="15" customHeight="1" thickBot="1" x14ac:dyDescent="0.25">
      <c r="A57" s="518"/>
      <c r="B57" s="510"/>
      <c r="C57" s="510"/>
      <c r="D57" s="485"/>
      <c r="E57" s="511"/>
      <c r="F57" s="512"/>
      <c r="G57" s="513"/>
      <c r="H57" s="514"/>
      <c r="I57" s="519"/>
      <c r="J57" s="514"/>
      <c r="K57" s="515"/>
      <c r="L57" s="516"/>
      <c r="N57" s="507"/>
    </row>
    <row r="58" spans="1:14" ht="15" customHeight="1" x14ac:dyDescent="0.2">
      <c r="A58" s="574" t="s">
        <v>535</v>
      </c>
      <c r="B58" s="575"/>
      <c r="C58" s="575"/>
      <c r="D58" s="575"/>
      <c r="E58" s="575"/>
      <c r="F58" s="575"/>
      <c r="G58" s="575"/>
      <c r="H58" s="575"/>
      <c r="I58" s="575"/>
      <c r="J58" s="575"/>
      <c r="K58" s="575"/>
      <c r="L58" s="576"/>
      <c r="N58" s="507"/>
    </row>
    <row r="59" spans="1:14" ht="15" customHeight="1" x14ac:dyDescent="0.2">
      <c r="A59" s="520" t="s">
        <v>1104</v>
      </c>
      <c r="B59" s="521" t="s">
        <v>525</v>
      </c>
      <c r="C59" s="521"/>
      <c r="D59" s="486" t="e">
        <f>Theatres!#REF!</f>
        <v>#REF!</v>
      </c>
      <c r="E59" s="522">
        <v>0.05</v>
      </c>
      <c r="F59" s="523" t="e">
        <f>D59*E59</f>
        <v>#REF!</v>
      </c>
      <c r="G59" s="524">
        <v>0.35</v>
      </c>
      <c r="H59" s="525" t="e">
        <f>D59*G59</f>
        <v>#REF!</v>
      </c>
      <c r="I59" s="526">
        <v>0.05</v>
      </c>
      <c r="J59" s="525" t="e">
        <f>D59*I59</f>
        <v>#REF!</v>
      </c>
      <c r="K59" s="527" t="e">
        <f>SUM(D59+F59+H59+J59)</f>
        <v>#REF!</v>
      </c>
      <c r="L59" s="508"/>
      <c r="N59" s="507"/>
    </row>
    <row r="60" spans="1:14" ht="15" customHeight="1" x14ac:dyDescent="0.2">
      <c r="A60" s="528" t="s">
        <v>526</v>
      </c>
      <c r="B60" s="529" t="s">
        <v>527</v>
      </c>
      <c r="C60" s="499"/>
      <c r="D60" s="484" t="e">
        <f>Theatres!#REF!</f>
        <v>#REF!</v>
      </c>
      <c r="E60" s="500">
        <v>0.05</v>
      </c>
      <c r="F60" s="501" t="e">
        <f t="shared" ref="F60:F62" si="22">D60*E60</f>
        <v>#REF!</v>
      </c>
      <c r="G60" s="502">
        <v>0.4</v>
      </c>
      <c r="H60" s="503" t="e">
        <f t="shared" ref="H60:H62" si="23">D60*G60</f>
        <v>#REF!</v>
      </c>
      <c r="I60" s="504">
        <v>0.05</v>
      </c>
      <c r="J60" s="503" t="e">
        <f t="shared" ref="J60:J62" si="24">D60*I60</f>
        <v>#REF!</v>
      </c>
      <c r="K60" s="505" t="e">
        <f t="shared" ref="K60:K62" si="25">SUM(D60+F60+H60+J60)</f>
        <v>#REF!</v>
      </c>
      <c r="L60" s="508"/>
      <c r="N60" s="507"/>
    </row>
    <row r="61" spans="1:14" ht="15" customHeight="1" x14ac:dyDescent="0.2">
      <c r="A61" s="528" t="s">
        <v>528</v>
      </c>
      <c r="B61" s="499" t="s">
        <v>529</v>
      </c>
      <c r="C61" s="499"/>
      <c r="D61" s="484" t="e">
        <f>Theatres!#REF!</f>
        <v>#REF!</v>
      </c>
      <c r="E61" s="500">
        <v>0.05</v>
      </c>
      <c r="F61" s="501" t="e">
        <f t="shared" si="22"/>
        <v>#REF!</v>
      </c>
      <c r="G61" s="502">
        <v>0.4</v>
      </c>
      <c r="H61" s="503" t="e">
        <f t="shared" si="23"/>
        <v>#REF!</v>
      </c>
      <c r="I61" s="504">
        <v>0.05</v>
      </c>
      <c r="J61" s="503" t="e">
        <f t="shared" si="24"/>
        <v>#REF!</v>
      </c>
      <c r="K61" s="505" t="e">
        <f t="shared" si="25"/>
        <v>#REF!</v>
      </c>
      <c r="L61" s="508"/>
      <c r="N61" s="507"/>
    </row>
    <row r="62" spans="1:14" ht="15" customHeight="1" x14ac:dyDescent="0.2">
      <c r="A62" s="528" t="s">
        <v>530</v>
      </c>
      <c r="B62" s="499"/>
      <c r="C62" s="499"/>
      <c r="D62" s="484" t="e">
        <f>Theatres!#REF!</f>
        <v>#REF!</v>
      </c>
      <c r="E62" s="500">
        <v>0.05</v>
      </c>
      <c r="F62" s="501" t="e">
        <f t="shared" si="22"/>
        <v>#REF!</v>
      </c>
      <c r="G62" s="502">
        <v>0.35</v>
      </c>
      <c r="H62" s="503" t="e">
        <f t="shared" si="23"/>
        <v>#REF!</v>
      </c>
      <c r="I62" s="504">
        <v>0.05</v>
      </c>
      <c r="J62" s="503" t="e">
        <f t="shared" si="24"/>
        <v>#REF!</v>
      </c>
      <c r="K62" s="505" t="e">
        <f t="shared" si="25"/>
        <v>#REF!</v>
      </c>
      <c r="L62" s="508"/>
      <c r="N62" s="507"/>
    </row>
    <row r="63" spans="1:14" ht="15" customHeight="1" thickBot="1" x14ac:dyDescent="0.25">
      <c r="A63" s="518"/>
      <c r="B63" s="510"/>
      <c r="C63" s="510"/>
      <c r="D63" s="485"/>
      <c r="E63" s="511"/>
      <c r="F63" s="512"/>
      <c r="G63" s="513"/>
      <c r="H63" s="514"/>
      <c r="I63" s="519"/>
      <c r="J63" s="514"/>
      <c r="K63" s="515"/>
      <c r="L63" s="516"/>
      <c r="N63" s="507"/>
    </row>
    <row r="64" spans="1:14" ht="15" customHeight="1" x14ac:dyDescent="0.2">
      <c r="A64" s="574" t="s">
        <v>286</v>
      </c>
      <c r="B64" s="575"/>
      <c r="C64" s="575"/>
      <c r="D64" s="575"/>
      <c r="E64" s="575"/>
      <c r="F64" s="575"/>
      <c r="G64" s="575"/>
      <c r="H64" s="575"/>
      <c r="I64" s="575"/>
      <c r="J64" s="575"/>
      <c r="K64" s="575"/>
      <c r="L64" s="576"/>
      <c r="N64" s="507"/>
    </row>
    <row r="65" spans="1:14" ht="15" customHeight="1" x14ac:dyDescent="0.2">
      <c r="A65" s="498" t="str">
        <f>Outpatients!A2</f>
        <v>Outpatient Entrance (4 clusters)</v>
      </c>
      <c r="B65" s="499"/>
      <c r="C65" s="499"/>
      <c r="D65" s="484">
        <f>Outpatients!F19</f>
        <v>121</v>
      </c>
      <c r="E65" s="500">
        <v>0.05</v>
      </c>
      <c r="F65" s="501">
        <f t="shared" ref="F65:F70" si="26">D65*E65</f>
        <v>6.0500000000000007</v>
      </c>
      <c r="G65" s="502">
        <v>0.4</v>
      </c>
      <c r="H65" s="503">
        <f t="shared" ref="H65:H70" si="27">D65*G65</f>
        <v>48.400000000000006</v>
      </c>
      <c r="I65" s="504">
        <v>0.03</v>
      </c>
      <c r="J65" s="503">
        <f t="shared" ref="J65:J70" si="28">D65*I65</f>
        <v>3.63</v>
      </c>
      <c r="K65" s="505">
        <f t="shared" ref="K65:K70" si="29">SUM(D65+F65+H65+J65)</f>
        <v>179.07999999999998</v>
      </c>
      <c r="L65" s="508"/>
      <c r="N65" s="507"/>
    </row>
    <row r="66" spans="1:14" ht="15" customHeight="1" x14ac:dyDescent="0.2">
      <c r="A66" s="498" t="str">
        <f>Outpatients!A20</f>
        <v>Generic outpatient cluster 1-4</v>
      </c>
      <c r="B66" s="499"/>
      <c r="C66" s="499"/>
      <c r="D66" s="484">
        <f>Outpatients!F77</f>
        <v>1351.4</v>
      </c>
      <c r="E66" s="500">
        <v>0.05</v>
      </c>
      <c r="F66" s="501">
        <f t="shared" si="26"/>
        <v>67.570000000000007</v>
      </c>
      <c r="G66" s="502">
        <v>0.3</v>
      </c>
      <c r="H66" s="503">
        <f t="shared" si="27"/>
        <v>405.42</v>
      </c>
      <c r="I66" s="504">
        <v>0.03</v>
      </c>
      <c r="J66" s="503">
        <f t="shared" si="28"/>
        <v>40.542000000000002</v>
      </c>
      <c r="K66" s="505">
        <f t="shared" si="29"/>
        <v>1864.932</v>
      </c>
      <c r="L66" s="508"/>
      <c r="N66" s="507"/>
    </row>
    <row r="67" spans="1:14" ht="15" customHeight="1" x14ac:dyDescent="0.2">
      <c r="A67" s="498" t="str">
        <f>Outpatients!A78</f>
        <v>Shared cluster accommodation (per 4 clusters)</v>
      </c>
      <c r="B67" s="499"/>
      <c r="C67" s="499"/>
      <c r="D67" s="484">
        <f>Outpatients!F93</f>
        <v>170.5</v>
      </c>
      <c r="E67" s="500">
        <v>0.05</v>
      </c>
      <c r="F67" s="501">
        <f t="shared" si="26"/>
        <v>8.5250000000000004</v>
      </c>
      <c r="G67" s="502">
        <v>0.3</v>
      </c>
      <c r="H67" s="503">
        <f t="shared" si="27"/>
        <v>51.15</v>
      </c>
      <c r="I67" s="504">
        <v>0.03</v>
      </c>
      <c r="J67" s="503">
        <f t="shared" si="28"/>
        <v>5.1150000000000002</v>
      </c>
      <c r="K67" s="505">
        <f t="shared" si="29"/>
        <v>235.29000000000002</v>
      </c>
      <c r="L67" s="508"/>
      <c r="N67" s="507"/>
    </row>
    <row r="68" spans="1:14" ht="15" customHeight="1" x14ac:dyDescent="0.2">
      <c r="A68" s="498" t="str">
        <f>Outpatients!A94</f>
        <v>Phlebotomy</v>
      </c>
      <c r="B68" s="499"/>
      <c r="C68" s="499"/>
      <c r="D68" s="484">
        <f>Outpatients!F101</f>
        <v>115.5</v>
      </c>
      <c r="E68" s="500">
        <v>0.05</v>
      </c>
      <c r="F68" s="501">
        <f t="shared" si="26"/>
        <v>5.7750000000000004</v>
      </c>
      <c r="G68" s="502">
        <v>0.3</v>
      </c>
      <c r="H68" s="503">
        <f t="shared" si="27"/>
        <v>34.65</v>
      </c>
      <c r="I68" s="504">
        <v>0.03</v>
      </c>
      <c r="J68" s="503">
        <f t="shared" si="28"/>
        <v>3.4649999999999999</v>
      </c>
      <c r="K68" s="505">
        <f t="shared" si="29"/>
        <v>159.39000000000001</v>
      </c>
      <c r="L68" s="508"/>
      <c r="N68" s="507"/>
    </row>
    <row r="69" spans="1:14" ht="15" customHeight="1" x14ac:dyDescent="0.2">
      <c r="A69" s="498" t="str">
        <f>Outpatients!A102</f>
        <v>Infusion treatment area</v>
      </c>
      <c r="B69" s="499"/>
      <c r="C69" s="499"/>
      <c r="D69" s="484">
        <f>Outpatients!F135</f>
        <v>853</v>
      </c>
      <c r="E69" s="500">
        <v>0.05</v>
      </c>
      <c r="F69" s="501">
        <f t="shared" si="26"/>
        <v>42.650000000000006</v>
      </c>
      <c r="G69" s="502">
        <v>0.3</v>
      </c>
      <c r="H69" s="503">
        <f t="shared" si="27"/>
        <v>255.89999999999998</v>
      </c>
      <c r="I69" s="504">
        <v>0.03</v>
      </c>
      <c r="J69" s="503">
        <f t="shared" si="28"/>
        <v>25.59</v>
      </c>
      <c r="K69" s="505">
        <f t="shared" si="29"/>
        <v>1177.1399999999999</v>
      </c>
      <c r="L69" s="508"/>
      <c r="N69" s="507"/>
    </row>
    <row r="70" spans="1:14" ht="15" customHeight="1" x14ac:dyDescent="0.2">
      <c r="A70" s="498" t="str">
        <f>Outpatients!A136</f>
        <v>Minor Ops Suite</v>
      </c>
      <c r="B70" s="499"/>
      <c r="C70" s="499"/>
      <c r="D70" s="484">
        <f>Outpatients!F160</f>
        <v>495.75</v>
      </c>
      <c r="E70" s="500">
        <v>0.05</v>
      </c>
      <c r="F70" s="501">
        <f t="shared" si="26"/>
        <v>24.787500000000001</v>
      </c>
      <c r="G70" s="502">
        <v>0.3</v>
      </c>
      <c r="H70" s="503">
        <f t="shared" si="27"/>
        <v>148.72499999999999</v>
      </c>
      <c r="I70" s="504">
        <v>0.03</v>
      </c>
      <c r="J70" s="503">
        <f t="shared" si="28"/>
        <v>14.872499999999999</v>
      </c>
      <c r="K70" s="505">
        <f t="shared" si="29"/>
        <v>684.13499999999999</v>
      </c>
      <c r="L70" s="508"/>
      <c r="N70" s="507"/>
    </row>
    <row r="71" spans="1:14" ht="15" thickBot="1" x14ac:dyDescent="0.25">
      <c r="A71" s="498"/>
      <c r="B71" s="499"/>
      <c r="C71" s="499"/>
      <c r="D71" s="484"/>
      <c r="E71" s="511"/>
      <c r="F71" s="501"/>
      <c r="G71" s="502"/>
      <c r="H71" s="503"/>
      <c r="I71" s="504"/>
      <c r="J71" s="503"/>
      <c r="K71" s="505"/>
      <c r="L71" s="508"/>
      <c r="N71" s="507"/>
    </row>
    <row r="72" spans="1:14" ht="15" thickBot="1" x14ac:dyDescent="0.25">
      <c r="A72" s="530"/>
      <c r="B72" s="531"/>
      <c r="C72" s="531"/>
      <c r="D72" s="531"/>
      <c r="E72" s="573" t="s">
        <v>531</v>
      </c>
      <c r="F72" s="573"/>
      <c r="G72" s="573"/>
      <c r="H72" s="573"/>
      <c r="I72" s="573"/>
      <c r="J72" s="573"/>
      <c r="K72" s="573"/>
      <c r="L72" s="532" t="e">
        <f>SUM(K3:K71)</f>
        <v>#REF!</v>
      </c>
    </row>
    <row r="73" spans="1:14" ht="24" customHeight="1" thickBot="1" x14ac:dyDescent="0.25">
      <c r="A73" s="530"/>
      <c r="B73" s="531"/>
      <c r="C73" s="531"/>
      <c r="D73" s="531"/>
      <c r="E73" s="531"/>
      <c r="F73" s="531"/>
      <c r="G73" s="531"/>
      <c r="H73" s="531"/>
      <c r="I73" s="531"/>
      <c r="J73" s="533" t="s">
        <v>532</v>
      </c>
      <c r="K73" s="534">
        <v>0.23</v>
      </c>
      <c r="L73" s="535" t="e">
        <f>L72*K73</f>
        <v>#REF!</v>
      </c>
    </row>
    <row r="74" spans="1:14" ht="22.5" customHeight="1" x14ac:dyDescent="0.2">
      <c r="A74" s="530"/>
      <c r="B74" s="531"/>
      <c r="C74" s="531"/>
      <c r="D74" s="531"/>
      <c r="E74" s="531"/>
      <c r="F74" s="531"/>
      <c r="G74" s="531"/>
      <c r="H74" s="531"/>
      <c r="I74" s="531"/>
      <c r="J74" s="533" t="s">
        <v>533</v>
      </c>
      <c r="K74" s="534">
        <v>0.2</v>
      </c>
      <c r="L74" s="535" t="e">
        <f>L72*K74</f>
        <v>#REF!</v>
      </c>
    </row>
    <row r="75" spans="1:14" ht="22.5" customHeight="1" thickBot="1" x14ac:dyDescent="0.25">
      <c r="A75" s="536"/>
      <c r="B75" s="537"/>
      <c r="C75" s="537"/>
      <c r="D75" s="537"/>
      <c r="E75" s="537"/>
      <c r="F75" s="537"/>
      <c r="G75" s="537"/>
      <c r="H75" s="537"/>
      <c r="I75" s="537"/>
      <c r="J75" s="538" t="s">
        <v>534</v>
      </c>
      <c r="K75" s="539"/>
      <c r="L75" s="540" t="e">
        <f>SUM(L72:L74)</f>
        <v>#REF!</v>
      </c>
    </row>
    <row r="76" spans="1:14" ht="15" thickTop="1" x14ac:dyDescent="0.2"/>
    <row r="77" spans="1:14" ht="15.75" customHeight="1" x14ac:dyDescent="0.2"/>
  </sheetData>
  <mergeCells count="9">
    <mergeCell ref="E72:K72"/>
    <mergeCell ref="A7:L7"/>
    <mergeCell ref="A23:L23"/>
    <mergeCell ref="A30:L30"/>
    <mergeCell ref="A41:L41"/>
    <mergeCell ref="A55:L55"/>
    <mergeCell ref="A58:L58"/>
    <mergeCell ref="A64:L64"/>
    <mergeCell ref="A10:L10"/>
  </mergeCells>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BB74-906B-4C07-8933-D487DBA3A09B}">
  <sheetPr>
    <tabColor theme="0" tint="-0.14999847407452621"/>
  </sheetPr>
  <dimension ref="A1:G250"/>
  <sheetViews>
    <sheetView topLeftCell="A28" zoomScale="80" zoomScaleNormal="80" workbookViewId="0">
      <selection activeCell="C4" sqref="C4"/>
    </sheetView>
  </sheetViews>
  <sheetFormatPr defaultRowHeight="15" x14ac:dyDescent="0.25"/>
  <cols>
    <col min="1" max="1" width="13.140625" style="42" bestFit="1" customWidth="1"/>
    <col min="2" max="2" width="41.28515625" style="438" bestFit="1" customWidth="1"/>
    <col min="3" max="3" width="42.85546875" style="438" customWidth="1"/>
    <col min="4" max="4" width="15.85546875" style="438" customWidth="1"/>
    <col min="5" max="5" width="14.140625" style="438" customWidth="1"/>
    <col min="6" max="6" width="12.85546875" style="438" customWidth="1"/>
    <col min="7" max="7" width="55.140625" style="438" bestFit="1" customWidth="1"/>
    <col min="8" max="16384" width="9.140625" style="438"/>
  </cols>
  <sheetData>
    <row r="1" spans="1:7" s="448" customFormat="1" x14ac:dyDescent="0.25">
      <c r="A1" s="466" t="s">
        <v>477</v>
      </c>
      <c r="B1" s="466" t="s">
        <v>1088</v>
      </c>
      <c r="C1" s="467" t="s">
        <v>1089</v>
      </c>
      <c r="D1" s="467" t="s">
        <v>1090</v>
      </c>
      <c r="E1" s="467" t="s">
        <v>1091</v>
      </c>
      <c r="F1" s="467" t="s">
        <v>1092</v>
      </c>
      <c r="G1" s="467" t="s">
        <v>19</v>
      </c>
    </row>
    <row r="2" spans="1:7" x14ac:dyDescent="0.25">
      <c r="A2" s="203" t="s">
        <v>676</v>
      </c>
      <c r="B2" s="441" t="s">
        <v>675</v>
      </c>
      <c r="C2" s="441" t="s">
        <v>232</v>
      </c>
      <c r="D2" s="205">
        <v>30</v>
      </c>
      <c r="E2" s="452">
        <f>IP_Bedsingle</f>
        <v>19</v>
      </c>
      <c r="F2" s="452">
        <f>E2*D2</f>
        <v>570</v>
      </c>
      <c r="G2" s="453"/>
    </row>
    <row r="3" spans="1:7" x14ac:dyDescent="0.25">
      <c r="A3" s="207" t="s">
        <v>676</v>
      </c>
      <c r="B3" s="441" t="s">
        <v>675</v>
      </c>
      <c r="C3" s="441" t="s">
        <v>98</v>
      </c>
      <c r="D3" s="208">
        <v>30</v>
      </c>
      <c r="E3" s="452">
        <f>SRS_Ensuite_Amb</f>
        <v>4.5</v>
      </c>
      <c r="F3" s="452">
        <f t="shared" ref="F3:F6" si="0">E3*D3</f>
        <v>135</v>
      </c>
      <c r="G3" s="453"/>
    </row>
    <row r="4" spans="1:7" x14ac:dyDescent="0.25">
      <c r="A4" s="207" t="s">
        <v>676</v>
      </c>
      <c r="B4" s="441" t="s">
        <v>675</v>
      </c>
      <c r="C4" s="441" t="s">
        <v>233</v>
      </c>
      <c r="D4" s="208">
        <v>2</v>
      </c>
      <c r="E4" s="452">
        <f>IP_Bedsingle_Lrg</f>
        <v>22</v>
      </c>
      <c r="F4" s="452">
        <f t="shared" si="0"/>
        <v>44</v>
      </c>
      <c r="G4" s="453"/>
    </row>
    <row r="5" spans="1:7" x14ac:dyDescent="0.25">
      <c r="A5" s="207" t="s">
        <v>676</v>
      </c>
      <c r="B5" s="441" t="s">
        <v>675</v>
      </c>
      <c r="C5" s="441" t="s">
        <v>95</v>
      </c>
      <c r="D5" s="208">
        <v>2</v>
      </c>
      <c r="E5" s="452">
        <f>SRS_Ensuite_lrg</f>
        <v>7.5</v>
      </c>
      <c r="F5" s="452">
        <f t="shared" si="0"/>
        <v>15</v>
      </c>
      <c r="G5" s="453"/>
    </row>
    <row r="6" spans="1:7" x14ac:dyDescent="0.25">
      <c r="A6" s="207" t="s">
        <v>676</v>
      </c>
      <c r="B6" s="441" t="s">
        <v>675</v>
      </c>
      <c r="C6" s="441" t="s">
        <v>63</v>
      </c>
      <c r="D6" s="214">
        <v>2</v>
      </c>
      <c r="E6" s="452">
        <f>SCS_Lobby_Iso</f>
        <v>6</v>
      </c>
      <c r="F6" s="452">
        <f t="shared" si="0"/>
        <v>12</v>
      </c>
      <c r="G6" s="453"/>
    </row>
    <row r="7" spans="1:7" x14ac:dyDescent="0.25">
      <c r="A7" s="207" t="s">
        <v>676</v>
      </c>
      <c r="B7" s="441" t="s">
        <v>678</v>
      </c>
      <c r="C7" s="441" t="s">
        <v>66</v>
      </c>
      <c r="D7" s="373">
        <v>2</v>
      </c>
      <c r="E7" s="452">
        <f>SCS_Medprep_Lrg</f>
        <v>16</v>
      </c>
      <c r="F7" s="452">
        <f>E7*D7</f>
        <v>32</v>
      </c>
      <c r="G7" s="454"/>
    </row>
    <row r="8" spans="1:7" x14ac:dyDescent="0.25">
      <c r="A8" s="207" t="s">
        <v>676</v>
      </c>
      <c r="B8" s="441" t="s">
        <v>678</v>
      </c>
      <c r="C8" s="441" t="s">
        <v>28</v>
      </c>
      <c r="D8" s="373">
        <v>2</v>
      </c>
      <c r="E8" s="452">
        <f>SCS_Cleansupply_lrg</f>
        <v>12</v>
      </c>
      <c r="F8" s="452">
        <f t="shared" ref="F8:F17" si="1">E8*D8</f>
        <v>24</v>
      </c>
      <c r="G8" s="455"/>
    </row>
    <row r="9" spans="1:7" x14ac:dyDescent="0.25">
      <c r="A9" s="207" t="s">
        <v>676</v>
      </c>
      <c r="B9" s="441" t="s">
        <v>678</v>
      </c>
      <c r="C9" s="441" t="s">
        <v>34</v>
      </c>
      <c r="D9" s="373">
        <v>2</v>
      </c>
      <c r="E9" s="452">
        <f>SCS_Cleansupply_Small</f>
        <v>5</v>
      </c>
      <c r="F9" s="452">
        <f t="shared" si="1"/>
        <v>10</v>
      </c>
      <c r="G9" s="27" t="s">
        <v>679</v>
      </c>
    </row>
    <row r="10" spans="1:7" x14ac:dyDescent="0.25">
      <c r="A10" s="207" t="s">
        <v>676</v>
      </c>
      <c r="B10" s="441" t="s">
        <v>678</v>
      </c>
      <c r="C10" s="441" t="s">
        <v>49</v>
      </c>
      <c r="D10" s="373">
        <v>2</v>
      </c>
      <c r="E10" s="452">
        <f>SCS_Dirtyutil_Med</f>
        <v>9</v>
      </c>
      <c r="F10" s="452">
        <f t="shared" si="1"/>
        <v>18</v>
      </c>
      <c r="G10" s="455"/>
    </row>
    <row r="11" spans="1:7" x14ac:dyDescent="0.25">
      <c r="A11" s="207" t="s">
        <v>676</v>
      </c>
      <c r="B11" s="441" t="s">
        <v>678</v>
      </c>
      <c r="C11" s="441" t="s">
        <v>83</v>
      </c>
      <c r="D11" s="373">
        <v>1</v>
      </c>
      <c r="E11" s="452">
        <f>SCS_Treatment_Stand</f>
        <v>16</v>
      </c>
      <c r="F11" s="452">
        <f t="shared" si="1"/>
        <v>16</v>
      </c>
      <c r="G11" s="456" t="s">
        <v>680</v>
      </c>
    </row>
    <row r="12" spans="1:7" x14ac:dyDescent="0.25">
      <c r="A12" s="207" t="s">
        <v>676</v>
      </c>
      <c r="B12" s="441" t="s">
        <v>678</v>
      </c>
      <c r="C12" s="441" t="s">
        <v>74</v>
      </c>
      <c r="D12" s="373">
        <v>1</v>
      </c>
      <c r="E12" s="452">
        <f>SCS_POCT</f>
        <v>10</v>
      </c>
      <c r="F12" s="452">
        <f t="shared" si="1"/>
        <v>10</v>
      </c>
      <c r="G12" s="27" t="s">
        <v>681</v>
      </c>
    </row>
    <row r="13" spans="1:7" x14ac:dyDescent="0.25">
      <c r="A13" s="24" t="s">
        <v>676</v>
      </c>
      <c r="B13" s="441" t="s">
        <v>678</v>
      </c>
      <c r="C13" s="441" t="s">
        <v>682</v>
      </c>
      <c r="D13" s="373">
        <v>1</v>
      </c>
      <c r="E13" s="452">
        <f>SRS_Pantry_Med</f>
        <v>12</v>
      </c>
      <c r="F13" s="452">
        <f t="shared" si="1"/>
        <v>12</v>
      </c>
      <c r="G13" s="27"/>
    </row>
    <row r="14" spans="1:7" x14ac:dyDescent="0.25">
      <c r="A14" s="207" t="s">
        <v>676</v>
      </c>
      <c r="B14" s="441" t="s">
        <v>678</v>
      </c>
      <c r="C14" s="441" t="s">
        <v>683</v>
      </c>
      <c r="D14" s="373">
        <v>2</v>
      </c>
      <c r="E14" s="452">
        <f>IP_Breakoutpt</f>
        <v>12</v>
      </c>
      <c r="F14" s="452">
        <f t="shared" si="1"/>
        <v>24</v>
      </c>
      <c r="G14" s="455" t="s">
        <v>684</v>
      </c>
    </row>
    <row r="15" spans="1:7" x14ac:dyDescent="0.25">
      <c r="A15" s="207" t="s">
        <v>676</v>
      </c>
      <c r="B15" s="441" t="s">
        <v>678</v>
      </c>
      <c r="C15" s="441" t="s">
        <v>437</v>
      </c>
      <c r="D15" s="373">
        <v>1</v>
      </c>
      <c r="E15" s="452">
        <f>Bay_Beverage</f>
        <v>5</v>
      </c>
      <c r="F15" s="452">
        <f t="shared" si="1"/>
        <v>5</v>
      </c>
      <c r="G15" s="455" t="s">
        <v>685</v>
      </c>
    </row>
    <row r="16" spans="1:7" x14ac:dyDescent="0.25">
      <c r="A16" s="207" t="s">
        <v>676</v>
      </c>
      <c r="B16" s="441" t="s">
        <v>678</v>
      </c>
      <c r="C16" s="441" t="s">
        <v>686</v>
      </c>
      <c r="D16" s="373">
        <v>2</v>
      </c>
      <c r="E16" s="452">
        <f>SRS_WC_Amb</f>
        <v>2.5</v>
      </c>
      <c r="F16" s="452">
        <f t="shared" si="1"/>
        <v>5</v>
      </c>
      <c r="G16" s="455"/>
    </row>
    <row r="17" spans="1:7" x14ac:dyDescent="0.25">
      <c r="A17" s="207" t="s">
        <v>676</v>
      </c>
      <c r="B17" s="441" t="s">
        <v>678</v>
      </c>
      <c r="C17" s="441" t="s">
        <v>60</v>
      </c>
      <c r="D17" s="373">
        <v>1</v>
      </c>
      <c r="E17" s="452">
        <f>SCS_Interview</f>
        <v>10</v>
      </c>
      <c r="F17" s="452">
        <f t="shared" si="1"/>
        <v>10</v>
      </c>
      <c r="G17" s="27"/>
    </row>
    <row r="18" spans="1:7" x14ac:dyDescent="0.25">
      <c r="A18" s="24" t="s">
        <v>676</v>
      </c>
      <c r="B18" s="441" t="s">
        <v>505</v>
      </c>
      <c r="C18" s="441" t="s">
        <v>687</v>
      </c>
      <c r="D18" s="373">
        <v>2</v>
      </c>
      <c r="E18" s="452">
        <f>SRS_Staffbase_pp</f>
        <v>4</v>
      </c>
      <c r="F18" s="452">
        <f>E18*D18</f>
        <v>8</v>
      </c>
      <c r="G18" s="454"/>
    </row>
    <row r="19" spans="1:7" x14ac:dyDescent="0.25">
      <c r="A19" s="24" t="s">
        <v>676</v>
      </c>
      <c r="B19" s="441" t="s">
        <v>505</v>
      </c>
      <c r="C19" s="441" t="s">
        <v>70</v>
      </c>
      <c r="D19" s="373">
        <v>1</v>
      </c>
      <c r="E19" s="452">
        <f>SCS_MDT_30</f>
        <v>24</v>
      </c>
      <c r="F19" s="452">
        <f t="shared" ref="F19:F23" si="2">E19*D19</f>
        <v>24</v>
      </c>
      <c r="G19" s="27"/>
    </row>
    <row r="20" spans="1:7" x14ac:dyDescent="0.25">
      <c r="A20" s="24" t="s">
        <v>676</v>
      </c>
      <c r="B20" s="441" t="s">
        <v>505</v>
      </c>
      <c r="C20" s="441" t="s">
        <v>348</v>
      </c>
      <c r="D20" s="373">
        <v>2</v>
      </c>
      <c r="E20" s="452">
        <f>Staff_Workstn_pp</f>
        <v>4.5</v>
      </c>
      <c r="F20" s="452">
        <f t="shared" si="2"/>
        <v>9</v>
      </c>
      <c r="G20" s="87" t="s">
        <v>688</v>
      </c>
    </row>
    <row r="21" spans="1:7" x14ac:dyDescent="0.25">
      <c r="A21" s="24" t="s">
        <v>676</v>
      </c>
      <c r="B21" s="441" t="s">
        <v>505</v>
      </c>
      <c r="C21" s="441" t="s">
        <v>135</v>
      </c>
      <c r="D21" s="373">
        <v>8</v>
      </c>
      <c r="E21" s="452">
        <f>SRS_Touchdown_pp</f>
        <v>2</v>
      </c>
      <c r="F21" s="452">
        <f t="shared" si="2"/>
        <v>16</v>
      </c>
      <c r="G21" s="457"/>
    </row>
    <row r="22" spans="1:7" x14ac:dyDescent="0.25">
      <c r="A22" s="24" t="s">
        <v>676</v>
      </c>
      <c r="B22" s="441" t="s">
        <v>505</v>
      </c>
      <c r="C22" s="441" t="s">
        <v>146</v>
      </c>
      <c r="D22" s="373">
        <v>0</v>
      </c>
      <c r="E22" s="452">
        <f>SRS_WC_Access</f>
        <v>4.5</v>
      </c>
      <c r="F22" s="452">
        <f t="shared" si="2"/>
        <v>0</v>
      </c>
      <c r="G22" s="457"/>
    </row>
    <row r="23" spans="1:7" x14ac:dyDescent="0.25">
      <c r="A23" s="24" t="s">
        <v>676</v>
      </c>
      <c r="B23" s="441" t="s">
        <v>505</v>
      </c>
      <c r="C23" s="441" t="s">
        <v>147</v>
      </c>
      <c r="D23" s="373">
        <v>2</v>
      </c>
      <c r="E23" s="452">
        <f>SRS_WC_Amb</f>
        <v>2.5</v>
      </c>
      <c r="F23" s="452">
        <f t="shared" si="2"/>
        <v>5</v>
      </c>
      <c r="G23" s="458"/>
    </row>
    <row r="24" spans="1:7" x14ac:dyDescent="0.25">
      <c r="A24" s="24" t="s">
        <v>676</v>
      </c>
      <c r="B24" s="441" t="s">
        <v>689</v>
      </c>
      <c r="C24" s="441" t="s">
        <v>442</v>
      </c>
      <c r="D24" s="373">
        <v>2</v>
      </c>
      <c r="E24" s="452">
        <f>Bay_Foodtroll</f>
        <v>2</v>
      </c>
      <c r="F24" s="452">
        <f>E24*D24</f>
        <v>4</v>
      </c>
      <c r="G24" s="27"/>
    </row>
    <row r="25" spans="1:7" x14ac:dyDescent="0.25">
      <c r="A25" s="24" t="s">
        <v>676</v>
      </c>
      <c r="B25" s="441" t="s">
        <v>689</v>
      </c>
      <c r="C25" s="441" t="s">
        <v>450</v>
      </c>
      <c r="D25" s="373">
        <v>1</v>
      </c>
      <c r="E25" s="452">
        <f>Bay_Resustroll</f>
        <v>2</v>
      </c>
      <c r="F25" s="452">
        <f t="shared" ref="F25:F35" si="3">E25*D25</f>
        <v>2</v>
      </c>
      <c r="G25" s="27"/>
    </row>
    <row r="26" spans="1:7" x14ac:dyDescent="0.25">
      <c r="A26" s="24" t="s">
        <v>676</v>
      </c>
      <c r="B26" s="441" t="s">
        <v>689</v>
      </c>
      <c r="C26" s="441" t="s">
        <v>444</v>
      </c>
      <c r="D26" s="373">
        <v>2</v>
      </c>
      <c r="E26" s="452">
        <f>Bay_Linentroll</f>
        <v>3</v>
      </c>
      <c r="F26" s="452">
        <f t="shared" si="3"/>
        <v>6</v>
      </c>
      <c r="G26" s="27"/>
    </row>
    <row r="27" spans="1:7" x14ac:dyDescent="0.25">
      <c r="A27" s="24" t="s">
        <v>676</v>
      </c>
      <c r="B27" s="441" t="s">
        <v>689</v>
      </c>
      <c r="C27" s="441" t="s">
        <v>440</v>
      </c>
      <c r="D27" s="373">
        <v>1</v>
      </c>
      <c r="E27" s="452">
        <f>Bay_ECG</f>
        <v>2</v>
      </c>
      <c r="F27" s="452">
        <f t="shared" si="3"/>
        <v>2</v>
      </c>
      <c r="G27" s="27"/>
    </row>
    <row r="28" spans="1:7" x14ac:dyDescent="0.25">
      <c r="A28" s="24" t="s">
        <v>676</v>
      </c>
      <c r="B28" s="441" t="s">
        <v>689</v>
      </c>
      <c r="C28" s="441" t="s">
        <v>447</v>
      </c>
      <c r="D28" s="373">
        <v>2</v>
      </c>
      <c r="E28" s="452">
        <f>Bay_Mobile_Hoist</f>
        <v>2</v>
      </c>
      <c r="F28" s="452">
        <f t="shared" si="3"/>
        <v>4</v>
      </c>
      <c r="G28" s="27"/>
    </row>
    <row r="29" spans="1:7" x14ac:dyDescent="0.25">
      <c r="A29" s="24" t="s">
        <v>676</v>
      </c>
      <c r="B29" s="441" t="s">
        <v>689</v>
      </c>
      <c r="C29" s="441" t="s">
        <v>455</v>
      </c>
      <c r="D29" s="373">
        <v>1</v>
      </c>
      <c r="E29" s="452">
        <f>Bay_XrayUS</f>
        <v>3</v>
      </c>
      <c r="F29" s="452">
        <f t="shared" si="3"/>
        <v>3</v>
      </c>
      <c r="G29" s="27"/>
    </row>
    <row r="30" spans="1:7" x14ac:dyDescent="0.25">
      <c r="A30" s="24" t="s">
        <v>676</v>
      </c>
      <c r="B30" s="441" t="s">
        <v>689</v>
      </c>
      <c r="C30" s="441" t="s">
        <v>449</v>
      </c>
      <c r="D30" s="373">
        <v>0</v>
      </c>
      <c r="E30" s="452">
        <f>Bay_MobilePC</f>
        <v>5</v>
      </c>
      <c r="F30" s="452">
        <f t="shared" si="3"/>
        <v>0</v>
      </c>
      <c r="G30" s="27"/>
    </row>
    <row r="31" spans="1:7" x14ac:dyDescent="0.25">
      <c r="A31" s="24" t="s">
        <v>676</v>
      </c>
      <c r="B31" s="441" t="s">
        <v>689</v>
      </c>
      <c r="C31" s="441" t="s">
        <v>437</v>
      </c>
      <c r="D31" s="373">
        <v>1</v>
      </c>
      <c r="E31" s="452">
        <f>Bay_Beverage</f>
        <v>5</v>
      </c>
      <c r="F31" s="452">
        <f t="shared" si="3"/>
        <v>5</v>
      </c>
      <c r="G31" s="27"/>
    </row>
    <row r="32" spans="1:7" x14ac:dyDescent="0.25">
      <c r="A32" s="24" t="s">
        <v>676</v>
      </c>
      <c r="B32" s="441" t="s">
        <v>689</v>
      </c>
      <c r="C32" s="441" t="s">
        <v>690</v>
      </c>
      <c r="D32" s="373">
        <v>1</v>
      </c>
      <c r="E32" s="452">
        <f>Store_15</f>
        <v>15</v>
      </c>
      <c r="F32" s="452">
        <f t="shared" si="3"/>
        <v>15</v>
      </c>
      <c r="G32" s="87" t="s">
        <v>691</v>
      </c>
    </row>
    <row r="33" spans="1:7" x14ac:dyDescent="0.25">
      <c r="A33" s="24" t="s">
        <v>676</v>
      </c>
      <c r="B33" s="441" t="s">
        <v>689</v>
      </c>
      <c r="C33" s="441" t="s">
        <v>690</v>
      </c>
      <c r="D33" s="373">
        <v>1</v>
      </c>
      <c r="E33" s="452">
        <f>Store_15</f>
        <v>15</v>
      </c>
      <c r="F33" s="452">
        <f t="shared" si="3"/>
        <v>15</v>
      </c>
      <c r="G33" s="87" t="s">
        <v>692</v>
      </c>
    </row>
    <row r="34" spans="1:7" x14ac:dyDescent="0.25">
      <c r="A34" s="24" t="s">
        <v>676</v>
      </c>
      <c r="B34" s="441" t="s">
        <v>689</v>
      </c>
      <c r="C34" s="441" t="s">
        <v>54</v>
      </c>
      <c r="D34" s="373">
        <v>1</v>
      </c>
      <c r="E34" s="452">
        <f>SCS_Fluidroom</f>
        <v>8</v>
      </c>
      <c r="F34" s="452">
        <f t="shared" si="3"/>
        <v>8</v>
      </c>
      <c r="G34" s="87"/>
    </row>
    <row r="35" spans="1:7" x14ac:dyDescent="0.25">
      <c r="A35" s="24" t="s">
        <v>676</v>
      </c>
      <c r="B35" s="441" t="s">
        <v>689</v>
      </c>
      <c r="C35" s="441" t="s">
        <v>38</v>
      </c>
      <c r="D35" s="373">
        <v>1</v>
      </c>
      <c r="E35" s="452">
        <f>SCS_Cleaner_Cup</f>
        <v>5</v>
      </c>
      <c r="F35" s="452">
        <f t="shared" si="3"/>
        <v>5</v>
      </c>
      <c r="G35" s="87"/>
    </row>
    <row r="36" spans="1:7" x14ac:dyDescent="0.25">
      <c r="A36" s="24" t="s">
        <v>676</v>
      </c>
      <c r="B36" s="441" t="s">
        <v>1098</v>
      </c>
      <c r="C36" s="441" t="s">
        <v>143</v>
      </c>
      <c r="D36" s="373">
        <v>4</v>
      </c>
      <c r="E36" s="452">
        <f>SRS_Wait_Amb_pp</f>
        <v>1.5</v>
      </c>
      <c r="F36" s="452">
        <f>E36*D36</f>
        <v>6</v>
      </c>
      <c r="G36" s="444"/>
    </row>
    <row r="37" spans="1:7" x14ac:dyDescent="0.25">
      <c r="A37" s="207" t="s">
        <v>676</v>
      </c>
      <c r="B37" s="441" t="s">
        <v>1098</v>
      </c>
      <c r="C37" s="441" t="s">
        <v>146</v>
      </c>
      <c r="D37" s="287">
        <v>0</v>
      </c>
      <c r="E37" s="452">
        <f>SRS_WC_Access</f>
        <v>4.5</v>
      </c>
      <c r="F37" s="452">
        <f t="shared" ref="F37:F47" si="4">E37*D37</f>
        <v>0</v>
      </c>
      <c r="G37" s="457"/>
    </row>
    <row r="38" spans="1:7" x14ac:dyDescent="0.25">
      <c r="A38" s="11" t="s">
        <v>676</v>
      </c>
      <c r="B38" s="441" t="s">
        <v>1098</v>
      </c>
      <c r="C38" s="441" t="s">
        <v>124</v>
      </c>
      <c r="D38" s="287">
        <v>0.5</v>
      </c>
      <c r="E38" s="452">
        <f>SRS_Seminar_15</f>
        <v>30</v>
      </c>
      <c r="F38" s="452">
        <f t="shared" si="4"/>
        <v>15</v>
      </c>
      <c r="G38" s="27"/>
    </row>
    <row r="39" spans="1:7" x14ac:dyDescent="0.25">
      <c r="A39" s="11" t="s">
        <v>676</v>
      </c>
      <c r="B39" s="441" t="s">
        <v>1098</v>
      </c>
      <c r="C39" s="441" t="s">
        <v>693</v>
      </c>
      <c r="D39" s="373">
        <v>15</v>
      </c>
      <c r="E39" s="452">
        <f>SRS_Staffchange_pp</f>
        <v>2.5</v>
      </c>
      <c r="F39" s="452">
        <f t="shared" si="4"/>
        <v>37.5</v>
      </c>
      <c r="G39" s="87"/>
    </row>
    <row r="40" spans="1:7" x14ac:dyDescent="0.25">
      <c r="A40" s="11" t="s">
        <v>676</v>
      </c>
      <c r="B40" s="441" t="s">
        <v>1098</v>
      </c>
      <c r="C40" s="441" t="s">
        <v>132</v>
      </c>
      <c r="D40" s="373">
        <v>15</v>
      </c>
      <c r="E40" s="452">
        <f>SRS_Staffrestbev_pp</f>
        <v>1.5</v>
      </c>
      <c r="F40" s="452">
        <f t="shared" si="4"/>
        <v>22.5</v>
      </c>
      <c r="G40" s="87"/>
    </row>
    <row r="41" spans="1:7" x14ac:dyDescent="0.25">
      <c r="A41" s="11" t="s">
        <v>676</v>
      </c>
      <c r="B41" s="441" t="s">
        <v>1098</v>
      </c>
      <c r="C41" s="441" t="s">
        <v>134</v>
      </c>
      <c r="D41" s="287">
        <v>0</v>
      </c>
      <c r="E41" s="452">
        <f>SRS_Staff_Shower</f>
        <v>3</v>
      </c>
      <c r="F41" s="452">
        <f t="shared" si="4"/>
        <v>0</v>
      </c>
      <c r="G41" s="87" t="s">
        <v>1099</v>
      </c>
    </row>
    <row r="42" spans="1:7" x14ac:dyDescent="0.25">
      <c r="A42" s="11" t="s">
        <v>676</v>
      </c>
      <c r="B42" s="441" t="s">
        <v>1098</v>
      </c>
      <c r="C42" s="441" t="s">
        <v>694</v>
      </c>
      <c r="D42" s="373">
        <v>4</v>
      </c>
      <c r="E42" s="452">
        <f>SRS_Locker_4</f>
        <v>0.5</v>
      </c>
      <c r="F42" s="452">
        <f t="shared" si="4"/>
        <v>2</v>
      </c>
      <c r="G42" s="87" t="s">
        <v>695</v>
      </c>
    </row>
    <row r="43" spans="1:7" x14ac:dyDescent="0.25">
      <c r="A43" s="11" t="s">
        <v>676</v>
      </c>
      <c r="B43" s="441" t="s">
        <v>1098</v>
      </c>
      <c r="C43" s="441" t="s">
        <v>52</v>
      </c>
      <c r="D43" s="373">
        <v>1</v>
      </c>
      <c r="E43" s="452">
        <f>SRS_Disphol_Med</f>
        <v>14</v>
      </c>
      <c r="F43" s="452">
        <f t="shared" si="4"/>
        <v>14</v>
      </c>
      <c r="G43" s="87" t="s">
        <v>697</v>
      </c>
    </row>
    <row r="44" spans="1:7" x14ac:dyDescent="0.25">
      <c r="A44" s="29" t="s">
        <v>676</v>
      </c>
      <c r="B44" s="441" t="s">
        <v>1096</v>
      </c>
      <c r="C44" s="441" t="s">
        <v>93</v>
      </c>
      <c r="D44" s="287">
        <v>0.5</v>
      </c>
      <c r="E44" s="452">
        <f>SRS_Delivhub_Small</f>
        <v>4.5</v>
      </c>
      <c r="F44" s="459">
        <f t="shared" si="4"/>
        <v>2.25</v>
      </c>
      <c r="G44" s="87" t="s">
        <v>697</v>
      </c>
    </row>
    <row r="45" spans="1:7" x14ac:dyDescent="0.25">
      <c r="A45" s="216" t="s">
        <v>676</v>
      </c>
      <c r="B45" s="441" t="s">
        <v>1096</v>
      </c>
      <c r="C45" s="441" t="s">
        <v>104</v>
      </c>
      <c r="D45" s="287">
        <v>0.5</v>
      </c>
      <c r="E45" s="452">
        <f>SRS_Kitchen_IP</f>
        <v>25</v>
      </c>
      <c r="F45" s="452">
        <f t="shared" si="4"/>
        <v>12.5</v>
      </c>
      <c r="G45" s="87" t="s">
        <v>698</v>
      </c>
    </row>
    <row r="46" spans="1:7" x14ac:dyDescent="0.25">
      <c r="A46" s="216" t="s">
        <v>676</v>
      </c>
      <c r="B46" s="441" t="s">
        <v>1096</v>
      </c>
      <c r="C46" s="441" t="s">
        <v>690</v>
      </c>
      <c r="D46" s="287">
        <v>0.5</v>
      </c>
      <c r="E46" s="452">
        <f>Store_15</f>
        <v>15</v>
      </c>
      <c r="F46" s="452">
        <f t="shared" si="4"/>
        <v>7.5</v>
      </c>
      <c r="G46" s="87" t="s">
        <v>699</v>
      </c>
    </row>
    <row r="47" spans="1:7" x14ac:dyDescent="0.25">
      <c r="A47" s="216" t="s">
        <v>676</v>
      </c>
      <c r="B47" s="441" t="s">
        <v>1096</v>
      </c>
      <c r="C47" s="441" t="s">
        <v>400</v>
      </c>
      <c r="D47" s="287">
        <v>0.5</v>
      </c>
      <c r="E47" s="452">
        <f>RTU_Gascylinder_Small</f>
        <v>4</v>
      </c>
      <c r="F47" s="452">
        <f t="shared" si="4"/>
        <v>2</v>
      </c>
      <c r="G47" s="460"/>
    </row>
    <row r="48" spans="1:7" x14ac:dyDescent="0.25">
      <c r="A48" s="216" t="s">
        <v>676</v>
      </c>
      <c r="B48" s="441" t="s">
        <v>1097</v>
      </c>
      <c r="C48" s="441" t="s">
        <v>344</v>
      </c>
      <c r="D48" s="461">
        <v>1</v>
      </c>
      <c r="E48" s="452">
        <f>Staff_Office_1</f>
        <v>8</v>
      </c>
      <c r="F48" s="459">
        <f>E48*D48</f>
        <v>8</v>
      </c>
      <c r="G48" s="444"/>
    </row>
    <row r="49" spans="1:7" x14ac:dyDescent="0.25">
      <c r="A49" s="6" t="s">
        <v>676</v>
      </c>
      <c r="B49" s="441" t="s">
        <v>1097</v>
      </c>
      <c r="C49" s="441" t="s">
        <v>686</v>
      </c>
      <c r="D49" s="462">
        <v>1</v>
      </c>
      <c r="E49" s="452">
        <f>SRS_WC_Amb</f>
        <v>2.5</v>
      </c>
      <c r="F49" s="459">
        <f t="shared" ref="F49:F53" si="5">E49*D49</f>
        <v>2.5</v>
      </c>
      <c r="G49" s="87" t="s">
        <v>700</v>
      </c>
    </row>
    <row r="50" spans="1:7" x14ac:dyDescent="0.25">
      <c r="A50" s="11" t="s">
        <v>676</v>
      </c>
      <c r="B50" s="441" t="s">
        <v>1097</v>
      </c>
      <c r="C50" s="441" t="s">
        <v>146</v>
      </c>
      <c r="D50" s="462">
        <v>1</v>
      </c>
      <c r="E50" s="452">
        <f>SRS_WC_Access</f>
        <v>4.5</v>
      </c>
      <c r="F50" s="459">
        <f t="shared" si="5"/>
        <v>4.5</v>
      </c>
      <c r="G50" s="87" t="s">
        <v>700</v>
      </c>
    </row>
    <row r="51" spans="1:7" x14ac:dyDescent="0.25">
      <c r="A51" s="11" t="s">
        <v>676</v>
      </c>
      <c r="B51" s="441" t="s">
        <v>1097</v>
      </c>
      <c r="C51" s="441" t="s">
        <v>146</v>
      </c>
      <c r="D51" s="462">
        <v>1</v>
      </c>
      <c r="E51" s="452">
        <f>SRS_WC_Access</f>
        <v>4.5</v>
      </c>
      <c r="F51" s="459">
        <f t="shared" si="5"/>
        <v>4.5</v>
      </c>
      <c r="G51" s="87" t="s">
        <v>701</v>
      </c>
    </row>
    <row r="52" spans="1:7" x14ac:dyDescent="0.25">
      <c r="A52" s="11" t="s">
        <v>676</v>
      </c>
      <c r="B52" s="441" t="s">
        <v>1097</v>
      </c>
      <c r="C52" s="441" t="s">
        <v>686</v>
      </c>
      <c r="D52" s="463">
        <v>1</v>
      </c>
      <c r="E52" s="452">
        <f>SRS_WC_Amb</f>
        <v>2.5</v>
      </c>
      <c r="F52" s="459">
        <f t="shared" si="5"/>
        <v>2.5</v>
      </c>
      <c r="G52" s="460" t="s">
        <v>702</v>
      </c>
    </row>
    <row r="53" spans="1:7" x14ac:dyDescent="0.25">
      <c r="A53" s="29" t="s">
        <v>676</v>
      </c>
      <c r="B53" s="441" t="s">
        <v>1097</v>
      </c>
      <c r="C53" s="441" t="s">
        <v>1093</v>
      </c>
      <c r="D53" s="464">
        <v>1</v>
      </c>
      <c r="E53" s="452">
        <f>Staff_Wellbeinglact</f>
        <v>10</v>
      </c>
      <c r="F53" s="459">
        <f t="shared" si="5"/>
        <v>10</v>
      </c>
      <c r="G53" s="465" t="s">
        <v>700</v>
      </c>
    </row>
    <row r="54" spans="1:7" x14ac:dyDescent="0.25">
      <c r="A54" s="6"/>
      <c r="B54" s="441"/>
    </row>
    <row r="55" spans="1:7" x14ac:dyDescent="0.25">
      <c r="A55" s="11"/>
    </row>
    <row r="56" spans="1:7" x14ac:dyDescent="0.25">
      <c r="A56" s="11"/>
    </row>
    <row r="57" spans="1:7" x14ac:dyDescent="0.25">
      <c r="A57" s="11"/>
    </row>
    <row r="58" spans="1:7" x14ac:dyDescent="0.25">
      <c r="A58" s="11"/>
    </row>
    <row r="59" spans="1:7" x14ac:dyDescent="0.25">
      <c r="A59" s="11"/>
    </row>
    <row r="60" spans="1:7" x14ac:dyDescent="0.25">
      <c r="A60" s="29"/>
    </row>
    <row r="61" spans="1:7" x14ac:dyDescent="0.25">
      <c r="A61" s="6"/>
    </row>
    <row r="62" spans="1:7" x14ac:dyDescent="0.25">
      <c r="A62" s="11"/>
    </row>
    <row r="63" spans="1:7" x14ac:dyDescent="0.25">
      <c r="A63" s="11"/>
    </row>
    <row r="64" spans="1:7" x14ac:dyDescent="0.25">
      <c r="A64" s="11"/>
    </row>
    <row r="65" spans="1:1" x14ac:dyDescent="0.25">
      <c r="A65" s="11"/>
    </row>
    <row r="66" spans="1:1" x14ac:dyDescent="0.25">
      <c r="A66" s="11"/>
    </row>
    <row r="67" spans="1:1" x14ac:dyDescent="0.25">
      <c r="A67" s="11"/>
    </row>
    <row r="68" spans="1:1" x14ac:dyDescent="0.25">
      <c r="A68" s="11"/>
    </row>
    <row r="69" spans="1:1" x14ac:dyDescent="0.25">
      <c r="A69" s="11"/>
    </row>
    <row r="70" spans="1:1" x14ac:dyDescent="0.25">
      <c r="A70" s="11"/>
    </row>
    <row r="71" spans="1:1" x14ac:dyDescent="0.25">
      <c r="A71" s="11"/>
    </row>
    <row r="72" spans="1:1" x14ac:dyDescent="0.25">
      <c r="A72" s="11"/>
    </row>
    <row r="73" spans="1:1" x14ac:dyDescent="0.25">
      <c r="A73" s="11"/>
    </row>
    <row r="74" spans="1:1" x14ac:dyDescent="0.25">
      <c r="A74" s="11"/>
    </row>
    <row r="75" spans="1:1" x14ac:dyDescent="0.25">
      <c r="A75" s="29"/>
    </row>
    <row r="76" spans="1:1" x14ac:dyDescent="0.25">
      <c r="A76" s="29"/>
    </row>
    <row r="77" spans="1:1" x14ac:dyDescent="0.25">
      <c r="A77" s="224"/>
    </row>
    <row r="78" spans="1:1" x14ac:dyDescent="0.25">
      <c r="A78" s="226"/>
    </row>
    <row r="79" spans="1:1" x14ac:dyDescent="0.25">
      <c r="A79" s="227"/>
    </row>
    <row r="80" spans="1:1" x14ac:dyDescent="0.25">
      <c r="A80" s="40"/>
    </row>
    <row r="81" spans="1:1" x14ac:dyDescent="0.25">
      <c r="A81" s="36"/>
    </row>
    <row r="82" spans="1:1" x14ac:dyDescent="0.25">
      <c r="A82" s="36"/>
    </row>
    <row r="83" spans="1:1" x14ac:dyDescent="0.25">
      <c r="A83" s="36"/>
    </row>
    <row r="84" spans="1:1" x14ac:dyDescent="0.25">
      <c r="A84" s="36"/>
    </row>
    <row r="85" spans="1:1" x14ac:dyDescent="0.25">
      <c r="A85" s="36"/>
    </row>
    <row r="86" spans="1:1" x14ac:dyDescent="0.25">
      <c r="A86" s="36"/>
    </row>
    <row r="87" spans="1:1" x14ac:dyDescent="0.25">
      <c r="A87" s="36"/>
    </row>
    <row r="88" spans="1:1" x14ac:dyDescent="0.25">
      <c r="A88" s="36"/>
    </row>
    <row r="89" spans="1:1" x14ac:dyDescent="0.25">
      <c r="A89" s="36"/>
    </row>
    <row r="90" spans="1:1" x14ac:dyDescent="0.25">
      <c r="A90" s="36"/>
    </row>
    <row r="91" spans="1:1" x14ac:dyDescent="0.25">
      <c r="A91" s="36"/>
    </row>
    <row r="92" spans="1:1" x14ac:dyDescent="0.25">
      <c r="A92" s="36"/>
    </row>
    <row r="93" spans="1:1" x14ac:dyDescent="0.25">
      <c r="A93" s="36"/>
    </row>
    <row r="94" spans="1:1" x14ac:dyDescent="0.25">
      <c r="A94" s="36"/>
    </row>
    <row r="95" spans="1:1" x14ac:dyDescent="0.25">
      <c r="A95" s="36"/>
    </row>
    <row r="96" spans="1:1" x14ac:dyDescent="0.25">
      <c r="A96" s="36"/>
    </row>
    <row r="97" spans="1:1" x14ac:dyDescent="0.25">
      <c r="A97" s="36"/>
    </row>
    <row r="98" spans="1:1" x14ac:dyDescent="0.25">
      <c r="A98" s="36"/>
    </row>
    <row r="99" spans="1:1" x14ac:dyDescent="0.25">
      <c r="A99" s="36"/>
    </row>
    <row r="100" spans="1:1" x14ac:dyDescent="0.25">
      <c r="A100" s="36"/>
    </row>
    <row r="101" spans="1:1" x14ac:dyDescent="0.25">
      <c r="A101" s="36"/>
    </row>
    <row r="102" spans="1:1" x14ac:dyDescent="0.25">
      <c r="A102" s="36"/>
    </row>
    <row r="103" spans="1:1" x14ac:dyDescent="0.25">
      <c r="A103" s="36"/>
    </row>
    <row r="104" spans="1:1" x14ac:dyDescent="0.25">
      <c r="A104" s="36"/>
    </row>
    <row r="105" spans="1:1" x14ac:dyDescent="0.25">
      <c r="A105" s="36"/>
    </row>
    <row r="106" spans="1:1" x14ac:dyDescent="0.25">
      <c r="A106" s="36"/>
    </row>
    <row r="107" spans="1:1" x14ac:dyDescent="0.25">
      <c r="A107" s="36"/>
    </row>
    <row r="108" spans="1:1" x14ac:dyDescent="0.25">
      <c r="A108" s="36"/>
    </row>
    <row r="109" spans="1:1" x14ac:dyDescent="0.25">
      <c r="A109" s="6"/>
    </row>
    <row r="110" spans="1:1" x14ac:dyDescent="0.25">
      <c r="A110" s="6"/>
    </row>
    <row r="111" spans="1:1" x14ac:dyDescent="0.25">
      <c r="A111" s="11"/>
    </row>
    <row r="112" spans="1:1" x14ac:dyDescent="0.25">
      <c r="A112" s="226"/>
    </row>
    <row r="113" spans="1:1" x14ac:dyDescent="0.25">
      <c r="A113" s="226"/>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29"/>
    </row>
    <row r="133" spans="1:1" x14ac:dyDescent="0.25">
      <c r="A133" s="6"/>
    </row>
    <row r="134" spans="1:1" x14ac:dyDescent="0.25">
      <c r="A134" s="6"/>
    </row>
    <row r="135" spans="1:1" x14ac:dyDescent="0.25">
      <c r="A135" s="236"/>
    </row>
    <row r="136" spans="1:1" x14ac:dyDescent="0.25">
      <c r="A136" s="238"/>
    </row>
    <row r="137" spans="1:1" x14ac:dyDescent="0.25">
      <c r="A137" s="238"/>
    </row>
    <row r="138" spans="1:1" x14ac:dyDescent="0.25">
      <c r="A138" s="238"/>
    </row>
    <row r="139" spans="1:1" x14ac:dyDescent="0.25">
      <c r="A139" s="238"/>
    </row>
    <row r="140" spans="1:1" x14ac:dyDescent="0.25">
      <c r="A140" s="238"/>
    </row>
    <row r="141" spans="1:1" x14ac:dyDescent="0.25">
      <c r="A141" s="238"/>
    </row>
    <row r="142" spans="1:1" x14ac:dyDescent="0.25">
      <c r="A142" s="6"/>
    </row>
    <row r="143" spans="1:1" x14ac:dyDescent="0.25">
      <c r="A143" s="6"/>
    </row>
    <row r="144" spans="1:1" x14ac:dyDescent="0.25">
      <c r="A144" s="40"/>
    </row>
    <row r="145" spans="1:1" x14ac:dyDescent="0.25">
      <c r="A145" s="40"/>
    </row>
    <row r="146" spans="1:1" x14ac:dyDescent="0.25">
      <c r="A146" s="40"/>
    </row>
    <row r="147" spans="1:1" x14ac:dyDescent="0.25">
      <c r="A147" s="40"/>
    </row>
    <row r="148" spans="1:1" x14ac:dyDescent="0.25">
      <c r="A148" s="40"/>
    </row>
    <row r="149" spans="1:1" x14ac:dyDescent="0.25">
      <c r="A149" s="40"/>
    </row>
    <row r="150" spans="1:1" x14ac:dyDescent="0.25">
      <c r="A150" s="6"/>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6"/>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29"/>
    </row>
    <row r="185" spans="1:1" x14ac:dyDescent="0.25">
      <c r="A185" s="11"/>
    </row>
    <row r="186" spans="1:1" x14ac:dyDescent="0.25">
      <c r="A186" s="11"/>
    </row>
    <row r="187" spans="1:1" x14ac:dyDescent="0.25">
      <c r="A187" s="11"/>
    </row>
    <row r="188" spans="1:1" x14ac:dyDescent="0.25">
      <c r="A188" s="6"/>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4"/>
    </row>
    <row r="197" spans="1:1" x14ac:dyDescent="0.25">
      <c r="A197" s="4"/>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778F-63C4-4D73-80BC-A25B7D512C18}">
  <sheetPr>
    <tabColor theme="0" tint="-0.14999847407452621"/>
  </sheetPr>
  <dimension ref="A1:G250"/>
  <sheetViews>
    <sheetView topLeftCell="B5" zoomScale="110" zoomScaleNormal="110" workbookViewId="0">
      <selection activeCell="C11" sqref="C11"/>
    </sheetView>
  </sheetViews>
  <sheetFormatPr defaultColWidth="8.85546875" defaultRowHeight="14.25" x14ac:dyDescent="0.25"/>
  <cols>
    <col min="1" max="1" width="15.28515625" style="42" bestFit="1" customWidth="1"/>
    <col min="2" max="2" width="38.5703125" style="439" bestFit="1" customWidth="1"/>
    <col min="3" max="3" width="42" style="447" customWidth="1"/>
    <col min="4" max="4" width="12.5703125" style="445" customWidth="1"/>
    <col min="5" max="5" width="12.42578125" style="446" customWidth="1"/>
    <col min="6" max="6" width="13" style="446" customWidth="1"/>
    <col min="7" max="7" width="75.85546875" style="439" bestFit="1" customWidth="1"/>
    <col min="8" max="16384" width="8.85546875" style="439"/>
  </cols>
  <sheetData>
    <row r="1" spans="1:7" s="448" customFormat="1" ht="15" x14ac:dyDescent="0.25">
      <c r="A1" s="466" t="s">
        <v>477</v>
      </c>
      <c r="B1" s="466" t="s">
        <v>1088</v>
      </c>
      <c r="C1" s="467" t="s">
        <v>1089</v>
      </c>
      <c r="D1" s="467" t="s">
        <v>1090</v>
      </c>
      <c r="E1" s="467" t="s">
        <v>1091</v>
      </c>
      <c r="F1" s="467" t="s">
        <v>1092</v>
      </c>
      <c r="G1" s="467" t="s">
        <v>19</v>
      </c>
    </row>
    <row r="2" spans="1:7" s="438" customFormat="1" ht="15" x14ac:dyDescent="0.25">
      <c r="A2" s="203" t="s">
        <v>1116</v>
      </c>
      <c r="B2" s="441" t="s">
        <v>703</v>
      </c>
      <c r="C2" s="441" t="s">
        <v>120</v>
      </c>
      <c r="D2" s="205">
        <v>1</v>
      </c>
      <c r="E2" s="452">
        <f>SRS_Recept_pp</f>
        <v>5.5</v>
      </c>
      <c r="F2" s="452">
        <f t="shared" ref="F2:F9" si="0">E2*D2</f>
        <v>5.5</v>
      </c>
      <c r="G2" s="453"/>
    </row>
    <row r="3" spans="1:7" s="438" customFormat="1" ht="15" x14ac:dyDescent="0.25">
      <c r="A3" s="203" t="s">
        <v>1116</v>
      </c>
      <c r="B3" s="441" t="s">
        <v>703</v>
      </c>
      <c r="C3" s="441" t="s">
        <v>147</v>
      </c>
      <c r="D3" s="208">
        <v>1</v>
      </c>
      <c r="E3" s="452">
        <f>SRS_WC_Amb</f>
        <v>2.5</v>
      </c>
      <c r="F3" s="452">
        <f t="shared" si="0"/>
        <v>2.5</v>
      </c>
      <c r="G3" s="453"/>
    </row>
    <row r="4" spans="1:7" s="438" customFormat="1" ht="15" x14ac:dyDescent="0.25">
      <c r="A4" s="203" t="s">
        <v>1116</v>
      </c>
      <c r="B4" s="441" t="s">
        <v>703</v>
      </c>
      <c r="C4" s="441" t="s">
        <v>146</v>
      </c>
      <c r="D4" s="208">
        <v>1</v>
      </c>
      <c r="E4" s="452">
        <f>SRS_WC_Access</f>
        <v>4.5</v>
      </c>
      <c r="F4" s="452">
        <f t="shared" si="0"/>
        <v>4.5</v>
      </c>
      <c r="G4" s="453"/>
    </row>
    <row r="5" spans="1:7" s="438" customFormat="1" ht="15" x14ac:dyDescent="0.25">
      <c r="A5" s="203" t="s">
        <v>1116</v>
      </c>
      <c r="B5" s="441" t="s">
        <v>703</v>
      </c>
      <c r="C5" s="441" t="s">
        <v>704</v>
      </c>
      <c r="D5" s="208">
        <v>1</v>
      </c>
      <c r="E5" s="452">
        <v>10</v>
      </c>
      <c r="F5" s="452">
        <f t="shared" si="0"/>
        <v>10</v>
      </c>
      <c r="G5" s="453" t="s">
        <v>705</v>
      </c>
    </row>
    <row r="6" spans="1:7" s="438" customFormat="1" ht="15" x14ac:dyDescent="0.25">
      <c r="A6" s="203" t="s">
        <v>1116</v>
      </c>
      <c r="B6" s="441" t="s">
        <v>703</v>
      </c>
      <c r="C6" s="441" t="s">
        <v>706</v>
      </c>
      <c r="D6" s="214">
        <v>2</v>
      </c>
      <c r="E6" s="452">
        <v>20</v>
      </c>
      <c r="F6" s="452">
        <f t="shared" si="0"/>
        <v>40</v>
      </c>
      <c r="G6" s="453"/>
    </row>
    <row r="7" spans="1:7" s="438" customFormat="1" ht="15" x14ac:dyDescent="0.25">
      <c r="A7" s="203" t="s">
        <v>1116</v>
      </c>
      <c r="B7" s="441" t="s">
        <v>703</v>
      </c>
      <c r="C7" s="441" t="s">
        <v>437</v>
      </c>
      <c r="D7" s="205">
        <v>1</v>
      </c>
      <c r="E7" s="452">
        <f>Bay_Beverage</f>
        <v>5</v>
      </c>
      <c r="F7" s="452">
        <f t="shared" si="0"/>
        <v>5</v>
      </c>
      <c r="G7" s="453"/>
    </row>
    <row r="8" spans="1:7" s="438" customFormat="1" ht="15" x14ac:dyDescent="0.25">
      <c r="A8" s="203" t="s">
        <v>1116</v>
      </c>
      <c r="B8" s="441" t="s">
        <v>703</v>
      </c>
      <c r="C8" s="441" t="s">
        <v>237</v>
      </c>
      <c r="D8" s="208">
        <v>2</v>
      </c>
      <c r="E8" s="452">
        <f>IP_Bedsingle_relative</f>
        <v>12</v>
      </c>
      <c r="F8" s="452">
        <f t="shared" si="0"/>
        <v>24</v>
      </c>
      <c r="G8" s="453" t="s">
        <v>707</v>
      </c>
    </row>
    <row r="9" spans="1:7" s="438" customFormat="1" ht="15" x14ac:dyDescent="0.25">
      <c r="A9" s="203" t="s">
        <v>1116</v>
      </c>
      <c r="B9" s="441" t="s">
        <v>703</v>
      </c>
      <c r="C9" s="441" t="s">
        <v>60</v>
      </c>
      <c r="D9" s="208">
        <v>1</v>
      </c>
      <c r="E9" s="452">
        <f>SCS_Interview</f>
        <v>10</v>
      </c>
      <c r="F9" s="452">
        <f t="shared" si="0"/>
        <v>10</v>
      </c>
      <c r="G9" s="453"/>
    </row>
    <row r="10" spans="1:7" s="438" customFormat="1" ht="15" x14ac:dyDescent="0.25">
      <c r="A10" s="203" t="s">
        <v>1116</v>
      </c>
      <c r="B10" s="441" t="s">
        <v>708</v>
      </c>
      <c r="C10" s="441" t="s">
        <v>1177</v>
      </c>
      <c r="D10" s="208">
        <v>12</v>
      </c>
      <c r="E10" s="452">
        <f>ICU_Bedsingle</f>
        <v>26</v>
      </c>
      <c r="F10" s="452">
        <f>E10*D10</f>
        <v>312</v>
      </c>
      <c r="G10" s="453"/>
    </row>
    <row r="11" spans="1:7" s="438" customFormat="1" ht="15" x14ac:dyDescent="0.25">
      <c r="A11" s="203" t="s">
        <v>1116</v>
      </c>
      <c r="B11" s="441" t="s">
        <v>708</v>
      </c>
      <c r="C11" s="441" t="s">
        <v>709</v>
      </c>
      <c r="D11" s="214">
        <v>4</v>
      </c>
      <c r="E11" s="452">
        <f>ICU_Bedsingle</f>
        <v>26</v>
      </c>
      <c r="F11" s="452">
        <f>E11*D11</f>
        <v>104</v>
      </c>
      <c r="G11" s="453"/>
    </row>
    <row r="12" spans="1:7" s="438" customFormat="1" ht="15" x14ac:dyDescent="0.25">
      <c r="A12" s="203" t="s">
        <v>1116</v>
      </c>
      <c r="B12" s="441" t="s">
        <v>708</v>
      </c>
      <c r="C12" s="441" t="s">
        <v>156</v>
      </c>
      <c r="D12" s="205">
        <v>4</v>
      </c>
      <c r="E12" s="452">
        <f>ICU_ensuite_isoneg</f>
        <v>7.5</v>
      </c>
      <c r="F12" s="452">
        <f>E12*D12</f>
        <v>30</v>
      </c>
      <c r="G12" s="453" t="s">
        <v>710</v>
      </c>
    </row>
    <row r="13" spans="1:7" s="438" customFormat="1" ht="15" x14ac:dyDescent="0.25">
      <c r="A13" s="203" t="s">
        <v>1116</v>
      </c>
      <c r="B13" s="441" t="s">
        <v>708</v>
      </c>
      <c r="C13" s="441" t="s">
        <v>63</v>
      </c>
      <c r="D13" s="208">
        <v>4</v>
      </c>
      <c r="E13" s="452">
        <f>SCS_Lobby_Iso</f>
        <v>6</v>
      </c>
      <c r="F13" s="452">
        <f>E13*D13</f>
        <v>24</v>
      </c>
      <c r="G13" s="453" t="s">
        <v>711</v>
      </c>
    </row>
    <row r="14" spans="1:7" s="438" customFormat="1" ht="15" x14ac:dyDescent="0.25">
      <c r="A14" s="203" t="s">
        <v>1116</v>
      </c>
      <c r="B14" s="441" t="s">
        <v>708</v>
      </c>
      <c r="C14" s="441" t="s">
        <v>712</v>
      </c>
      <c r="D14" s="208">
        <v>2</v>
      </c>
      <c r="E14" s="452">
        <f>SRS_Bath_Assist</f>
        <v>15</v>
      </c>
      <c r="F14" s="452">
        <f>E14*D14</f>
        <v>30</v>
      </c>
      <c r="G14" s="453" t="s">
        <v>713</v>
      </c>
    </row>
    <row r="15" spans="1:7" s="438" customFormat="1" ht="15" x14ac:dyDescent="0.25">
      <c r="A15" s="203" t="s">
        <v>1116</v>
      </c>
      <c r="B15" s="441" t="s">
        <v>714</v>
      </c>
      <c r="C15" s="441" t="s">
        <v>704</v>
      </c>
      <c r="D15" s="208">
        <v>1</v>
      </c>
      <c r="E15" s="452">
        <f>Store_10</f>
        <v>10</v>
      </c>
      <c r="F15" s="452">
        <f t="shared" ref="F15:F43" si="1">E15*D15</f>
        <v>10</v>
      </c>
      <c r="G15" s="453" t="s">
        <v>715</v>
      </c>
    </row>
    <row r="16" spans="1:7" s="438" customFormat="1" ht="15" x14ac:dyDescent="0.25">
      <c r="A16" s="203" t="s">
        <v>1116</v>
      </c>
      <c r="B16" s="441" t="s">
        <v>714</v>
      </c>
      <c r="C16" s="441" t="s">
        <v>704</v>
      </c>
      <c r="D16" s="214">
        <v>1</v>
      </c>
      <c r="E16" s="452">
        <f>Store_10</f>
        <v>10</v>
      </c>
      <c r="F16" s="452">
        <f t="shared" si="1"/>
        <v>10</v>
      </c>
      <c r="G16" s="453" t="s">
        <v>715</v>
      </c>
    </row>
    <row r="17" spans="1:7" s="438" customFormat="1" ht="15" x14ac:dyDescent="0.25">
      <c r="A17" s="203" t="s">
        <v>1116</v>
      </c>
      <c r="B17" s="441" t="s">
        <v>714</v>
      </c>
      <c r="C17" s="441" t="s">
        <v>36</v>
      </c>
      <c r="D17" s="205">
        <v>2</v>
      </c>
      <c r="E17" s="452">
        <f>SCS_Cleansupply_ICU</f>
        <v>26</v>
      </c>
      <c r="F17" s="452">
        <f t="shared" si="1"/>
        <v>52</v>
      </c>
      <c r="G17" s="453"/>
    </row>
    <row r="18" spans="1:7" s="438" customFormat="1" ht="15" x14ac:dyDescent="0.25">
      <c r="A18" s="203" t="s">
        <v>1116</v>
      </c>
      <c r="B18" s="441" t="s">
        <v>714</v>
      </c>
      <c r="C18" s="441" t="s">
        <v>716</v>
      </c>
      <c r="D18" s="208">
        <v>2</v>
      </c>
      <c r="E18" s="452">
        <f>SCS_Medprep_Lrg</f>
        <v>16</v>
      </c>
      <c r="F18" s="452">
        <f t="shared" si="1"/>
        <v>32</v>
      </c>
      <c r="G18" s="453"/>
    </row>
    <row r="19" spans="1:7" s="438" customFormat="1" ht="15" x14ac:dyDescent="0.25">
      <c r="A19" s="203" t="s">
        <v>1116</v>
      </c>
      <c r="B19" s="441" t="s">
        <v>714</v>
      </c>
      <c r="C19" s="441" t="s">
        <v>47</v>
      </c>
      <c r="D19" s="208">
        <v>2</v>
      </c>
      <c r="E19" s="452">
        <f>SCS_Dirtyutil_Lrg</f>
        <v>12</v>
      </c>
      <c r="F19" s="452">
        <f t="shared" si="1"/>
        <v>24</v>
      </c>
      <c r="G19" s="453"/>
    </row>
    <row r="20" spans="1:7" s="438" customFormat="1" ht="15" x14ac:dyDescent="0.25">
      <c r="A20" s="203" t="s">
        <v>1116</v>
      </c>
      <c r="B20" s="441" t="s">
        <v>714</v>
      </c>
      <c r="C20" s="441" t="s">
        <v>69</v>
      </c>
      <c r="D20" s="208">
        <v>1</v>
      </c>
      <c r="E20" s="452">
        <f>SCS_MDT_15</f>
        <v>16</v>
      </c>
      <c r="F20" s="452">
        <f t="shared" si="1"/>
        <v>16</v>
      </c>
      <c r="G20" s="453"/>
    </row>
    <row r="21" spans="1:7" s="438" customFormat="1" ht="15" x14ac:dyDescent="0.25">
      <c r="A21" s="203" t="s">
        <v>1116</v>
      </c>
      <c r="B21" s="441" t="s">
        <v>714</v>
      </c>
      <c r="C21" s="441" t="s">
        <v>74</v>
      </c>
      <c r="D21" s="214">
        <v>1</v>
      </c>
      <c r="E21" s="452">
        <f>SCS_POCT</f>
        <v>10</v>
      </c>
      <c r="F21" s="452">
        <f t="shared" si="1"/>
        <v>10</v>
      </c>
      <c r="G21" s="453"/>
    </row>
    <row r="22" spans="1:7" s="438" customFormat="1" ht="15" x14ac:dyDescent="0.25">
      <c r="A22" s="203" t="s">
        <v>1116</v>
      </c>
      <c r="B22" s="441" t="s">
        <v>714</v>
      </c>
      <c r="C22" s="441" t="s">
        <v>73</v>
      </c>
      <c r="D22" s="205">
        <v>1</v>
      </c>
      <c r="E22" s="452">
        <f>SCS_PTS</f>
        <v>2</v>
      </c>
      <c r="F22" s="452">
        <f>E22*D22</f>
        <v>2</v>
      </c>
      <c r="G22" s="453"/>
    </row>
    <row r="23" spans="1:7" s="438" customFormat="1" ht="15" x14ac:dyDescent="0.25">
      <c r="A23" s="203" t="s">
        <v>1116</v>
      </c>
      <c r="B23" s="441" t="s">
        <v>714</v>
      </c>
      <c r="C23" s="441" t="s">
        <v>113</v>
      </c>
      <c r="D23" s="208">
        <v>1</v>
      </c>
      <c r="E23" s="452">
        <f>SRS_Pantry_Med</f>
        <v>12</v>
      </c>
      <c r="F23" s="452">
        <f t="shared" si="1"/>
        <v>12</v>
      </c>
      <c r="G23" s="453"/>
    </row>
    <row r="24" spans="1:7" s="438" customFormat="1" ht="15" x14ac:dyDescent="0.25">
      <c r="A24" s="203" t="s">
        <v>1116</v>
      </c>
      <c r="B24" s="441" t="s">
        <v>714</v>
      </c>
      <c r="C24" s="441" t="s">
        <v>159</v>
      </c>
      <c r="D24" s="208">
        <v>1</v>
      </c>
      <c r="E24" s="452">
        <f>ICU_rehabspace</f>
        <v>20</v>
      </c>
      <c r="F24" s="452">
        <f>E24*D24</f>
        <v>20</v>
      </c>
      <c r="G24" s="453" t="s">
        <v>717</v>
      </c>
    </row>
    <row r="25" spans="1:7" s="438" customFormat="1" ht="15" x14ac:dyDescent="0.25">
      <c r="A25" s="203" t="s">
        <v>1116</v>
      </c>
      <c r="B25" s="441" t="s">
        <v>714</v>
      </c>
      <c r="C25" s="441" t="s">
        <v>442</v>
      </c>
      <c r="D25" s="208">
        <v>1</v>
      </c>
      <c r="E25" s="452">
        <f>Bay_Foodtroll</f>
        <v>2</v>
      </c>
      <c r="F25" s="452">
        <f t="shared" si="1"/>
        <v>2</v>
      </c>
      <c r="G25" s="453"/>
    </row>
    <row r="26" spans="1:7" s="438" customFormat="1" ht="15" x14ac:dyDescent="0.25">
      <c r="A26" s="203" t="s">
        <v>1116</v>
      </c>
      <c r="B26" s="441" t="s">
        <v>714</v>
      </c>
      <c r="C26" s="441" t="s">
        <v>444</v>
      </c>
      <c r="D26" s="214">
        <v>2</v>
      </c>
      <c r="E26" s="452">
        <f>Bay_Linentroll</f>
        <v>3</v>
      </c>
      <c r="F26" s="452">
        <f t="shared" si="1"/>
        <v>6</v>
      </c>
      <c r="G26" s="453"/>
    </row>
    <row r="27" spans="1:7" s="438" customFormat="1" ht="15" x14ac:dyDescent="0.25">
      <c r="A27" s="203" t="s">
        <v>1116</v>
      </c>
      <c r="B27" s="441" t="s">
        <v>714</v>
      </c>
      <c r="C27" s="441" t="s">
        <v>450</v>
      </c>
      <c r="D27" s="205">
        <v>2</v>
      </c>
      <c r="E27" s="452">
        <f>Bay_Resustroll</f>
        <v>2</v>
      </c>
      <c r="F27" s="452">
        <f t="shared" si="1"/>
        <v>4</v>
      </c>
      <c r="G27" s="453"/>
    </row>
    <row r="28" spans="1:7" s="438" customFormat="1" ht="15" x14ac:dyDescent="0.25">
      <c r="A28" s="203" t="s">
        <v>1116</v>
      </c>
      <c r="B28" s="441" t="s">
        <v>714</v>
      </c>
      <c r="C28" s="441" t="s">
        <v>435</v>
      </c>
      <c r="D28" s="208">
        <v>2</v>
      </c>
      <c r="E28" s="452">
        <f>Bay_Airwayequip</f>
        <v>2</v>
      </c>
      <c r="F28" s="452">
        <f t="shared" si="1"/>
        <v>4</v>
      </c>
      <c r="G28" s="453"/>
    </row>
    <row r="29" spans="1:7" s="438" customFormat="1" ht="15" x14ac:dyDescent="0.25">
      <c r="A29" s="203" t="s">
        <v>1116</v>
      </c>
      <c r="B29" s="441" t="s">
        <v>714</v>
      </c>
      <c r="C29" s="441" t="s">
        <v>455</v>
      </c>
      <c r="D29" s="208">
        <v>2</v>
      </c>
      <c r="E29" s="452">
        <f>Bay_XrayUS</f>
        <v>3</v>
      </c>
      <c r="F29" s="452">
        <f t="shared" si="1"/>
        <v>6</v>
      </c>
      <c r="G29" s="453" t="s">
        <v>718</v>
      </c>
    </row>
    <row r="30" spans="1:7" s="438" customFormat="1" ht="15" x14ac:dyDescent="0.25">
      <c r="A30" s="203" t="s">
        <v>1116</v>
      </c>
      <c r="B30" s="441" t="s">
        <v>714</v>
      </c>
      <c r="C30" s="441" t="s">
        <v>447</v>
      </c>
      <c r="D30" s="208">
        <v>1</v>
      </c>
      <c r="E30" s="452">
        <f>Bay_Mobile_Hoist</f>
        <v>2</v>
      </c>
      <c r="F30" s="452">
        <f t="shared" si="1"/>
        <v>2</v>
      </c>
      <c r="G30" s="453"/>
    </row>
    <row r="31" spans="1:7" s="438" customFormat="1" ht="15" x14ac:dyDescent="0.25">
      <c r="A31" s="203" t="s">
        <v>1116</v>
      </c>
      <c r="B31" s="441" t="s">
        <v>714</v>
      </c>
      <c r="C31" s="441" t="s">
        <v>443</v>
      </c>
      <c r="D31" s="214">
        <v>1</v>
      </c>
      <c r="E31" s="452">
        <f>Bay_Icemachine</f>
        <v>2</v>
      </c>
      <c r="F31" s="452">
        <f t="shared" si="1"/>
        <v>2</v>
      </c>
      <c r="G31" s="453"/>
    </row>
    <row r="32" spans="1:7" s="438" customFormat="1" ht="15" x14ac:dyDescent="0.25">
      <c r="A32" s="203" t="s">
        <v>1116</v>
      </c>
      <c r="B32" s="441" t="s">
        <v>714</v>
      </c>
      <c r="C32" s="441" t="s">
        <v>719</v>
      </c>
      <c r="D32" s="205">
        <v>1</v>
      </c>
      <c r="E32" s="452">
        <f>Bay_Bloodbankfridge</f>
        <v>2</v>
      </c>
      <c r="F32" s="452">
        <f t="shared" si="1"/>
        <v>2</v>
      </c>
      <c r="G32" s="453"/>
    </row>
    <row r="33" spans="1:7" s="438" customFormat="1" ht="15" x14ac:dyDescent="0.25">
      <c r="A33" s="203" t="s">
        <v>1116</v>
      </c>
      <c r="B33" s="441" t="s">
        <v>714</v>
      </c>
      <c r="C33" s="441" t="s">
        <v>704</v>
      </c>
      <c r="D33" s="208">
        <v>2</v>
      </c>
      <c r="E33" s="452">
        <f>Store_10</f>
        <v>10</v>
      </c>
      <c r="F33" s="452">
        <f t="shared" si="1"/>
        <v>20</v>
      </c>
      <c r="G33" s="453" t="s">
        <v>720</v>
      </c>
    </row>
    <row r="34" spans="1:7" s="438" customFormat="1" ht="15" x14ac:dyDescent="0.25">
      <c r="A34" s="203" t="s">
        <v>1116</v>
      </c>
      <c r="B34" s="441" t="s">
        <v>714</v>
      </c>
      <c r="C34" s="441" t="s">
        <v>704</v>
      </c>
      <c r="D34" s="208">
        <v>1</v>
      </c>
      <c r="E34" s="452">
        <f>Store_10</f>
        <v>10</v>
      </c>
      <c r="F34" s="452">
        <f>E34*D34</f>
        <v>10</v>
      </c>
      <c r="G34" s="453" t="s">
        <v>721</v>
      </c>
    </row>
    <row r="35" spans="1:7" s="438" customFormat="1" ht="15" x14ac:dyDescent="0.25">
      <c r="A35" s="203" t="s">
        <v>1116</v>
      </c>
      <c r="B35" s="441" t="s">
        <v>714</v>
      </c>
      <c r="C35" s="441" t="s">
        <v>722</v>
      </c>
      <c r="D35" s="208">
        <v>1</v>
      </c>
      <c r="E35" s="452">
        <f>Store_20</f>
        <v>20</v>
      </c>
      <c r="F35" s="452">
        <f t="shared" si="1"/>
        <v>20</v>
      </c>
      <c r="G35" s="453" t="s">
        <v>691</v>
      </c>
    </row>
    <row r="36" spans="1:7" s="438" customFormat="1" ht="15" x14ac:dyDescent="0.25">
      <c r="A36" s="203" t="s">
        <v>1116</v>
      </c>
      <c r="B36" s="441" t="s">
        <v>714</v>
      </c>
      <c r="C36" s="441" t="s">
        <v>470</v>
      </c>
      <c r="D36" s="214">
        <v>1</v>
      </c>
      <c r="E36" s="452">
        <f>Store_5</f>
        <v>5</v>
      </c>
      <c r="F36" s="452">
        <f t="shared" si="1"/>
        <v>5</v>
      </c>
      <c r="G36" s="453" t="s">
        <v>723</v>
      </c>
    </row>
    <row r="37" spans="1:7" s="438" customFormat="1" ht="15" x14ac:dyDescent="0.25">
      <c r="A37" s="203" t="s">
        <v>1116</v>
      </c>
      <c r="B37" s="441" t="s">
        <v>714</v>
      </c>
      <c r="C37" s="441" t="s">
        <v>724</v>
      </c>
      <c r="D37" s="205">
        <v>16</v>
      </c>
      <c r="E37" s="452">
        <f>Store_5</f>
        <v>5</v>
      </c>
      <c r="F37" s="452">
        <f t="shared" si="1"/>
        <v>80</v>
      </c>
      <c r="G37" s="453" t="s">
        <v>725</v>
      </c>
    </row>
    <row r="38" spans="1:7" s="438" customFormat="1" ht="15" x14ac:dyDescent="0.25">
      <c r="A38" s="203" t="s">
        <v>1116</v>
      </c>
      <c r="B38" s="441" t="s">
        <v>714</v>
      </c>
      <c r="C38" s="441" t="s">
        <v>400</v>
      </c>
      <c r="D38" s="208">
        <v>1</v>
      </c>
      <c r="E38" s="452">
        <f>RTU_Gascylinder_Small</f>
        <v>4</v>
      </c>
      <c r="F38" s="452">
        <f t="shared" si="1"/>
        <v>4</v>
      </c>
      <c r="G38" s="453"/>
    </row>
    <row r="39" spans="1:7" s="438" customFormat="1" ht="15" x14ac:dyDescent="0.25">
      <c r="A39" s="203" t="s">
        <v>1116</v>
      </c>
      <c r="B39" s="441" t="s">
        <v>714</v>
      </c>
      <c r="C39" s="441" t="s">
        <v>39</v>
      </c>
      <c r="D39" s="208">
        <v>1</v>
      </c>
      <c r="E39" s="452">
        <f>SCS_Cleaner_Rm</f>
        <v>8</v>
      </c>
      <c r="F39" s="452">
        <f t="shared" si="1"/>
        <v>8</v>
      </c>
      <c r="G39" s="453" t="s">
        <v>726</v>
      </c>
    </row>
    <row r="40" spans="1:7" s="438" customFormat="1" ht="15" x14ac:dyDescent="0.25">
      <c r="A40" s="203" t="s">
        <v>1116</v>
      </c>
      <c r="B40" s="441" t="s">
        <v>714</v>
      </c>
      <c r="C40" s="441" t="s">
        <v>38</v>
      </c>
      <c r="D40" s="208">
        <v>1</v>
      </c>
      <c r="E40" s="452">
        <f>SCS_Cleaner_Cup</f>
        <v>5</v>
      </c>
      <c r="F40" s="452">
        <f t="shared" si="1"/>
        <v>5</v>
      </c>
      <c r="G40" s="453"/>
    </row>
    <row r="41" spans="1:7" s="438" customFormat="1" ht="15" x14ac:dyDescent="0.25">
      <c r="A41" s="203" t="s">
        <v>1116</v>
      </c>
      <c r="B41" s="441" t="s">
        <v>714</v>
      </c>
      <c r="C41" s="441" t="s">
        <v>402</v>
      </c>
      <c r="D41" s="214">
        <v>1</v>
      </c>
      <c r="E41" s="452">
        <f>Serviceroom_Equip_Small</f>
        <v>12</v>
      </c>
      <c r="F41" s="452">
        <f t="shared" si="1"/>
        <v>12</v>
      </c>
      <c r="G41" s="453"/>
    </row>
    <row r="42" spans="1:7" s="438" customFormat="1" ht="15" x14ac:dyDescent="0.25">
      <c r="A42" s="203" t="s">
        <v>1116</v>
      </c>
      <c r="B42" s="441" t="s">
        <v>714</v>
      </c>
      <c r="C42" s="441" t="s">
        <v>171</v>
      </c>
      <c r="D42" s="205">
        <v>1</v>
      </c>
      <c r="E42" s="452">
        <f>ED_Decon_Rm</f>
        <v>16</v>
      </c>
      <c r="F42" s="452">
        <f t="shared" si="1"/>
        <v>16</v>
      </c>
      <c r="G42" s="453" t="s">
        <v>727</v>
      </c>
    </row>
    <row r="43" spans="1:7" s="438" customFormat="1" ht="15" x14ac:dyDescent="0.25">
      <c r="A43" s="203" t="s">
        <v>1116</v>
      </c>
      <c r="B43" s="441" t="s">
        <v>714</v>
      </c>
      <c r="C43" s="441" t="s">
        <v>728</v>
      </c>
      <c r="D43" s="208">
        <v>1</v>
      </c>
      <c r="E43" s="452">
        <v>0</v>
      </c>
      <c r="F43" s="452">
        <f t="shared" si="1"/>
        <v>0</v>
      </c>
      <c r="G43" s="453"/>
    </row>
    <row r="44" spans="1:7" s="438" customFormat="1" ht="15" x14ac:dyDescent="0.25">
      <c r="A44" s="203" t="s">
        <v>1116</v>
      </c>
      <c r="B44" s="441" t="s">
        <v>505</v>
      </c>
      <c r="C44" s="441" t="s">
        <v>147</v>
      </c>
      <c r="D44" s="208">
        <v>2</v>
      </c>
      <c r="E44" s="452">
        <f>SRS_WC_Amb</f>
        <v>2.5</v>
      </c>
      <c r="F44" s="452">
        <f t="shared" ref="F44:F56" si="2">E44*D44</f>
        <v>5</v>
      </c>
      <c r="G44" s="453"/>
    </row>
    <row r="45" spans="1:7" s="438" customFormat="1" ht="15" x14ac:dyDescent="0.25">
      <c r="A45" s="203" t="s">
        <v>1116</v>
      </c>
      <c r="B45" s="441" t="s">
        <v>505</v>
      </c>
      <c r="C45" s="441" t="s">
        <v>126</v>
      </c>
      <c r="D45" s="208">
        <v>4</v>
      </c>
      <c r="E45" s="452">
        <f>SRS_Staffbase_pp</f>
        <v>4</v>
      </c>
      <c r="F45" s="452">
        <f t="shared" si="2"/>
        <v>16</v>
      </c>
      <c r="G45" s="453"/>
    </row>
    <row r="46" spans="1:7" s="438" customFormat="1" ht="15" x14ac:dyDescent="0.25">
      <c r="A46" s="203" t="s">
        <v>1116</v>
      </c>
      <c r="B46" s="441" t="s">
        <v>505</v>
      </c>
      <c r="C46" s="441" t="s">
        <v>135</v>
      </c>
      <c r="D46" s="214">
        <v>16</v>
      </c>
      <c r="E46" s="452">
        <f>SRS_Touchdown_pp</f>
        <v>2</v>
      </c>
      <c r="F46" s="452">
        <f t="shared" si="2"/>
        <v>32</v>
      </c>
      <c r="G46" s="453"/>
    </row>
    <row r="47" spans="1:7" s="438" customFormat="1" ht="15" x14ac:dyDescent="0.25">
      <c r="A47" s="203" t="s">
        <v>1116</v>
      </c>
      <c r="B47" s="441" t="s">
        <v>505</v>
      </c>
      <c r="C47" s="441" t="s">
        <v>347</v>
      </c>
      <c r="D47" s="205">
        <v>1</v>
      </c>
      <c r="E47" s="452">
        <f>Staff_Wellbeinglact</f>
        <v>10</v>
      </c>
      <c r="F47" s="452">
        <f t="shared" si="2"/>
        <v>10</v>
      </c>
      <c r="G47" s="453" t="s">
        <v>729</v>
      </c>
    </row>
    <row r="48" spans="1:7" s="438" customFormat="1" ht="15" x14ac:dyDescent="0.25">
      <c r="A48" s="203" t="s">
        <v>1116</v>
      </c>
      <c r="B48" s="441" t="s">
        <v>505</v>
      </c>
      <c r="C48" s="441" t="s">
        <v>730</v>
      </c>
      <c r="D48" s="208">
        <v>1</v>
      </c>
      <c r="E48" s="452">
        <f>SRS_Oncallroom</f>
        <v>16</v>
      </c>
      <c r="F48" s="452">
        <f t="shared" si="2"/>
        <v>16</v>
      </c>
      <c r="G48" s="453" t="s">
        <v>731</v>
      </c>
    </row>
    <row r="49" spans="1:7" s="438" customFormat="1" ht="15" x14ac:dyDescent="0.25">
      <c r="A49" s="203" t="s">
        <v>1116</v>
      </c>
      <c r="B49" s="441" t="s">
        <v>505</v>
      </c>
      <c r="C49" s="441" t="s">
        <v>693</v>
      </c>
      <c r="D49" s="208">
        <v>20</v>
      </c>
      <c r="E49" s="452">
        <f>SRS_Staffchange_pp</f>
        <v>2.5</v>
      </c>
      <c r="F49" s="452">
        <f t="shared" si="2"/>
        <v>50</v>
      </c>
      <c r="G49" s="453" t="s">
        <v>732</v>
      </c>
    </row>
    <row r="50" spans="1:7" s="438" customFormat="1" ht="15" x14ac:dyDescent="0.25">
      <c r="A50" s="203" t="s">
        <v>1116</v>
      </c>
      <c r="B50" s="441" t="s">
        <v>505</v>
      </c>
      <c r="C50" s="441" t="s">
        <v>733</v>
      </c>
      <c r="D50" s="208">
        <v>2</v>
      </c>
      <c r="E50" s="452">
        <f>SRS_Staff_Shower</f>
        <v>3</v>
      </c>
      <c r="F50" s="452">
        <f t="shared" si="2"/>
        <v>6</v>
      </c>
      <c r="G50" s="453"/>
    </row>
    <row r="51" spans="1:7" s="438" customFormat="1" ht="15" x14ac:dyDescent="0.25">
      <c r="A51" s="203" t="s">
        <v>1116</v>
      </c>
      <c r="B51" s="441" t="s">
        <v>505</v>
      </c>
      <c r="C51" s="441" t="s">
        <v>344</v>
      </c>
      <c r="D51" s="214">
        <v>1</v>
      </c>
      <c r="E51" s="452">
        <f>Staff_Office_1</f>
        <v>8</v>
      </c>
      <c r="F51" s="452">
        <f t="shared" si="2"/>
        <v>8</v>
      </c>
      <c r="G51" s="453"/>
    </row>
    <row r="52" spans="1:7" s="438" customFormat="1" ht="15" x14ac:dyDescent="0.25">
      <c r="A52" s="203" t="s">
        <v>1116</v>
      </c>
      <c r="B52" s="441" t="s">
        <v>505</v>
      </c>
      <c r="C52" s="441" t="s">
        <v>694</v>
      </c>
      <c r="D52" s="205">
        <v>10</v>
      </c>
      <c r="E52" s="452">
        <f>SRS_Locker_4</f>
        <v>0.5</v>
      </c>
      <c r="F52" s="452">
        <f t="shared" si="2"/>
        <v>5</v>
      </c>
      <c r="G52" s="453"/>
    </row>
    <row r="53" spans="1:7" s="438" customFormat="1" ht="15" x14ac:dyDescent="0.25">
      <c r="A53" s="203" t="s">
        <v>1116</v>
      </c>
      <c r="B53" s="441" t="s">
        <v>505</v>
      </c>
      <c r="C53" s="441" t="s">
        <v>132</v>
      </c>
      <c r="D53" s="208">
        <v>15</v>
      </c>
      <c r="E53" s="452">
        <f>SRS_Staffrestbev_pp</f>
        <v>1.5</v>
      </c>
      <c r="F53" s="452">
        <f t="shared" si="2"/>
        <v>22.5</v>
      </c>
      <c r="G53" s="453" t="s">
        <v>734</v>
      </c>
    </row>
    <row r="54" spans="1:7" s="438" customFormat="1" ht="15" x14ac:dyDescent="0.25">
      <c r="A54" s="203" t="s">
        <v>1116</v>
      </c>
      <c r="B54" s="441" t="s">
        <v>505</v>
      </c>
      <c r="C54" s="441" t="s">
        <v>55</v>
      </c>
      <c r="D54" s="208">
        <v>1</v>
      </c>
      <c r="E54" s="452">
        <f>SCS_Hifidel_ICU</f>
        <v>26</v>
      </c>
      <c r="F54" s="452">
        <f t="shared" si="2"/>
        <v>26</v>
      </c>
      <c r="G54" s="453"/>
    </row>
    <row r="55" spans="1:7" s="438" customFormat="1" ht="15" x14ac:dyDescent="0.25">
      <c r="A55" s="203" t="s">
        <v>1116</v>
      </c>
      <c r="B55" s="441" t="s">
        <v>505</v>
      </c>
      <c r="C55" s="441" t="s">
        <v>46</v>
      </c>
      <c r="D55" s="208">
        <v>2</v>
      </c>
      <c r="E55" s="452">
        <f>SCS_Controlhub</f>
        <v>10</v>
      </c>
      <c r="F55" s="452">
        <f t="shared" si="2"/>
        <v>20</v>
      </c>
      <c r="G55" s="453" t="s">
        <v>735</v>
      </c>
    </row>
    <row r="56" spans="1:7" s="438" customFormat="1" ht="15" x14ac:dyDescent="0.25">
      <c r="A56" s="203" t="s">
        <v>1116</v>
      </c>
      <c r="B56" s="441" t="s">
        <v>505</v>
      </c>
      <c r="C56" s="441" t="s">
        <v>736</v>
      </c>
      <c r="D56" s="214">
        <v>1</v>
      </c>
      <c r="E56" s="452">
        <f>SRS_Seminar_30</f>
        <v>45</v>
      </c>
      <c r="F56" s="452">
        <f t="shared" si="2"/>
        <v>45</v>
      </c>
      <c r="G56" s="453"/>
    </row>
    <row r="57" spans="1:7" s="438" customFormat="1" ht="15" x14ac:dyDescent="0.25">
      <c r="A57" s="203" t="s">
        <v>1116</v>
      </c>
      <c r="B57" s="441" t="s">
        <v>737</v>
      </c>
      <c r="C57" s="441" t="s">
        <v>52</v>
      </c>
      <c r="D57" s="205">
        <v>2</v>
      </c>
      <c r="E57" s="452">
        <f>SRS_Disphol_Med</f>
        <v>14</v>
      </c>
      <c r="F57" s="452">
        <f>E57*D57</f>
        <v>28</v>
      </c>
      <c r="G57" s="453" t="s">
        <v>738</v>
      </c>
    </row>
    <row r="58" spans="1:7" s="438" customFormat="1" ht="15" x14ac:dyDescent="0.25">
      <c r="A58" s="203" t="s">
        <v>1116</v>
      </c>
      <c r="B58" s="441" t="s">
        <v>737</v>
      </c>
      <c r="C58" s="441" t="s">
        <v>92</v>
      </c>
      <c r="D58" s="208">
        <v>1</v>
      </c>
      <c r="E58" s="452">
        <f>SRS_Delivhub_Med</f>
        <v>10</v>
      </c>
      <c r="F58" s="452">
        <f>E58*D58</f>
        <v>10</v>
      </c>
      <c r="G58" s="453" t="s">
        <v>739</v>
      </c>
    </row>
    <row r="59" spans="1:7" x14ac:dyDescent="0.25">
      <c r="A59" s="11"/>
    </row>
    <row r="60" spans="1:7" x14ac:dyDescent="0.25">
      <c r="A60" s="29"/>
    </row>
    <row r="61" spans="1:7" x14ac:dyDescent="0.25">
      <c r="A61" s="6"/>
    </row>
    <row r="62" spans="1:7" x14ac:dyDescent="0.25">
      <c r="A62" s="11"/>
    </row>
    <row r="63" spans="1:7" x14ac:dyDescent="0.25">
      <c r="A63" s="11"/>
    </row>
    <row r="64" spans="1:7" x14ac:dyDescent="0.25">
      <c r="A64" s="11"/>
    </row>
    <row r="65" spans="1:1" x14ac:dyDescent="0.25">
      <c r="A65" s="11"/>
    </row>
    <row r="66" spans="1:1" x14ac:dyDescent="0.25">
      <c r="A66" s="11"/>
    </row>
    <row r="67" spans="1:1" x14ac:dyDescent="0.25">
      <c r="A67" s="11"/>
    </row>
    <row r="68" spans="1:1" x14ac:dyDescent="0.25">
      <c r="A68" s="11"/>
    </row>
    <row r="69" spans="1:1" x14ac:dyDescent="0.25">
      <c r="A69" s="11"/>
    </row>
    <row r="70" spans="1:1" x14ac:dyDescent="0.25">
      <c r="A70" s="11"/>
    </row>
    <row r="71" spans="1:1" x14ac:dyDescent="0.25">
      <c r="A71" s="11"/>
    </row>
    <row r="72" spans="1:1" x14ac:dyDescent="0.25">
      <c r="A72" s="11"/>
    </row>
    <row r="73" spans="1:1" x14ac:dyDescent="0.25">
      <c r="A73" s="11"/>
    </row>
    <row r="74" spans="1:1" x14ac:dyDescent="0.25">
      <c r="A74" s="11"/>
    </row>
    <row r="75" spans="1:1" x14ac:dyDescent="0.25">
      <c r="A75" s="29"/>
    </row>
    <row r="76" spans="1:1" x14ac:dyDescent="0.25">
      <c r="A76" s="29"/>
    </row>
    <row r="77" spans="1:1" x14ac:dyDescent="0.25">
      <c r="A77" s="224"/>
    </row>
    <row r="78" spans="1:1" x14ac:dyDescent="0.25">
      <c r="A78" s="226"/>
    </row>
    <row r="79" spans="1:1" x14ac:dyDescent="0.25">
      <c r="A79" s="227"/>
    </row>
    <row r="80" spans="1:1" x14ac:dyDescent="0.25">
      <c r="A80" s="40"/>
    </row>
    <row r="81" spans="1:1" x14ac:dyDescent="0.25">
      <c r="A81" s="36"/>
    </row>
    <row r="82" spans="1:1" x14ac:dyDescent="0.25">
      <c r="A82" s="36"/>
    </row>
    <row r="83" spans="1:1" x14ac:dyDescent="0.25">
      <c r="A83" s="36"/>
    </row>
    <row r="84" spans="1:1" x14ac:dyDescent="0.25">
      <c r="A84" s="36"/>
    </row>
    <row r="85" spans="1:1" x14ac:dyDescent="0.25">
      <c r="A85" s="36"/>
    </row>
    <row r="86" spans="1:1" x14ac:dyDescent="0.25">
      <c r="A86" s="36"/>
    </row>
    <row r="87" spans="1:1" x14ac:dyDescent="0.25">
      <c r="A87" s="36"/>
    </row>
    <row r="88" spans="1:1" x14ac:dyDescent="0.25">
      <c r="A88" s="36"/>
    </row>
    <row r="89" spans="1:1" x14ac:dyDescent="0.25">
      <c r="A89" s="36"/>
    </row>
    <row r="90" spans="1:1" x14ac:dyDescent="0.25">
      <c r="A90" s="36"/>
    </row>
    <row r="91" spans="1:1" x14ac:dyDescent="0.25">
      <c r="A91" s="36"/>
    </row>
    <row r="92" spans="1:1" x14ac:dyDescent="0.25">
      <c r="A92" s="36"/>
    </row>
    <row r="93" spans="1:1" x14ac:dyDescent="0.25">
      <c r="A93" s="36"/>
    </row>
    <row r="94" spans="1:1" x14ac:dyDescent="0.25">
      <c r="A94" s="36"/>
    </row>
    <row r="95" spans="1:1" x14ac:dyDescent="0.25">
      <c r="A95" s="36"/>
    </row>
    <row r="96" spans="1:1" x14ac:dyDescent="0.25">
      <c r="A96" s="36"/>
    </row>
    <row r="97" spans="1:1" x14ac:dyDescent="0.25">
      <c r="A97" s="36"/>
    </row>
    <row r="98" spans="1:1" x14ac:dyDescent="0.25">
      <c r="A98" s="36"/>
    </row>
    <row r="99" spans="1:1" x14ac:dyDescent="0.25">
      <c r="A99" s="36"/>
    </row>
    <row r="100" spans="1:1" x14ac:dyDescent="0.25">
      <c r="A100" s="36"/>
    </row>
    <row r="101" spans="1:1" x14ac:dyDescent="0.25">
      <c r="A101" s="36"/>
    </row>
    <row r="102" spans="1:1" x14ac:dyDescent="0.25">
      <c r="A102" s="36"/>
    </row>
    <row r="103" spans="1:1" x14ac:dyDescent="0.25">
      <c r="A103" s="36"/>
    </row>
    <row r="104" spans="1:1" x14ac:dyDescent="0.25">
      <c r="A104" s="36"/>
    </row>
    <row r="105" spans="1:1" x14ac:dyDescent="0.25">
      <c r="A105" s="36"/>
    </row>
    <row r="106" spans="1:1" x14ac:dyDescent="0.25">
      <c r="A106" s="36"/>
    </row>
    <row r="107" spans="1:1" x14ac:dyDescent="0.25">
      <c r="A107" s="36"/>
    </row>
    <row r="108" spans="1:1" x14ac:dyDescent="0.25">
      <c r="A108" s="36"/>
    </row>
    <row r="109" spans="1:1" x14ac:dyDescent="0.25">
      <c r="A109" s="6"/>
    </row>
    <row r="110" spans="1:1" x14ac:dyDescent="0.25">
      <c r="A110" s="6"/>
    </row>
    <row r="111" spans="1:1" x14ac:dyDescent="0.25">
      <c r="A111" s="11"/>
    </row>
    <row r="112" spans="1:1" x14ac:dyDescent="0.25">
      <c r="A112" s="226"/>
    </row>
    <row r="113" spans="1:1" x14ac:dyDescent="0.25">
      <c r="A113" s="226"/>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29"/>
    </row>
    <row r="133" spans="1:1" x14ac:dyDescent="0.25">
      <c r="A133" s="6"/>
    </row>
    <row r="134" spans="1:1" x14ac:dyDescent="0.25">
      <c r="A134" s="6"/>
    </row>
    <row r="135" spans="1:1" x14ac:dyDescent="0.25">
      <c r="A135" s="236"/>
    </row>
    <row r="136" spans="1:1" x14ac:dyDescent="0.25">
      <c r="A136" s="238"/>
    </row>
    <row r="137" spans="1:1" x14ac:dyDescent="0.25">
      <c r="A137" s="238"/>
    </row>
    <row r="138" spans="1:1" x14ac:dyDescent="0.25">
      <c r="A138" s="238"/>
    </row>
    <row r="139" spans="1:1" x14ac:dyDescent="0.25">
      <c r="A139" s="238"/>
    </row>
    <row r="140" spans="1:1" x14ac:dyDescent="0.25">
      <c r="A140" s="238"/>
    </row>
    <row r="141" spans="1:1" x14ac:dyDescent="0.25">
      <c r="A141" s="238"/>
    </row>
    <row r="142" spans="1:1" x14ac:dyDescent="0.25">
      <c r="A142" s="6"/>
    </row>
    <row r="143" spans="1:1" x14ac:dyDescent="0.25">
      <c r="A143" s="6"/>
    </row>
    <row r="144" spans="1:1" x14ac:dyDescent="0.25">
      <c r="A144" s="40"/>
    </row>
    <row r="145" spans="1:1" x14ac:dyDescent="0.25">
      <c r="A145" s="40"/>
    </row>
    <row r="146" spans="1:1" x14ac:dyDescent="0.25">
      <c r="A146" s="40"/>
    </row>
    <row r="147" spans="1:1" x14ac:dyDescent="0.25">
      <c r="A147" s="40"/>
    </row>
    <row r="148" spans="1:1" x14ac:dyDescent="0.25">
      <c r="A148" s="40"/>
    </row>
    <row r="149" spans="1:1" x14ac:dyDescent="0.25">
      <c r="A149" s="40"/>
    </row>
    <row r="150" spans="1:1" x14ac:dyDescent="0.25">
      <c r="A150" s="6"/>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6"/>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29"/>
    </row>
    <row r="185" spans="1:1" x14ac:dyDescent="0.25">
      <c r="A185" s="11"/>
    </row>
    <row r="186" spans="1:1" x14ac:dyDescent="0.25">
      <c r="A186" s="11"/>
    </row>
    <row r="187" spans="1:1" x14ac:dyDescent="0.25">
      <c r="A187" s="11"/>
    </row>
    <row r="188" spans="1:1" x14ac:dyDescent="0.25">
      <c r="A188" s="6"/>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4"/>
    </row>
    <row r="197" spans="1:1" x14ac:dyDescent="0.25">
      <c r="A197" s="4"/>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sheetData>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1497-F661-4581-A7FC-AA552A277B67}">
  <sheetPr>
    <tabColor theme="0" tint="-0.14999847407452621"/>
  </sheetPr>
  <dimension ref="A1:G250"/>
  <sheetViews>
    <sheetView zoomScale="60" zoomScaleNormal="60" workbookViewId="0">
      <selection activeCell="C27" sqref="C27"/>
    </sheetView>
  </sheetViews>
  <sheetFormatPr defaultColWidth="8.85546875" defaultRowHeight="15" x14ac:dyDescent="0.25"/>
  <cols>
    <col min="1" max="1" width="19.7109375" style="42" bestFit="1" customWidth="1"/>
    <col min="2" max="2" width="44" style="438" bestFit="1" customWidth="1"/>
    <col min="3" max="3" width="40.85546875" style="447" bestFit="1" customWidth="1"/>
    <col min="4" max="4" width="20.5703125" style="445" customWidth="1"/>
    <col min="5" max="5" width="17.140625" style="446" customWidth="1"/>
    <col min="6" max="6" width="11.85546875" style="446" bestFit="1" customWidth="1"/>
    <col min="7" max="7" width="109.42578125" style="439" bestFit="1" customWidth="1"/>
    <col min="8" max="8" width="67.140625" style="439" customWidth="1"/>
    <col min="9" max="16384" width="8.85546875" style="439"/>
  </cols>
  <sheetData>
    <row r="1" spans="1:7" s="448" customFormat="1" x14ac:dyDescent="0.25">
      <c r="A1" s="466" t="s">
        <v>477</v>
      </c>
      <c r="B1" s="466" t="s">
        <v>1088</v>
      </c>
      <c r="C1" s="467" t="s">
        <v>1089</v>
      </c>
      <c r="D1" s="467" t="s">
        <v>1090</v>
      </c>
      <c r="E1" s="467" t="s">
        <v>1091</v>
      </c>
      <c r="F1" s="467" t="s">
        <v>1092</v>
      </c>
      <c r="G1" s="467" t="s">
        <v>19</v>
      </c>
    </row>
    <row r="2" spans="1:7" ht="25.5" x14ac:dyDescent="0.2">
      <c r="A2" s="203" t="s">
        <v>741</v>
      </c>
      <c r="B2" s="441" t="s">
        <v>740</v>
      </c>
      <c r="C2" s="441" t="s">
        <v>232</v>
      </c>
      <c r="D2" s="298">
        <v>10</v>
      </c>
      <c r="E2" s="67">
        <f>IP_Bedsingle</f>
        <v>19</v>
      </c>
      <c r="F2" s="273">
        <f t="shared" ref="F2:F7" si="0">SUM(E2*D2)</f>
        <v>190</v>
      </c>
      <c r="G2" s="342" t="s">
        <v>742</v>
      </c>
    </row>
    <row r="3" spans="1:7" ht="25.5" x14ac:dyDescent="0.2">
      <c r="A3" s="207" t="s">
        <v>741</v>
      </c>
      <c r="B3" s="441" t="s">
        <v>740</v>
      </c>
      <c r="C3" s="441" t="s">
        <v>235</v>
      </c>
      <c r="D3" s="334">
        <v>1</v>
      </c>
      <c r="E3" s="69">
        <f>IP_Bedsingle</f>
        <v>19</v>
      </c>
      <c r="F3" s="302">
        <f t="shared" si="0"/>
        <v>19</v>
      </c>
      <c r="G3" s="342" t="s">
        <v>742</v>
      </c>
    </row>
    <row r="4" spans="1:7" ht="25.5" x14ac:dyDescent="0.2">
      <c r="A4" s="207" t="s">
        <v>741</v>
      </c>
      <c r="B4" s="441" t="s">
        <v>740</v>
      </c>
      <c r="C4" s="441" t="s">
        <v>63</v>
      </c>
      <c r="D4" s="298">
        <v>1</v>
      </c>
      <c r="E4" s="67">
        <f>SCS_Lobby_Iso</f>
        <v>6</v>
      </c>
      <c r="F4" s="273">
        <f t="shared" si="0"/>
        <v>6</v>
      </c>
      <c r="G4" s="342"/>
    </row>
    <row r="5" spans="1:7" ht="25.5" x14ac:dyDescent="0.2">
      <c r="A5" s="207" t="s">
        <v>741</v>
      </c>
      <c r="B5" s="441" t="s">
        <v>740</v>
      </c>
      <c r="C5" s="441" t="s">
        <v>234</v>
      </c>
      <c r="D5" s="298">
        <v>3</v>
      </c>
      <c r="E5" s="67">
        <f>IP_Bedsingle_HDU</f>
        <v>19</v>
      </c>
      <c r="F5" s="273">
        <f t="shared" si="0"/>
        <v>57</v>
      </c>
      <c r="G5" s="342" t="s">
        <v>742</v>
      </c>
    </row>
    <row r="6" spans="1:7" ht="25.5" x14ac:dyDescent="0.2">
      <c r="A6" s="207" t="s">
        <v>741</v>
      </c>
      <c r="B6" s="441" t="s">
        <v>740</v>
      </c>
      <c r="C6" s="441" t="s">
        <v>98</v>
      </c>
      <c r="D6" s="298">
        <v>14</v>
      </c>
      <c r="E6" s="67">
        <f>SRS_Ensuite_Amb</f>
        <v>4.5</v>
      </c>
      <c r="F6" s="273">
        <f t="shared" si="0"/>
        <v>63</v>
      </c>
      <c r="G6" s="342" t="s">
        <v>743</v>
      </c>
    </row>
    <row r="7" spans="1:7" ht="14.25" x14ac:dyDescent="0.2">
      <c r="A7" s="207" t="s">
        <v>744</v>
      </c>
      <c r="B7" s="441" t="s">
        <v>507</v>
      </c>
      <c r="C7" s="441" t="s">
        <v>232</v>
      </c>
      <c r="D7" s="334">
        <v>7</v>
      </c>
      <c r="E7" s="69">
        <f>IP_Bedsingle</f>
        <v>19</v>
      </c>
      <c r="F7" s="302">
        <f t="shared" si="0"/>
        <v>133</v>
      </c>
      <c r="G7" s="342" t="s">
        <v>742</v>
      </c>
    </row>
    <row r="8" spans="1:7" ht="14.25" x14ac:dyDescent="0.2">
      <c r="A8" s="207" t="s">
        <v>744</v>
      </c>
      <c r="B8" s="441" t="s">
        <v>507</v>
      </c>
      <c r="C8" s="441" t="s">
        <v>235</v>
      </c>
      <c r="D8" s="298">
        <v>1</v>
      </c>
      <c r="E8" s="67">
        <f>IP_Bedsingle</f>
        <v>19</v>
      </c>
      <c r="F8" s="273">
        <f t="shared" ref="F8:F11" si="1">SUM(E8*D8)</f>
        <v>19</v>
      </c>
      <c r="G8" s="342" t="s">
        <v>742</v>
      </c>
    </row>
    <row r="9" spans="1:7" ht="14.25" x14ac:dyDescent="0.2">
      <c r="A9" s="207" t="s">
        <v>744</v>
      </c>
      <c r="B9" s="441" t="s">
        <v>507</v>
      </c>
      <c r="C9" s="441" t="s">
        <v>63</v>
      </c>
      <c r="D9" s="298">
        <v>1</v>
      </c>
      <c r="E9" s="67">
        <f>SCS_Lobby_Iso</f>
        <v>6</v>
      </c>
      <c r="F9" s="273">
        <f>SUM(E9*D9)</f>
        <v>6</v>
      </c>
      <c r="G9" s="342"/>
    </row>
    <row r="10" spans="1:7" ht="25.5" x14ac:dyDescent="0.2">
      <c r="A10" s="207" t="s">
        <v>744</v>
      </c>
      <c r="B10" s="441" t="s">
        <v>507</v>
      </c>
      <c r="C10" s="441" t="s">
        <v>236</v>
      </c>
      <c r="D10" s="298">
        <v>2</v>
      </c>
      <c r="E10" s="67">
        <f>IP_Bedsingle_MH</f>
        <v>19</v>
      </c>
      <c r="F10" s="273">
        <f>SUM(E10*D10)</f>
        <v>38</v>
      </c>
      <c r="G10" s="342" t="s">
        <v>745</v>
      </c>
    </row>
    <row r="11" spans="1:7" ht="14.25" x14ac:dyDescent="0.2">
      <c r="A11" s="207" t="s">
        <v>744</v>
      </c>
      <c r="B11" s="441" t="s">
        <v>507</v>
      </c>
      <c r="C11" s="441" t="s">
        <v>98</v>
      </c>
      <c r="D11" s="298">
        <v>10</v>
      </c>
      <c r="E11" s="67">
        <f>SRS_Ensuite_Amb</f>
        <v>4.5</v>
      </c>
      <c r="F11" s="273">
        <f t="shared" si="1"/>
        <v>45</v>
      </c>
      <c r="G11" s="342" t="s">
        <v>746</v>
      </c>
    </row>
    <row r="12" spans="1:7" ht="14.25" x14ac:dyDescent="0.2">
      <c r="A12" s="207" t="s">
        <v>747</v>
      </c>
      <c r="B12" s="441" t="s">
        <v>508</v>
      </c>
      <c r="C12" s="441" t="s">
        <v>232</v>
      </c>
      <c r="D12" s="334">
        <v>5</v>
      </c>
      <c r="E12" s="69">
        <f>IP_Bedsingle</f>
        <v>19</v>
      </c>
      <c r="F12" s="302">
        <f>SUM(E12*D12)</f>
        <v>95</v>
      </c>
      <c r="G12" s="342" t="s">
        <v>742</v>
      </c>
    </row>
    <row r="13" spans="1:7" ht="14.25" x14ac:dyDescent="0.2">
      <c r="A13" s="24" t="s">
        <v>747</v>
      </c>
      <c r="B13" s="441" t="s">
        <v>508</v>
      </c>
      <c r="C13" s="441" t="s">
        <v>235</v>
      </c>
      <c r="D13" s="298">
        <v>1</v>
      </c>
      <c r="E13" s="67">
        <f>IP_Bedsingle</f>
        <v>19</v>
      </c>
      <c r="F13" s="273">
        <f t="shared" ref="F13:F16" si="2">SUM(E13*D13)</f>
        <v>19</v>
      </c>
      <c r="G13" s="342" t="s">
        <v>742</v>
      </c>
    </row>
    <row r="14" spans="1:7" ht="14.25" x14ac:dyDescent="0.2">
      <c r="A14" s="207" t="s">
        <v>747</v>
      </c>
      <c r="B14" s="441" t="s">
        <v>508</v>
      </c>
      <c r="C14" s="441" t="s">
        <v>63</v>
      </c>
      <c r="D14" s="298">
        <v>1</v>
      </c>
      <c r="E14" s="67">
        <f>SCS_Lobby_Iso</f>
        <v>6</v>
      </c>
      <c r="F14" s="273">
        <f>SUM(E14*D14)</f>
        <v>6</v>
      </c>
      <c r="G14" s="342"/>
    </row>
    <row r="15" spans="1:7" ht="25.5" x14ac:dyDescent="0.2">
      <c r="A15" s="207" t="s">
        <v>747</v>
      </c>
      <c r="B15" s="441" t="s">
        <v>508</v>
      </c>
      <c r="C15" s="441" t="s">
        <v>236</v>
      </c>
      <c r="D15" s="298">
        <v>2</v>
      </c>
      <c r="E15" s="67">
        <f>IP_Bedsingle_MH</f>
        <v>19</v>
      </c>
      <c r="F15" s="273">
        <f>SUM(E15*D15)</f>
        <v>38</v>
      </c>
      <c r="G15" s="342" t="s">
        <v>745</v>
      </c>
    </row>
    <row r="16" spans="1:7" ht="14.25" x14ac:dyDescent="0.2">
      <c r="A16" s="207" t="s">
        <v>747</v>
      </c>
      <c r="B16" s="441" t="s">
        <v>508</v>
      </c>
      <c r="C16" s="441" t="s">
        <v>98</v>
      </c>
      <c r="D16" s="298">
        <v>8</v>
      </c>
      <c r="E16" s="67">
        <f>SRS_Ensuite_Amb</f>
        <v>4.5</v>
      </c>
      <c r="F16" s="273">
        <f t="shared" si="2"/>
        <v>36</v>
      </c>
      <c r="G16" s="342" t="s">
        <v>748</v>
      </c>
    </row>
    <row r="17" spans="1:7" ht="14.25" x14ac:dyDescent="0.2">
      <c r="A17" s="207" t="s">
        <v>749</v>
      </c>
      <c r="B17" s="441" t="s">
        <v>678</v>
      </c>
      <c r="C17" s="441" t="s">
        <v>716</v>
      </c>
      <c r="D17" s="334">
        <v>2</v>
      </c>
      <c r="E17" s="69">
        <f>SCS_Medprep_Lrg</f>
        <v>16</v>
      </c>
      <c r="F17" s="302">
        <f>SUM(E17*D17)</f>
        <v>32</v>
      </c>
      <c r="G17" s="369"/>
    </row>
    <row r="18" spans="1:7" ht="14.25" x14ac:dyDescent="0.2">
      <c r="A18" s="24" t="s">
        <v>749</v>
      </c>
      <c r="B18" s="441" t="s">
        <v>678</v>
      </c>
      <c r="C18" s="441" t="s">
        <v>28</v>
      </c>
      <c r="D18" s="298">
        <v>2</v>
      </c>
      <c r="E18" s="67">
        <f>SCS_Cleansupply_lrg</f>
        <v>12</v>
      </c>
      <c r="F18" s="273">
        <f>SUM(E18*D18)</f>
        <v>24</v>
      </c>
      <c r="G18" s="473"/>
    </row>
    <row r="19" spans="1:7" ht="14.25" x14ac:dyDescent="0.2">
      <c r="A19" s="24" t="s">
        <v>749</v>
      </c>
      <c r="B19" s="441" t="s">
        <v>678</v>
      </c>
      <c r="C19" s="441" t="s">
        <v>34</v>
      </c>
      <c r="D19" s="298">
        <v>2</v>
      </c>
      <c r="E19" s="67">
        <f>SCS_Cleansupply_Small</f>
        <v>5</v>
      </c>
      <c r="F19" s="273">
        <f>SUM(E19*D19)</f>
        <v>10</v>
      </c>
      <c r="G19" s="465" t="s">
        <v>679</v>
      </c>
    </row>
    <row r="20" spans="1:7" ht="14.25" x14ac:dyDescent="0.2">
      <c r="A20" s="24" t="s">
        <v>749</v>
      </c>
      <c r="B20" s="441" t="s">
        <v>678</v>
      </c>
      <c r="C20" s="441" t="s">
        <v>49</v>
      </c>
      <c r="D20" s="298">
        <v>2</v>
      </c>
      <c r="E20" s="67">
        <f>SCS_Dirtyutil_Med</f>
        <v>9</v>
      </c>
      <c r="F20" s="273">
        <f>SUM(E20*D20)</f>
        <v>18</v>
      </c>
      <c r="G20" s="474"/>
    </row>
    <row r="21" spans="1:7" ht="14.25" x14ac:dyDescent="0.2">
      <c r="A21" s="24" t="s">
        <v>749</v>
      </c>
      <c r="B21" s="441" t="s">
        <v>678</v>
      </c>
      <c r="C21" s="441" t="s">
        <v>74</v>
      </c>
      <c r="D21" s="298">
        <v>1</v>
      </c>
      <c r="E21" s="67">
        <f>SCS_POCT</f>
        <v>10</v>
      </c>
      <c r="F21" s="273">
        <f t="shared" ref="F21" si="3">SUM(E21*D21)</f>
        <v>10</v>
      </c>
      <c r="G21" s="342" t="s">
        <v>681</v>
      </c>
    </row>
    <row r="22" spans="1:7" ht="14.25" x14ac:dyDescent="0.2">
      <c r="A22" s="24" t="s">
        <v>749</v>
      </c>
      <c r="B22" s="441" t="s">
        <v>678</v>
      </c>
      <c r="C22" s="441" t="s">
        <v>83</v>
      </c>
      <c r="D22" s="298">
        <v>2</v>
      </c>
      <c r="E22" s="67">
        <f>SCS_Treatment_Stand</f>
        <v>16</v>
      </c>
      <c r="F22" s="273">
        <f t="shared" ref="F22:F30" si="4">SUM(E22*D22)</f>
        <v>32</v>
      </c>
      <c r="G22" s="342" t="s">
        <v>750</v>
      </c>
    </row>
    <row r="23" spans="1:7" ht="14.25" x14ac:dyDescent="0.2">
      <c r="A23" s="24" t="s">
        <v>749</v>
      </c>
      <c r="B23" s="441" t="s">
        <v>678</v>
      </c>
      <c r="C23" s="441" t="s">
        <v>86</v>
      </c>
      <c r="D23" s="298">
        <v>1</v>
      </c>
      <c r="E23" s="67">
        <f>SRS_Bath_Assist</f>
        <v>15</v>
      </c>
      <c r="F23" s="273">
        <f t="shared" si="4"/>
        <v>15</v>
      </c>
      <c r="G23" s="342" t="s">
        <v>751</v>
      </c>
    </row>
    <row r="24" spans="1:7" ht="14.25" x14ac:dyDescent="0.2">
      <c r="A24" s="24" t="s">
        <v>749</v>
      </c>
      <c r="B24" s="441" t="s">
        <v>678</v>
      </c>
      <c r="C24" s="441" t="s">
        <v>113</v>
      </c>
      <c r="D24" s="298">
        <v>1</v>
      </c>
      <c r="E24" s="67">
        <f>SRS_Pantry_Med</f>
        <v>12</v>
      </c>
      <c r="F24" s="273">
        <f t="shared" si="4"/>
        <v>12</v>
      </c>
      <c r="G24" s="342" t="s">
        <v>752</v>
      </c>
    </row>
    <row r="25" spans="1:7" ht="14.25" x14ac:dyDescent="0.2">
      <c r="A25" s="24" t="s">
        <v>749</v>
      </c>
      <c r="B25" s="441" t="s">
        <v>678</v>
      </c>
      <c r="C25" s="441" t="s">
        <v>239</v>
      </c>
      <c r="D25" s="298">
        <v>2</v>
      </c>
      <c r="E25" s="67">
        <f>IP_Breakoutpt</f>
        <v>12</v>
      </c>
      <c r="F25" s="273">
        <f t="shared" si="4"/>
        <v>24</v>
      </c>
      <c r="G25" s="342" t="s">
        <v>753</v>
      </c>
    </row>
    <row r="26" spans="1:7" ht="14.25" x14ac:dyDescent="0.2">
      <c r="A26" s="24" t="s">
        <v>749</v>
      </c>
      <c r="B26" s="441" t="s">
        <v>678</v>
      </c>
      <c r="C26" s="441" t="s">
        <v>754</v>
      </c>
      <c r="D26" s="298">
        <v>0</v>
      </c>
      <c r="E26" s="67">
        <f>Staff_Diningroom</f>
        <v>18</v>
      </c>
      <c r="F26" s="273">
        <f t="shared" si="4"/>
        <v>0</v>
      </c>
      <c r="G26" s="342" t="s">
        <v>755</v>
      </c>
    </row>
    <row r="27" spans="1:7" ht="14.25" x14ac:dyDescent="0.2">
      <c r="A27" s="24" t="s">
        <v>749</v>
      </c>
      <c r="B27" s="441" t="s">
        <v>678</v>
      </c>
      <c r="C27" s="441" t="s">
        <v>331</v>
      </c>
      <c r="D27" s="298">
        <v>8</v>
      </c>
      <c r="E27" s="67">
        <f>Paeds_Lounge_Adoles_pp</f>
        <v>1.5</v>
      </c>
      <c r="F27" s="273">
        <f t="shared" si="4"/>
        <v>12</v>
      </c>
      <c r="G27" s="342" t="s">
        <v>756</v>
      </c>
    </row>
    <row r="28" spans="1:7" ht="14.25" x14ac:dyDescent="0.2">
      <c r="A28" s="24" t="s">
        <v>749</v>
      </c>
      <c r="B28" s="441" t="s">
        <v>678</v>
      </c>
      <c r="C28" s="441" t="s">
        <v>757</v>
      </c>
      <c r="D28" s="298">
        <v>2</v>
      </c>
      <c r="E28" s="67">
        <v>12</v>
      </c>
      <c r="F28" s="273">
        <f t="shared" si="4"/>
        <v>24</v>
      </c>
      <c r="G28" s="342" t="s">
        <v>758</v>
      </c>
    </row>
    <row r="29" spans="1:7" ht="14.25" x14ac:dyDescent="0.2">
      <c r="A29" s="24"/>
      <c r="B29" s="441" t="s">
        <v>678</v>
      </c>
      <c r="C29" s="441" t="s">
        <v>337</v>
      </c>
      <c r="D29" s="298">
        <v>1</v>
      </c>
      <c r="E29" s="67">
        <v>12</v>
      </c>
      <c r="F29" s="273">
        <f t="shared" ref="F29" si="5">SUM(E29*D29)</f>
        <v>12</v>
      </c>
      <c r="G29" s="342" t="s">
        <v>758</v>
      </c>
    </row>
    <row r="30" spans="1:7" ht="14.25" x14ac:dyDescent="0.2">
      <c r="A30" s="24" t="s">
        <v>749</v>
      </c>
      <c r="B30" s="441" t="s">
        <v>678</v>
      </c>
      <c r="C30" s="441" t="s">
        <v>332</v>
      </c>
      <c r="D30" s="298">
        <v>13</v>
      </c>
      <c r="E30" s="67">
        <f>Paeds_Lounge_Fam_pp</f>
        <v>1.5</v>
      </c>
      <c r="F30" s="273">
        <f t="shared" si="4"/>
        <v>19.5</v>
      </c>
      <c r="G30" s="342" t="s">
        <v>759</v>
      </c>
    </row>
    <row r="31" spans="1:7" ht="14.25" x14ac:dyDescent="0.2">
      <c r="A31" s="24" t="s">
        <v>749</v>
      </c>
      <c r="B31" s="441" t="s">
        <v>678</v>
      </c>
      <c r="C31" s="441" t="s">
        <v>760</v>
      </c>
      <c r="D31" s="208">
        <v>1</v>
      </c>
      <c r="E31" s="89">
        <f>Neonate_Expressing</f>
        <v>10</v>
      </c>
      <c r="F31" s="89">
        <f>E31*D31</f>
        <v>10</v>
      </c>
      <c r="G31" s="342"/>
    </row>
    <row r="32" spans="1:7" ht="14.25" x14ac:dyDescent="0.2">
      <c r="A32" s="24" t="s">
        <v>749</v>
      </c>
      <c r="B32" s="441" t="s">
        <v>678</v>
      </c>
      <c r="C32" s="441" t="s">
        <v>60</v>
      </c>
      <c r="D32" s="298">
        <v>1</v>
      </c>
      <c r="E32" s="67">
        <f>SCS_Interview</f>
        <v>10</v>
      </c>
      <c r="F32" s="273">
        <f t="shared" ref="F32:F35" si="6">SUM(E32*D32)</f>
        <v>10</v>
      </c>
      <c r="G32" s="342" t="s">
        <v>750</v>
      </c>
    </row>
    <row r="33" spans="1:7" ht="14.25" x14ac:dyDescent="0.2">
      <c r="A33" s="24" t="s">
        <v>749</v>
      </c>
      <c r="B33" s="441" t="s">
        <v>678</v>
      </c>
      <c r="C33" s="441" t="s">
        <v>329</v>
      </c>
      <c r="D33" s="298">
        <v>1</v>
      </c>
      <c r="E33" s="67">
        <f>Paeds_kitchen_milkspecialfeed</f>
        <v>16</v>
      </c>
      <c r="F33" s="273">
        <f t="shared" si="6"/>
        <v>16</v>
      </c>
      <c r="G33" s="342" t="s">
        <v>761</v>
      </c>
    </row>
    <row r="34" spans="1:7" ht="14.25" x14ac:dyDescent="0.2">
      <c r="A34" s="24" t="s">
        <v>749</v>
      </c>
      <c r="B34" s="441" t="s">
        <v>678</v>
      </c>
      <c r="C34" s="441" t="s">
        <v>762</v>
      </c>
      <c r="D34" s="298">
        <v>1</v>
      </c>
      <c r="E34" s="67">
        <v>12</v>
      </c>
      <c r="F34" s="273">
        <f t="shared" si="6"/>
        <v>12</v>
      </c>
      <c r="G34" s="342" t="s">
        <v>763</v>
      </c>
    </row>
    <row r="35" spans="1:7" ht="14.25" x14ac:dyDescent="0.2">
      <c r="A35" s="24" t="s">
        <v>749</v>
      </c>
      <c r="B35" s="441" t="s">
        <v>678</v>
      </c>
      <c r="C35" s="441" t="s">
        <v>335</v>
      </c>
      <c r="D35" s="298">
        <v>3</v>
      </c>
      <c r="E35" s="67">
        <f>Paeds_Schoolrm_Small</f>
        <v>15</v>
      </c>
      <c r="F35" s="273">
        <f t="shared" si="6"/>
        <v>45</v>
      </c>
      <c r="G35" s="342" t="s">
        <v>764</v>
      </c>
    </row>
    <row r="36" spans="1:7" ht="14.25" x14ac:dyDescent="0.2">
      <c r="A36" s="24" t="s">
        <v>749</v>
      </c>
      <c r="B36" s="441" t="s">
        <v>678</v>
      </c>
      <c r="C36" s="441" t="s">
        <v>146</v>
      </c>
      <c r="D36" s="298">
        <v>1</v>
      </c>
      <c r="E36" s="67">
        <f>SRS_WC_Access</f>
        <v>4.5</v>
      </c>
      <c r="F36" s="273">
        <f>SUM(E36*D36)</f>
        <v>4.5</v>
      </c>
      <c r="G36" s="342" t="s">
        <v>765</v>
      </c>
    </row>
    <row r="37" spans="1:7" s="475" customFormat="1" ht="14.25" x14ac:dyDescent="0.2">
      <c r="A37" s="207" t="s">
        <v>505</v>
      </c>
      <c r="B37" s="441" t="s">
        <v>505</v>
      </c>
      <c r="C37" s="441" t="s">
        <v>687</v>
      </c>
      <c r="D37" s="373">
        <v>2</v>
      </c>
      <c r="E37" s="9">
        <f>SRS_Staffbase_pp</f>
        <v>4</v>
      </c>
      <c r="F37" s="10">
        <f>D37*E37</f>
        <v>8</v>
      </c>
      <c r="G37" s="454"/>
    </row>
    <row r="38" spans="1:7" s="475" customFormat="1" ht="14.25" x14ac:dyDescent="0.2">
      <c r="A38" s="11" t="s">
        <v>505</v>
      </c>
      <c r="B38" s="441" t="s">
        <v>505</v>
      </c>
      <c r="C38" s="441" t="s">
        <v>70</v>
      </c>
      <c r="D38" s="373">
        <v>1</v>
      </c>
      <c r="E38" s="195">
        <f>SCS_MDT_30</f>
        <v>24</v>
      </c>
      <c r="F38" s="26">
        <f t="shared" ref="F38:F42" si="7">D38*E38</f>
        <v>24</v>
      </c>
      <c r="G38" s="27"/>
    </row>
    <row r="39" spans="1:7" s="475" customFormat="1" ht="14.25" x14ac:dyDescent="0.2">
      <c r="A39" s="11" t="s">
        <v>505</v>
      </c>
      <c r="B39" s="441" t="s">
        <v>505</v>
      </c>
      <c r="C39" s="441" t="s">
        <v>348</v>
      </c>
      <c r="D39" s="373">
        <v>2</v>
      </c>
      <c r="E39" s="195">
        <f>Staff_Workstn_pp</f>
        <v>4.5</v>
      </c>
      <c r="F39" s="26">
        <f t="shared" si="7"/>
        <v>9</v>
      </c>
      <c r="G39" s="87" t="s">
        <v>688</v>
      </c>
    </row>
    <row r="40" spans="1:7" s="475" customFormat="1" ht="14.25" x14ac:dyDescent="0.2">
      <c r="A40" s="11" t="s">
        <v>505</v>
      </c>
      <c r="B40" s="441" t="s">
        <v>505</v>
      </c>
      <c r="C40" s="441" t="s">
        <v>135</v>
      </c>
      <c r="D40" s="373">
        <v>8</v>
      </c>
      <c r="E40" s="195">
        <f>SRS_Touchdown_pp</f>
        <v>2</v>
      </c>
      <c r="F40" s="26">
        <f t="shared" si="7"/>
        <v>16</v>
      </c>
      <c r="G40" s="87" t="s">
        <v>766</v>
      </c>
    </row>
    <row r="41" spans="1:7" s="475" customFormat="1" ht="14.25" x14ac:dyDescent="0.2">
      <c r="A41" s="11" t="s">
        <v>505</v>
      </c>
      <c r="B41" s="441" t="s">
        <v>505</v>
      </c>
      <c r="C41" s="441" t="s">
        <v>146</v>
      </c>
      <c r="D41" s="373">
        <v>0</v>
      </c>
      <c r="E41" s="195">
        <f>SRS_WC_Access</f>
        <v>4.5</v>
      </c>
      <c r="F41" s="26">
        <f t="shared" si="7"/>
        <v>0</v>
      </c>
      <c r="G41" s="457"/>
    </row>
    <row r="42" spans="1:7" s="475" customFormat="1" ht="14.25" x14ac:dyDescent="0.2">
      <c r="A42" s="11" t="s">
        <v>505</v>
      </c>
      <c r="B42" s="441" t="s">
        <v>505</v>
      </c>
      <c r="C42" s="441" t="s">
        <v>147</v>
      </c>
      <c r="D42" s="373">
        <v>2</v>
      </c>
      <c r="E42" s="91">
        <f>SRS_WC_Amb</f>
        <v>2.5</v>
      </c>
      <c r="F42" s="26">
        <f t="shared" si="7"/>
        <v>5</v>
      </c>
      <c r="G42" s="458"/>
    </row>
    <row r="43" spans="1:7" s="475" customFormat="1" ht="14.25" x14ac:dyDescent="0.2">
      <c r="A43" s="11" t="s">
        <v>749</v>
      </c>
      <c r="B43" s="441" t="s">
        <v>689</v>
      </c>
      <c r="C43" s="441" t="s">
        <v>442</v>
      </c>
      <c r="D43" s="373">
        <v>2</v>
      </c>
      <c r="E43" s="9">
        <f>Bay_Foodtroll</f>
        <v>2</v>
      </c>
      <c r="F43" s="10">
        <f>D43*E43</f>
        <v>4</v>
      </c>
      <c r="G43" s="454"/>
    </row>
    <row r="44" spans="1:7" s="475" customFormat="1" ht="14.25" x14ac:dyDescent="0.2">
      <c r="A44" s="29" t="s">
        <v>749</v>
      </c>
      <c r="B44" s="441" t="s">
        <v>689</v>
      </c>
      <c r="C44" s="441" t="s">
        <v>450</v>
      </c>
      <c r="D44" s="373">
        <v>2</v>
      </c>
      <c r="E44" s="195">
        <f>Bay_Resustroll</f>
        <v>2</v>
      </c>
      <c r="F44" s="26">
        <f t="shared" ref="F44:F56" si="8">D44*E44</f>
        <v>4</v>
      </c>
      <c r="G44" s="27" t="s">
        <v>767</v>
      </c>
    </row>
    <row r="45" spans="1:7" s="475" customFormat="1" ht="14.25" x14ac:dyDescent="0.2">
      <c r="A45" s="216" t="s">
        <v>749</v>
      </c>
      <c r="B45" s="441" t="s">
        <v>689</v>
      </c>
      <c r="C45" s="441" t="s">
        <v>444</v>
      </c>
      <c r="D45" s="373">
        <v>2</v>
      </c>
      <c r="E45" s="195">
        <f>Bay_Linentroll</f>
        <v>3</v>
      </c>
      <c r="F45" s="26">
        <f t="shared" si="8"/>
        <v>6</v>
      </c>
      <c r="G45" s="457"/>
    </row>
    <row r="46" spans="1:7" s="475" customFormat="1" ht="14.25" x14ac:dyDescent="0.2">
      <c r="A46" s="216" t="s">
        <v>749</v>
      </c>
      <c r="B46" s="441" t="s">
        <v>689</v>
      </c>
      <c r="C46" s="441" t="s">
        <v>447</v>
      </c>
      <c r="D46" s="373">
        <v>2</v>
      </c>
      <c r="E46" s="195">
        <f>Bay_Mobile_Hoist</f>
        <v>2</v>
      </c>
      <c r="F46" s="26">
        <f t="shared" si="8"/>
        <v>4</v>
      </c>
      <c r="G46" s="87"/>
    </row>
    <row r="47" spans="1:7" s="475" customFormat="1" ht="14.25" x14ac:dyDescent="0.2">
      <c r="A47" s="216" t="s">
        <v>749</v>
      </c>
      <c r="B47" s="441" t="s">
        <v>689</v>
      </c>
      <c r="C47" s="441" t="s">
        <v>455</v>
      </c>
      <c r="D47" s="373">
        <v>1</v>
      </c>
      <c r="E47" s="195">
        <f>Bay_XrayUS</f>
        <v>3</v>
      </c>
      <c r="F47" s="26">
        <f t="shared" si="8"/>
        <v>3</v>
      </c>
      <c r="G47" s="457"/>
    </row>
    <row r="48" spans="1:7" s="475" customFormat="1" ht="14.25" x14ac:dyDescent="0.2">
      <c r="A48" s="216" t="s">
        <v>749</v>
      </c>
      <c r="B48" s="441" t="s">
        <v>689</v>
      </c>
      <c r="C48" s="441" t="s">
        <v>453</v>
      </c>
      <c r="D48" s="373">
        <v>1</v>
      </c>
      <c r="E48" s="91">
        <f>Bay_Transportincub</f>
        <v>4</v>
      </c>
      <c r="F48" s="26">
        <f t="shared" si="8"/>
        <v>4</v>
      </c>
      <c r="G48" s="458"/>
    </row>
    <row r="49" spans="1:7" s="475" customFormat="1" ht="14.25" x14ac:dyDescent="0.2">
      <c r="A49" s="6" t="s">
        <v>749</v>
      </c>
      <c r="B49" s="441" t="s">
        <v>689</v>
      </c>
      <c r="C49" s="441" t="s">
        <v>437</v>
      </c>
      <c r="D49" s="373">
        <v>1</v>
      </c>
      <c r="E49" s="286">
        <f>Bay_Beverage</f>
        <v>5</v>
      </c>
      <c r="F49" s="26">
        <f t="shared" si="8"/>
        <v>5</v>
      </c>
      <c r="G49" s="465" t="s">
        <v>768</v>
      </c>
    </row>
    <row r="50" spans="1:7" s="475" customFormat="1" ht="14.25" x14ac:dyDescent="0.2">
      <c r="A50" s="11" t="s">
        <v>749</v>
      </c>
      <c r="B50" s="441" t="s">
        <v>689</v>
      </c>
      <c r="C50" s="441" t="s">
        <v>449</v>
      </c>
      <c r="D50" s="373">
        <v>0</v>
      </c>
      <c r="E50" s="286">
        <f>Bay_MobilePC</f>
        <v>5</v>
      </c>
      <c r="F50" s="26">
        <f t="shared" si="8"/>
        <v>0</v>
      </c>
      <c r="G50" s="476"/>
    </row>
    <row r="51" spans="1:7" s="475" customFormat="1" ht="14.25" x14ac:dyDescent="0.2">
      <c r="A51" s="11" t="s">
        <v>749</v>
      </c>
      <c r="B51" s="441" t="s">
        <v>689</v>
      </c>
      <c r="C51" s="441" t="s">
        <v>690</v>
      </c>
      <c r="D51" s="373">
        <v>1</v>
      </c>
      <c r="E51" s="477">
        <f>Store_15</f>
        <v>15</v>
      </c>
      <c r="F51" s="26">
        <f t="shared" si="8"/>
        <v>15</v>
      </c>
      <c r="G51" s="465" t="s">
        <v>769</v>
      </c>
    </row>
    <row r="52" spans="1:7" s="475" customFormat="1" ht="14.25" x14ac:dyDescent="0.2">
      <c r="A52" s="11" t="s">
        <v>749</v>
      </c>
      <c r="B52" s="441" t="s">
        <v>689</v>
      </c>
      <c r="C52" s="441" t="s">
        <v>690</v>
      </c>
      <c r="D52" s="373">
        <v>1</v>
      </c>
      <c r="E52" s="286">
        <f>Store_15</f>
        <v>15</v>
      </c>
      <c r="F52" s="26">
        <f t="shared" si="8"/>
        <v>15</v>
      </c>
      <c r="G52" s="465" t="s">
        <v>770</v>
      </c>
    </row>
    <row r="53" spans="1:7" s="475" customFormat="1" ht="14.25" x14ac:dyDescent="0.2">
      <c r="A53" s="29" t="s">
        <v>749</v>
      </c>
      <c r="B53" s="441" t="s">
        <v>689</v>
      </c>
      <c r="C53" s="441" t="s">
        <v>468</v>
      </c>
      <c r="D53" s="373">
        <v>1</v>
      </c>
      <c r="E53" s="286">
        <f>Store_30</f>
        <v>30</v>
      </c>
      <c r="F53" s="26">
        <f>D53*E53</f>
        <v>30</v>
      </c>
      <c r="G53" s="478" t="s">
        <v>771</v>
      </c>
    </row>
    <row r="54" spans="1:7" s="475" customFormat="1" ht="14.25" x14ac:dyDescent="0.2">
      <c r="A54" s="6" t="s">
        <v>749</v>
      </c>
      <c r="B54" s="441" t="s">
        <v>689</v>
      </c>
      <c r="C54" s="441" t="s">
        <v>54</v>
      </c>
      <c r="D54" s="373">
        <v>1</v>
      </c>
      <c r="E54" s="286">
        <f>SCS_Fluidroom</f>
        <v>8</v>
      </c>
      <c r="F54" s="26">
        <f t="shared" si="8"/>
        <v>8</v>
      </c>
      <c r="G54" s="476"/>
    </row>
    <row r="55" spans="1:7" s="475" customFormat="1" ht="14.25" x14ac:dyDescent="0.2">
      <c r="A55" s="11" t="s">
        <v>749</v>
      </c>
      <c r="B55" s="441" t="s">
        <v>689</v>
      </c>
      <c r="C55" s="441" t="s">
        <v>38</v>
      </c>
      <c r="D55" s="373">
        <v>1</v>
      </c>
      <c r="E55" s="286">
        <f>SRS_Cleaner_Cup</f>
        <v>5</v>
      </c>
      <c r="F55" s="26">
        <f t="shared" si="8"/>
        <v>5</v>
      </c>
      <c r="G55" s="476"/>
    </row>
    <row r="56" spans="1:7" s="475" customFormat="1" ht="14.25" x14ac:dyDescent="0.2">
      <c r="A56" s="11" t="s">
        <v>749</v>
      </c>
      <c r="B56" s="441" t="s">
        <v>689</v>
      </c>
      <c r="C56" s="441" t="s">
        <v>39</v>
      </c>
      <c r="D56" s="373">
        <v>1</v>
      </c>
      <c r="E56" s="286">
        <f>SRS_Cleaner_Rm</f>
        <v>8</v>
      </c>
      <c r="F56" s="26">
        <f t="shared" si="8"/>
        <v>8</v>
      </c>
      <c r="G56" s="476"/>
    </row>
    <row r="57" spans="1:7" ht="14.25" x14ac:dyDescent="0.2">
      <c r="A57" s="11" t="s">
        <v>772</v>
      </c>
      <c r="B57" s="441" t="s">
        <v>1098</v>
      </c>
      <c r="C57" s="441" t="s">
        <v>143</v>
      </c>
      <c r="D57" s="334">
        <v>4</v>
      </c>
      <c r="E57" s="69">
        <f>SRS_Wait_Amb_pp</f>
        <v>1.5</v>
      </c>
      <c r="F57" s="302">
        <f t="shared" ref="F57:F68" si="9">D57*E57</f>
        <v>6</v>
      </c>
      <c r="G57" s="369"/>
    </row>
    <row r="58" spans="1:7" ht="14.25" x14ac:dyDescent="0.2">
      <c r="A58" s="11" t="s">
        <v>772</v>
      </c>
      <c r="B58" s="441" t="s">
        <v>1098</v>
      </c>
      <c r="C58" s="441" t="s">
        <v>146</v>
      </c>
      <c r="D58" s="289">
        <v>0</v>
      </c>
      <c r="E58" s="289">
        <f>SRS_WC_Access</f>
        <v>4.5</v>
      </c>
      <c r="F58" s="273">
        <f t="shared" si="9"/>
        <v>0</v>
      </c>
      <c r="G58" s="479"/>
    </row>
    <row r="59" spans="1:7" ht="14.25" x14ac:dyDescent="0.2">
      <c r="A59" s="11" t="s">
        <v>772</v>
      </c>
      <c r="B59" s="441" t="s">
        <v>1098</v>
      </c>
      <c r="C59" s="441" t="s">
        <v>124</v>
      </c>
      <c r="D59" s="289">
        <v>0.5</v>
      </c>
      <c r="E59" s="289">
        <f>SRS_Seminar_15</f>
        <v>30</v>
      </c>
      <c r="F59" s="273">
        <f t="shared" si="9"/>
        <v>15</v>
      </c>
      <c r="G59" s="479"/>
    </row>
    <row r="60" spans="1:7" ht="14.25" x14ac:dyDescent="0.2">
      <c r="A60" s="29" t="s">
        <v>772</v>
      </c>
      <c r="B60" s="441" t="s">
        <v>1098</v>
      </c>
      <c r="C60" s="441" t="s">
        <v>130</v>
      </c>
      <c r="D60" s="293">
        <v>15</v>
      </c>
      <c r="E60" s="289">
        <f>SRS_Staffchange_pp</f>
        <v>2.5</v>
      </c>
      <c r="F60" s="273">
        <f t="shared" si="9"/>
        <v>37.5</v>
      </c>
      <c r="G60" s="479"/>
    </row>
    <row r="61" spans="1:7" ht="14.25" x14ac:dyDescent="0.2">
      <c r="A61" s="6" t="s">
        <v>772</v>
      </c>
      <c r="B61" s="441" t="s">
        <v>1098</v>
      </c>
      <c r="C61" s="441" t="s">
        <v>132</v>
      </c>
      <c r="D61" s="293">
        <v>15</v>
      </c>
      <c r="E61" s="289">
        <f>SRS_Staffrestbev_pp</f>
        <v>1.5</v>
      </c>
      <c r="F61" s="273">
        <f t="shared" si="9"/>
        <v>22.5</v>
      </c>
      <c r="G61" s="479"/>
    </row>
    <row r="62" spans="1:7" ht="14.25" x14ac:dyDescent="0.2">
      <c r="A62" s="11" t="s">
        <v>772</v>
      </c>
      <c r="B62" s="441" t="s">
        <v>1098</v>
      </c>
      <c r="C62" s="441" t="s">
        <v>134</v>
      </c>
      <c r="D62" s="289">
        <v>0</v>
      </c>
      <c r="E62" s="289">
        <f>SRS_Staff_Shower</f>
        <v>3</v>
      </c>
      <c r="F62" s="273">
        <f t="shared" si="9"/>
        <v>0</v>
      </c>
      <c r="G62" s="479" t="s">
        <v>773</v>
      </c>
    </row>
    <row r="63" spans="1:7" ht="14.25" x14ac:dyDescent="0.2">
      <c r="A63" s="11" t="s">
        <v>772</v>
      </c>
      <c r="B63" s="441" t="s">
        <v>1098</v>
      </c>
      <c r="C63" s="441" t="s">
        <v>106</v>
      </c>
      <c r="D63" s="293">
        <v>4</v>
      </c>
      <c r="E63" s="289">
        <f>SRS_Locker_4</f>
        <v>0.5</v>
      </c>
      <c r="F63" s="273">
        <f t="shared" si="9"/>
        <v>2</v>
      </c>
      <c r="G63" s="479"/>
    </row>
    <row r="64" spans="1:7" ht="14.25" x14ac:dyDescent="0.2">
      <c r="A64" s="11" t="s">
        <v>772</v>
      </c>
      <c r="B64" s="441" t="s">
        <v>1098</v>
      </c>
      <c r="C64" s="441" t="s">
        <v>52</v>
      </c>
      <c r="D64" s="289">
        <v>1</v>
      </c>
      <c r="E64" s="289">
        <f>SCS_Disphol_Med</f>
        <v>14</v>
      </c>
      <c r="F64" s="273">
        <f t="shared" si="9"/>
        <v>14</v>
      </c>
      <c r="G64" s="479"/>
    </row>
    <row r="65" spans="1:7" ht="14.25" x14ac:dyDescent="0.2">
      <c r="A65" s="11" t="s">
        <v>772</v>
      </c>
      <c r="B65" s="441" t="s">
        <v>1098</v>
      </c>
      <c r="C65" s="441" t="s">
        <v>93</v>
      </c>
      <c r="D65" s="289">
        <v>0.5</v>
      </c>
      <c r="E65" s="289">
        <f>SRS_Delivhub_Small</f>
        <v>4.5</v>
      </c>
      <c r="F65" s="273">
        <f t="shared" si="9"/>
        <v>2.25</v>
      </c>
      <c r="G65" s="479"/>
    </row>
    <row r="66" spans="1:7" ht="14.25" x14ac:dyDescent="0.2">
      <c r="A66" s="11" t="s">
        <v>772</v>
      </c>
      <c r="B66" s="441" t="s">
        <v>1098</v>
      </c>
      <c r="C66" s="441" t="s">
        <v>104</v>
      </c>
      <c r="D66" s="289">
        <v>1</v>
      </c>
      <c r="E66" s="289">
        <f>SRS_Kitchen_IP</f>
        <v>25</v>
      </c>
      <c r="F66" s="273">
        <f t="shared" si="9"/>
        <v>25</v>
      </c>
      <c r="G66" s="479" t="s">
        <v>698</v>
      </c>
    </row>
    <row r="67" spans="1:7" ht="14.25" x14ac:dyDescent="0.2">
      <c r="A67" s="11" t="s">
        <v>772</v>
      </c>
      <c r="B67" s="441" t="s">
        <v>1098</v>
      </c>
      <c r="C67" s="441" t="s">
        <v>690</v>
      </c>
      <c r="D67" s="289">
        <v>0.5</v>
      </c>
      <c r="E67" s="289">
        <f>Store_15</f>
        <v>15</v>
      </c>
      <c r="F67" s="273">
        <f t="shared" si="9"/>
        <v>7.5</v>
      </c>
      <c r="G67" s="479" t="s">
        <v>699</v>
      </c>
    </row>
    <row r="68" spans="1:7" ht="14.25" x14ac:dyDescent="0.2">
      <c r="A68" s="11" t="s">
        <v>772</v>
      </c>
      <c r="B68" s="441" t="s">
        <v>1098</v>
      </c>
      <c r="C68" s="441" t="s">
        <v>400</v>
      </c>
      <c r="D68" s="289">
        <v>0.5</v>
      </c>
      <c r="E68" s="289">
        <f>RTU_Gascylinder_Small</f>
        <v>4</v>
      </c>
      <c r="F68" s="273">
        <f t="shared" si="9"/>
        <v>2</v>
      </c>
      <c r="G68" s="479"/>
    </row>
    <row r="69" spans="1:7" ht="14.25" x14ac:dyDescent="0.2">
      <c r="A69" s="11" t="s">
        <v>774</v>
      </c>
      <c r="B69" s="441" t="s">
        <v>1097</v>
      </c>
      <c r="C69" s="441" t="s">
        <v>344</v>
      </c>
      <c r="D69" s="470">
        <v>0.25</v>
      </c>
      <c r="E69" s="69">
        <f>Staff_Office_1</f>
        <v>8</v>
      </c>
      <c r="F69" s="302">
        <f t="shared" ref="F69:F74" si="10">D69*E69</f>
        <v>2</v>
      </c>
      <c r="G69" s="369"/>
    </row>
    <row r="70" spans="1:7" ht="14.25" x14ac:dyDescent="0.2">
      <c r="A70" s="11" t="s">
        <v>774</v>
      </c>
      <c r="B70" s="441" t="s">
        <v>1097</v>
      </c>
      <c r="C70" s="441" t="s">
        <v>147</v>
      </c>
      <c r="D70" s="471">
        <v>0.25</v>
      </c>
      <c r="E70" s="289">
        <f>SRS_WC_Amb</f>
        <v>2.5</v>
      </c>
      <c r="F70" s="273">
        <f t="shared" si="10"/>
        <v>0.625</v>
      </c>
      <c r="G70" s="479" t="s">
        <v>700</v>
      </c>
    </row>
    <row r="71" spans="1:7" ht="14.25" x14ac:dyDescent="0.2">
      <c r="A71" s="11" t="s">
        <v>774</v>
      </c>
      <c r="B71" s="441" t="s">
        <v>1097</v>
      </c>
      <c r="C71" s="441" t="s">
        <v>146</v>
      </c>
      <c r="D71" s="471">
        <v>0.25</v>
      </c>
      <c r="E71" s="289">
        <f>SRS_WC_Access</f>
        <v>4.5</v>
      </c>
      <c r="F71" s="273">
        <f t="shared" si="10"/>
        <v>1.125</v>
      </c>
      <c r="G71" s="479" t="s">
        <v>700</v>
      </c>
    </row>
    <row r="72" spans="1:7" ht="14.25" x14ac:dyDescent="0.2">
      <c r="A72" s="11" t="s">
        <v>774</v>
      </c>
      <c r="B72" s="441" t="s">
        <v>1097</v>
      </c>
      <c r="C72" s="441" t="s">
        <v>146</v>
      </c>
      <c r="D72" s="471">
        <v>0.25</v>
      </c>
      <c r="E72" s="289">
        <f>SRS_WC_Access</f>
        <v>4.5</v>
      </c>
      <c r="F72" s="273">
        <f t="shared" si="10"/>
        <v>1.125</v>
      </c>
      <c r="G72" s="479" t="s">
        <v>701</v>
      </c>
    </row>
    <row r="73" spans="1:7" ht="14.25" x14ac:dyDescent="0.2">
      <c r="A73" s="11" t="s">
        <v>774</v>
      </c>
      <c r="B73" s="441" t="s">
        <v>1097</v>
      </c>
      <c r="C73" s="441" t="s">
        <v>147</v>
      </c>
      <c r="D73" s="471">
        <v>0.25</v>
      </c>
      <c r="E73" s="289">
        <f>SRS_WC_Amb</f>
        <v>2.5</v>
      </c>
      <c r="F73" s="273">
        <f t="shared" si="10"/>
        <v>0.625</v>
      </c>
      <c r="G73" s="479" t="s">
        <v>701</v>
      </c>
    </row>
    <row r="74" spans="1:7" ht="14.25" x14ac:dyDescent="0.2">
      <c r="A74" s="11" t="s">
        <v>774</v>
      </c>
      <c r="B74" s="441" t="s">
        <v>1097</v>
      </c>
      <c r="C74" s="441" t="s">
        <v>347</v>
      </c>
      <c r="D74" s="471">
        <v>0.25</v>
      </c>
      <c r="E74" s="289">
        <f>Staff_Wellbeinglact</f>
        <v>10</v>
      </c>
      <c r="F74" s="273">
        <f t="shared" si="10"/>
        <v>2.5</v>
      </c>
      <c r="G74" s="479" t="s">
        <v>700</v>
      </c>
    </row>
    <row r="75" spans="1:7" x14ac:dyDescent="0.25">
      <c r="A75" s="29"/>
    </row>
    <row r="76" spans="1:7" x14ac:dyDescent="0.25">
      <c r="A76" s="29"/>
    </row>
    <row r="77" spans="1:7" x14ac:dyDescent="0.25">
      <c r="A77" s="224"/>
    </row>
    <row r="78" spans="1:7" x14ac:dyDescent="0.25">
      <c r="A78" s="226"/>
    </row>
    <row r="79" spans="1:7" x14ac:dyDescent="0.25">
      <c r="A79" s="227"/>
    </row>
    <row r="80" spans="1:7" x14ac:dyDescent="0.25">
      <c r="A80" s="40"/>
    </row>
    <row r="81" spans="1:1" x14ac:dyDescent="0.25">
      <c r="A81" s="36"/>
    </row>
    <row r="82" spans="1:1" x14ac:dyDescent="0.25">
      <c r="A82" s="36"/>
    </row>
    <row r="83" spans="1:1" x14ac:dyDescent="0.25">
      <c r="A83" s="36"/>
    </row>
    <row r="84" spans="1:1" x14ac:dyDescent="0.25">
      <c r="A84" s="36"/>
    </row>
    <row r="85" spans="1:1" x14ac:dyDescent="0.25">
      <c r="A85" s="36"/>
    </row>
    <row r="86" spans="1:1" x14ac:dyDescent="0.25">
      <c r="A86" s="36"/>
    </row>
    <row r="87" spans="1:1" x14ac:dyDescent="0.25">
      <c r="A87" s="36"/>
    </row>
    <row r="88" spans="1:1" x14ac:dyDescent="0.25">
      <c r="A88" s="36"/>
    </row>
    <row r="89" spans="1:1" x14ac:dyDescent="0.25">
      <c r="A89" s="36"/>
    </row>
    <row r="90" spans="1:1" x14ac:dyDescent="0.25">
      <c r="A90" s="36"/>
    </row>
    <row r="91" spans="1:1" x14ac:dyDescent="0.25">
      <c r="A91" s="36"/>
    </row>
    <row r="92" spans="1:1" x14ac:dyDescent="0.25">
      <c r="A92" s="36"/>
    </row>
    <row r="93" spans="1:1" x14ac:dyDescent="0.25">
      <c r="A93" s="36"/>
    </row>
    <row r="94" spans="1:1" x14ac:dyDescent="0.25">
      <c r="A94" s="36"/>
    </row>
    <row r="95" spans="1:1" x14ac:dyDescent="0.25">
      <c r="A95" s="36"/>
    </row>
    <row r="96" spans="1:1" x14ac:dyDescent="0.25">
      <c r="A96" s="36"/>
    </row>
    <row r="97" spans="1:1" x14ac:dyDescent="0.25">
      <c r="A97" s="36"/>
    </row>
    <row r="98" spans="1:1" x14ac:dyDescent="0.25">
      <c r="A98" s="36"/>
    </row>
    <row r="99" spans="1:1" x14ac:dyDescent="0.25">
      <c r="A99" s="36"/>
    </row>
    <row r="100" spans="1:1" x14ac:dyDescent="0.25">
      <c r="A100" s="36"/>
    </row>
    <row r="101" spans="1:1" x14ac:dyDescent="0.25">
      <c r="A101" s="36"/>
    </row>
    <row r="102" spans="1:1" x14ac:dyDescent="0.25">
      <c r="A102" s="36"/>
    </row>
    <row r="103" spans="1:1" x14ac:dyDescent="0.25">
      <c r="A103" s="36"/>
    </row>
    <row r="104" spans="1:1" x14ac:dyDescent="0.25">
      <c r="A104" s="36"/>
    </row>
    <row r="105" spans="1:1" x14ac:dyDescent="0.25">
      <c r="A105" s="36"/>
    </row>
    <row r="106" spans="1:1" x14ac:dyDescent="0.25">
      <c r="A106" s="36"/>
    </row>
    <row r="107" spans="1:1" x14ac:dyDescent="0.25">
      <c r="A107" s="36"/>
    </row>
    <row r="108" spans="1:1" x14ac:dyDescent="0.25">
      <c r="A108" s="36"/>
    </row>
    <row r="109" spans="1:1" x14ac:dyDescent="0.25">
      <c r="A109" s="6"/>
    </row>
    <row r="110" spans="1:1" x14ac:dyDescent="0.25">
      <c r="A110" s="6"/>
    </row>
    <row r="111" spans="1:1" x14ac:dyDescent="0.25">
      <c r="A111" s="11"/>
    </row>
    <row r="112" spans="1:1" x14ac:dyDescent="0.25">
      <c r="A112" s="226"/>
    </row>
    <row r="113" spans="1:1" x14ac:dyDescent="0.25">
      <c r="A113" s="226"/>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29"/>
    </row>
    <row r="133" spans="1:1" x14ac:dyDescent="0.25">
      <c r="A133" s="6"/>
    </row>
    <row r="134" spans="1:1" x14ac:dyDescent="0.25">
      <c r="A134" s="6"/>
    </row>
    <row r="135" spans="1:1" x14ac:dyDescent="0.25">
      <c r="A135" s="236"/>
    </row>
    <row r="136" spans="1:1" x14ac:dyDescent="0.25">
      <c r="A136" s="238"/>
    </row>
    <row r="137" spans="1:1" x14ac:dyDescent="0.25">
      <c r="A137" s="238"/>
    </row>
    <row r="138" spans="1:1" x14ac:dyDescent="0.25">
      <c r="A138" s="238"/>
    </row>
    <row r="139" spans="1:1" x14ac:dyDescent="0.25">
      <c r="A139" s="238"/>
    </row>
    <row r="140" spans="1:1" x14ac:dyDescent="0.25">
      <c r="A140" s="238"/>
    </row>
    <row r="141" spans="1:1" x14ac:dyDescent="0.25">
      <c r="A141" s="238"/>
    </row>
    <row r="142" spans="1:1" x14ac:dyDescent="0.25">
      <c r="A142" s="6"/>
    </row>
    <row r="143" spans="1:1" x14ac:dyDescent="0.25">
      <c r="A143" s="6"/>
    </row>
    <row r="144" spans="1:1" x14ac:dyDescent="0.25">
      <c r="A144" s="40"/>
    </row>
    <row r="145" spans="1:1" x14ac:dyDescent="0.25">
      <c r="A145" s="40"/>
    </row>
    <row r="146" spans="1:1" x14ac:dyDescent="0.25">
      <c r="A146" s="40"/>
    </row>
    <row r="147" spans="1:1" x14ac:dyDescent="0.25">
      <c r="A147" s="40"/>
    </row>
    <row r="148" spans="1:1" x14ac:dyDescent="0.25">
      <c r="A148" s="40"/>
    </row>
    <row r="149" spans="1:1" x14ac:dyDescent="0.25">
      <c r="A149" s="40"/>
    </row>
    <row r="150" spans="1:1" x14ac:dyDescent="0.25">
      <c r="A150" s="6"/>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6"/>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29"/>
    </row>
    <row r="185" spans="1:1" x14ac:dyDescent="0.25">
      <c r="A185" s="11"/>
    </row>
    <row r="186" spans="1:1" x14ac:dyDescent="0.25">
      <c r="A186" s="11"/>
    </row>
    <row r="187" spans="1:1" x14ac:dyDescent="0.25">
      <c r="A187" s="11"/>
    </row>
    <row r="188" spans="1:1" x14ac:dyDescent="0.25">
      <c r="A188" s="6"/>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4"/>
    </row>
    <row r="197" spans="1:1" x14ac:dyDescent="0.25">
      <c r="A197" s="4"/>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sheetData>
  <phoneticPr fontId="40" type="noConversion"/>
  <pageMargins left="0.7" right="0.7" top="0.75" bottom="0.75" header="0.3" footer="0.3"/>
  <pageSetup paperSize="9"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3A7ED-5C4E-4097-A289-306C214DB3F2}">
  <sheetPr>
    <tabColor theme="0" tint="-0.14999847407452621"/>
  </sheetPr>
  <dimension ref="A1:BL289"/>
  <sheetViews>
    <sheetView zoomScale="60" zoomScaleNormal="60" workbookViewId="0">
      <selection activeCell="C27" sqref="C27"/>
    </sheetView>
  </sheetViews>
  <sheetFormatPr defaultColWidth="8.85546875" defaultRowHeight="14.25" x14ac:dyDescent="0.25"/>
  <cols>
    <col min="1" max="2" width="39.42578125" style="42" customWidth="1"/>
    <col min="3" max="3" width="39.5703125" style="42" bestFit="1" customWidth="1"/>
    <col min="4" max="4" width="13.5703125" style="5" customWidth="1"/>
    <col min="5" max="5" width="12.140625" style="3" customWidth="1"/>
    <col min="6" max="6" width="12.42578125" style="3" customWidth="1"/>
    <col min="7" max="7" width="90.28515625" style="42" customWidth="1"/>
    <col min="8" max="8" width="76.42578125" style="42" customWidth="1"/>
    <col min="9" max="9" width="8.85546875" style="46"/>
    <col min="10" max="17" width="8.85546875" style="3"/>
    <col min="18" max="18" width="13.85546875" style="3" customWidth="1"/>
    <col min="19" max="19" width="26.140625" style="3" customWidth="1"/>
    <col min="20" max="20" width="18.85546875" style="3" customWidth="1"/>
    <col min="21" max="16384" width="8.85546875" style="3"/>
  </cols>
  <sheetData>
    <row r="1" spans="1:62" s="448" customFormat="1" ht="15" x14ac:dyDescent="0.25">
      <c r="A1" s="466" t="s">
        <v>477</v>
      </c>
      <c r="B1" s="466" t="s">
        <v>1088</v>
      </c>
      <c r="C1" s="467" t="s">
        <v>1089</v>
      </c>
      <c r="D1" s="467" t="s">
        <v>1090</v>
      </c>
      <c r="E1" s="467" t="s">
        <v>1091</v>
      </c>
      <c r="F1" s="467" t="s">
        <v>1092</v>
      </c>
      <c r="G1" s="481" t="s">
        <v>19</v>
      </c>
    </row>
    <row r="2" spans="1:62" ht="14.45" customHeight="1" x14ac:dyDescent="0.25">
      <c r="A2" s="203" t="s">
        <v>775</v>
      </c>
      <c r="B2" s="203" t="s">
        <v>492</v>
      </c>
      <c r="C2" s="204" t="s">
        <v>473</v>
      </c>
      <c r="D2" s="205">
        <v>7</v>
      </c>
      <c r="E2" s="7">
        <f>Bay_Ambulance_Park</f>
        <v>0</v>
      </c>
      <c r="F2" s="19">
        <f>E2*D2</f>
        <v>0</v>
      </c>
      <c r="G2" s="206"/>
      <c r="H2" s="43"/>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row>
    <row r="3" spans="1:62" ht="14.45" customHeight="1" x14ac:dyDescent="0.25">
      <c r="A3" s="207" t="s">
        <v>775</v>
      </c>
      <c r="B3" s="203" t="s">
        <v>492</v>
      </c>
      <c r="C3" s="204" t="s">
        <v>472</v>
      </c>
      <c r="D3" s="208">
        <v>1</v>
      </c>
      <c r="E3" s="22">
        <f>Bay_Ambulance_Park</f>
        <v>0</v>
      </c>
      <c r="F3" s="17">
        <f t="shared" ref="F3:F37" si="0">E3*D3</f>
        <v>0</v>
      </c>
      <c r="G3" s="206"/>
      <c r="H3" s="43"/>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row>
    <row r="4" spans="1:62" ht="14.45" customHeight="1" x14ac:dyDescent="0.25">
      <c r="A4" s="207" t="s">
        <v>776</v>
      </c>
      <c r="B4" s="203" t="s">
        <v>492</v>
      </c>
      <c r="C4" s="204" t="s">
        <v>171</v>
      </c>
      <c r="D4" s="208">
        <v>1</v>
      </c>
      <c r="E4" s="22">
        <f>ED_Decon_Rm</f>
        <v>16</v>
      </c>
      <c r="F4" s="17">
        <f t="shared" si="0"/>
        <v>16</v>
      </c>
      <c r="G4" s="206" t="s">
        <v>777</v>
      </c>
      <c r="H4" s="43"/>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row>
    <row r="5" spans="1:62" ht="14.45" customHeight="1" x14ac:dyDescent="0.25">
      <c r="A5" s="207" t="s">
        <v>776</v>
      </c>
      <c r="B5" s="203" t="s">
        <v>492</v>
      </c>
      <c r="C5" s="204" t="s">
        <v>179</v>
      </c>
      <c r="D5" s="208">
        <v>2</v>
      </c>
      <c r="E5" s="22">
        <f>ED_Decon_Shower</f>
        <v>8</v>
      </c>
      <c r="F5" s="17">
        <f t="shared" si="0"/>
        <v>16</v>
      </c>
      <c r="G5" s="206" t="s">
        <v>778</v>
      </c>
      <c r="H5" s="43"/>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row>
    <row r="6" spans="1:62" ht="14.45" customHeight="1" x14ac:dyDescent="0.25">
      <c r="A6" s="207" t="s">
        <v>776</v>
      </c>
      <c r="B6" s="203" t="s">
        <v>492</v>
      </c>
      <c r="C6" s="204" t="s">
        <v>466</v>
      </c>
      <c r="D6" s="208">
        <v>1</v>
      </c>
      <c r="E6" s="22">
        <f>Store_15</f>
        <v>15</v>
      </c>
      <c r="F6" s="17">
        <f t="shared" si="0"/>
        <v>15</v>
      </c>
      <c r="G6" s="206" t="s">
        <v>779</v>
      </c>
      <c r="H6" s="43"/>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row>
    <row r="7" spans="1:62" ht="14.45" customHeight="1" x14ac:dyDescent="0.25">
      <c r="A7" s="207" t="s">
        <v>780</v>
      </c>
      <c r="B7" s="203" t="s">
        <v>492</v>
      </c>
      <c r="C7" s="383" t="s">
        <v>781</v>
      </c>
      <c r="D7" s="381">
        <v>1</v>
      </c>
      <c r="E7" s="384">
        <v>11</v>
      </c>
      <c r="F7" s="385">
        <f t="shared" si="0"/>
        <v>11</v>
      </c>
      <c r="G7" s="206"/>
      <c r="H7" s="43"/>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1:62" ht="14.45" customHeight="1" x14ac:dyDescent="0.25">
      <c r="A8" s="207" t="s">
        <v>782</v>
      </c>
      <c r="B8" s="203" t="s">
        <v>492</v>
      </c>
      <c r="C8" s="204" t="s">
        <v>783</v>
      </c>
      <c r="D8" s="208">
        <v>3</v>
      </c>
      <c r="E8" s="22">
        <f>SRS_Recept_pp</f>
        <v>5.5</v>
      </c>
      <c r="F8" s="17">
        <f t="shared" si="0"/>
        <v>16.5</v>
      </c>
      <c r="G8" s="206"/>
      <c r="H8" s="43"/>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row>
    <row r="9" spans="1:62" ht="14.45" customHeight="1" x14ac:dyDescent="0.25">
      <c r="A9" s="207" t="s">
        <v>782</v>
      </c>
      <c r="B9" s="203" t="s">
        <v>492</v>
      </c>
      <c r="C9" s="204" t="s">
        <v>143</v>
      </c>
      <c r="D9" s="208">
        <v>50</v>
      </c>
      <c r="E9" s="22">
        <f>SRS_Wait_Amb_pp</f>
        <v>1.5</v>
      </c>
      <c r="F9" s="17">
        <f t="shared" si="0"/>
        <v>75</v>
      </c>
      <c r="G9" s="206"/>
      <c r="H9" s="43"/>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row>
    <row r="10" spans="1:62" ht="14.45" customHeight="1" x14ac:dyDescent="0.25">
      <c r="A10" s="207" t="s">
        <v>782</v>
      </c>
      <c r="B10" s="203" t="s">
        <v>492</v>
      </c>
      <c r="C10" s="204" t="s">
        <v>139</v>
      </c>
      <c r="D10" s="208">
        <v>5</v>
      </c>
      <c r="E10" s="22">
        <f>SRS_Wait_Child_pp</f>
        <v>3</v>
      </c>
      <c r="F10" s="17">
        <f t="shared" si="0"/>
        <v>15</v>
      </c>
      <c r="G10" s="209"/>
      <c r="H10" s="43"/>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row>
    <row r="11" spans="1:62" ht="14.45" customHeight="1" x14ac:dyDescent="0.25">
      <c r="A11" s="207" t="s">
        <v>782</v>
      </c>
      <c r="B11" s="203" t="s">
        <v>492</v>
      </c>
      <c r="C11" s="204" t="s">
        <v>141</v>
      </c>
      <c r="D11" s="208">
        <v>5</v>
      </c>
      <c r="E11" s="22">
        <f>SRS_Wait_Wheel_pp</f>
        <v>3</v>
      </c>
      <c r="F11" s="17">
        <f t="shared" si="0"/>
        <v>15</v>
      </c>
      <c r="G11" s="209"/>
      <c r="H11" s="43"/>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row>
    <row r="12" spans="1:62" ht="14.45" customHeight="1" x14ac:dyDescent="0.25">
      <c r="A12" s="207" t="s">
        <v>782</v>
      </c>
      <c r="B12" s="203" t="s">
        <v>492</v>
      </c>
      <c r="C12" s="204" t="s">
        <v>170</v>
      </c>
      <c r="D12" s="208">
        <v>6</v>
      </c>
      <c r="E12" s="22">
        <f>ED_DigTriage</f>
        <v>2</v>
      </c>
      <c r="F12" s="17">
        <f t="shared" si="0"/>
        <v>12</v>
      </c>
      <c r="G12" s="210"/>
      <c r="H12" s="43"/>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row>
    <row r="13" spans="1:62" ht="14.45" customHeight="1" x14ac:dyDescent="0.25">
      <c r="A13" s="24" t="s">
        <v>782</v>
      </c>
      <c r="B13" s="203" t="s">
        <v>492</v>
      </c>
      <c r="C13" s="211" t="s">
        <v>94</v>
      </c>
      <c r="D13" s="208">
        <v>3</v>
      </c>
      <c r="E13" s="28">
        <f>SRS_Waterdispenser</f>
        <v>0.5</v>
      </c>
      <c r="F13" s="37">
        <f t="shared" si="0"/>
        <v>1.5</v>
      </c>
      <c r="G13" s="210"/>
      <c r="H13" s="43"/>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row>
    <row r="14" spans="1:62" ht="14.45" customHeight="1" x14ac:dyDescent="0.25">
      <c r="A14" s="207" t="s">
        <v>782</v>
      </c>
      <c r="B14" s="203" t="s">
        <v>492</v>
      </c>
      <c r="C14" s="204" t="s">
        <v>454</v>
      </c>
      <c r="D14" s="208">
        <v>1</v>
      </c>
      <c r="E14" s="22">
        <f>Bay_Vending</f>
        <v>3</v>
      </c>
      <c r="F14" s="17">
        <f t="shared" si="0"/>
        <v>3</v>
      </c>
      <c r="G14" s="209"/>
      <c r="H14" s="43"/>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row>
    <row r="15" spans="1:62" ht="14.45" customHeight="1" x14ac:dyDescent="0.25">
      <c r="A15" s="207" t="s">
        <v>782</v>
      </c>
      <c r="B15" s="203" t="s">
        <v>492</v>
      </c>
      <c r="C15" s="204" t="s">
        <v>437</v>
      </c>
      <c r="D15" s="208">
        <v>1</v>
      </c>
      <c r="E15" s="22">
        <f>Bay_Beverage</f>
        <v>5</v>
      </c>
      <c r="F15" s="17">
        <f t="shared" si="0"/>
        <v>5</v>
      </c>
      <c r="G15" s="209"/>
      <c r="H15" s="43"/>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row>
    <row r="16" spans="1:62" ht="14.45" customHeight="1" x14ac:dyDescent="0.25">
      <c r="A16" s="207" t="s">
        <v>782</v>
      </c>
      <c r="B16" s="203" t="s">
        <v>492</v>
      </c>
      <c r="C16" s="204" t="s">
        <v>147</v>
      </c>
      <c r="D16" s="208">
        <v>4</v>
      </c>
      <c r="E16" s="22">
        <f>SRS_WC_Amb</f>
        <v>2.5</v>
      </c>
      <c r="F16" s="17">
        <f t="shared" si="0"/>
        <v>10</v>
      </c>
      <c r="G16" s="209" t="s">
        <v>784</v>
      </c>
      <c r="H16" s="43"/>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row>
    <row r="17" spans="1:62" ht="14.45" customHeight="1" x14ac:dyDescent="0.25">
      <c r="A17" s="207" t="s">
        <v>782</v>
      </c>
      <c r="B17" s="203" t="s">
        <v>492</v>
      </c>
      <c r="C17" s="204" t="s">
        <v>146</v>
      </c>
      <c r="D17" s="208">
        <v>2</v>
      </c>
      <c r="E17" s="22">
        <f>SRS_WC_Access</f>
        <v>4.5</v>
      </c>
      <c r="F17" s="17">
        <f t="shared" si="0"/>
        <v>9</v>
      </c>
      <c r="G17" s="209" t="s">
        <v>784</v>
      </c>
      <c r="H17" s="43"/>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row>
    <row r="18" spans="1:62" ht="14.45" customHeight="1" x14ac:dyDescent="0.25">
      <c r="A18" s="24" t="s">
        <v>782</v>
      </c>
      <c r="B18" s="203" t="s">
        <v>492</v>
      </c>
      <c r="C18" s="211" t="s">
        <v>109</v>
      </c>
      <c r="D18" s="208">
        <v>1</v>
      </c>
      <c r="E18" s="89">
        <f>SRS_Nappychange</f>
        <v>4.5</v>
      </c>
      <c r="F18" s="26">
        <f t="shared" si="0"/>
        <v>4.5</v>
      </c>
      <c r="G18" s="212"/>
      <c r="H18" s="43"/>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row>
    <row r="19" spans="1:62" ht="14.45" customHeight="1" x14ac:dyDescent="0.25">
      <c r="A19" s="24" t="s">
        <v>782</v>
      </c>
      <c r="B19" s="203" t="s">
        <v>492</v>
      </c>
      <c r="C19" s="211" t="s">
        <v>102</v>
      </c>
      <c r="D19" s="208">
        <v>1</v>
      </c>
      <c r="E19" s="89">
        <f>SRS_Infantfeed</f>
        <v>5</v>
      </c>
      <c r="F19" s="26">
        <f t="shared" si="0"/>
        <v>5</v>
      </c>
      <c r="G19" s="212"/>
      <c r="H19" s="43"/>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row>
    <row r="20" spans="1:62" ht="14.45" customHeight="1" x14ac:dyDescent="0.25">
      <c r="A20" s="24" t="s">
        <v>782</v>
      </c>
      <c r="B20" s="203" t="s">
        <v>492</v>
      </c>
      <c r="C20" s="211" t="s">
        <v>60</v>
      </c>
      <c r="D20" s="208">
        <v>1</v>
      </c>
      <c r="E20" s="89">
        <f>SCS_Interview</f>
        <v>10</v>
      </c>
      <c r="F20" s="26">
        <f t="shared" si="0"/>
        <v>10</v>
      </c>
      <c r="G20" s="212" t="s">
        <v>785</v>
      </c>
      <c r="H20" s="43"/>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row>
    <row r="21" spans="1:62" ht="14.45" customHeight="1" x14ac:dyDescent="0.25">
      <c r="A21" s="24" t="s">
        <v>782</v>
      </c>
      <c r="B21" s="203" t="s">
        <v>492</v>
      </c>
      <c r="C21" s="211" t="s">
        <v>415</v>
      </c>
      <c r="D21" s="208">
        <v>1</v>
      </c>
      <c r="E21" s="89">
        <f>NCS_Securitydesk</f>
        <v>5.5</v>
      </c>
      <c r="F21" s="26">
        <f t="shared" si="0"/>
        <v>5.5</v>
      </c>
      <c r="G21" s="212"/>
      <c r="H21" s="43"/>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row>
    <row r="22" spans="1:62" ht="14.45" customHeight="1" x14ac:dyDescent="0.25">
      <c r="A22" s="24" t="s">
        <v>786</v>
      </c>
      <c r="B22" s="203" t="s">
        <v>492</v>
      </c>
      <c r="C22" s="211" t="s">
        <v>120</v>
      </c>
      <c r="D22" s="208">
        <v>2</v>
      </c>
      <c r="E22" s="89">
        <f>SRS_Recept_pp</f>
        <v>5.5</v>
      </c>
      <c r="F22" s="26">
        <f t="shared" si="0"/>
        <v>11</v>
      </c>
      <c r="G22" s="212"/>
      <c r="H22" s="43"/>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row>
    <row r="23" spans="1:62" ht="14.45" customHeight="1" x14ac:dyDescent="0.25">
      <c r="A23" s="24" t="s">
        <v>786</v>
      </c>
      <c r="B23" s="203" t="s">
        <v>492</v>
      </c>
      <c r="C23" s="211" t="s">
        <v>143</v>
      </c>
      <c r="D23" s="208">
        <v>20</v>
      </c>
      <c r="E23" s="89">
        <f>SRS_Wait_Amb_pp</f>
        <v>1.5</v>
      </c>
      <c r="F23" s="26">
        <f t="shared" si="0"/>
        <v>30</v>
      </c>
      <c r="G23" s="212" t="s">
        <v>787</v>
      </c>
      <c r="H23" s="43"/>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row>
    <row r="24" spans="1:62" ht="14.45" customHeight="1" x14ac:dyDescent="0.25">
      <c r="A24" s="24" t="s">
        <v>786</v>
      </c>
      <c r="B24" s="203" t="s">
        <v>492</v>
      </c>
      <c r="C24" s="211" t="s">
        <v>139</v>
      </c>
      <c r="D24" s="208">
        <v>5</v>
      </c>
      <c r="E24" s="89">
        <f>SRS_Wait_Child_pp</f>
        <v>3</v>
      </c>
      <c r="F24" s="26">
        <f t="shared" si="0"/>
        <v>15</v>
      </c>
      <c r="G24" s="212"/>
      <c r="H24" s="43"/>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1:62" ht="14.45" customHeight="1" x14ac:dyDescent="0.25">
      <c r="A25" s="24" t="s">
        <v>786</v>
      </c>
      <c r="B25" s="203" t="s">
        <v>492</v>
      </c>
      <c r="C25" s="204" t="s">
        <v>141</v>
      </c>
      <c r="D25" s="208">
        <v>2</v>
      </c>
      <c r="E25" s="22">
        <f>SRS_Wait_Wheel_pp</f>
        <v>3</v>
      </c>
      <c r="F25" s="17">
        <f>E25*D25</f>
        <v>6</v>
      </c>
      <c r="G25" s="209"/>
      <c r="H25" s="43"/>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14.45" customHeight="1" x14ac:dyDescent="0.25">
      <c r="A26" s="24" t="s">
        <v>786</v>
      </c>
      <c r="B26" s="203" t="s">
        <v>492</v>
      </c>
      <c r="C26" s="211" t="s">
        <v>437</v>
      </c>
      <c r="D26" s="208">
        <v>1</v>
      </c>
      <c r="E26" s="89">
        <f>Bay_Beverage</f>
        <v>5</v>
      </c>
      <c r="F26" s="26">
        <f t="shared" si="0"/>
        <v>5</v>
      </c>
      <c r="G26" s="212"/>
      <c r="H26" s="43"/>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14.45" customHeight="1" x14ac:dyDescent="0.25">
      <c r="A27" s="24" t="s">
        <v>786</v>
      </c>
      <c r="B27" s="203" t="s">
        <v>492</v>
      </c>
      <c r="C27" s="211" t="s">
        <v>146</v>
      </c>
      <c r="D27" s="208">
        <v>2</v>
      </c>
      <c r="E27" s="89">
        <f>SRS_WC_Access</f>
        <v>4.5</v>
      </c>
      <c r="F27" s="26">
        <f t="shared" si="0"/>
        <v>9</v>
      </c>
      <c r="G27" s="212"/>
      <c r="H27" s="4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14.45" customHeight="1" x14ac:dyDescent="0.25">
      <c r="A28" s="24" t="s">
        <v>786</v>
      </c>
      <c r="B28" s="203" t="s">
        <v>492</v>
      </c>
      <c r="C28" s="211" t="s">
        <v>109</v>
      </c>
      <c r="D28" s="208">
        <v>1</v>
      </c>
      <c r="E28" s="89">
        <f>SRS_Nappychange</f>
        <v>4.5</v>
      </c>
      <c r="F28" s="26">
        <f t="shared" si="0"/>
        <v>4.5</v>
      </c>
      <c r="G28" s="212"/>
      <c r="H28" s="43"/>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4.45" customHeight="1" x14ac:dyDescent="0.25">
      <c r="A29" s="24" t="s">
        <v>786</v>
      </c>
      <c r="B29" s="203" t="s">
        <v>492</v>
      </c>
      <c r="C29" s="211" t="s">
        <v>102</v>
      </c>
      <c r="D29" s="208">
        <v>1</v>
      </c>
      <c r="E29" s="89">
        <f>SRS_Infantfeed</f>
        <v>5</v>
      </c>
      <c r="F29" s="26">
        <f t="shared" si="0"/>
        <v>5</v>
      </c>
      <c r="G29" s="212"/>
      <c r="H29" s="43"/>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4.45" customHeight="1" x14ac:dyDescent="0.25">
      <c r="A30" s="24" t="s">
        <v>788</v>
      </c>
      <c r="B30" s="203" t="s">
        <v>492</v>
      </c>
      <c r="C30" s="284" t="s">
        <v>789</v>
      </c>
      <c r="D30" s="285">
        <v>1</v>
      </c>
      <c r="E30" s="286">
        <f>ED_Cabin_Stand</f>
        <v>14</v>
      </c>
      <c r="F30" s="287">
        <f t="shared" ref="F30:F32" si="1">D30*E30</f>
        <v>14</v>
      </c>
      <c r="G30" s="212" t="s">
        <v>790</v>
      </c>
      <c r="H30" s="43"/>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4.45" customHeight="1" x14ac:dyDescent="0.25">
      <c r="A31" s="24" t="s">
        <v>788</v>
      </c>
      <c r="B31" s="203" t="s">
        <v>492</v>
      </c>
      <c r="C31" s="211" t="s">
        <v>63</v>
      </c>
      <c r="D31" s="285">
        <v>1</v>
      </c>
      <c r="E31" s="286">
        <f>SCS_Lobby_Iso</f>
        <v>6</v>
      </c>
      <c r="F31" s="287">
        <f t="shared" si="1"/>
        <v>6</v>
      </c>
      <c r="G31" s="212" t="s">
        <v>790</v>
      </c>
      <c r="H31" s="43"/>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14.45" customHeight="1" x14ac:dyDescent="0.25">
      <c r="A32" s="24" t="s">
        <v>788</v>
      </c>
      <c r="B32" s="203" t="s">
        <v>492</v>
      </c>
      <c r="C32" s="284" t="s">
        <v>98</v>
      </c>
      <c r="D32" s="285">
        <v>1</v>
      </c>
      <c r="E32" s="286">
        <f>SRS_WC_Amb</f>
        <v>2.5</v>
      </c>
      <c r="F32" s="287">
        <f t="shared" si="1"/>
        <v>2.5</v>
      </c>
      <c r="G32" s="212"/>
      <c r="H32" s="43"/>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4.45" customHeight="1" x14ac:dyDescent="0.25">
      <c r="A33" s="24" t="s">
        <v>791</v>
      </c>
      <c r="B33" s="203" t="s">
        <v>492</v>
      </c>
      <c r="C33" s="211" t="s">
        <v>143</v>
      </c>
      <c r="D33" s="208">
        <v>2</v>
      </c>
      <c r="E33" s="91">
        <f>SRS_Wait_Amb_pp</f>
        <v>1.5</v>
      </c>
      <c r="F33" s="26">
        <f t="shared" si="0"/>
        <v>3</v>
      </c>
      <c r="G33" s="212"/>
      <c r="H33" s="43"/>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4.45" customHeight="1" x14ac:dyDescent="0.25">
      <c r="A34" s="24" t="s">
        <v>791</v>
      </c>
      <c r="B34" s="203" t="s">
        <v>492</v>
      </c>
      <c r="C34" s="211" t="s">
        <v>60</v>
      </c>
      <c r="D34" s="208">
        <v>1</v>
      </c>
      <c r="E34" s="91">
        <f>SCS_Interview</f>
        <v>10</v>
      </c>
      <c r="F34" s="26">
        <f t="shared" si="0"/>
        <v>10</v>
      </c>
      <c r="G34" s="212" t="s">
        <v>792</v>
      </c>
      <c r="H34" s="43"/>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4.45" customHeight="1" x14ac:dyDescent="0.25">
      <c r="A35" s="24" t="s">
        <v>791</v>
      </c>
      <c r="B35" s="203" t="s">
        <v>492</v>
      </c>
      <c r="C35" s="211" t="s">
        <v>146</v>
      </c>
      <c r="D35" s="208">
        <v>1</v>
      </c>
      <c r="E35" s="91">
        <f>SRS_WC_Access</f>
        <v>4.5</v>
      </c>
      <c r="F35" s="26">
        <f t="shared" si="0"/>
        <v>4.5</v>
      </c>
      <c r="G35" s="212" t="s">
        <v>792</v>
      </c>
      <c r="H35" s="43"/>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4.45" customHeight="1" x14ac:dyDescent="0.25">
      <c r="A36" s="24" t="s">
        <v>791</v>
      </c>
      <c r="B36" s="203" t="s">
        <v>492</v>
      </c>
      <c r="C36" s="211" t="s">
        <v>172</v>
      </c>
      <c r="D36" s="381">
        <v>1</v>
      </c>
      <c r="E36" s="91">
        <f>ED_MH_Rm</f>
        <v>16</v>
      </c>
      <c r="F36" s="26">
        <f t="shared" si="0"/>
        <v>16</v>
      </c>
      <c r="G36" s="212" t="s">
        <v>793</v>
      </c>
      <c r="H36" s="43"/>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5" customHeight="1" x14ac:dyDescent="0.25">
      <c r="A37" s="207" t="s">
        <v>791</v>
      </c>
      <c r="B37" s="203" t="s">
        <v>492</v>
      </c>
      <c r="C37" s="213" t="s">
        <v>98</v>
      </c>
      <c r="D37" s="375">
        <v>1</v>
      </c>
      <c r="E37" s="50">
        <f>SRS_Ensuite_Amb</f>
        <v>4.5</v>
      </c>
      <c r="F37" s="17">
        <f t="shared" si="0"/>
        <v>4.5</v>
      </c>
      <c r="G37" s="206" t="s">
        <v>792</v>
      </c>
      <c r="H37" s="43"/>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4.45" customHeight="1" x14ac:dyDescent="0.25">
      <c r="A38" s="11" t="s">
        <v>180</v>
      </c>
      <c r="B38" s="203" t="s">
        <v>794</v>
      </c>
      <c r="C38" s="51" t="s">
        <v>180</v>
      </c>
      <c r="D38" s="208">
        <v>6</v>
      </c>
      <c r="E38" s="22">
        <f>ED_Triage</f>
        <v>14</v>
      </c>
      <c r="F38" s="17">
        <f t="shared" ref="F38:F48" si="2">D38*E38</f>
        <v>84</v>
      </c>
      <c r="G38" s="206"/>
      <c r="H38" s="43"/>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4.45" customHeight="1" x14ac:dyDescent="0.25">
      <c r="A39" s="11" t="s">
        <v>180</v>
      </c>
      <c r="B39" s="203" t="s">
        <v>794</v>
      </c>
      <c r="C39" s="51" t="s">
        <v>466</v>
      </c>
      <c r="D39" s="208">
        <v>1</v>
      </c>
      <c r="E39" s="22">
        <v>15</v>
      </c>
      <c r="F39" s="17">
        <f t="shared" si="2"/>
        <v>15</v>
      </c>
      <c r="G39" s="206" t="s">
        <v>795</v>
      </c>
      <c r="H39" s="43"/>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4.45" customHeight="1" x14ac:dyDescent="0.25">
      <c r="A40" s="11" t="s">
        <v>796</v>
      </c>
      <c r="B40" s="203" t="s">
        <v>794</v>
      </c>
      <c r="C40" s="51" t="s">
        <v>135</v>
      </c>
      <c r="D40" s="208">
        <v>2</v>
      </c>
      <c r="E40" s="22">
        <f>SRS_Touchdown_pp</f>
        <v>2</v>
      </c>
      <c r="F40" s="17">
        <f t="shared" si="2"/>
        <v>4</v>
      </c>
      <c r="G40" s="206"/>
      <c r="H40" s="43"/>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4.45" customHeight="1" x14ac:dyDescent="0.25">
      <c r="A41" s="11" t="s">
        <v>796</v>
      </c>
      <c r="B41" s="203" t="s">
        <v>794</v>
      </c>
      <c r="C41" s="51" t="s">
        <v>475</v>
      </c>
      <c r="D41" s="208">
        <v>1</v>
      </c>
      <c r="E41" s="22">
        <f>Lobby_Ambulance_Transfer</f>
        <v>10</v>
      </c>
      <c r="F41" s="17">
        <f t="shared" si="2"/>
        <v>10</v>
      </c>
      <c r="G41" s="206"/>
      <c r="H41" s="43"/>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4.45" customHeight="1" x14ac:dyDescent="0.25">
      <c r="A42" s="11" t="s">
        <v>796</v>
      </c>
      <c r="B42" s="203" t="s">
        <v>794</v>
      </c>
      <c r="C42" s="204" t="s">
        <v>457</v>
      </c>
      <c r="D42" s="208">
        <v>4</v>
      </c>
      <c r="E42" s="89">
        <f>Bay_Trolley_Singleside</f>
        <v>7</v>
      </c>
      <c r="F42" s="37">
        <f t="shared" si="2"/>
        <v>28</v>
      </c>
      <c r="G42" s="206"/>
      <c r="H42" s="43"/>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4.45" customHeight="1" x14ac:dyDescent="0.25">
      <c r="A43" s="11" t="s">
        <v>796</v>
      </c>
      <c r="B43" s="203" t="s">
        <v>794</v>
      </c>
      <c r="C43" s="51" t="s">
        <v>797</v>
      </c>
      <c r="D43" s="208">
        <v>1</v>
      </c>
      <c r="E43" s="28">
        <f>ED_Cabin_Lrg</f>
        <v>16</v>
      </c>
      <c r="F43" s="37">
        <f t="shared" si="2"/>
        <v>16</v>
      </c>
      <c r="G43" s="206"/>
      <c r="H43" s="43"/>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15" customHeight="1" x14ac:dyDescent="0.25">
      <c r="A44" s="29" t="s">
        <v>796</v>
      </c>
      <c r="B44" s="203" t="s">
        <v>794</v>
      </c>
      <c r="C44" s="51" t="s">
        <v>95</v>
      </c>
      <c r="D44" s="214">
        <v>1</v>
      </c>
      <c r="E44" s="215">
        <f>SRS_Ensuite_lrg</f>
        <v>7.5</v>
      </c>
      <c r="F44" s="26">
        <f t="shared" si="2"/>
        <v>7.5</v>
      </c>
      <c r="G44" s="209"/>
      <c r="H44" s="43"/>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15" customHeight="1" x14ac:dyDescent="0.25">
      <c r="A45" s="216" t="s">
        <v>796</v>
      </c>
      <c r="B45" s="203" t="s">
        <v>794</v>
      </c>
      <c r="C45" s="51" t="s">
        <v>789</v>
      </c>
      <c r="D45" s="390">
        <v>1</v>
      </c>
      <c r="E45" s="286">
        <f>ED_Cabin_Stand</f>
        <v>14</v>
      </c>
      <c r="F45" s="287">
        <f t="shared" si="2"/>
        <v>14</v>
      </c>
      <c r="G45" s="217" t="s">
        <v>798</v>
      </c>
      <c r="H45" s="4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15" customHeight="1" x14ac:dyDescent="0.25">
      <c r="A46" s="216" t="s">
        <v>796</v>
      </c>
      <c r="B46" s="203" t="s">
        <v>794</v>
      </c>
      <c r="C46" s="388" t="s">
        <v>63</v>
      </c>
      <c r="D46" s="390">
        <v>1</v>
      </c>
      <c r="E46" s="286">
        <f>SCS_Lobby_Iso</f>
        <v>6</v>
      </c>
      <c r="F46" s="287">
        <f t="shared" si="2"/>
        <v>6</v>
      </c>
      <c r="G46" s="218"/>
      <c r="H46" s="4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5" customHeight="1" x14ac:dyDescent="0.25">
      <c r="A47" s="216" t="s">
        <v>796</v>
      </c>
      <c r="B47" s="203" t="s">
        <v>794</v>
      </c>
      <c r="C47" s="204" t="s">
        <v>98</v>
      </c>
      <c r="D47" s="391">
        <v>1</v>
      </c>
      <c r="E47" s="286">
        <f>SRS_Ensuite_Amb</f>
        <v>4.5</v>
      </c>
      <c r="F47" s="287">
        <f t="shared" si="2"/>
        <v>4.5</v>
      </c>
      <c r="G47" s="218"/>
      <c r="H47" s="43"/>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5" customHeight="1" x14ac:dyDescent="0.25">
      <c r="A48" s="216" t="s">
        <v>796</v>
      </c>
      <c r="B48" s="203" t="s">
        <v>794</v>
      </c>
      <c r="C48" s="389" t="s">
        <v>344</v>
      </c>
      <c r="D48" s="392">
        <v>1</v>
      </c>
      <c r="E48" s="286">
        <f>Staff_Office_1</f>
        <v>8</v>
      </c>
      <c r="F48" s="287">
        <f t="shared" si="2"/>
        <v>8</v>
      </c>
      <c r="G48" s="218"/>
      <c r="H48" s="43"/>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14.45" customHeight="1" x14ac:dyDescent="0.25">
      <c r="A49" s="6" t="s">
        <v>494</v>
      </c>
      <c r="B49" s="203" t="s">
        <v>494</v>
      </c>
      <c r="C49" s="51" t="s">
        <v>176</v>
      </c>
      <c r="D49" s="219">
        <v>6</v>
      </c>
      <c r="E49" s="7">
        <f>ED_Resus_Stand</f>
        <v>26</v>
      </c>
      <c r="F49" s="19">
        <f>D49*E49</f>
        <v>156</v>
      </c>
      <c r="G49" s="206"/>
      <c r="H49" s="43"/>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14.45" customHeight="1" x14ac:dyDescent="0.25">
      <c r="A50" s="11" t="s">
        <v>494</v>
      </c>
      <c r="B50" s="203" t="s">
        <v>494</v>
      </c>
      <c r="C50" s="51" t="s">
        <v>174</v>
      </c>
      <c r="D50" s="220">
        <v>2</v>
      </c>
      <c r="E50" s="22">
        <f>ED_Resus_Lrg</f>
        <v>30</v>
      </c>
      <c r="F50" s="17">
        <f t="shared" ref="F50:F53" si="3">D50*E50</f>
        <v>60</v>
      </c>
      <c r="G50" s="206" t="s">
        <v>799</v>
      </c>
      <c r="H50" s="43"/>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4.45" customHeight="1" x14ac:dyDescent="0.25">
      <c r="A51" s="11" t="s">
        <v>494</v>
      </c>
      <c r="B51" s="203" t="s">
        <v>494</v>
      </c>
      <c r="C51" s="51" t="s">
        <v>135</v>
      </c>
      <c r="D51" s="220">
        <v>4</v>
      </c>
      <c r="E51" s="22">
        <f>SRS_Touchdown_pp</f>
        <v>2</v>
      </c>
      <c r="F51" s="17">
        <f t="shared" si="3"/>
        <v>8</v>
      </c>
      <c r="G51" s="206"/>
      <c r="H51" s="43"/>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4.45" customHeight="1" x14ac:dyDescent="0.25">
      <c r="A52" s="11" t="s">
        <v>494</v>
      </c>
      <c r="B52" s="203" t="s">
        <v>494</v>
      </c>
      <c r="C52" s="51" t="s">
        <v>126</v>
      </c>
      <c r="D52" s="208">
        <v>3</v>
      </c>
      <c r="E52" s="22">
        <f>SRS_Staffbase_pp</f>
        <v>4</v>
      </c>
      <c r="F52" s="17">
        <f t="shared" si="3"/>
        <v>12</v>
      </c>
      <c r="G52" s="206"/>
      <c r="H52" s="43"/>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ht="15" customHeight="1" x14ac:dyDescent="0.25">
      <c r="A53" s="29" t="s">
        <v>494</v>
      </c>
      <c r="B53" s="203" t="s">
        <v>494</v>
      </c>
      <c r="C53" s="51" t="s">
        <v>800</v>
      </c>
      <c r="D53" s="52">
        <v>2</v>
      </c>
      <c r="E53" s="30">
        <f>Bay_Mobile_Imaging</f>
        <v>4</v>
      </c>
      <c r="F53" s="17">
        <f t="shared" si="3"/>
        <v>8</v>
      </c>
      <c r="G53" s="206" t="s">
        <v>801</v>
      </c>
      <c r="H53" s="43"/>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ht="14.45" customHeight="1" x14ac:dyDescent="0.25">
      <c r="A54" s="6" t="s">
        <v>496</v>
      </c>
      <c r="B54" s="203"/>
      <c r="C54" s="204" t="s">
        <v>789</v>
      </c>
      <c r="D54" s="205">
        <v>18</v>
      </c>
      <c r="E54" s="196">
        <f>ED_Cabin_Stand</f>
        <v>14</v>
      </c>
      <c r="F54" s="10">
        <f t="shared" ref="F54:F60" si="4">D54*E54</f>
        <v>252</v>
      </c>
      <c r="G54" s="221"/>
      <c r="H54" s="43"/>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ht="14.45" customHeight="1" x14ac:dyDescent="0.25">
      <c r="A55" s="11" t="s">
        <v>496</v>
      </c>
      <c r="B55" s="203" t="s">
        <v>496</v>
      </c>
      <c r="C55" s="204" t="s">
        <v>797</v>
      </c>
      <c r="D55" s="208">
        <v>2</v>
      </c>
      <c r="E55" s="28">
        <f>ED_Cabin_Lrg</f>
        <v>16</v>
      </c>
      <c r="F55" s="26">
        <f t="shared" si="4"/>
        <v>32</v>
      </c>
      <c r="G55" s="221" t="s">
        <v>802</v>
      </c>
      <c r="H55" s="43"/>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ht="14.45" customHeight="1" x14ac:dyDescent="0.25">
      <c r="A56" s="11" t="s">
        <v>496</v>
      </c>
      <c r="B56" s="203" t="s">
        <v>496</v>
      </c>
      <c r="C56" s="204" t="s">
        <v>147</v>
      </c>
      <c r="D56" s="208">
        <v>2</v>
      </c>
      <c r="E56" s="28">
        <f>SRS_WC_Amb</f>
        <v>2.5</v>
      </c>
      <c r="F56" s="26">
        <f t="shared" si="4"/>
        <v>5</v>
      </c>
      <c r="G56" s="222"/>
      <c r="H56" s="43"/>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row r="57" spans="1:62" ht="14.45" customHeight="1" x14ac:dyDescent="0.25">
      <c r="A57" s="11" t="s">
        <v>496</v>
      </c>
      <c r="B57" s="203" t="s">
        <v>496</v>
      </c>
      <c r="C57" s="204" t="s">
        <v>146</v>
      </c>
      <c r="D57" s="208">
        <v>2</v>
      </c>
      <c r="E57" s="28">
        <f>SRS_WC_Access</f>
        <v>4.5</v>
      </c>
      <c r="F57" s="26">
        <f t="shared" si="4"/>
        <v>9</v>
      </c>
      <c r="G57" s="222"/>
      <c r="H57" s="4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row>
    <row r="58" spans="1:62" ht="14.45" customHeight="1" x14ac:dyDescent="0.25">
      <c r="A58" s="11" t="s">
        <v>496</v>
      </c>
      <c r="B58" s="203" t="s">
        <v>496</v>
      </c>
      <c r="C58" s="51" t="s">
        <v>126</v>
      </c>
      <c r="D58" s="208">
        <f>ROUNDUP((D54+D55)/6,0)</f>
        <v>4</v>
      </c>
      <c r="E58" s="28">
        <f>SRS_Staffbase_pp</f>
        <v>4</v>
      </c>
      <c r="F58" s="26">
        <f t="shared" si="4"/>
        <v>16</v>
      </c>
      <c r="G58" s="222" t="s">
        <v>803</v>
      </c>
      <c r="H58" s="43"/>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row>
    <row r="59" spans="1:62" ht="14.45" customHeight="1" x14ac:dyDescent="0.25">
      <c r="A59" s="11" t="s">
        <v>496</v>
      </c>
      <c r="B59" s="203" t="s">
        <v>496</v>
      </c>
      <c r="C59" s="51" t="s">
        <v>135</v>
      </c>
      <c r="D59" s="208">
        <v>2</v>
      </c>
      <c r="E59" s="22">
        <f>SRS_Touchdown_pp</f>
        <v>2</v>
      </c>
      <c r="F59" s="23">
        <f t="shared" si="4"/>
        <v>4</v>
      </c>
      <c r="G59" s="222" t="s">
        <v>804</v>
      </c>
      <c r="H59" s="43"/>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row>
    <row r="60" spans="1:62" ht="15" customHeight="1" x14ac:dyDescent="0.25">
      <c r="A60" s="29" t="s">
        <v>496</v>
      </c>
      <c r="B60" s="203" t="s">
        <v>496</v>
      </c>
      <c r="C60" s="51" t="s">
        <v>800</v>
      </c>
      <c r="D60" s="214">
        <v>2</v>
      </c>
      <c r="E60" s="30">
        <f>Bay_Mobile_Imaging</f>
        <v>4</v>
      </c>
      <c r="F60" s="32">
        <f t="shared" si="4"/>
        <v>8</v>
      </c>
      <c r="G60" s="206"/>
      <c r="H60" s="43"/>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row>
    <row r="61" spans="1:62" ht="14.45" customHeight="1" x14ac:dyDescent="0.25">
      <c r="A61" s="6" t="s">
        <v>805</v>
      </c>
      <c r="B61" s="203" t="s">
        <v>349</v>
      </c>
      <c r="C61" s="51" t="s">
        <v>706</v>
      </c>
      <c r="D61" s="205">
        <v>2</v>
      </c>
      <c r="E61" s="53">
        <v>10</v>
      </c>
      <c r="F61" s="19">
        <f t="shared" ref="F61:F76" si="5">D61*E61</f>
        <v>20</v>
      </c>
      <c r="G61" s="206" t="s">
        <v>806</v>
      </c>
      <c r="H61" s="43"/>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row>
    <row r="62" spans="1:62" ht="14.45" customHeight="1" x14ac:dyDescent="0.25">
      <c r="A62" s="11" t="s">
        <v>805</v>
      </c>
      <c r="B62" s="203" t="s">
        <v>349</v>
      </c>
      <c r="C62" s="51" t="s">
        <v>31</v>
      </c>
      <c r="D62" s="208">
        <v>2</v>
      </c>
      <c r="E62" s="12">
        <f>SCS_Cleansupply_Med</f>
        <v>9</v>
      </c>
      <c r="F62" s="17">
        <f t="shared" si="5"/>
        <v>18</v>
      </c>
      <c r="G62" s="206" t="s">
        <v>807</v>
      </c>
      <c r="H62" s="43"/>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row>
    <row r="63" spans="1:62" ht="14.45" customHeight="1" x14ac:dyDescent="0.25">
      <c r="A63" s="11" t="s">
        <v>805</v>
      </c>
      <c r="B63" s="203" t="s">
        <v>349</v>
      </c>
      <c r="C63" s="51" t="s">
        <v>47</v>
      </c>
      <c r="D63" s="208">
        <v>3</v>
      </c>
      <c r="E63" s="22">
        <f>SCS_Dirtyutil_Lrg</f>
        <v>12</v>
      </c>
      <c r="F63" s="17">
        <f t="shared" si="5"/>
        <v>36</v>
      </c>
      <c r="G63" s="206" t="s">
        <v>808</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row>
    <row r="64" spans="1:62" ht="14.45" customHeight="1" x14ac:dyDescent="0.25">
      <c r="A64" s="11" t="s">
        <v>805</v>
      </c>
      <c r="B64" s="203" t="s">
        <v>349</v>
      </c>
      <c r="C64" s="51" t="s">
        <v>67</v>
      </c>
      <c r="D64" s="208">
        <v>2</v>
      </c>
      <c r="E64" s="22">
        <f>SCS_Medprep_Med</f>
        <v>12</v>
      </c>
      <c r="F64" s="17">
        <f t="shared" si="5"/>
        <v>24</v>
      </c>
      <c r="G64" s="206"/>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row>
    <row r="65" spans="1:62" ht="14.45" customHeight="1" x14ac:dyDescent="0.25">
      <c r="A65" s="11" t="s">
        <v>805</v>
      </c>
      <c r="B65" s="203" t="s">
        <v>349</v>
      </c>
      <c r="C65" s="51" t="s">
        <v>450</v>
      </c>
      <c r="D65" s="208">
        <v>2</v>
      </c>
      <c r="E65" s="22">
        <f>Bay_Resustroll</f>
        <v>2</v>
      </c>
      <c r="F65" s="17">
        <f t="shared" si="5"/>
        <v>4</v>
      </c>
      <c r="G65" s="206"/>
      <c r="H65" s="43"/>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row>
    <row r="66" spans="1:62" ht="14.45" customHeight="1" x14ac:dyDescent="0.25">
      <c r="A66" s="11" t="s">
        <v>805</v>
      </c>
      <c r="B66" s="203" t="s">
        <v>349</v>
      </c>
      <c r="C66" s="51" t="s">
        <v>452</v>
      </c>
      <c r="D66" s="208">
        <v>4</v>
      </c>
      <c r="E66" s="22">
        <f>Bay_Suppliestroll</f>
        <v>2</v>
      </c>
      <c r="F66" s="17">
        <f t="shared" si="5"/>
        <v>8</v>
      </c>
      <c r="G66" s="206"/>
      <c r="H66" s="43"/>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row>
    <row r="67" spans="1:62" ht="14.45" customHeight="1" x14ac:dyDescent="0.25">
      <c r="A67" s="11" t="s">
        <v>805</v>
      </c>
      <c r="B67" s="203" t="s">
        <v>349</v>
      </c>
      <c r="C67" s="51" t="s">
        <v>437</v>
      </c>
      <c r="D67" s="208">
        <v>1</v>
      </c>
      <c r="E67" s="22">
        <f>Bay_Beverage</f>
        <v>5</v>
      </c>
      <c r="F67" s="17">
        <f t="shared" si="5"/>
        <v>5</v>
      </c>
      <c r="G67" s="206"/>
      <c r="H67" s="43"/>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row>
    <row r="68" spans="1:62" ht="14.45" customHeight="1" x14ac:dyDescent="0.25">
      <c r="A68" s="11" t="s">
        <v>805</v>
      </c>
      <c r="B68" s="203" t="s">
        <v>349</v>
      </c>
      <c r="C68" s="51" t="s">
        <v>446</v>
      </c>
      <c r="D68" s="208">
        <v>3</v>
      </c>
      <c r="E68" s="22">
        <f>Bay_Mobile_Equip</f>
        <v>2</v>
      </c>
      <c r="F68" s="17">
        <f t="shared" si="5"/>
        <v>6</v>
      </c>
      <c r="G68" s="206"/>
      <c r="H68" s="43"/>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row>
    <row r="69" spans="1:62" ht="14.45" customHeight="1" x14ac:dyDescent="0.25">
      <c r="A69" s="11" t="s">
        <v>805</v>
      </c>
      <c r="B69" s="203" t="s">
        <v>349</v>
      </c>
      <c r="C69" s="51" t="s">
        <v>444</v>
      </c>
      <c r="D69" s="208">
        <v>2</v>
      </c>
      <c r="E69" s="22">
        <f>Bay_Linentroll</f>
        <v>3</v>
      </c>
      <c r="F69" s="17">
        <f t="shared" si="5"/>
        <v>6</v>
      </c>
      <c r="G69" s="206"/>
      <c r="H69" s="43"/>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row>
    <row r="70" spans="1:62" ht="14.45" customHeight="1" x14ac:dyDescent="0.25">
      <c r="A70" s="11" t="s">
        <v>805</v>
      </c>
      <c r="B70" s="203" t="s">
        <v>349</v>
      </c>
      <c r="C70" s="51" t="s">
        <v>467</v>
      </c>
      <c r="D70" s="208">
        <v>1</v>
      </c>
      <c r="E70" s="22">
        <f>Store_20</f>
        <v>20</v>
      </c>
      <c r="F70" s="17">
        <f t="shared" si="5"/>
        <v>20</v>
      </c>
      <c r="G70" s="206" t="s">
        <v>809</v>
      </c>
      <c r="H70" s="43"/>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row>
    <row r="71" spans="1:62" ht="14.45" customHeight="1" x14ac:dyDescent="0.25">
      <c r="A71" s="11" t="s">
        <v>805</v>
      </c>
      <c r="B71" s="203" t="s">
        <v>349</v>
      </c>
      <c r="C71" s="51" t="s">
        <v>399</v>
      </c>
      <c r="D71" s="208">
        <v>1</v>
      </c>
      <c r="E71" s="22">
        <f>RTU_Gascylinder_Lrg</f>
        <v>10</v>
      </c>
      <c r="F71" s="17">
        <f t="shared" si="5"/>
        <v>10</v>
      </c>
      <c r="G71" s="206"/>
      <c r="H71" s="43"/>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row>
    <row r="72" spans="1:62" ht="14.45" customHeight="1" x14ac:dyDescent="0.25">
      <c r="A72" s="11" t="s">
        <v>805</v>
      </c>
      <c r="B72" s="203" t="s">
        <v>349</v>
      </c>
      <c r="C72" s="51" t="s">
        <v>466</v>
      </c>
      <c r="D72" s="208">
        <v>1</v>
      </c>
      <c r="E72" s="22">
        <f>Store_15</f>
        <v>15</v>
      </c>
      <c r="F72" s="17">
        <f t="shared" si="5"/>
        <v>15</v>
      </c>
      <c r="G72" s="206" t="s">
        <v>810</v>
      </c>
      <c r="H72" s="43"/>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row>
    <row r="73" spans="1:62" ht="14.45" customHeight="1" x14ac:dyDescent="0.25">
      <c r="A73" s="11" t="s">
        <v>805</v>
      </c>
      <c r="B73" s="203" t="s">
        <v>349</v>
      </c>
      <c r="C73" s="51" t="s">
        <v>339</v>
      </c>
      <c r="D73" s="208">
        <v>4</v>
      </c>
      <c r="E73" s="22">
        <f>Staff_Commandcentre_pp</f>
        <v>5.5</v>
      </c>
      <c r="F73" s="17">
        <f t="shared" si="5"/>
        <v>22</v>
      </c>
      <c r="G73" s="206"/>
      <c r="H73" s="43"/>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row>
    <row r="74" spans="1:62" ht="14.45" customHeight="1" x14ac:dyDescent="0.25">
      <c r="A74" s="11" t="s">
        <v>805</v>
      </c>
      <c r="B74" s="203" t="s">
        <v>349</v>
      </c>
      <c r="C74" s="51" t="s">
        <v>136</v>
      </c>
      <c r="D74" s="223">
        <v>2</v>
      </c>
      <c r="E74" s="12">
        <f>SRS_Virtualconsult_1</f>
        <v>5</v>
      </c>
      <c r="F74" s="17">
        <f>D74*E74</f>
        <v>10</v>
      </c>
      <c r="G74" s="206"/>
      <c r="H74" s="43"/>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row>
    <row r="75" spans="1:62" ht="15" customHeight="1" x14ac:dyDescent="0.25">
      <c r="A75" s="29" t="s">
        <v>805</v>
      </c>
      <c r="B75" s="203" t="s">
        <v>349</v>
      </c>
      <c r="C75" s="51" t="s">
        <v>39</v>
      </c>
      <c r="D75" s="214">
        <v>2</v>
      </c>
      <c r="E75" s="327">
        <f>SCS_Cleaner_Rm</f>
        <v>8</v>
      </c>
      <c r="F75" s="17">
        <f t="shared" si="5"/>
        <v>16</v>
      </c>
      <c r="G75" s="206"/>
      <c r="H75" s="43"/>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row>
    <row r="76" spans="1:62" ht="15" customHeight="1" x14ac:dyDescent="0.25">
      <c r="A76" s="29" t="s">
        <v>805</v>
      </c>
      <c r="B76" s="203" t="s">
        <v>349</v>
      </c>
      <c r="C76" s="377" t="s">
        <v>38</v>
      </c>
      <c r="D76" s="393">
        <v>1</v>
      </c>
      <c r="E76" s="305">
        <f>SRS_Cleaner_Cup</f>
        <v>5</v>
      </c>
      <c r="F76" s="17">
        <f t="shared" si="5"/>
        <v>5</v>
      </c>
      <c r="G76" s="378"/>
      <c r="H76" s="43"/>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row>
    <row r="77" spans="1:62" ht="15" customHeight="1" x14ac:dyDescent="0.25">
      <c r="A77" s="224" t="s">
        <v>812</v>
      </c>
      <c r="B77" s="203" t="s">
        <v>811</v>
      </c>
      <c r="C77" s="394" t="s">
        <v>813</v>
      </c>
      <c r="D77" s="430">
        <v>1</v>
      </c>
      <c r="E77" s="431">
        <v>18</v>
      </c>
      <c r="F77" s="430">
        <f>D77*E77</f>
        <v>18</v>
      </c>
      <c r="G77" s="395" t="s">
        <v>814</v>
      </c>
      <c r="H77" s="43"/>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row>
    <row r="78" spans="1:62" ht="15" customHeight="1" x14ac:dyDescent="0.25">
      <c r="A78" s="226" t="s">
        <v>812</v>
      </c>
      <c r="B78" s="203" t="s">
        <v>811</v>
      </c>
      <c r="C78" s="204" t="s">
        <v>147</v>
      </c>
      <c r="D78" s="94">
        <v>1</v>
      </c>
      <c r="E78" s="94">
        <f>SRS_WC_Amb</f>
        <v>2.5</v>
      </c>
      <c r="F78" s="94">
        <f t="shared" ref="F78:F79" si="6">D78*E78</f>
        <v>2.5</v>
      </c>
      <c r="G78" s="225"/>
      <c r="H78" s="43"/>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row>
    <row r="79" spans="1:62" ht="15" customHeight="1" x14ac:dyDescent="0.25">
      <c r="A79" s="227" t="s">
        <v>812</v>
      </c>
      <c r="B79" s="203" t="s">
        <v>811</v>
      </c>
      <c r="C79" s="288" t="s">
        <v>815</v>
      </c>
      <c r="D79" s="94">
        <v>1</v>
      </c>
      <c r="E79" s="289">
        <f>Mortuary_Viewing_Fam</f>
        <v>10</v>
      </c>
      <c r="F79" s="94">
        <f t="shared" si="6"/>
        <v>10</v>
      </c>
      <c r="G79" s="228" t="s">
        <v>816</v>
      </c>
      <c r="H79" s="43"/>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row>
    <row r="80" spans="1:62" ht="14.45" customHeight="1" x14ac:dyDescent="0.25">
      <c r="A80" s="40" t="s">
        <v>817</v>
      </c>
      <c r="B80" s="203" t="s">
        <v>817</v>
      </c>
      <c r="C80" s="204" t="s">
        <v>180</v>
      </c>
      <c r="D80" s="205">
        <v>1</v>
      </c>
      <c r="E80" s="53">
        <f>ED_Triage</f>
        <v>14</v>
      </c>
      <c r="F80" s="21">
        <f t="shared" ref="F80:F108" si="7">D80*E80</f>
        <v>14</v>
      </c>
      <c r="G80" s="206"/>
      <c r="H80" s="43"/>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row>
    <row r="81" spans="1:62" ht="14.45" customHeight="1" x14ac:dyDescent="0.25">
      <c r="A81" s="36" t="s">
        <v>817</v>
      </c>
      <c r="B81" s="203" t="s">
        <v>817</v>
      </c>
      <c r="C81" s="204" t="s">
        <v>797</v>
      </c>
      <c r="D81" s="208">
        <v>4</v>
      </c>
      <c r="E81" s="22">
        <f>ED_Cabin_Lrg</f>
        <v>16</v>
      </c>
      <c r="F81" s="17">
        <f t="shared" si="7"/>
        <v>64</v>
      </c>
      <c r="G81" s="206"/>
      <c r="H81" s="43"/>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row>
    <row r="82" spans="1:62" ht="14.45" customHeight="1" x14ac:dyDescent="0.25">
      <c r="A82" s="36" t="s">
        <v>817</v>
      </c>
      <c r="B82" s="203" t="s">
        <v>817</v>
      </c>
      <c r="C82" s="204" t="s">
        <v>98</v>
      </c>
      <c r="D82" s="208">
        <v>4</v>
      </c>
      <c r="E82" s="22">
        <f>SRS_Ensuite_Amb</f>
        <v>4.5</v>
      </c>
      <c r="F82" s="17">
        <f t="shared" si="7"/>
        <v>18</v>
      </c>
      <c r="G82" s="206"/>
      <c r="H82" s="43"/>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row>
    <row r="83" spans="1:62" ht="14.45" customHeight="1" x14ac:dyDescent="0.25">
      <c r="A83" s="36" t="s">
        <v>817</v>
      </c>
      <c r="B83" s="203" t="s">
        <v>817</v>
      </c>
      <c r="C83" s="51" t="s">
        <v>172</v>
      </c>
      <c r="D83" s="208">
        <v>1</v>
      </c>
      <c r="E83" s="22">
        <f>ED_MH_Rm</f>
        <v>16</v>
      </c>
      <c r="F83" s="17">
        <f t="shared" si="7"/>
        <v>16</v>
      </c>
      <c r="G83" s="206" t="s">
        <v>818</v>
      </c>
      <c r="H83" s="43"/>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row>
    <row r="84" spans="1:62" ht="14.45" customHeight="1" x14ac:dyDescent="0.25">
      <c r="A84" s="36" t="s">
        <v>817</v>
      </c>
      <c r="B84" s="203" t="s">
        <v>817</v>
      </c>
      <c r="C84" s="51" t="s">
        <v>98</v>
      </c>
      <c r="D84" s="208">
        <v>1</v>
      </c>
      <c r="E84" s="22">
        <f>SRS_Ensuite_Amb</f>
        <v>4.5</v>
      </c>
      <c r="F84" s="17">
        <f t="shared" si="7"/>
        <v>4.5</v>
      </c>
      <c r="G84" s="206" t="s">
        <v>818</v>
      </c>
      <c r="H84" s="43"/>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row>
    <row r="85" spans="1:62" ht="14.45" customHeight="1" x14ac:dyDescent="0.25">
      <c r="A85" s="36" t="s">
        <v>817</v>
      </c>
      <c r="B85" s="203" t="s">
        <v>817</v>
      </c>
      <c r="C85" s="51" t="s">
        <v>147</v>
      </c>
      <c r="D85" s="208">
        <v>1</v>
      </c>
      <c r="E85" s="22">
        <f>SRS_WC_Amb</f>
        <v>2.5</v>
      </c>
      <c r="F85" s="17">
        <f t="shared" si="7"/>
        <v>2.5</v>
      </c>
      <c r="G85" s="206"/>
      <c r="H85" s="43"/>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row>
    <row r="86" spans="1:62" ht="14.45" customHeight="1" x14ac:dyDescent="0.25">
      <c r="A86" s="36" t="s">
        <v>817</v>
      </c>
      <c r="B86" s="203" t="s">
        <v>817</v>
      </c>
      <c r="C86" s="51" t="s">
        <v>819</v>
      </c>
      <c r="D86" s="208">
        <v>1</v>
      </c>
      <c r="E86" s="22">
        <f>SRS_WC_Access</f>
        <v>4.5</v>
      </c>
      <c r="F86" s="17">
        <f t="shared" si="7"/>
        <v>4.5</v>
      </c>
      <c r="G86" s="206"/>
      <c r="H86" s="43"/>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row>
    <row r="87" spans="1:62" ht="14.45" customHeight="1" x14ac:dyDescent="0.25">
      <c r="A87" s="36" t="s">
        <v>817</v>
      </c>
      <c r="B87" s="203" t="s">
        <v>817</v>
      </c>
      <c r="C87" s="51" t="s">
        <v>126</v>
      </c>
      <c r="D87" s="208">
        <v>2</v>
      </c>
      <c r="E87" s="22">
        <f>SRS_Staffbase_pp</f>
        <v>4</v>
      </c>
      <c r="F87" s="17">
        <f t="shared" si="7"/>
        <v>8</v>
      </c>
      <c r="G87" s="206"/>
      <c r="H87" s="43"/>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row>
    <row r="88" spans="1:62" ht="14.45" customHeight="1" x14ac:dyDescent="0.25">
      <c r="A88" s="36" t="s">
        <v>817</v>
      </c>
      <c r="B88" s="203" t="s">
        <v>817</v>
      </c>
      <c r="C88" s="51" t="s">
        <v>800</v>
      </c>
      <c r="D88" s="208">
        <v>1</v>
      </c>
      <c r="E88" s="89">
        <f>Bay_Mobile_Imaging</f>
        <v>4</v>
      </c>
      <c r="F88" s="26">
        <f t="shared" si="7"/>
        <v>4</v>
      </c>
      <c r="G88" s="209"/>
      <c r="H88" s="43"/>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row>
    <row r="89" spans="1:62" ht="14.45" customHeight="1" x14ac:dyDescent="0.25">
      <c r="A89" s="36" t="s">
        <v>820</v>
      </c>
      <c r="B89" s="203" t="s">
        <v>817</v>
      </c>
      <c r="C89" s="51" t="s">
        <v>164</v>
      </c>
      <c r="D89" s="94">
        <v>5</v>
      </c>
      <c r="E89" s="94">
        <f>ED_Cabin_Lrg</f>
        <v>16</v>
      </c>
      <c r="F89" s="94">
        <f t="shared" si="7"/>
        <v>80</v>
      </c>
      <c r="G89" s="210"/>
      <c r="H89" s="43"/>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row>
    <row r="90" spans="1:62" ht="14.45" customHeight="1" x14ac:dyDescent="0.25">
      <c r="A90" s="36" t="s">
        <v>820</v>
      </c>
      <c r="B90" s="203" t="s">
        <v>817</v>
      </c>
      <c r="C90" s="51" t="s">
        <v>147</v>
      </c>
      <c r="D90" s="382">
        <v>3</v>
      </c>
      <c r="E90" s="94">
        <f>SRS_WC_Amb</f>
        <v>2.5</v>
      </c>
      <c r="F90" s="94">
        <f t="shared" si="7"/>
        <v>7.5</v>
      </c>
      <c r="G90" s="229"/>
      <c r="H90" s="43"/>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row>
    <row r="91" spans="1:62" ht="14.45" customHeight="1" x14ac:dyDescent="0.25">
      <c r="A91" s="36" t="s">
        <v>820</v>
      </c>
      <c r="B91" s="203" t="s">
        <v>817</v>
      </c>
      <c r="C91" s="51" t="s">
        <v>60</v>
      </c>
      <c r="D91" s="94">
        <v>1</v>
      </c>
      <c r="E91" s="94">
        <f>SCS_Interview</f>
        <v>10</v>
      </c>
      <c r="F91" s="94">
        <f t="shared" si="7"/>
        <v>10</v>
      </c>
      <c r="G91" s="229"/>
      <c r="H91" s="43"/>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row>
    <row r="92" spans="1:62" ht="14.45" customHeight="1" x14ac:dyDescent="0.25">
      <c r="A92" s="36" t="s">
        <v>820</v>
      </c>
      <c r="B92" s="203" t="s">
        <v>817</v>
      </c>
      <c r="C92" s="51" t="s">
        <v>126</v>
      </c>
      <c r="D92" s="94">
        <v>1</v>
      </c>
      <c r="E92" s="94">
        <f>SRS_Staffbase_pp</f>
        <v>4</v>
      </c>
      <c r="F92" s="94">
        <f t="shared" si="7"/>
        <v>4</v>
      </c>
      <c r="G92" s="480" t="s">
        <v>821</v>
      </c>
      <c r="H92" s="43"/>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row>
    <row r="93" spans="1:62" ht="14.45" customHeight="1" x14ac:dyDescent="0.25">
      <c r="A93" s="36" t="s">
        <v>820</v>
      </c>
      <c r="B93" s="203" t="s">
        <v>817</v>
      </c>
      <c r="C93" s="51" t="s">
        <v>135</v>
      </c>
      <c r="D93" s="94">
        <v>5</v>
      </c>
      <c r="E93" s="94">
        <f>SRS_Touchdown_pp</f>
        <v>2</v>
      </c>
      <c r="F93" s="94">
        <f t="shared" si="7"/>
        <v>10</v>
      </c>
      <c r="G93" s="480"/>
      <c r="H93" s="43"/>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row>
    <row r="94" spans="1:62" ht="14.45" customHeight="1" x14ac:dyDescent="0.25">
      <c r="A94" s="36" t="s">
        <v>822</v>
      </c>
      <c r="B94" s="203" t="s">
        <v>817</v>
      </c>
      <c r="C94" s="51" t="s">
        <v>31</v>
      </c>
      <c r="D94" s="208">
        <v>1</v>
      </c>
      <c r="E94" s="89">
        <f>SCS_Cleansupply_Med</f>
        <v>9</v>
      </c>
      <c r="F94" s="26">
        <f t="shared" si="7"/>
        <v>9</v>
      </c>
      <c r="G94" s="212" t="s">
        <v>823</v>
      </c>
      <c r="H94" s="43"/>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row>
    <row r="95" spans="1:62" ht="14.45" customHeight="1" x14ac:dyDescent="0.25">
      <c r="A95" s="36" t="s">
        <v>822</v>
      </c>
      <c r="B95" s="203" t="s">
        <v>817</v>
      </c>
      <c r="C95" s="51" t="s">
        <v>47</v>
      </c>
      <c r="D95" s="208">
        <v>1</v>
      </c>
      <c r="E95" s="89">
        <f>SRS_Dirtyutil_Lrg</f>
        <v>12</v>
      </c>
      <c r="F95" s="26">
        <f t="shared" si="7"/>
        <v>12</v>
      </c>
      <c r="G95" s="212" t="s">
        <v>1101</v>
      </c>
      <c r="H95" s="43"/>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row>
    <row r="96" spans="1:62" ht="14.45" customHeight="1" x14ac:dyDescent="0.25">
      <c r="A96" s="36" t="s">
        <v>822</v>
      </c>
      <c r="B96" s="203" t="s">
        <v>817</v>
      </c>
      <c r="C96" s="51" t="s">
        <v>67</v>
      </c>
      <c r="D96" s="208">
        <v>1</v>
      </c>
      <c r="E96" s="28">
        <f>SCS_Medprep_Med</f>
        <v>12</v>
      </c>
      <c r="F96" s="37">
        <f t="shared" si="7"/>
        <v>12</v>
      </c>
      <c r="G96" s="206"/>
      <c r="H96" s="43"/>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row>
    <row r="97" spans="1:62" ht="14.45" customHeight="1" x14ac:dyDescent="0.25">
      <c r="A97" s="36" t="s">
        <v>822</v>
      </c>
      <c r="B97" s="203" t="s">
        <v>817</v>
      </c>
      <c r="C97" s="51" t="s">
        <v>450</v>
      </c>
      <c r="D97" s="208">
        <v>1</v>
      </c>
      <c r="E97" s="28">
        <f>Bay_Resustroll</f>
        <v>2</v>
      </c>
      <c r="F97" s="37">
        <f t="shared" si="7"/>
        <v>2</v>
      </c>
      <c r="G97" s="206"/>
      <c r="H97" s="43"/>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row>
    <row r="98" spans="1:62" ht="14.45" customHeight="1" x14ac:dyDescent="0.25">
      <c r="A98" s="36" t="s">
        <v>822</v>
      </c>
      <c r="B98" s="203" t="s">
        <v>817</v>
      </c>
      <c r="C98" s="51" t="s">
        <v>452</v>
      </c>
      <c r="D98" s="208">
        <v>2</v>
      </c>
      <c r="E98" s="28">
        <f>Bay_Suppliestroll</f>
        <v>2</v>
      </c>
      <c r="F98" s="37">
        <f t="shared" si="7"/>
        <v>4</v>
      </c>
      <c r="G98" s="206"/>
      <c r="H98" s="43"/>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row>
    <row r="99" spans="1:62" ht="14.45" customHeight="1" x14ac:dyDescent="0.25">
      <c r="A99" s="36" t="s">
        <v>822</v>
      </c>
      <c r="B99" s="203" t="s">
        <v>817</v>
      </c>
      <c r="C99" s="51" t="s">
        <v>437</v>
      </c>
      <c r="D99" s="208">
        <v>1</v>
      </c>
      <c r="E99" s="22">
        <f>Bay_Beverage</f>
        <v>5</v>
      </c>
      <c r="F99" s="17">
        <f t="shared" si="7"/>
        <v>5</v>
      </c>
      <c r="G99" s="206"/>
      <c r="H99" s="43"/>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row>
    <row r="100" spans="1:62" ht="14.45" customHeight="1" x14ac:dyDescent="0.25">
      <c r="A100" s="36" t="s">
        <v>822</v>
      </c>
      <c r="B100" s="203" t="s">
        <v>817</v>
      </c>
      <c r="C100" s="51" t="s">
        <v>446</v>
      </c>
      <c r="D100" s="208">
        <v>1</v>
      </c>
      <c r="E100" s="22">
        <f>Bay_Mobile_Equip</f>
        <v>2</v>
      </c>
      <c r="F100" s="17">
        <f t="shared" si="7"/>
        <v>2</v>
      </c>
      <c r="G100" s="206"/>
      <c r="H100" s="43"/>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row>
    <row r="101" spans="1:62" ht="14.45" customHeight="1" x14ac:dyDescent="0.25">
      <c r="A101" s="36" t="s">
        <v>822</v>
      </c>
      <c r="B101" s="203" t="s">
        <v>817</v>
      </c>
      <c r="C101" s="230" t="s">
        <v>444</v>
      </c>
      <c r="D101" s="208">
        <v>1</v>
      </c>
      <c r="E101" s="28">
        <f>Bay_Linentroll</f>
        <v>3</v>
      </c>
      <c r="F101" s="37">
        <f t="shared" si="7"/>
        <v>3</v>
      </c>
      <c r="G101" s="217"/>
      <c r="H101" s="43"/>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row>
    <row r="102" spans="1:62" ht="14.45" customHeight="1" x14ac:dyDescent="0.25">
      <c r="A102" s="36" t="s">
        <v>822</v>
      </c>
      <c r="B102" s="203" t="s">
        <v>817</v>
      </c>
      <c r="C102" s="230" t="s">
        <v>467</v>
      </c>
      <c r="D102" s="208">
        <v>1</v>
      </c>
      <c r="E102" s="28">
        <f>Store_20</f>
        <v>20</v>
      </c>
      <c r="F102" s="37">
        <f t="shared" si="7"/>
        <v>20</v>
      </c>
      <c r="G102" s="217" t="s">
        <v>824</v>
      </c>
      <c r="H102" s="43"/>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row>
    <row r="103" spans="1:62" ht="14.45" customHeight="1" x14ac:dyDescent="0.25">
      <c r="A103" s="36" t="s">
        <v>822</v>
      </c>
      <c r="B103" s="203" t="s">
        <v>817</v>
      </c>
      <c r="C103" s="231" t="s">
        <v>113</v>
      </c>
      <c r="D103" s="208">
        <v>1</v>
      </c>
      <c r="E103" s="28">
        <f>SRS_Pantry_Med</f>
        <v>12</v>
      </c>
      <c r="F103" s="37">
        <f t="shared" si="7"/>
        <v>12</v>
      </c>
      <c r="G103" s="217" t="s">
        <v>825</v>
      </c>
      <c r="H103" s="43"/>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row>
    <row r="104" spans="1:62" ht="14.45" customHeight="1" x14ac:dyDescent="0.25">
      <c r="A104" s="36" t="s">
        <v>822</v>
      </c>
      <c r="B104" s="203" t="s">
        <v>817</v>
      </c>
      <c r="C104" s="232" t="s">
        <v>464</v>
      </c>
      <c r="D104" s="208">
        <v>1</v>
      </c>
      <c r="E104" s="28">
        <f>Store_10</f>
        <v>10</v>
      </c>
      <c r="F104" s="37">
        <f t="shared" si="7"/>
        <v>10</v>
      </c>
      <c r="G104" s="233" t="s">
        <v>826</v>
      </c>
      <c r="H104" s="43"/>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row>
    <row r="105" spans="1:62" ht="14.45" customHeight="1" x14ac:dyDescent="0.25">
      <c r="A105" s="36" t="s">
        <v>822</v>
      </c>
      <c r="B105" s="203" t="s">
        <v>817</v>
      </c>
      <c r="C105" s="232" t="s">
        <v>464</v>
      </c>
      <c r="D105" s="208">
        <v>1</v>
      </c>
      <c r="E105" s="28">
        <f>Store_10</f>
        <v>10</v>
      </c>
      <c r="F105" s="37">
        <f t="shared" si="7"/>
        <v>10</v>
      </c>
      <c r="G105" s="217" t="s">
        <v>827</v>
      </c>
      <c r="H105" s="43"/>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row>
    <row r="106" spans="1:62" ht="14.45" customHeight="1" x14ac:dyDescent="0.25">
      <c r="A106" s="36" t="s">
        <v>822</v>
      </c>
      <c r="B106" s="203" t="s">
        <v>817</v>
      </c>
      <c r="C106" s="232" t="s">
        <v>470</v>
      </c>
      <c r="D106" s="208">
        <v>1</v>
      </c>
      <c r="E106" s="28">
        <f>Store_5</f>
        <v>5</v>
      </c>
      <c r="F106" s="37">
        <f t="shared" si="7"/>
        <v>5</v>
      </c>
      <c r="G106" s="217" t="s">
        <v>828</v>
      </c>
      <c r="H106" s="43"/>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row>
    <row r="107" spans="1:62" ht="15" customHeight="1" x14ac:dyDescent="0.25">
      <c r="A107" s="36" t="s">
        <v>822</v>
      </c>
      <c r="B107" s="203" t="s">
        <v>817</v>
      </c>
      <c r="C107" s="51" t="s">
        <v>39</v>
      </c>
      <c r="D107" s="214">
        <v>1</v>
      </c>
      <c r="E107" s="327">
        <f>SCS_Cleaner_Rm</f>
        <v>8</v>
      </c>
      <c r="F107" s="17">
        <f t="shared" si="7"/>
        <v>8</v>
      </c>
      <c r="G107" s="206"/>
      <c r="H107" s="43"/>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row>
    <row r="108" spans="1:62" ht="15" customHeight="1" x14ac:dyDescent="0.25">
      <c r="A108" s="36" t="s">
        <v>822</v>
      </c>
      <c r="B108" s="203" t="s">
        <v>817</v>
      </c>
      <c r="C108" s="377" t="s">
        <v>38</v>
      </c>
      <c r="D108" s="393">
        <v>1</v>
      </c>
      <c r="E108" s="305">
        <f>SRS_Cleaner_Cup</f>
        <v>5</v>
      </c>
      <c r="F108" s="17">
        <f t="shared" si="7"/>
        <v>5</v>
      </c>
      <c r="G108" s="376"/>
      <c r="H108" s="43"/>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row>
    <row r="109" spans="1:62" ht="14.45" customHeight="1" x14ac:dyDescent="0.25">
      <c r="A109" s="6" t="s">
        <v>500</v>
      </c>
      <c r="B109" s="203" t="s">
        <v>500</v>
      </c>
      <c r="C109" s="51" t="s">
        <v>143</v>
      </c>
      <c r="D109" s="205">
        <v>30</v>
      </c>
      <c r="E109" s="53">
        <f>SRS_Wait_Amb_pp</f>
        <v>1.5</v>
      </c>
      <c r="F109" s="21">
        <f t="shared" ref="F109:F111" si="8">D109*E109</f>
        <v>45</v>
      </c>
      <c r="G109" s="229"/>
      <c r="H109" s="43"/>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row>
    <row r="110" spans="1:62" ht="14.45" customHeight="1" x14ac:dyDescent="0.25">
      <c r="A110" s="6" t="s">
        <v>500</v>
      </c>
      <c r="B110" s="203" t="s">
        <v>500</v>
      </c>
      <c r="C110" s="204" t="s">
        <v>141</v>
      </c>
      <c r="D110" s="205">
        <v>3</v>
      </c>
      <c r="E110" s="53">
        <f>SRS_Wait_Wheel_pp</f>
        <v>3</v>
      </c>
      <c r="F110" s="21">
        <f t="shared" si="8"/>
        <v>9</v>
      </c>
      <c r="G110" s="229"/>
      <c r="H110" s="43"/>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row>
    <row r="111" spans="1:62" ht="14.45" customHeight="1" x14ac:dyDescent="0.25">
      <c r="A111" s="11" t="s">
        <v>500</v>
      </c>
      <c r="B111" s="203" t="s">
        <v>500</v>
      </c>
      <c r="C111" s="51" t="s">
        <v>120</v>
      </c>
      <c r="D111" s="208">
        <v>2</v>
      </c>
      <c r="E111" s="12">
        <f>SRS_Recept_pp</f>
        <v>5.5</v>
      </c>
      <c r="F111" s="23">
        <f t="shared" si="8"/>
        <v>11</v>
      </c>
      <c r="G111" s="229"/>
      <c r="H111" s="43"/>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row>
    <row r="112" spans="1:62" ht="14.45" customHeight="1" x14ac:dyDescent="0.25">
      <c r="A112" s="226" t="s">
        <v>500</v>
      </c>
      <c r="B112" s="203" t="s">
        <v>500</v>
      </c>
      <c r="C112" s="234" t="s">
        <v>94</v>
      </c>
      <c r="D112" s="208">
        <v>2</v>
      </c>
      <c r="E112" s="89">
        <f>SRS_Waterdispenser</f>
        <v>0.5</v>
      </c>
      <c r="F112" s="26">
        <f t="shared" ref="F112:F113" si="9">E112*D112</f>
        <v>1</v>
      </c>
      <c r="G112" s="222"/>
      <c r="H112" s="43"/>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row>
    <row r="113" spans="1:62" ht="14.45" customHeight="1" x14ac:dyDescent="0.25">
      <c r="A113" s="226" t="s">
        <v>500</v>
      </c>
      <c r="B113" s="203" t="s">
        <v>500</v>
      </c>
      <c r="C113" s="234" t="s">
        <v>454</v>
      </c>
      <c r="D113" s="208">
        <v>1</v>
      </c>
      <c r="E113" s="89">
        <f>Bay_Vending</f>
        <v>3</v>
      </c>
      <c r="F113" s="26">
        <f t="shared" si="9"/>
        <v>3</v>
      </c>
      <c r="G113" s="206"/>
      <c r="H113" s="43"/>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row>
    <row r="114" spans="1:62" ht="14.45" customHeight="1" x14ac:dyDescent="0.25">
      <c r="A114" s="11" t="s">
        <v>500</v>
      </c>
      <c r="B114" s="203" t="s">
        <v>500</v>
      </c>
      <c r="C114" s="234" t="s">
        <v>44</v>
      </c>
      <c r="D114" s="208">
        <v>10</v>
      </c>
      <c r="E114" s="12">
        <f>SCS_CE_Sing</f>
        <v>14</v>
      </c>
      <c r="F114" s="23">
        <f>D114*E114</f>
        <v>140</v>
      </c>
      <c r="G114" s="209"/>
      <c r="H114" s="43"/>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row>
    <row r="115" spans="1:62" ht="14.45" customHeight="1" x14ac:dyDescent="0.25">
      <c r="A115" s="11" t="s">
        <v>500</v>
      </c>
      <c r="B115" s="203" t="s">
        <v>500</v>
      </c>
      <c r="C115" s="235" t="s">
        <v>83</v>
      </c>
      <c r="D115" s="208">
        <v>2</v>
      </c>
      <c r="E115" s="12">
        <f>SCS_Treatment_Stand</f>
        <v>16</v>
      </c>
      <c r="F115" s="23">
        <f>D115*E115</f>
        <v>32</v>
      </c>
      <c r="G115" s="209"/>
      <c r="H115" s="43"/>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row>
    <row r="116" spans="1:62" ht="14.45" customHeight="1" x14ac:dyDescent="0.25">
      <c r="A116" s="11" t="s">
        <v>500</v>
      </c>
      <c r="B116" s="203" t="s">
        <v>500</v>
      </c>
      <c r="C116" s="51" t="s">
        <v>147</v>
      </c>
      <c r="D116" s="208">
        <v>1</v>
      </c>
      <c r="E116" s="22">
        <f>SRS_WC_Amb</f>
        <v>2.5</v>
      </c>
      <c r="F116" s="17">
        <f t="shared" ref="F116:F132" si="10">D116*E116</f>
        <v>2.5</v>
      </c>
      <c r="G116" s="206"/>
      <c r="H116" s="43"/>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row>
    <row r="117" spans="1:62" ht="14.45" customHeight="1" x14ac:dyDescent="0.25">
      <c r="A117" s="11" t="s">
        <v>500</v>
      </c>
      <c r="B117" s="203" t="s">
        <v>500</v>
      </c>
      <c r="C117" s="51" t="s">
        <v>146</v>
      </c>
      <c r="D117" s="208">
        <v>1</v>
      </c>
      <c r="E117" s="12">
        <f>SRS_WC_Access</f>
        <v>4.5</v>
      </c>
      <c r="F117" s="23">
        <f>D117*E117</f>
        <v>4.5</v>
      </c>
      <c r="G117" s="209"/>
      <c r="H117" s="43"/>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row>
    <row r="118" spans="1:62" ht="14.45" customHeight="1" x14ac:dyDescent="0.25">
      <c r="A118" s="11" t="s">
        <v>500</v>
      </c>
      <c r="B118" s="203" t="s">
        <v>500</v>
      </c>
      <c r="C118" s="51" t="s">
        <v>800</v>
      </c>
      <c r="D118" s="208">
        <v>1</v>
      </c>
      <c r="E118" s="22">
        <f>Bay_Mobile_Imaging</f>
        <v>4</v>
      </c>
      <c r="F118" s="17">
        <f t="shared" si="10"/>
        <v>4</v>
      </c>
      <c r="G118" s="206"/>
      <c r="H118" s="43"/>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row>
    <row r="119" spans="1:62" ht="14.45" customHeight="1" x14ac:dyDescent="0.25">
      <c r="A119" s="11" t="s">
        <v>829</v>
      </c>
      <c r="B119" s="203" t="s">
        <v>500</v>
      </c>
      <c r="C119" s="51" t="s">
        <v>31</v>
      </c>
      <c r="D119" s="208">
        <v>1</v>
      </c>
      <c r="E119" s="22">
        <f>SCS_Cleansupply_Med</f>
        <v>9</v>
      </c>
      <c r="F119" s="17">
        <f t="shared" si="10"/>
        <v>9</v>
      </c>
      <c r="G119" s="206"/>
      <c r="H119" s="43"/>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row>
    <row r="120" spans="1:62" ht="14.45" customHeight="1" x14ac:dyDescent="0.25">
      <c r="A120" s="11" t="s">
        <v>829</v>
      </c>
      <c r="B120" s="203" t="s">
        <v>500</v>
      </c>
      <c r="C120" s="51" t="s">
        <v>47</v>
      </c>
      <c r="D120" s="208">
        <v>1</v>
      </c>
      <c r="E120" s="22">
        <f>SRS_Dirtyutil_Lrg</f>
        <v>12</v>
      </c>
      <c r="F120" s="17">
        <f t="shared" si="10"/>
        <v>12</v>
      </c>
      <c r="G120" s="206"/>
      <c r="H120" s="43"/>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row>
    <row r="121" spans="1:62" ht="14.45" customHeight="1" x14ac:dyDescent="0.25">
      <c r="A121" s="11" t="s">
        <v>829</v>
      </c>
      <c r="B121" s="203" t="s">
        <v>500</v>
      </c>
      <c r="C121" s="51" t="s">
        <v>67</v>
      </c>
      <c r="D121" s="208">
        <v>1</v>
      </c>
      <c r="E121" s="22">
        <f>SCS_Medprep_Med</f>
        <v>12</v>
      </c>
      <c r="F121" s="17">
        <f t="shared" si="10"/>
        <v>12</v>
      </c>
      <c r="G121" s="206"/>
      <c r="H121" s="43"/>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row>
    <row r="122" spans="1:62" ht="14.45" customHeight="1" x14ac:dyDescent="0.25">
      <c r="A122" s="11" t="s">
        <v>829</v>
      </c>
      <c r="B122" s="203" t="s">
        <v>500</v>
      </c>
      <c r="C122" s="51" t="s">
        <v>318</v>
      </c>
      <c r="D122" s="208">
        <v>1</v>
      </c>
      <c r="E122" s="22">
        <f>SCS_Plaster</f>
        <v>14</v>
      </c>
      <c r="F122" s="17">
        <f>D122*E122</f>
        <v>14</v>
      </c>
      <c r="G122" s="206"/>
      <c r="H122" s="43"/>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row>
    <row r="123" spans="1:62" ht="14.45" customHeight="1" x14ac:dyDescent="0.25">
      <c r="A123" s="11" t="s">
        <v>829</v>
      </c>
      <c r="B123" s="203" t="s">
        <v>500</v>
      </c>
      <c r="C123" s="51" t="s">
        <v>450</v>
      </c>
      <c r="D123" s="208">
        <v>1</v>
      </c>
      <c r="E123" s="22">
        <f>Bay_Resustroll</f>
        <v>2</v>
      </c>
      <c r="F123" s="17">
        <f t="shared" si="10"/>
        <v>2</v>
      </c>
      <c r="G123" s="206"/>
      <c r="H123" s="43"/>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row>
    <row r="124" spans="1:62" ht="14.45" customHeight="1" x14ac:dyDescent="0.25">
      <c r="A124" s="11" t="s">
        <v>829</v>
      </c>
      <c r="B124" s="203" t="s">
        <v>500</v>
      </c>
      <c r="C124" s="51" t="s">
        <v>452</v>
      </c>
      <c r="D124" s="208">
        <v>2</v>
      </c>
      <c r="E124" s="22">
        <f>Bay_Suppliestroll</f>
        <v>2</v>
      </c>
      <c r="F124" s="17">
        <f t="shared" si="10"/>
        <v>4</v>
      </c>
      <c r="G124" s="206"/>
      <c r="H124" s="43"/>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row>
    <row r="125" spans="1:62" ht="14.45" customHeight="1" x14ac:dyDescent="0.25">
      <c r="A125" s="11" t="s">
        <v>829</v>
      </c>
      <c r="B125" s="203" t="s">
        <v>500</v>
      </c>
      <c r="C125" s="51" t="s">
        <v>437</v>
      </c>
      <c r="D125" s="208">
        <v>1</v>
      </c>
      <c r="E125" s="22">
        <f>Bay_Beverage</f>
        <v>5</v>
      </c>
      <c r="F125" s="17">
        <f t="shared" si="10"/>
        <v>5</v>
      </c>
      <c r="G125" s="206"/>
      <c r="H125" s="43"/>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row>
    <row r="126" spans="1:62" ht="14.45" customHeight="1" x14ac:dyDescent="0.25">
      <c r="A126" s="11" t="s">
        <v>829</v>
      </c>
      <c r="B126" s="203" t="s">
        <v>500</v>
      </c>
      <c r="C126" s="51" t="s">
        <v>446</v>
      </c>
      <c r="D126" s="208">
        <v>1</v>
      </c>
      <c r="E126" s="22">
        <f>Bay_Mobile_Equip</f>
        <v>2</v>
      </c>
      <c r="F126" s="17">
        <f t="shared" si="10"/>
        <v>2</v>
      </c>
      <c r="G126" s="206"/>
      <c r="H126" s="43"/>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row>
    <row r="127" spans="1:62" ht="14.45" customHeight="1" x14ac:dyDescent="0.25">
      <c r="A127" s="11" t="s">
        <v>829</v>
      </c>
      <c r="B127" s="203" t="s">
        <v>500</v>
      </c>
      <c r="C127" s="51" t="s">
        <v>444</v>
      </c>
      <c r="D127" s="208">
        <v>1</v>
      </c>
      <c r="E127" s="22">
        <f>Bay_Linentroll</f>
        <v>3</v>
      </c>
      <c r="F127" s="17">
        <f t="shared" si="10"/>
        <v>3</v>
      </c>
      <c r="G127" s="206"/>
      <c r="H127" s="43"/>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row>
    <row r="128" spans="1:62" ht="14.45" customHeight="1" x14ac:dyDescent="0.25">
      <c r="A128" s="11" t="s">
        <v>829</v>
      </c>
      <c r="B128" s="203" t="s">
        <v>500</v>
      </c>
      <c r="C128" s="51" t="s">
        <v>467</v>
      </c>
      <c r="D128" s="208">
        <v>1</v>
      </c>
      <c r="E128" s="22">
        <f>Store_20</f>
        <v>20</v>
      </c>
      <c r="F128" s="17">
        <f t="shared" si="10"/>
        <v>20</v>
      </c>
      <c r="G128" s="206" t="s">
        <v>809</v>
      </c>
      <c r="H128" s="43"/>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row>
    <row r="129" spans="1:62" ht="14.45" customHeight="1" x14ac:dyDescent="0.25">
      <c r="A129" s="11" t="s">
        <v>829</v>
      </c>
      <c r="B129" s="203" t="s">
        <v>500</v>
      </c>
      <c r="C129" s="51" t="s">
        <v>463</v>
      </c>
      <c r="D129" s="208">
        <v>1</v>
      </c>
      <c r="E129" s="22">
        <f>Store_Plaster</f>
        <v>5</v>
      </c>
      <c r="F129" s="17">
        <f>D129*E129</f>
        <v>5</v>
      </c>
      <c r="G129" s="206"/>
      <c r="H129" s="43"/>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row>
    <row r="130" spans="1:62" ht="14.45" customHeight="1" x14ac:dyDescent="0.25">
      <c r="A130" s="11" t="s">
        <v>829</v>
      </c>
      <c r="B130" s="203" t="s">
        <v>500</v>
      </c>
      <c r="C130" s="51" t="s">
        <v>39</v>
      </c>
      <c r="D130" s="208">
        <v>1</v>
      </c>
      <c r="E130" s="22">
        <f>SCS_Cleaner_Rm</f>
        <v>8</v>
      </c>
      <c r="F130" s="17">
        <f t="shared" si="10"/>
        <v>8</v>
      </c>
      <c r="G130" s="206"/>
      <c r="H130" s="43"/>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row>
    <row r="131" spans="1:62" ht="14.45" customHeight="1" x14ac:dyDescent="0.25">
      <c r="A131" s="11" t="s">
        <v>829</v>
      </c>
      <c r="B131" s="203" t="s">
        <v>500</v>
      </c>
      <c r="C131" s="379" t="s">
        <v>38</v>
      </c>
      <c r="D131" s="375">
        <v>1</v>
      </c>
      <c r="E131" s="30">
        <f>SCS_Cleaner_Cup</f>
        <v>5</v>
      </c>
      <c r="F131" s="17">
        <f t="shared" si="10"/>
        <v>5</v>
      </c>
      <c r="G131" s="206"/>
      <c r="H131" s="43"/>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row>
    <row r="132" spans="1:62" ht="15" customHeight="1" x14ac:dyDescent="0.25">
      <c r="A132" s="29" t="s">
        <v>829</v>
      </c>
      <c r="B132" s="203" t="s">
        <v>500</v>
      </c>
      <c r="C132" s="51" t="s">
        <v>348</v>
      </c>
      <c r="D132" s="214">
        <v>1</v>
      </c>
      <c r="E132" s="30">
        <f>Staff_Workstn_pp</f>
        <v>4.5</v>
      </c>
      <c r="F132" s="17">
        <f t="shared" si="10"/>
        <v>4.5</v>
      </c>
      <c r="G132" s="209" t="s">
        <v>830</v>
      </c>
      <c r="H132" s="43"/>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row>
    <row r="133" spans="1:62" ht="14.45" customHeight="1" x14ac:dyDescent="0.25">
      <c r="A133" s="6" t="s">
        <v>169</v>
      </c>
      <c r="B133" s="203" t="s">
        <v>169</v>
      </c>
      <c r="C133" s="230" t="s">
        <v>143</v>
      </c>
      <c r="D133" s="192">
        <v>20</v>
      </c>
      <c r="E133" s="192">
        <f>SRS_Wait_Amb_pp</f>
        <v>1.5</v>
      </c>
      <c r="F133" s="192">
        <f t="shared" ref="F133:F135" si="11">D133*E133</f>
        <v>30</v>
      </c>
      <c r="G133" s="222"/>
      <c r="H133" s="43"/>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row>
    <row r="134" spans="1:62" ht="14.45" customHeight="1" x14ac:dyDescent="0.25">
      <c r="A134" s="6" t="s">
        <v>169</v>
      </c>
      <c r="B134" s="203" t="s">
        <v>169</v>
      </c>
      <c r="C134" s="204" t="s">
        <v>141</v>
      </c>
      <c r="D134" s="192">
        <v>2</v>
      </c>
      <c r="E134" s="192">
        <f>SRS_Wait_Wheel_pp</f>
        <v>3</v>
      </c>
      <c r="F134" s="192">
        <f t="shared" si="11"/>
        <v>6</v>
      </c>
      <c r="G134" s="222"/>
      <c r="H134" s="43"/>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row>
    <row r="135" spans="1:62" ht="14.45" customHeight="1" x14ac:dyDescent="0.25">
      <c r="A135" s="236" t="s">
        <v>169</v>
      </c>
      <c r="B135" s="203" t="s">
        <v>169</v>
      </c>
      <c r="C135" s="237" t="s">
        <v>120</v>
      </c>
      <c r="D135" s="192">
        <v>2</v>
      </c>
      <c r="E135" s="192">
        <f>SRS_Recept_pp</f>
        <v>5.5</v>
      </c>
      <c r="F135" s="192">
        <f t="shared" si="11"/>
        <v>11</v>
      </c>
      <c r="G135" s="222"/>
      <c r="H135" s="43"/>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row>
    <row r="136" spans="1:62" ht="14.45" customHeight="1" x14ac:dyDescent="0.25">
      <c r="A136" s="238" t="s">
        <v>169</v>
      </c>
      <c r="B136" s="203" t="s">
        <v>169</v>
      </c>
      <c r="C136" s="234" t="s">
        <v>94</v>
      </c>
      <c r="D136" s="192">
        <v>2</v>
      </c>
      <c r="E136" s="192">
        <f>SRS_Waterdispenser</f>
        <v>0.5</v>
      </c>
      <c r="F136" s="192">
        <f t="shared" ref="F136" si="12">E136*D136</f>
        <v>1</v>
      </c>
      <c r="G136" s="222"/>
      <c r="H136" s="43"/>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row>
    <row r="137" spans="1:62" ht="14.45" customHeight="1" x14ac:dyDescent="0.25">
      <c r="A137" s="238" t="s">
        <v>169</v>
      </c>
      <c r="B137" s="203" t="s">
        <v>169</v>
      </c>
      <c r="C137" s="234" t="s">
        <v>454</v>
      </c>
      <c r="D137" s="208">
        <v>1</v>
      </c>
      <c r="E137" s="89">
        <f>Bay_Vending</f>
        <v>3</v>
      </c>
      <c r="F137" s="26">
        <f>E137*D137</f>
        <v>3</v>
      </c>
      <c r="G137" s="212"/>
      <c r="H137" s="43"/>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row>
    <row r="138" spans="1:62" ht="14.45" customHeight="1" x14ac:dyDescent="0.25">
      <c r="A138" s="238" t="s">
        <v>169</v>
      </c>
      <c r="B138" s="203" t="s">
        <v>169</v>
      </c>
      <c r="C138" s="211" t="s">
        <v>109</v>
      </c>
      <c r="D138" s="208">
        <v>1</v>
      </c>
      <c r="E138" s="89">
        <f>SRS_Nappychange</f>
        <v>4.5</v>
      </c>
      <c r="F138" s="26">
        <f>E138*D138</f>
        <v>4.5</v>
      </c>
      <c r="G138" s="212"/>
      <c r="H138" s="43"/>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row>
    <row r="139" spans="1:62" ht="14.45" customHeight="1" x14ac:dyDescent="0.25">
      <c r="A139" s="238" t="s">
        <v>169</v>
      </c>
      <c r="B139" s="203" t="s">
        <v>169</v>
      </c>
      <c r="C139" s="211" t="s">
        <v>102</v>
      </c>
      <c r="D139" s="208">
        <v>1</v>
      </c>
      <c r="E139" s="89">
        <f>SRS_Infantfeed</f>
        <v>5</v>
      </c>
      <c r="F139" s="26">
        <f>E139*D139</f>
        <v>5</v>
      </c>
      <c r="G139" s="212"/>
      <c r="H139" s="43"/>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row>
    <row r="140" spans="1:62" ht="14.45" customHeight="1" x14ac:dyDescent="0.25">
      <c r="A140" s="238" t="s">
        <v>169</v>
      </c>
      <c r="B140" s="203" t="s">
        <v>169</v>
      </c>
      <c r="C140" s="237" t="s">
        <v>146</v>
      </c>
      <c r="D140" s="208">
        <v>1</v>
      </c>
      <c r="E140" s="89">
        <f>SRS_WC_Access</f>
        <v>4.5</v>
      </c>
      <c r="F140" s="26">
        <f t="shared" ref="F140:F142" si="13">D140*E140</f>
        <v>4.5</v>
      </c>
      <c r="G140" s="222"/>
      <c r="H140" s="43"/>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row>
    <row r="141" spans="1:62" ht="14.45" customHeight="1" x14ac:dyDescent="0.25">
      <c r="A141" s="238" t="s">
        <v>169</v>
      </c>
      <c r="B141" s="203" t="s">
        <v>169</v>
      </c>
      <c r="C141" s="237" t="s">
        <v>147</v>
      </c>
      <c r="D141" s="285">
        <v>2</v>
      </c>
      <c r="E141" s="286">
        <f>SRS_WC_Amb</f>
        <v>2.5</v>
      </c>
      <c r="F141" s="26">
        <f>D141*E141</f>
        <v>5</v>
      </c>
      <c r="G141" s="222"/>
      <c r="H141" s="43"/>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row>
    <row r="142" spans="1:62" ht="14.45" customHeight="1" x14ac:dyDescent="0.25">
      <c r="A142" s="6" t="s">
        <v>169</v>
      </c>
      <c r="B142" s="203" t="s">
        <v>169</v>
      </c>
      <c r="C142" s="230" t="s">
        <v>180</v>
      </c>
      <c r="D142" s="285">
        <f>2</f>
        <v>2</v>
      </c>
      <c r="E142" s="286">
        <f>ED_Triage</f>
        <v>14</v>
      </c>
      <c r="F142" s="26">
        <f t="shared" si="13"/>
        <v>28</v>
      </c>
      <c r="G142" s="221" t="s">
        <v>831</v>
      </c>
      <c r="H142" s="43"/>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row>
    <row r="143" spans="1:62" ht="14.45" customHeight="1" x14ac:dyDescent="0.25">
      <c r="A143" s="6" t="s">
        <v>169</v>
      </c>
      <c r="B143" s="203" t="s">
        <v>169</v>
      </c>
      <c r="C143" s="211" t="s">
        <v>77</v>
      </c>
      <c r="D143" s="94">
        <v>16</v>
      </c>
      <c r="E143" s="289">
        <f>SCS_Recliner_pp</f>
        <v>5</v>
      </c>
      <c r="F143" s="289">
        <f>D143*E143</f>
        <v>80</v>
      </c>
      <c r="G143" s="222"/>
      <c r="H143" s="43"/>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row>
    <row r="144" spans="1:62" ht="14.45" customHeight="1" x14ac:dyDescent="0.25">
      <c r="A144" s="40" t="s">
        <v>169</v>
      </c>
      <c r="B144" s="203" t="s">
        <v>169</v>
      </c>
      <c r="C144" s="211" t="s">
        <v>166</v>
      </c>
      <c r="D144" s="94">
        <v>2</v>
      </c>
      <c r="E144" s="289">
        <f>ED_Cabin_SDEC_Stand</f>
        <v>14</v>
      </c>
      <c r="F144" s="289">
        <f t="shared" ref="F144:F167" si="14">D144*E144</f>
        <v>28</v>
      </c>
      <c r="G144" s="221"/>
      <c r="H144" s="43"/>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row>
    <row r="145" spans="1:62" ht="14.45" customHeight="1" x14ac:dyDescent="0.25">
      <c r="A145" s="40" t="s">
        <v>169</v>
      </c>
      <c r="B145" s="203" t="s">
        <v>169</v>
      </c>
      <c r="C145" s="211" t="s">
        <v>168</v>
      </c>
      <c r="D145" s="94">
        <v>2</v>
      </c>
      <c r="E145" s="289">
        <f>ED_Cabin_SDEC_Lrg</f>
        <v>16</v>
      </c>
      <c r="F145" s="289">
        <f t="shared" si="14"/>
        <v>32</v>
      </c>
      <c r="G145" s="221"/>
      <c r="H145" s="43"/>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row>
    <row r="146" spans="1:62" ht="14.45" customHeight="1" x14ac:dyDescent="0.25">
      <c r="A146" s="40" t="s">
        <v>169</v>
      </c>
      <c r="B146" s="203" t="s">
        <v>169</v>
      </c>
      <c r="C146" s="211" t="s">
        <v>832</v>
      </c>
      <c r="D146" s="94">
        <v>2</v>
      </c>
      <c r="E146" s="289">
        <f>SCS_Treatment_Stand</f>
        <v>16</v>
      </c>
      <c r="F146" s="289">
        <f>D146*E146</f>
        <v>32</v>
      </c>
      <c r="G146" s="221"/>
      <c r="H146" s="43"/>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row>
    <row r="147" spans="1:62" ht="14.45" customHeight="1" x14ac:dyDescent="0.25">
      <c r="A147" s="40" t="s">
        <v>169</v>
      </c>
      <c r="B147" s="203" t="s">
        <v>169</v>
      </c>
      <c r="C147" s="234" t="s">
        <v>44</v>
      </c>
      <c r="D147" s="94">
        <v>2</v>
      </c>
      <c r="E147" s="289">
        <f>SCS_CE_Sing</f>
        <v>14</v>
      </c>
      <c r="F147" s="289">
        <f>D147*E147</f>
        <v>28</v>
      </c>
      <c r="G147" s="221"/>
      <c r="H147" s="43"/>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row>
    <row r="148" spans="1:62" ht="14.45" customHeight="1" x14ac:dyDescent="0.25">
      <c r="A148" s="40" t="s">
        <v>169</v>
      </c>
      <c r="B148" s="203" t="s">
        <v>169</v>
      </c>
      <c r="C148" s="230" t="s">
        <v>74</v>
      </c>
      <c r="D148" s="208">
        <v>1</v>
      </c>
      <c r="E148" s="28">
        <f>SCS_POCT</f>
        <v>10</v>
      </c>
      <c r="F148" s="37">
        <f t="shared" si="14"/>
        <v>10</v>
      </c>
      <c r="G148" s="217"/>
      <c r="H148" s="43"/>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row>
    <row r="149" spans="1:62" ht="14.45" customHeight="1" x14ac:dyDescent="0.25">
      <c r="A149" s="40" t="s">
        <v>169</v>
      </c>
      <c r="B149" s="203" t="s">
        <v>169</v>
      </c>
      <c r="C149" s="230" t="s">
        <v>126</v>
      </c>
      <c r="D149" s="208">
        <v>2</v>
      </c>
      <c r="E149" s="89">
        <f>SRS_Staffbase_pp</f>
        <v>4</v>
      </c>
      <c r="F149" s="26">
        <f t="shared" si="14"/>
        <v>8</v>
      </c>
      <c r="G149" s="212"/>
      <c r="H149" s="43"/>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row>
    <row r="150" spans="1:62" ht="14.45" customHeight="1" x14ac:dyDescent="0.25">
      <c r="A150" s="6" t="s">
        <v>169</v>
      </c>
      <c r="B150" s="203" t="s">
        <v>169</v>
      </c>
      <c r="C150" s="230" t="s">
        <v>800</v>
      </c>
      <c r="D150" s="208">
        <v>1</v>
      </c>
      <c r="E150" s="28">
        <f>Bay_Mobile_Imaging</f>
        <v>4</v>
      </c>
      <c r="F150" s="37">
        <f t="shared" si="14"/>
        <v>4</v>
      </c>
      <c r="G150" s="217"/>
      <c r="H150" s="43"/>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row>
    <row r="151" spans="1:62" ht="14.45" customHeight="1" x14ac:dyDescent="0.25">
      <c r="A151" s="11" t="s">
        <v>833</v>
      </c>
      <c r="B151" s="203" t="s">
        <v>169</v>
      </c>
      <c r="C151" s="230" t="s">
        <v>31</v>
      </c>
      <c r="D151" s="208">
        <v>2</v>
      </c>
      <c r="E151" s="28">
        <f>SCS_Cleansupply_Med</f>
        <v>9</v>
      </c>
      <c r="F151" s="37">
        <f t="shared" si="14"/>
        <v>18</v>
      </c>
      <c r="G151" s="217" t="s">
        <v>834</v>
      </c>
      <c r="H151" s="43"/>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row>
    <row r="152" spans="1:62" ht="14.45" customHeight="1" x14ac:dyDescent="0.25">
      <c r="A152" s="11" t="s">
        <v>833</v>
      </c>
      <c r="B152" s="203" t="s">
        <v>169</v>
      </c>
      <c r="C152" s="230" t="s">
        <v>47</v>
      </c>
      <c r="D152" s="208">
        <v>2</v>
      </c>
      <c r="E152" s="28">
        <f>SCS_Dirtyutil_Lrg</f>
        <v>12</v>
      </c>
      <c r="F152" s="37">
        <f t="shared" si="14"/>
        <v>24</v>
      </c>
      <c r="G152" s="217" t="s">
        <v>834</v>
      </c>
      <c r="H152" s="43"/>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row>
    <row r="153" spans="1:62" ht="14.45" customHeight="1" x14ac:dyDescent="0.25">
      <c r="A153" s="11" t="s">
        <v>833</v>
      </c>
      <c r="B153" s="203" t="s">
        <v>169</v>
      </c>
      <c r="C153" s="230" t="s">
        <v>67</v>
      </c>
      <c r="D153" s="208">
        <v>1</v>
      </c>
      <c r="E153" s="28">
        <f>SCS_Medprep_Med</f>
        <v>12</v>
      </c>
      <c r="F153" s="37">
        <f t="shared" si="14"/>
        <v>12</v>
      </c>
      <c r="G153" s="217"/>
      <c r="H153" s="43"/>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row>
    <row r="154" spans="1:62" ht="14.45" customHeight="1" x14ac:dyDescent="0.25">
      <c r="A154" s="11" t="s">
        <v>833</v>
      </c>
      <c r="B154" s="203" t="s">
        <v>169</v>
      </c>
      <c r="C154" s="230" t="s">
        <v>450</v>
      </c>
      <c r="D154" s="208">
        <v>2</v>
      </c>
      <c r="E154" s="28">
        <f>Bay_Resustroll</f>
        <v>2</v>
      </c>
      <c r="F154" s="37">
        <f t="shared" si="14"/>
        <v>4</v>
      </c>
      <c r="G154" s="217" t="s">
        <v>835</v>
      </c>
      <c r="H154" s="43"/>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row>
    <row r="155" spans="1:62" ht="14.45" customHeight="1" x14ac:dyDescent="0.25">
      <c r="A155" s="11" t="s">
        <v>833</v>
      </c>
      <c r="B155" s="203" t="s">
        <v>169</v>
      </c>
      <c r="C155" s="230" t="s">
        <v>452</v>
      </c>
      <c r="D155" s="208">
        <v>2</v>
      </c>
      <c r="E155" s="28">
        <f>Bay_Suppliestroll</f>
        <v>2</v>
      </c>
      <c r="F155" s="37">
        <f t="shared" si="14"/>
        <v>4</v>
      </c>
      <c r="G155" s="217"/>
      <c r="H155" s="43"/>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row>
    <row r="156" spans="1:62" ht="14.45" customHeight="1" x14ac:dyDescent="0.25">
      <c r="A156" s="11" t="s">
        <v>833</v>
      </c>
      <c r="B156" s="203" t="s">
        <v>169</v>
      </c>
      <c r="C156" s="230" t="s">
        <v>437</v>
      </c>
      <c r="D156" s="208">
        <v>1</v>
      </c>
      <c r="E156" s="28">
        <f>Bay_Beverage</f>
        <v>5</v>
      </c>
      <c r="F156" s="37">
        <f t="shared" si="14"/>
        <v>5</v>
      </c>
      <c r="G156" s="217"/>
      <c r="H156" s="43"/>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row>
    <row r="157" spans="1:62" ht="14.45" customHeight="1" x14ac:dyDescent="0.25">
      <c r="A157" s="11" t="s">
        <v>833</v>
      </c>
      <c r="B157" s="203" t="s">
        <v>169</v>
      </c>
      <c r="C157" s="230" t="s">
        <v>446</v>
      </c>
      <c r="D157" s="208">
        <v>2</v>
      </c>
      <c r="E157" s="28">
        <f>Bay_Mobile_Equip</f>
        <v>2</v>
      </c>
      <c r="F157" s="37">
        <f t="shared" si="14"/>
        <v>4</v>
      </c>
      <c r="G157" s="217"/>
      <c r="H157" s="43"/>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row>
    <row r="158" spans="1:62" ht="14.45" customHeight="1" x14ac:dyDescent="0.25">
      <c r="A158" s="11" t="s">
        <v>833</v>
      </c>
      <c r="B158" s="203" t="s">
        <v>169</v>
      </c>
      <c r="C158" s="230" t="s">
        <v>444</v>
      </c>
      <c r="D158" s="208">
        <v>1</v>
      </c>
      <c r="E158" s="28">
        <f>Bay_Linentroll</f>
        <v>3</v>
      </c>
      <c r="F158" s="37">
        <f t="shared" si="14"/>
        <v>3</v>
      </c>
      <c r="G158" s="217"/>
      <c r="H158" s="43"/>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row>
    <row r="159" spans="1:62" ht="14.45" customHeight="1" x14ac:dyDescent="0.25">
      <c r="A159" s="11" t="s">
        <v>833</v>
      </c>
      <c r="B159" s="203" t="s">
        <v>169</v>
      </c>
      <c r="C159" s="230" t="s">
        <v>442</v>
      </c>
      <c r="D159" s="208">
        <v>1</v>
      </c>
      <c r="E159" s="28">
        <f>Bay_Foodtroll</f>
        <v>2</v>
      </c>
      <c r="F159" s="37">
        <f t="shared" si="14"/>
        <v>2</v>
      </c>
      <c r="G159" s="217"/>
      <c r="H159" s="43"/>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row>
    <row r="160" spans="1:62" ht="14.45" customHeight="1" x14ac:dyDescent="0.25">
      <c r="A160" s="11" t="s">
        <v>833</v>
      </c>
      <c r="B160" s="203" t="s">
        <v>169</v>
      </c>
      <c r="C160" s="230" t="s">
        <v>117</v>
      </c>
      <c r="D160" s="208">
        <v>1</v>
      </c>
      <c r="E160" s="28">
        <f>SRS_Pantry_Small</f>
        <v>8</v>
      </c>
      <c r="F160" s="37">
        <f t="shared" si="14"/>
        <v>8</v>
      </c>
      <c r="G160" s="217"/>
      <c r="H160" s="43"/>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row>
    <row r="161" spans="1:62" ht="14.45" customHeight="1" x14ac:dyDescent="0.25">
      <c r="A161" s="11" t="s">
        <v>833</v>
      </c>
      <c r="B161" s="203" t="s">
        <v>169</v>
      </c>
      <c r="C161" s="230" t="s">
        <v>467</v>
      </c>
      <c r="D161" s="208">
        <v>1</v>
      </c>
      <c r="E161" s="28">
        <f>Store_20</f>
        <v>20</v>
      </c>
      <c r="F161" s="37">
        <f t="shared" si="14"/>
        <v>20</v>
      </c>
      <c r="G161" s="217" t="s">
        <v>809</v>
      </c>
      <c r="H161" s="43"/>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row>
    <row r="162" spans="1:62" ht="14.45" customHeight="1" x14ac:dyDescent="0.25">
      <c r="A162" s="11" t="s">
        <v>833</v>
      </c>
      <c r="B162" s="203" t="s">
        <v>169</v>
      </c>
      <c r="C162" s="230" t="s">
        <v>466</v>
      </c>
      <c r="D162" s="208">
        <v>1</v>
      </c>
      <c r="E162" s="28">
        <f>Store_15</f>
        <v>15</v>
      </c>
      <c r="F162" s="37">
        <f t="shared" si="14"/>
        <v>15</v>
      </c>
      <c r="G162" s="217" t="s">
        <v>836</v>
      </c>
      <c r="H162" s="43"/>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row>
    <row r="163" spans="1:62" ht="14.45" customHeight="1" x14ac:dyDescent="0.25">
      <c r="A163" s="11" t="s">
        <v>833</v>
      </c>
      <c r="B163" s="203" t="s">
        <v>169</v>
      </c>
      <c r="C163" s="230" t="s">
        <v>467</v>
      </c>
      <c r="D163" s="208">
        <v>1</v>
      </c>
      <c r="E163" s="28">
        <f>Store_20</f>
        <v>20</v>
      </c>
      <c r="F163" s="37">
        <f t="shared" si="14"/>
        <v>20</v>
      </c>
      <c r="G163" s="217" t="s">
        <v>837</v>
      </c>
      <c r="H163" s="43"/>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row>
    <row r="164" spans="1:62" ht="14.45" customHeight="1" x14ac:dyDescent="0.25">
      <c r="A164" s="11" t="s">
        <v>833</v>
      </c>
      <c r="B164" s="203" t="s">
        <v>169</v>
      </c>
      <c r="C164" s="230" t="s">
        <v>39</v>
      </c>
      <c r="D164" s="208">
        <v>1</v>
      </c>
      <c r="E164" s="28">
        <f>SCS_Cleaner_Rm</f>
        <v>8</v>
      </c>
      <c r="F164" s="37">
        <f t="shared" si="14"/>
        <v>8</v>
      </c>
      <c r="G164" s="217"/>
      <c r="H164" s="43"/>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row>
    <row r="165" spans="1:62" ht="14.45" customHeight="1" x14ac:dyDescent="0.25">
      <c r="A165" s="11" t="s">
        <v>833</v>
      </c>
      <c r="B165" s="203" t="s">
        <v>169</v>
      </c>
      <c r="C165" s="380" t="s">
        <v>38</v>
      </c>
      <c r="D165" s="381">
        <v>1</v>
      </c>
      <c r="E165" s="28">
        <f>SRS_Cleaner_Cup</f>
        <v>5</v>
      </c>
      <c r="F165" s="37">
        <f t="shared" si="14"/>
        <v>5</v>
      </c>
      <c r="G165" s="217"/>
      <c r="H165" s="43"/>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row>
    <row r="166" spans="1:62" ht="14.45" customHeight="1" x14ac:dyDescent="0.25">
      <c r="A166" s="11" t="s">
        <v>833</v>
      </c>
      <c r="B166" s="203" t="s">
        <v>169</v>
      </c>
      <c r="C166" s="230" t="s">
        <v>348</v>
      </c>
      <c r="D166" s="208">
        <v>5</v>
      </c>
      <c r="E166" s="28">
        <f>Staff_Workstn_pp</f>
        <v>4.5</v>
      </c>
      <c r="F166" s="37">
        <f t="shared" si="14"/>
        <v>22.5</v>
      </c>
      <c r="G166" s="217"/>
      <c r="H166" s="43"/>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row>
    <row r="167" spans="1:62" ht="14.45" customHeight="1" x14ac:dyDescent="0.25">
      <c r="A167" s="11" t="s">
        <v>833</v>
      </c>
      <c r="B167" s="203" t="s">
        <v>169</v>
      </c>
      <c r="C167" s="400" t="s">
        <v>52</v>
      </c>
      <c r="D167" s="401">
        <v>1</v>
      </c>
      <c r="E167" s="333">
        <f>SCS_Disphol_Med</f>
        <v>14</v>
      </c>
      <c r="F167" s="37">
        <f t="shared" si="14"/>
        <v>14</v>
      </c>
      <c r="G167" s="399"/>
      <c r="H167" s="43"/>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row>
    <row r="168" spans="1:62" ht="14.45" customHeight="1" x14ac:dyDescent="0.25">
      <c r="A168" s="6" t="s">
        <v>502</v>
      </c>
      <c r="B168" s="203" t="s">
        <v>502</v>
      </c>
      <c r="C168" s="51" t="s">
        <v>838</v>
      </c>
      <c r="D168" s="205">
        <v>4</v>
      </c>
      <c r="E168" s="53">
        <v>4</v>
      </c>
      <c r="F168" s="19">
        <f>D168*E168</f>
        <v>16</v>
      </c>
      <c r="G168" s="398"/>
      <c r="H168" s="43"/>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row>
    <row r="169" spans="1:62" ht="14.45" customHeight="1" x14ac:dyDescent="0.25">
      <c r="A169" s="11" t="s">
        <v>502</v>
      </c>
      <c r="B169" s="203" t="s">
        <v>502</v>
      </c>
      <c r="C169" s="51" t="s">
        <v>143</v>
      </c>
      <c r="D169" s="208">
        <v>10</v>
      </c>
      <c r="E169" s="22">
        <f>SRS_Wait_Amb_pp</f>
        <v>1.5</v>
      </c>
      <c r="F169" s="17">
        <f>D169*E169</f>
        <v>15</v>
      </c>
      <c r="G169" s="206"/>
      <c r="H169" s="43"/>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row>
    <row r="170" spans="1:62" ht="14.45" customHeight="1" x14ac:dyDescent="0.25">
      <c r="A170" s="11" t="s">
        <v>502</v>
      </c>
      <c r="B170" s="203" t="s">
        <v>502</v>
      </c>
      <c r="C170" s="51" t="s">
        <v>139</v>
      </c>
      <c r="D170" s="208">
        <v>5</v>
      </c>
      <c r="E170" s="22">
        <f>SRS_Wait_Child_pp</f>
        <v>3</v>
      </c>
      <c r="F170" s="17">
        <f t="shared" ref="F170:F171" si="15">D170*E170</f>
        <v>15</v>
      </c>
      <c r="G170" s="206"/>
      <c r="H170" s="43"/>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row>
    <row r="171" spans="1:62" ht="14.45" customHeight="1" x14ac:dyDescent="0.25">
      <c r="A171" s="11" t="s">
        <v>502</v>
      </c>
      <c r="B171" s="203" t="s">
        <v>502</v>
      </c>
      <c r="C171" s="51" t="s">
        <v>146</v>
      </c>
      <c r="D171" s="208">
        <v>1</v>
      </c>
      <c r="E171" s="22">
        <f>SRS_WC_Access</f>
        <v>4.5</v>
      </c>
      <c r="F171" s="17">
        <f t="shared" si="15"/>
        <v>4.5</v>
      </c>
      <c r="G171" s="206"/>
      <c r="H171" s="43"/>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row>
    <row r="172" spans="1:62" ht="14.45" customHeight="1" x14ac:dyDescent="0.25">
      <c r="A172" s="11" t="s">
        <v>502</v>
      </c>
      <c r="B172" s="203" t="s">
        <v>502</v>
      </c>
      <c r="C172" s="51" t="s">
        <v>147</v>
      </c>
      <c r="D172" s="208">
        <v>1</v>
      </c>
      <c r="E172" s="22">
        <f>SRS_WC_Amb</f>
        <v>2.5</v>
      </c>
      <c r="F172" s="17">
        <f>D172*E172</f>
        <v>2.5</v>
      </c>
      <c r="G172" s="206"/>
      <c r="H172" s="43"/>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row>
    <row r="173" spans="1:62" ht="14.45" customHeight="1" x14ac:dyDescent="0.25">
      <c r="A173" s="11" t="s">
        <v>502</v>
      </c>
      <c r="B173" s="203" t="s">
        <v>502</v>
      </c>
      <c r="C173" s="51" t="s">
        <v>91</v>
      </c>
      <c r="D173" s="208">
        <v>1</v>
      </c>
      <c r="E173" s="22">
        <f>SRS_Change_Ambpt</f>
        <v>2</v>
      </c>
      <c r="F173" s="17">
        <f t="shared" ref="F173:F184" si="16">D173*E173</f>
        <v>2</v>
      </c>
      <c r="G173" s="206"/>
      <c r="H173" s="43"/>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row>
    <row r="174" spans="1:62" ht="14.45" customHeight="1" x14ac:dyDescent="0.25">
      <c r="A174" s="11" t="s">
        <v>502</v>
      </c>
      <c r="B174" s="203" t="s">
        <v>502</v>
      </c>
      <c r="C174" s="51" t="s">
        <v>89</v>
      </c>
      <c r="D174" s="208">
        <v>1</v>
      </c>
      <c r="E174" s="22">
        <f>SRS_Change_Accesspt</f>
        <v>4</v>
      </c>
      <c r="F174" s="17">
        <f t="shared" si="16"/>
        <v>4</v>
      </c>
      <c r="G174" s="206"/>
      <c r="H174" s="43"/>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row>
    <row r="175" spans="1:62" ht="14.45" customHeight="1" x14ac:dyDescent="0.25">
      <c r="A175" s="11" t="s">
        <v>502</v>
      </c>
      <c r="B175" s="203" t="s">
        <v>502</v>
      </c>
      <c r="C175" s="51" t="s">
        <v>839</v>
      </c>
      <c r="D175" s="208">
        <v>1</v>
      </c>
      <c r="E175" s="22">
        <v>3</v>
      </c>
      <c r="F175" s="17">
        <f t="shared" si="16"/>
        <v>3</v>
      </c>
      <c r="G175" s="206" t="s">
        <v>840</v>
      </c>
      <c r="H175" s="43"/>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row>
    <row r="176" spans="1:62" ht="14.45" customHeight="1" x14ac:dyDescent="0.25">
      <c r="A176" s="11" t="s">
        <v>502</v>
      </c>
      <c r="B176" s="203" t="s">
        <v>502</v>
      </c>
      <c r="C176" s="51" t="s">
        <v>106</v>
      </c>
      <c r="D176" s="208">
        <v>2</v>
      </c>
      <c r="E176" s="22">
        <f>SRS_Locker_4</f>
        <v>0.5</v>
      </c>
      <c r="F176" s="17">
        <f t="shared" si="16"/>
        <v>1</v>
      </c>
      <c r="G176" s="206"/>
      <c r="H176" s="43"/>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row>
    <row r="177" spans="1:62" ht="14.45" customHeight="1" x14ac:dyDescent="0.25">
      <c r="A177" s="11" t="s">
        <v>502</v>
      </c>
      <c r="B177" s="203" t="s">
        <v>502</v>
      </c>
      <c r="C177" s="204" t="s">
        <v>841</v>
      </c>
      <c r="D177" s="208">
        <v>3</v>
      </c>
      <c r="E177" s="22">
        <f>Imaging_Reporting_pp</f>
        <v>5.5</v>
      </c>
      <c r="F177" s="17">
        <f t="shared" si="16"/>
        <v>16.5</v>
      </c>
      <c r="G177" s="206"/>
      <c r="H177" s="43"/>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row>
    <row r="178" spans="1:62" x14ac:dyDescent="0.25">
      <c r="A178" s="11" t="s">
        <v>502</v>
      </c>
      <c r="B178" s="203" t="s">
        <v>502</v>
      </c>
      <c r="C178" s="51" t="s">
        <v>228</v>
      </c>
      <c r="D178" s="208">
        <v>2</v>
      </c>
      <c r="E178" s="22">
        <f>Imaging_Xray_General</f>
        <v>30</v>
      </c>
      <c r="F178" s="17">
        <f t="shared" si="16"/>
        <v>60</v>
      </c>
      <c r="G178" s="209"/>
      <c r="H178" s="43"/>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row>
    <row r="179" spans="1:62" x14ac:dyDescent="0.25">
      <c r="A179" s="11" t="s">
        <v>502</v>
      </c>
      <c r="B179" s="203" t="s">
        <v>502</v>
      </c>
      <c r="C179" s="379" t="s">
        <v>223</v>
      </c>
      <c r="D179" s="381">
        <v>1</v>
      </c>
      <c r="E179" s="22">
        <f>Imaging_Viewing</f>
        <v>16</v>
      </c>
      <c r="F179" s="17">
        <f t="shared" si="16"/>
        <v>16</v>
      </c>
      <c r="G179" s="209"/>
      <c r="H179" s="43"/>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row>
    <row r="180" spans="1:62" ht="14.45" customHeight="1" x14ac:dyDescent="0.25">
      <c r="A180" s="11" t="s">
        <v>502</v>
      </c>
      <c r="B180" s="203" t="s">
        <v>502</v>
      </c>
      <c r="C180" s="51" t="s">
        <v>202</v>
      </c>
      <c r="D180" s="208">
        <v>0</v>
      </c>
      <c r="E180" s="22">
        <f>Imaging_Ultrasound</f>
        <v>16</v>
      </c>
      <c r="F180" s="17">
        <f t="shared" si="16"/>
        <v>0</v>
      </c>
      <c r="G180" s="206" t="s">
        <v>842</v>
      </c>
      <c r="H180" s="43"/>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row>
    <row r="181" spans="1:62" ht="14.45" customHeight="1" x14ac:dyDescent="0.25">
      <c r="A181" s="11" t="s">
        <v>502</v>
      </c>
      <c r="B181" s="203" t="s">
        <v>502</v>
      </c>
      <c r="C181" s="51" t="s">
        <v>196</v>
      </c>
      <c r="D181" s="208">
        <v>1</v>
      </c>
      <c r="E181" s="22">
        <f>Imaging_CTscan</f>
        <v>38</v>
      </c>
      <c r="F181" s="17">
        <f t="shared" si="16"/>
        <v>38</v>
      </c>
      <c r="G181" s="206"/>
      <c r="H181" s="43"/>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row>
    <row r="182" spans="1:62" ht="14.45" customHeight="1" x14ac:dyDescent="0.25">
      <c r="A182" s="11" t="s">
        <v>502</v>
      </c>
      <c r="B182" s="203" t="s">
        <v>502</v>
      </c>
      <c r="C182" s="51" t="s">
        <v>195</v>
      </c>
      <c r="D182" s="208">
        <v>1</v>
      </c>
      <c r="E182" s="22">
        <f>Imaging_Control_Sngl</f>
        <v>16</v>
      </c>
      <c r="F182" s="17">
        <f t="shared" si="16"/>
        <v>16</v>
      </c>
      <c r="G182" s="206"/>
      <c r="H182" s="43"/>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row>
    <row r="183" spans="1:62" ht="14.45" customHeight="1" x14ac:dyDescent="0.25">
      <c r="A183" s="11" t="s">
        <v>502</v>
      </c>
      <c r="B183" s="203" t="s">
        <v>502</v>
      </c>
      <c r="C183" s="51" t="s">
        <v>203</v>
      </c>
      <c r="D183" s="208">
        <v>1</v>
      </c>
      <c r="E183" s="22">
        <f>Imaging_Hold_Leadapron</f>
        <v>0.5</v>
      </c>
      <c r="F183" s="17">
        <f t="shared" si="16"/>
        <v>0.5</v>
      </c>
      <c r="G183" s="206"/>
      <c r="H183" s="43"/>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row>
    <row r="184" spans="1:62" ht="15" customHeight="1" x14ac:dyDescent="0.25">
      <c r="A184" s="29" t="s">
        <v>502</v>
      </c>
      <c r="B184" s="203" t="s">
        <v>502</v>
      </c>
      <c r="C184" s="51" t="s">
        <v>843</v>
      </c>
      <c r="D184" s="214">
        <v>1</v>
      </c>
      <c r="E184" s="30">
        <v>10</v>
      </c>
      <c r="F184" s="17">
        <f t="shared" si="16"/>
        <v>10</v>
      </c>
      <c r="G184" s="240"/>
      <c r="H184" s="43"/>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row>
    <row r="185" spans="1:62" ht="15" customHeight="1" x14ac:dyDescent="0.25">
      <c r="A185" s="11" t="s">
        <v>845</v>
      </c>
      <c r="B185" s="203" t="s">
        <v>845</v>
      </c>
      <c r="C185" s="51" t="s">
        <v>74</v>
      </c>
      <c r="D185" s="208">
        <v>1</v>
      </c>
      <c r="E185" s="22">
        <f>SCS_POCT</f>
        <v>10</v>
      </c>
      <c r="F185" s="17">
        <f>E185*D185</f>
        <v>10</v>
      </c>
      <c r="G185" s="206" t="s">
        <v>846</v>
      </c>
      <c r="H185" s="43"/>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row>
    <row r="186" spans="1:62" ht="15" customHeight="1" x14ac:dyDescent="0.25">
      <c r="A186" s="11" t="s">
        <v>845</v>
      </c>
      <c r="B186" s="203" t="s">
        <v>845</v>
      </c>
      <c r="C186" s="51" t="s">
        <v>51</v>
      </c>
      <c r="D186" s="208">
        <v>1</v>
      </c>
      <c r="E186" s="22">
        <f>SCS_Disphold_Lrg</f>
        <v>20</v>
      </c>
      <c r="F186" s="17">
        <f>E186*D186</f>
        <v>20</v>
      </c>
      <c r="G186" s="206"/>
      <c r="H186" s="43"/>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row>
    <row r="187" spans="1:62" ht="15" customHeight="1" x14ac:dyDescent="0.25">
      <c r="A187" s="11" t="s">
        <v>845</v>
      </c>
      <c r="B187" s="203" t="s">
        <v>845</v>
      </c>
      <c r="C187" s="402" t="s">
        <v>93</v>
      </c>
      <c r="D187" s="285">
        <v>1</v>
      </c>
      <c r="E187" s="12">
        <f>SRS_Delivhub_Small</f>
        <v>4.5</v>
      </c>
      <c r="F187" s="23">
        <f>E187*D187</f>
        <v>4.5</v>
      </c>
      <c r="G187" s="403" t="s">
        <v>847</v>
      </c>
      <c r="H187" s="43"/>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row>
    <row r="188" spans="1:62" ht="14.45" customHeight="1" x14ac:dyDescent="0.25">
      <c r="A188" s="6" t="s">
        <v>505</v>
      </c>
      <c r="B188" s="203" t="s">
        <v>505</v>
      </c>
      <c r="C188" s="239" t="s">
        <v>132</v>
      </c>
      <c r="D188" s="241">
        <v>40</v>
      </c>
      <c r="E188" s="7">
        <f>SRS_Staffrestbev_pp</f>
        <v>1.5</v>
      </c>
      <c r="F188" s="19">
        <f>D188*E188</f>
        <v>60</v>
      </c>
      <c r="G188" s="242" t="s">
        <v>848</v>
      </c>
      <c r="H188" s="43"/>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row>
    <row r="189" spans="1:62" ht="14.45" customHeight="1" x14ac:dyDescent="0.25">
      <c r="A189" s="11" t="s">
        <v>505</v>
      </c>
      <c r="B189" s="203" t="s">
        <v>505</v>
      </c>
      <c r="C189" s="51" t="s">
        <v>106</v>
      </c>
      <c r="D189" s="387">
        <v>4</v>
      </c>
      <c r="E189" s="22">
        <f>SRS_Locker_4</f>
        <v>0.5</v>
      </c>
      <c r="F189" s="17">
        <f t="shared" ref="F189:F195" si="17">D189*E189</f>
        <v>2</v>
      </c>
      <c r="G189" s="386"/>
      <c r="H189" s="43"/>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row>
    <row r="190" spans="1:62" ht="14.45" customHeight="1" x14ac:dyDescent="0.25">
      <c r="A190" s="11" t="s">
        <v>505</v>
      </c>
      <c r="B190" s="203" t="s">
        <v>505</v>
      </c>
      <c r="C190" s="51" t="s">
        <v>147</v>
      </c>
      <c r="D190" s="223">
        <v>6</v>
      </c>
      <c r="E190" s="22">
        <f>SRS_WC_Amb</f>
        <v>2.5</v>
      </c>
      <c r="F190" s="17">
        <f t="shared" si="17"/>
        <v>15</v>
      </c>
      <c r="G190" s="206"/>
      <c r="H190" s="43"/>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row>
    <row r="191" spans="1:62" ht="14.45" customHeight="1" x14ac:dyDescent="0.25">
      <c r="A191" s="11" t="s">
        <v>505</v>
      </c>
      <c r="B191" s="203" t="s">
        <v>505</v>
      </c>
      <c r="C191" s="51" t="s">
        <v>134</v>
      </c>
      <c r="D191" s="223">
        <v>2</v>
      </c>
      <c r="E191" s="22">
        <f>SRS_Staff_Shower</f>
        <v>3</v>
      </c>
      <c r="F191" s="17">
        <f t="shared" si="17"/>
        <v>6</v>
      </c>
      <c r="G191" s="206"/>
      <c r="H191" s="43"/>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row>
    <row r="192" spans="1:62" ht="14.45" customHeight="1" x14ac:dyDescent="0.25">
      <c r="A192" s="11" t="s">
        <v>505</v>
      </c>
      <c r="B192" s="203" t="s">
        <v>505</v>
      </c>
      <c r="C192" s="51" t="s">
        <v>130</v>
      </c>
      <c r="D192" s="387">
        <v>5</v>
      </c>
      <c r="E192" s="22">
        <f>SRS_Staffchange_pp</f>
        <v>2.5</v>
      </c>
      <c r="F192" s="17">
        <f t="shared" si="17"/>
        <v>12.5</v>
      </c>
      <c r="G192" s="206" t="s">
        <v>849</v>
      </c>
      <c r="H192" s="43"/>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row>
    <row r="193" spans="1:64" ht="14.45" customHeight="1" x14ac:dyDescent="0.25">
      <c r="A193" s="11" t="s">
        <v>505</v>
      </c>
      <c r="B193" s="203" t="s">
        <v>505</v>
      </c>
      <c r="C193" s="51" t="s">
        <v>348</v>
      </c>
      <c r="D193" s="223">
        <v>15</v>
      </c>
      <c r="E193" s="22">
        <f>Staff_Workstn_pp</f>
        <v>4.5</v>
      </c>
      <c r="F193" s="17">
        <f t="shared" si="17"/>
        <v>67.5</v>
      </c>
      <c r="G193" s="206"/>
      <c r="H193" s="43"/>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row>
    <row r="194" spans="1:64" ht="14.45" customHeight="1" x14ac:dyDescent="0.25">
      <c r="A194" s="11" t="s">
        <v>505</v>
      </c>
      <c r="B194" s="203" t="s">
        <v>505</v>
      </c>
      <c r="C194" s="51" t="s">
        <v>60</v>
      </c>
      <c r="D194" s="223">
        <v>1</v>
      </c>
      <c r="E194" s="22">
        <f>SCS_Interview</f>
        <v>10</v>
      </c>
      <c r="F194" s="17">
        <f t="shared" si="17"/>
        <v>10</v>
      </c>
      <c r="G194" s="206"/>
      <c r="H194" s="43"/>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row>
    <row r="195" spans="1:64" ht="14.45" customHeight="1" x14ac:dyDescent="0.25">
      <c r="A195" s="11" t="s">
        <v>505</v>
      </c>
      <c r="B195" s="203" t="s">
        <v>505</v>
      </c>
      <c r="C195" s="51" t="s">
        <v>124</v>
      </c>
      <c r="D195" s="223">
        <v>1</v>
      </c>
      <c r="E195" s="22">
        <f>SRS_Seminar_15</f>
        <v>30</v>
      </c>
      <c r="F195" s="17">
        <f t="shared" si="17"/>
        <v>30</v>
      </c>
      <c r="G195" s="206"/>
      <c r="H195" s="43"/>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row>
    <row r="196" spans="1:64" x14ac:dyDescent="0.25">
      <c r="A196" s="4"/>
      <c r="B196" s="4"/>
      <c r="C196" s="4"/>
      <c r="D196" s="1"/>
      <c r="E196" s="243"/>
      <c r="F196" s="41"/>
      <c r="G196" s="244"/>
      <c r="H196" s="244"/>
      <c r="I196" s="43"/>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row>
    <row r="197" spans="1:64" x14ac:dyDescent="0.25">
      <c r="A197" s="4"/>
      <c r="B197" s="4"/>
      <c r="C197" s="4"/>
      <c r="D197" s="1"/>
      <c r="E197" s="1"/>
      <c r="F197" s="2"/>
      <c r="G197" s="4"/>
      <c r="H197" s="4"/>
      <c r="I197" s="43"/>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row>
    <row r="198" spans="1:64" x14ac:dyDescent="0.25">
      <c r="A198" s="2"/>
      <c r="B198" s="2"/>
      <c r="C198" s="2"/>
      <c r="D198" s="2"/>
      <c r="E198" s="2"/>
      <c r="F198" s="2"/>
      <c r="G198" s="4"/>
      <c r="H198" s="2"/>
      <c r="I198" s="43"/>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row>
    <row r="199" spans="1:64" x14ac:dyDescent="0.25">
      <c r="A199" s="2"/>
      <c r="B199" s="2"/>
      <c r="C199" s="2"/>
      <c r="D199" s="2"/>
      <c r="E199" s="2"/>
      <c r="F199" s="2"/>
      <c r="G199" s="4"/>
      <c r="H199" s="2"/>
      <c r="I199" s="43"/>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row>
    <row r="200" spans="1:64" x14ac:dyDescent="0.25">
      <c r="A200" s="2"/>
      <c r="B200" s="2"/>
      <c r="C200" s="2"/>
      <c r="D200" s="2"/>
      <c r="E200" s="2"/>
      <c r="F200" s="2"/>
      <c r="G200" s="4"/>
      <c r="H200" s="2"/>
      <c r="I200" s="43"/>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row>
    <row r="201" spans="1:64" x14ac:dyDescent="0.25">
      <c r="A201" s="2"/>
      <c r="B201" s="2"/>
      <c r="C201" s="2"/>
      <c r="D201" s="2"/>
      <c r="E201" s="2"/>
      <c r="F201" s="2"/>
      <c r="G201" s="4"/>
      <c r="H201" s="2"/>
      <c r="I201" s="43"/>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row>
    <row r="202" spans="1:64" x14ac:dyDescent="0.25">
      <c r="A202" s="2"/>
      <c r="B202" s="2"/>
      <c r="C202" s="2"/>
      <c r="D202" s="2"/>
      <c r="E202" s="2"/>
      <c r="F202" s="2"/>
      <c r="G202" s="4"/>
      <c r="H202" s="2"/>
      <c r="I202" s="43"/>
      <c r="J202" s="2"/>
      <c r="K202" s="2"/>
      <c r="L202" s="2"/>
      <c r="M202" s="2"/>
      <c r="N202" s="2"/>
      <c r="O202" s="2"/>
      <c r="P202" s="2"/>
      <c r="Q202" s="2"/>
      <c r="R202" s="2"/>
      <c r="S202" s="2"/>
      <c r="T202" s="2"/>
    </row>
    <row r="203" spans="1:64" x14ac:dyDescent="0.25">
      <c r="A203" s="2"/>
      <c r="B203" s="2"/>
      <c r="C203" s="2"/>
      <c r="D203" s="2"/>
      <c r="E203" s="2"/>
      <c r="F203" s="2"/>
      <c r="G203" s="4"/>
      <c r="H203" s="2"/>
      <c r="I203" s="43"/>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row>
    <row r="204" spans="1:64" x14ac:dyDescent="0.25">
      <c r="A204" s="2"/>
      <c r="B204" s="2"/>
      <c r="C204" s="2"/>
      <c r="D204" s="2"/>
      <c r="E204" s="2"/>
      <c r="F204" s="2"/>
      <c r="G204" s="4"/>
      <c r="H204" s="2"/>
      <c r="I204" s="43"/>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row>
    <row r="205" spans="1:64" x14ac:dyDescent="0.25">
      <c r="A205" s="2"/>
      <c r="B205" s="2"/>
      <c r="C205" s="2"/>
      <c r="D205" s="2"/>
      <c r="E205" s="2"/>
      <c r="F205" s="2"/>
      <c r="G205" s="4"/>
      <c r="H205" s="2"/>
      <c r="I205" s="43"/>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row>
    <row r="206" spans="1:64" x14ac:dyDescent="0.25">
      <c r="A206" s="2"/>
      <c r="B206" s="2"/>
      <c r="C206" s="2"/>
      <c r="D206" s="2"/>
      <c r="E206" s="2"/>
      <c r="F206" s="2"/>
      <c r="G206" s="4"/>
      <c r="H206" s="2"/>
      <c r="I206" s="43"/>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row>
    <row r="207" spans="1:64" x14ac:dyDescent="0.25">
      <c r="A207" s="2"/>
      <c r="B207" s="2"/>
      <c r="C207" s="2"/>
      <c r="D207" s="2"/>
      <c r="E207" s="2"/>
      <c r="F207" s="2"/>
      <c r="G207" s="4"/>
      <c r="H207" s="2"/>
      <c r="I207" s="43"/>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row>
    <row r="208" spans="1:64" x14ac:dyDescent="0.25">
      <c r="A208" s="2"/>
      <c r="B208" s="2"/>
      <c r="C208" s="2"/>
      <c r="D208" s="2"/>
      <c r="E208" s="2"/>
      <c r="F208" s="2"/>
      <c r="G208" s="4"/>
      <c r="H208" s="2"/>
      <c r="I208" s="43"/>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row>
    <row r="209" spans="1:60" x14ac:dyDescent="0.25">
      <c r="A209" s="2"/>
      <c r="B209" s="2"/>
      <c r="C209" s="2"/>
      <c r="D209" s="2"/>
      <c r="E209" s="2"/>
      <c r="F209" s="2"/>
      <c r="G209" s="4"/>
      <c r="H209" s="2"/>
      <c r="I209" s="43"/>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row>
    <row r="210" spans="1:60" x14ac:dyDescent="0.25">
      <c r="A210" s="2"/>
      <c r="B210" s="2"/>
      <c r="C210" s="2"/>
      <c r="D210" s="2"/>
      <c r="E210" s="2"/>
      <c r="F210" s="2"/>
      <c r="G210" s="4"/>
      <c r="H210" s="2"/>
      <c r="I210" s="43"/>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row>
    <row r="211" spans="1:60" x14ac:dyDescent="0.25">
      <c r="A211" s="2"/>
      <c r="B211" s="2"/>
      <c r="C211" s="2"/>
      <c r="D211" s="2"/>
      <c r="E211" s="2"/>
      <c r="F211" s="2"/>
      <c r="G211" s="4"/>
      <c r="H211" s="2"/>
      <c r="I211" s="43"/>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row>
    <row r="212" spans="1:60" x14ac:dyDescent="0.25">
      <c r="A212" s="2"/>
      <c r="B212" s="2"/>
      <c r="C212" s="2"/>
      <c r="D212" s="2"/>
      <c r="E212" s="2"/>
      <c r="F212" s="2"/>
      <c r="G212" s="4"/>
      <c r="H212" s="2"/>
      <c r="I212" s="43"/>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row>
    <row r="213" spans="1:60" x14ac:dyDescent="0.25">
      <c r="A213" s="2"/>
      <c r="B213" s="2"/>
      <c r="C213" s="2"/>
      <c r="D213" s="2"/>
      <c r="E213" s="2"/>
      <c r="F213" s="2"/>
      <c r="G213" s="4"/>
      <c r="H213" s="2"/>
      <c r="I213" s="43"/>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row>
    <row r="214" spans="1:60" x14ac:dyDescent="0.25">
      <c r="A214" s="2"/>
      <c r="B214" s="2"/>
      <c r="C214" s="2"/>
      <c r="D214" s="2"/>
      <c r="E214" s="2"/>
      <c r="F214" s="2"/>
      <c r="G214" s="4"/>
      <c r="H214" s="2"/>
      <c r="I214" s="43"/>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row>
    <row r="215" spans="1:60" x14ac:dyDescent="0.25">
      <c r="A215" s="4"/>
      <c r="B215" s="4"/>
      <c r="C215" s="4"/>
      <c r="D215" s="1"/>
      <c r="F215" s="2"/>
      <c r="G215" s="4"/>
      <c r="H215" s="4"/>
      <c r="I215" s="43"/>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row>
    <row r="216" spans="1:60" x14ac:dyDescent="0.25">
      <c r="A216" s="4"/>
      <c r="B216" s="4"/>
      <c r="C216" s="4"/>
      <c r="D216" s="1"/>
      <c r="E216" s="2"/>
      <c r="F216" s="2"/>
      <c r="G216" s="4"/>
      <c r="H216" s="4"/>
      <c r="I216" s="43"/>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row>
    <row r="217" spans="1:60" x14ac:dyDescent="0.25">
      <c r="A217" s="4"/>
      <c r="B217" s="4"/>
      <c r="C217" s="4"/>
      <c r="D217" s="1"/>
      <c r="E217" s="2"/>
      <c r="F217" s="2"/>
      <c r="G217" s="482"/>
      <c r="H217" s="4"/>
      <c r="I217" s="43"/>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row>
    <row r="218" spans="1:60" x14ac:dyDescent="0.25">
      <c r="A218" s="4"/>
      <c r="B218" s="4"/>
      <c r="C218" s="4"/>
      <c r="D218" s="1"/>
      <c r="E218" s="2"/>
      <c r="F218" s="2"/>
      <c r="G218" s="4"/>
      <c r="H218" s="4"/>
      <c r="I218" s="43"/>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row>
    <row r="219" spans="1:60" x14ac:dyDescent="0.25">
      <c r="A219" s="4"/>
      <c r="B219" s="4"/>
      <c r="C219" s="4"/>
      <c r="D219" s="1"/>
      <c r="E219" s="2"/>
      <c r="F219" s="2"/>
      <c r="G219" s="4"/>
      <c r="H219" s="4"/>
      <c r="I219" s="43"/>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row>
    <row r="220" spans="1:60" x14ac:dyDescent="0.25">
      <c r="A220" s="4"/>
      <c r="B220" s="4"/>
      <c r="C220" s="4"/>
      <c r="D220" s="1"/>
      <c r="E220" s="2"/>
      <c r="F220" s="2"/>
      <c r="G220" s="4"/>
      <c r="H220" s="4"/>
      <c r="I220" s="43"/>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row>
    <row r="221" spans="1:60" x14ac:dyDescent="0.25">
      <c r="A221" s="4"/>
      <c r="B221" s="4"/>
      <c r="C221" s="4"/>
      <c r="D221" s="1"/>
      <c r="E221" s="2"/>
      <c r="F221" s="2"/>
      <c r="G221" s="4"/>
      <c r="H221" s="4"/>
      <c r="I221" s="43"/>
      <c r="J221" s="245"/>
      <c r="K221" s="246"/>
      <c r="L221" s="247"/>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row>
    <row r="222" spans="1:60" x14ac:dyDescent="0.25">
      <c r="A222" s="4"/>
      <c r="B222" s="4"/>
      <c r="C222" s="4"/>
      <c r="D222" s="1"/>
      <c r="E222" s="2"/>
      <c r="F222" s="2"/>
      <c r="G222" s="4"/>
      <c r="H222" s="4"/>
      <c r="I222" s="43"/>
      <c r="J222" s="248"/>
      <c r="K222" s="249"/>
      <c r="L222" s="250"/>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row>
    <row r="223" spans="1:60" x14ac:dyDescent="0.25">
      <c r="A223" s="4"/>
      <c r="B223" s="4"/>
      <c r="C223" s="4"/>
      <c r="D223" s="1"/>
      <c r="E223" s="2"/>
      <c r="F223" s="2"/>
      <c r="G223" s="4"/>
      <c r="H223" s="4"/>
      <c r="I223" s="43"/>
      <c r="J223" s="245" t="s">
        <v>850</v>
      </c>
      <c r="K223" s="246">
        <v>1.8</v>
      </c>
      <c r="L223" s="251">
        <v>56</v>
      </c>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row>
    <row r="224" spans="1:60" x14ac:dyDescent="0.25">
      <c r="A224" s="4"/>
      <c r="B224" s="4"/>
      <c r="C224" s="4"/>
      <c r="D224" s="1"/>
      <c r="E224" s="2"/>
      <c r="F224" s="2"/>
      <c r="G224" s="4"/>
      <c r="H224" s="4"/>
      <c r="I224" s="43"/>
      <c r="J224" s="245" t="s">
        <v>850</v>
      </c>
      <c r="K224" s="246">
        <v>2</v>
      </c>
      <c r="L224" s="251">
        <v>4</v>
      </c>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row>
    <row r="225" spans="1:60" x14ac:dyDescent="0.25">
      <c r="A225" s="4"/>
      <c r="B225" s="4"/>
      <c r="C225" s="4"/>
      <c r="D225" s="1"/>
      <c r="E225" s="2"/>
      <c r="F225" s="2"/>
      <c r="G225" s="4"/>
      <c r="H225" s="4"/>
      <c r="I225" s="43"/>
      <c r="J225" s="245" t="s">
        <v>850</v>
      </c>
      <c r="K225" s="246">
        <v>4.5</v>
      </c>
      <c r="L225" s="251">
        <v>1</v>
      </c>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row>
    <row r="226" spans="1:60" x14ac:dyDescent="0.25">
      <c r="A226" s="4"/>
      <c r="B226" s="4"/>
      <c r="C226" s="4"/>
      <c r="D226" s="1"/>
      <c r="E226" s="2"/>
      <c r="F226" s="2"/>
      <c r="G226" s="4"/>
      <c r="H226" s="4"/>
      <c r="I226" s="43"/>
      <c r="J226" s="245" t="s">
        <v>851</v>
      </c>
      <c r="K226" s="246">
        <v>60</v>
      </c>
      <c r="L226" s="251">
        <v>1</v>
      </c>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row>
    <row r="227" spans="1:60" x14ac:dyDescent="0.25">
      <c r="A227" s="4"/>
      <c r="B227" s="4"/>
      <c r="C227" s="4"/>
      <c r="D227" s="1"/>
      <c r="E227" s="2"/>
      <c r="F227" s="2"/>
      <c r="G227" s="4"/>
      <c r="H227" s="4"/>
      <c r="I227" s="43"/>
      <c r="J227" s="245" t="s">
        <v>850</v>
      </c>
      <c r="K227" s="246">
        <v>16</v>
      </c>
      <c r="L227" s="251">
        <v>1</v>
      </c>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row>
    <row r="228" spans="1:60" x14ac:dyDescent="0.25">
      <c r="A228" s="4"/>
      <c r="B228" s="4"/>
      <c r="C228" s="4"/>
      <c r="D228" s="1"/>
      <c r="E228" s="2"/>
      <c r="F228" s="2"/>
      <c r="G228" s="4"/>
      <c r="H228" s="4"/>
      <c r="I228" s="43"/>
      <c r="J228" s="248"/>
      <c r="K228" s="249"/>
      <c r="L228" s="250"/>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row>
    <row r="229" spans="1:60" x14ac:dyDescent="0.25">
      <c r="A229" s="4"/>
      <c r="B229" s="4"/>
      <c r="C229" s="4"/>
      <c r="D229" s="1"/>
      <c r="E229" s="2"/>
      <c r="F229" s="2"/>
      <c r="G229" s="4"/>
      <c r="H229" s="4"/>
      <c r="I229" s="43"/>
      <c r="J229" s="245" t="s">
        <v>850</v>
      </c>
      <c r="K229" s="246">
        <v>135</v>
      </c>
      <c r="L229" s="251">
        <v>1</v>
      </c>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row>
    <row r="230" spans="1:60" x14ac:dyDescent="0.25">
      <c r="A230" s="4"/>
      <c r="B230" s="4"/>
      <c r="C230" s="4"/>
      <c r="D230" s="1"/>
      <c r="E230" s="2"/>
      <c r="F230" s="2"/>
      <c r="G230" s="4"/>
      <c r="H230" s="4"/>
      <c r="I230" s="43"/>
      <c r="J230" s="245" t="s">
        <v>850</v>
      </c>
      <c r="K230" s="246">
        <v>9</v>
      </c>
      <c r="L230" s="251">
        <v>1</v>
      </c>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row>
    <row r="231" spans="1:60" x14ac:dyDescent="0.25">
      <c r="A231" s="4"/>
      <c r="B231" s="4"/>
      <c r="C231" s="4"/>
      <c r="D231" s="1"/>
      <c r="E231" s="2"/>
      <c r="F231" s="2"/>
      <c r="G231" s="4"/>
      <c r="H231" s="4"/>
      <c r="I231" s="43"/>
      <c r="J231" s="245" t="s">
        <v>850</v>
      </c>
      <c r="K231" s="246">
        <v>21</v>
      </c>
      <c r="L231" s="251">
        <v>1</v>
      </c>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row>
    <row r="232" spans="1:60" x14ac:dyDescent="0.25">
      <c r="A232" s="4"/>
      <c r="B232" s="4"/>
      <c r="C232" s="4"/>
      <c r="D232" s="1"/>
      <c r="E232" s="2"/>
      <c r="F232" s="2"/>
      <c r="G232" s="4"/>
      <c r="H232" s="4"/>
      <c r="I232" s="43"/>
      <c r="J232" s="245" t="s">
        <v>850</v>
      </c>
      <c r="K232" s="246">
        <v>8</v>
      </c>
      <c r="L232" s="251">
        <v>1</v>
      </c>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row>
    <row r="233" spans="1:60" x14ac:dyDescent="0.25">
      <c r="A233" s="4"/>
      <c r="B233" s="4"/>
      <c r="C233" s="4"/>
      <c r="D233" s="1"/>
      <c r="E233" s="2"/>
      <c r="F233" s="2"/>
      <c r="G233" s="4"/>
      <c r="H233" s="4"/>
      <c r="I233" s="43"/>
      <c r="J233" s="245" t="s">
        <v>850</v>
      </c>
      <c r="K233" s="246">
        <v>8</v>
      </c>
      <c r="L233" s="251">
        <v>5</v>
      </c>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row>
    <row r="234" spans="1:60" x14ac:dyDescent="0.25">
      <c r="A234" s="4"/>
      <c r="B234" s="4"/>
      <c r="C234" s="4"/>
      <c r="D234" s="1"/>
      <c r="E234" s="2"/>
      <c r="F234" s="2"/>
      <c r="G234" s="4"/>
      <c r="H234" s="4"/>
      <c r="I234" s="43"/>
      <c r="J234" s="245" t="s">
        <v>850</v>
      </c>
      <c r="K234" s="246">
        <v>36</v>
      </c>
      <c r="L234" s="251">
        <v>1</v>
      </c>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row>
    <row r="235" spans="1:60" x14ac:dyDescent="0.25">
      <c r="A235" s="4"/>
      <c r="B235" s="4"/>
      <c r="C235" s="4"/>
      <c r="D235" s="1"/>
      <c r="E235" s="2"/>
      <c r="F235" s="2"/>
      <c r="G235" s="4"/>
      <c r="H235" s="4"/>
      <c r="I235" s="43"/>
      <c r="J235" s="245" t="s">
        <v>850</v>
      </c>
      <c r="K235" s="246">
        <v>16</v>
      </c>
      <c r="L235" s="251">
        <v>1</v>
      </c>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row>
    <row r="236" spans="1:60" x14ac:dyDescent="0.25">
      <c r="A236" s="4"/>
      <c r="B236" s="4"/>
      <c r="C236" s="4"/>
      <c r="D236" s="1"/>
      <c r="E236" s="2"/>
      <c r="F236" s="2"/>
      <c r="G236" s="4"/>
      <c r="H236" s="4"/>
      <c r="I236" s="43"/>
      <c r="J236" s="245" t="s">
        <v>850</v>
      </c>
      <c r="K236" s="246">
        <v>8</v>
      </c>
      <c r="L236" s="247">
        <v>1</v>
      </c>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row>
    <row r="237" spans="1:60" x14ac:dyDescent="0.25">
      <c r="A237" s="4"/>
      <c r="B237" s="4"/>
      <c r="C237" s="4"/>
      <c r="D237" s="1"/>
      <c r="E237" s="2"/>
      <c r="F237" s="2"/>
      <c r="G237" s="4"/>
      <c r="H237" s="4"/>
      <c r="I237" s="43"/>
      <c r="J237" s="245" t="s">
        <v>850</v>
      </c>
      <c r="K237" s="246">
        <v>0.5</v>
      </c>
      <c r="L237" s="251">
        <v>1</v>
      </c>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row>
    <row r="238" spans="1:60" x14ac:dyDescent="0.25">
      <c r="A238" s="4"/>
      <c r="B238" s="4"/>
      <c r="C238" s="4"/>
      <c r="D238" s="1"/>
      <c r="E238" s="2"/>
      <c r="F238" s="2"/>
      <c r="G238" s="4"/>
      <c r="H238" s="4"/>
      <c r="I238" s="43"/>
      <c r="J238" s="245" t="s">
        <v>850</v>
      </c>
      <c r="K238" s="246">
        <v>30</v>
      </c>
      <c r="L238" s="251">
        <v>2</v>
      </c>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row>
    <row r="239" spans="1:60" x14ac:dyDescent="0.25">
      <c r="A239" s="4"/>
      <c r="B239" s="4"/>
      <c r="C239" s="4"/>
      <c r="D239" s="1"/>
      <c r="E239" s="2"/>
      <c r="F239" s="2"/>
      <c r="G239" s="4"/>
      <c r="H239" s="4"/>
      <c r="I239" s="43"/>
      <c r="J239" s="245" t="s">
        <v>850</v>
      </c>
      <c r="K239" s="246">
        <v>8</v>
      </c>
      <c r="L239" s="251">
        <v>1</v>
      </c>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row>
    <row r="240" spans="1:60" x14ac:dyDescent="0.25">
      <c r="A240" s="4"/>
      <c r="B240" s="4"/>
      <c r="C240" s="4"/>
      <c r="D240" s="1"/>
      <c r="E240" s="2"/>
      <c r="F240" s="2"/>
      <c r="G240" s="4"/>
      <c r="H240" s="4"/>
      <c r="I240" s="43"/>
      <c r="J240" s="245" t="s">
        <v>850</v>
      </c>
      <c r="K240" s="246">
        <v>1.95</v>
      </c>
      <c r="L240" s="251">
        <v>10</v>
      </c>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row>
    <row r="241" spans="1:60" x14ac:dyDescent="0.25">
      <c r="A241" s="4"/>
      <c r="B241" s="4"/>
      <c r="C241" s="4"/>
      <c r="D241" s="1"/>
      <c r="E241" s="2"/>
      <c r="F241" s="2"/>
      <c r="G241" s="4"/>
      <c r="H241" s="4"/>
      <c r="I241" s="43"/>
      <c r="J241" s="245" t="s">
        <v>850</v>
      </c>
      <c r="K241" s="246">
        <v>8</v>
      </c>
      <c r="L241" s="251">
        <v>4</v>
      </c>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row>
    <row r="242" spans="1:60" x14ac:dyDescent="0.25">
      <c r="A242" s="4"/>
      <c r="B242" s="4"/>
      <c r="C242" s="4"/>
      <c r="D242" s="1"/>
      <c r="E242" s="2"/>
      <c r="F242" s="2"/>
      <c r="G242" s="4"/>
      <c r="H242" s="4"/>
      <c r="I242" s="43"/>
      <c r="J242" s="245" t="s">
        <v>850</v>
      </c>
      <c r="K242" s="246">
        <v>4.5</v>
      </c>
      <c r="L242" s="247">
        <v>1</v>
      </c>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row>
    <row r="243" spans="1:60" ht="15" thickBot="1" x14ac:dyDescent="0.3">
      <c r="A243" s="4"/>
      <c r="B243" s="4"/>
      <c r="C243" s="4"/>
      <c r="D243" s="1"/>
      <c r="E243" s="2"/>
      <c r="F243" s="2"/>
      <c r="G243" s="4"/>
      <c r="H243" s="4"/>
      <c r="I243" s="43"/>
      <c r="J243" s="252"/>
      <c r="K243" s="253"/>
      <c r="L243" s="254"/>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row>
    <row r="244" spans="1:60" x14ac:dyDescent="0.25">
      <c r="A244" s="4"/>
      <c r="B244" s="4"/>
      <c r="C244" s="4"/>
      <c r="D244" s="1"/>
      <c r="E244" s="2"/>
      <c r="F244" s="2"/>
      <c r="G244" s="4"/>
      <c r="H244" s="4"/>
      <c r="I244" s="43"/>
      <c r="J244" s="255"/>
      <c r="K244" s="256"/>
      <c r="L244" s="257"/>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row>
    <row r="245" spans="1:60" x14ac:dyDescent="0.25">
      <c r="A245" s="4"/>
      <c r="B245" s="4"/>
      <c r="C245" s="4"/>
      <c r="D245" s="1"/>
      <c r="E245" s="2"/>
      <c r="F245" s="2"/>
      <c r="G245" s="4"/>
      <c r="H245" s="4"/>
      <c r="I245" s="43"/>
      <c r="J245" s="258" t="s">
        <v>852</v>
      </c>
      <c r="K245" s="259"/>
      <c r="L245" s="260"/>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row>
    <row r="246" spans="1:60" x14ac:dyDescent="0.25">
      <c r="A246" s="4"/>
      <c r="B246" s="4"/>
      <c r="C246" s="4"/>
      <c r="D246" s="1"/>
      <c r="E246" s="2"/>
      <c r="F246" s="2"/>
      <c r="G246" s="4"/>
      <c r="H246" s="4"/>
      <c r="I246" s="43"/>
      <c r="J246" s="261" t="s">
        <v>853</v>
      </c>
      <c r="K246" s="262"/>
      <c r="L246" s="263">
        <v>0.05</v>
      </c>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row>
    <row r="247" spans="1:60" x14ac:dyDescent="0.25">
      <c r="A247" s="4"/>
      <c r="B247" s="4"/>
      <c r="C247" s="4"/>
      <c r="D247" s="1"/>
      <c r="E247" s="2"/>
      <c r="F247" s="2"/>
      <c r="G247" s="4"/>
      <c r="H247" s="4"/>
      <c r="I247" s="43"/>
      <c r="J247" s="258" t="s">
        <v>854</v>
      </c>
      <c r="K247" s="262"/>
      <c r="L247" s="264"/>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row>
    <row r="248" spans="1:60" x14ac:dyDescent="0.25">
      <c r="A248" s="4"/>
      <c r="B248" s="4"/>
      <c r="C248" s="4"/>
      <c r="D248" s="1"/>
      <c r="E248" s="2"/>
      <c r="F248" s="2"/>
      <c r="G248" s="4"/>
      <c r="H248" s="4"/>
      <c r="I248" s="43"/>
      <c r="J248" s="261" t="s">
        <v>855</v>
      </c>
      <c r="K248" s="262"/>
      <c r="L248" s="263">
        <v>0.03</v>
      </c>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row>
    <row r="249" spans="1:60" x14ac:dyDescent="0.25">
      <c r="A249" s="4"/>
      <c r="B249" s="4"/>
      <c r="C249" s="4"/>
      <c r="D249" s="1"/>
      <c r="E249" s="2"/>
      <c r="F249" s="2"/>
      <c r="G249" s="4"/>
      <c r="H249" s="4"/>
      <c r="I249" s="43"/>
      <c r="J249" s="261" t="s">
        <v>856</v>
      </c>
      <c r="K249" s="262"/>
      <c r="L249" s="263">
        <v>0.3</v>
      </c>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row>
    <row r="250" spans="1:60" x14ac:dyDescent="0.25">
      <c r="A250" s="4"/>
      <c r="B250" s="4"/>
      <c r="C250" s="4"/>
      <c r="D250" s="1"/>
      <c r="E250" s="2"/>
      <c r="F250" s="2"/>
      <c r="G250" s="4"/>
      <c r="H250" s="4"/>
      <c r="I250" s="43"/>
      <c r="J250" s="258" t="s">
        <v>857</v>
      </c>
      <c r="K250" s="265"/>
      <c r="L250" s="260"/>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row>
    <row r="251" spans="1:60" x14ac:dyDescent="0.25">
      <c r="E251" s="2"/>
      <c r="F251" s="2"/>
      <c r="G251" s="4"/>
      <c r="H251" s="4"/>
      <c r="I251" s="43"/>
    </row>
    <row r="252" spans="1:60" x14ac:dyDescent="0.25">
      <c r="E252" s="2"/>
      <c r="F252" s="2"/>
      <c r="G252" s="4"/>
      <c r="H252" s="4"/>
      <c r="I252" s="43"/>
    </row>
    <row r="253" spans="1:60" x14ac:dyDescent="0.25">
      <c r="E253" s="2"/>
      <c r="F253" s="2"/>
      <c r="G253" s="4"/>
      <c r="H253" s="4"/>
      <c r="I253" s="43"/>
    </row>
    <row r="254" spans="1:60" x14ac:dyDescent="0.25">
      <c r="E254" s="2"/>
      <c r="F254" s="2"/>
      <c r="G254" s="4"/>
      <c r="H254" s="4"/>
      <c r="I254" s="43"/>
    </row>
    <row r="255" spans="1:60" x14ac:dyDescent="0.25">
      <c r="E255" s="2"/>
      <c r="F255" s="2"/>
      <c r="G255" s="4"/>
      <c r="H255" s="4"/>
      <c r="I255" s="43"/>
    </row>
    <row r="256" spans="1:60" x14ac:dyDescent="0.25">
      <c r="E256" s="2"/>
      <c r="F256" s="2"/>
      <c r="G256" s="4"/>
      <c r="H256" s="4"/>
      <c r="I256" s="43"/>
    </row>
    <row r="257" spans="5:9" x14ac:dyDescent="0.25">
      <c r="E257" s="2"/>
      <c r="F257" s="2"/>
      <c r="G257" s="4"/>
      <c r="H257" s="4"/>
      <c r="I257" s="43"/>
    </row>
    <row r="258" spans="5:9" x14ac:dyDescent="0.25">
      <c r="E258" s="2"/>
      <c r="F258" s="2"/>
      <c r="G258" s="4"/>
      <c r="H258" s="4"/>
      <c r="I258" s="43"/>
    </row>
    <row r="259" spans="5:9" x14ac:dyDescent="0.25">
      <c r="E259" s="2"/>
      <c r="F259" s="2"/>
      <c r="G259" s="4"/>
      <c r="H259" s="4"/>
      <c r="I259" s="43"/>
    </row>
    <row r="260" spans="5:9" x14ac:dyDescent="0.25">
      <c r="E260" s="2"/>
      <c r="F260" s="2"/>
      <c r="G260" s="4"/>
      <c r="H260" s="4"/>
      <c r="I260" s="43"/>
    </row>
    <row r="261" spans="5:9" x14ac:dyDescent="0.25">
      <c r="E261" s="2"/>
      <c r="F261" s="2"/>
      <c r="G261" s="4"/>
      <c r="H261" s="4"/>
      <c r="I261" s="43"/>
    </row>
    <row r="262" spans="5:9" x14ac:dyDescent="0.25">
      <c r="E262" s="2"/>
      <c r="F262" s="2"/>
      <c r="G262" s="4"/>
      <c r="H262" s="4"/>
      <c r="I262" s="43"/>
    </row>
    <row r="263" spans="5:9" x14ac:dyDescent="0.25">
      <c r="E263" s="2"/>
      <c r="F263" s="2"/>
      <c r="G263" s="4"/>
      <c r="H263" s="4"/>
      <c r="I263" s="43"/>
    </row>
    <row r="264" spans="5:9" x14ac:dyDescent="0.25">
      <c r="E264" s="2"/>
      <c r="F264" s="2"/>
      <c r="G264" s="4"/>
      <c r="H264" s="4"/>
      <c r="I264" s="43"/>
    </row>
    <row r="265" spans="5:9" x14ac:dyDescent="0.25">
      <c r="E265" s="2"/>
      <c r="F265" s="2"/>
      <c r="G265" s="4"/>
      <c r="H265" s="4"/>
      <c r="I265" s="43"/>
    </row>
    <row r="266" spans="5:9" x14ac:dyDescent="0.25">
      <c r="E266" s="2"/>
      <c r="F266" s="2"/>
      <c r="G266" s="4"/>
      <c r="H266" s="4"/>
      <c r="I266" s="43"/>
    </row>
    <row r="267" spans="5:9" x14ac:dyDescent="0.25">
      <c r="E267" s="2"/>
      <c r="F267" s="2"/>
      <c r="G267" s="4"/>
      <c r="H267" s="4"/>
      <c r="I267" s="43"/>
    </row>
    <row r="268" spans="5:9" x14ac:dyDescent="0.25">
      <c r="E268" s="2"/>
      <c r="F268" s="2"/>
      <c r="G268" s="4"/>
      <c r="H268" s="4"/>
      <c r="I268" s="43"/>
    </row>
    <row r="269" spans="5:9" x14ac:dyDescent="0.25">
      <c r="E269" s="2"/>
      <c r="F269" s="2"/>
      <c r="G269" s="4"/>
      <c r="H269" s="4"/>
      <c r="I269" s="43"/>
    </row>
    <row r="270" spans="5:9" x14ac:dyDescent="0.25">
      <c r="E270" s="2"/>
      <c r="F270" s="2"/>
      <c r="G270" s="4"/>
      <c r="H270" s="4"/>
      <c r="I270" s="43"/>
    </row>
    <row r="271" spans="5:9" x14ac:dyDescent="0.25">
      <c r="E271" s="2"/>
      <c r="F271" s="2"/>
      <c r="G271" s="4"/>
      <c r="H271" s="4"/>
      <c r="I271" s="43"/>
    </row>
    <row r="272" spans="5:9" x14ac:dyDescent="0.25">
      <c r="E272" s="2"/>
      <c r="F272" s="2"/>
      <c r="G272" s="4"/>
      <c r="H272" s="4"/>
      <c r="I272" s="43"/>
    </row>
    <row r="273" spans="9:9" x14ac:dyDescent="0.25">
      <c r="I273" s="43"/>
    </row>
    <row r="274" spans="9:9" x14ac:dyDescent="0.25">
      <c r="I274" s="43"/>
    </row>
    <row r="275" spans="9:9" x14ac:dyDescent="0.25">
      <c r="I275" s="43"/>
    </row>
    <row r="276" spans="9:9" x14ac:dyDescent="0.25">
      <c r="I276" s="43"/>
    </row>
    <row r="277" spans="9:9" x14ac:dyDescent="0.25">
      <c r="I277" s="43"/>
    </row>
    <row r="278" spans="9:9" x14ac:dyDescent="0.25">
      <c r="I278" s="43"/>
    </row>
    <row r="279" spans="9:9" x14ac:dyDescent="0.25">
      <c r="I279" s="43"/>
    </row>
    <row r="280" spans="9:9" x14ac:dyDescent="0.25">
      <c r="I280" s="43"/>
    </row>
    <row r="281" spans="9:9" x14ac:dyDescent="0.25">
      <c r="I281" s="43"/>
    </row>
    <row r="282" spans="9:9" x14ac:dyDescent="0.25">
      <c r="I282" s="43"/>
    </row>
    <row r="283" spans="9:9" x14ac:dyDescent="0.25">
      <c r="I283" s="43"/>
    </row>
    <row r="284" spans="9:9" x14ac:dyDescent="0.25">
      <c r="I284" s="43"/>
    </row>
    <row r="285" spans="9:9" x14ac:dyDescent="0.25">
      <c r="I285" s="43"/>
    </row>
    <row r="286" spans="9:9" x14ac:dyDescent="0.25">
      <c r="I286" s="43"/>
    </row>
    <row r="287" spans="9:9" x14ac:dyDescent="0.25">
      <c r="I287" s="43"/>
    </row>
    <row r="288" spans="9:9" x14ac:dyDescent="0.25">
      <c r="I288" s="43"/>
    </row>
    <row r="289" spans="9:9" x14ac:dyDescent="0.25">
      <c r="I289" s="43"/>
    </row>
  </sheetData>
  <conditionalFormatting sqref="K221">
    <cfRule type="expression" dxfId="4" priority="12" stopIfTrue="1">
      <formula>J221="hbn"</formula>
    </cfRule>
  </conditionalFormatting>
  <conditionalFormatting sqref="K221:K243">
    <cfRule type="expression" dxfId="3" priority="1" stopIfTrue="1">
      <formula>J221="project"</formula>
    </cfRule>
    <cfRule type="expression" dxfId="2" priority="2" stopIfTrue="1">
      <formula>J221="adcuris"</formula>
    </cfRule>
  </conditionalFormatting>
  <conditionalFormatting sqref="K223:K227">
    <cfRule type="expression" dxfId="1" priority="3" stopIfTrue="1">
      <formula>J223="hbn"</formula>
    </cfRule>
  </conditionalFormatting>
  <conditionalFormatting sqref="K229:K242">
    <cfRule type="expression" dxfId="0" priority="6" stopIfTrue="1">
      <formula>J229="hbn"</formula>
    </cfRule>
  </conditionalFormatting>
  <dataValidations count="3">
    <dataValidation type="list" allowBlank="1" showInputMessage="1" showErrorMessage="1" sqref="J204 J206:J208 J215:J221 J229:J242 J223:J227 J210:J213 I22:I24 I26:I32 J196:J202 I140:I194 I77:I137 I56:I74" xr:uid="{DC236C5D-409D-43FE-B33A-C2FDBE0B8451}">
      <formula1>#REF!</formula1>
    </dataValidation>
    <dataValidation type="list" allowBlank="1" showInputMessage="1" sqref="E89:E93" xr:uid="{2BCE1BD2-64C3-466D-8014-256FFF19E5C2}">
      <formula1>standardrooms</formula1>
    </dataValidation>
    <dataValidation type="list" allowBlank="1" showInputMessage="1" showErrorMessage="1" sqref="J204 J206:J208 J215:J221 J229:J242 J223:J227 J210:J213 I22:I24 I26:I32 J196:J202 I140:I194 I77:I137 I56:I74" xr:uid="{EC8444B3-477C-47E8-B509-544DC23DE582}">
      <formula1>SHP</formula1>
    </dataValidation>
  </dataValidations>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03C73-CC29-4E2F-94AF-87C4C4D4FDBB}">
  <sheetPr>
    <tabColor theme="0" tint="-0.14999847407452621"/>
  </sheetPr>
  <dimension ref="A1:BO222"/>
  <sheetViews>
    <sheetView topLeftCell="A25" zoomScale="70" zoomScaleNormal="70" workbookViewId="0">
      <selection activeCell="C27" sqref="C27"/>
    </sheetView>
  </sheetViews>
  <sheetFormatPr defaultColWidth="8.85546875" defaultRowHeight="14.25" x14ac:dyDescent="0.25"/>
  <cols>
    <col min="1" max="1" width="36.28515625" style="47" bestFit="1" customWidth="1"/>
    <col min="2" max="2" width="37" style="47" customWidth="1"/>
    <col min="3" max="3" width="52.42578125" style="47" bestFit="1" customWidth="1"/>
    <col min="4" max="4" width="10.5703125" style="55" bestFit="1" customWidth="1"/>
    <col min="5" max="5" width="10.85546875" style="54" bestFit="1" customWidth="1"/>
    <col min="6" max="6" width="11.85546875" style="54" bestFit="1" customWidth="1"/>
    <col min="7" max="7" width="91.42578125" style="47" bestFit="1" customWidth="1"/>
    <col min="8" max="16384" width="8.85546875" style="46"/>
  </cols>
  <sheetData>
    <row r="1" spans="1:67" s="448" customFormat="1" ht="15" x14ac:dyDescent="0.25">
      <c r="A1" s="466" t="s">
        <v>477</v>
      </c>
      <c r="B1" s="466" t="s">
        <v>1088</v>
      </c>
      <c r="C1" s="467" t="s">
        <v>1089</v>
      </c>
      <c r="D1" s="467" t="s">
        <v>1090</v>
      </c>
      <c r="E1" s="467" t="s">
        <v>1091</v>
      </c>
      <c r="F1" s="467" t="s">
        <v>1092</v>
      </c>
      <c r="G1" s="467" t="s">
        <v>19</v>
      </c>
    </row>
    <row r="2" spans="1:67" x14ac:dyDescent="0.2">
      <c r="A2" s="70" t="s">
        <v>511</v>
      </c>
      <c r="B2" s="70" t="s">
        <v>511</v>
      </c>
      <c r="C2" s="266" t="s">
        <v>120</v>
      </c>
      <c r="D2" s="297">
        <v>1</v>
      </c>
      <c r="E2" s="69">
        <f>SRS_Recept_pp</f>
        <v>5.5</v>
      </c>
      <c r="F2" s="68">
        <f>D2*E2</f>
        <v>5.5</v>
      </c>
      <c r="G2" s="199"/>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row>
    <row r="3" spans="1:67" x14ac:dyDescent="0.2">
      <c r="A3" s="65" t="s">
        <v>511</v>
      </c>
      <c r="B3" s="65" t="s">
        <v>511</v>
      </c>
      <c r="C3" s="266" t="s">
        <v>123</v>
      </c>
      <c r="D3" s="296">
        <v>4</v>
      </c>
      <c r="E3" s="67">
        <f>SRS_Selfcheckin</f>
        <v>2</v>
      </c>
      <c r="F3" s="66">
        <f t="shared" ref="F3:F12" si="0">D3*E3</f>
        <v>8</v>
      </c>
      <c r="G3" s="200"/>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row>
    <row r="4" spans="1:67" x14ac:dyDescent="0.2">
      <c r="A4" s="65" t="s">
        <v>511</v>
      </c>
      <c r="B4" s="65" t="s">
        <v>511</v>
      </c>
      <c r="C4" s="266" t="s">
        <v>60</v>
      </c>
      <c r="D4" s="296">
        <v>1</v>
      </c>
      <c r="E4" s="67">
        <f>SCS_Interview</f>
        <v>10</v>
      </c>
      <c r="F4" s="66">
        <f t="shared" si="0"/>
        <v>10</v>
      </c>
      <c r="G4" s="200"/>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row>
    <row r="5" spans="1:67" x14ac:dyDescent="0.2">
      <c r="A5" s="65" t="s">
        <v>511</v>
      </c>
      <c r="B5" s="65" t="s">
        <v>511</v>
      </c>
      <c r="C5" s="266" t="s">
        <v>858</v>
      </c>
      <c r="D5" s="296">
        <f>14*3</f>
        <v>42</v>
      </c>
      <c r="E5" s="67">
        <f>SRS_Wait_Amb_pp</f>
        <v>1.5</v>
      </c>
      <c r="F5" s="66">
        <f t="shared" si="0"/>
        <v>63</v>
      </c>
      <c r="G5" s="200" t="s">
        <v>859</v>
      </c>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row>
    <row r="6" spans="1:67" ht="14.25" customHeight="1" x14ac:dyDescent="0.2">
      <c r="A6" s="274" t="s">
        <v>511</v>
      </c>
      <c r="B6" s="274" t="s">
        <v>511</v>
      </c>
      <c r="C6" s="266" t="s">
        <v>139</v>
      </c>
      <c r="D6" s="296">
        <v>10</v>
      </c>
      <c r="E6" s="67">
        <f>SRS_Wait_Child_pp</f>
        <v>3</v>
      </c>
      <c r="F6" s="66">
        <f t="shared" si="0"/>
        <v>30</v>
      </c>
      <c r="G6" s="275" t="s">
        <v>328</v>
      </c>
      <c r="H6" s="267" t="s">
        <v>860</v>
      </c>
      <c r="I6" s="267" t="s">
        <v>860</v>
      </c>
      <c r="J6" s="267" t="s">
        <v>860</v>
      </c>
      <c r="K6" s="267" t="s">
        <v>860</v>
      </c>
      <c r="L6" s="267" t="s">
        <v>860</v>
      </c>
      <c r="M6" s="267" t="s">
        <v>860</v>
      </c>
      <c r="N6" s="267" t="s">
        <v>860</v>
      </c>
      <c r="O6" s="267" t="s">
        <v>860</v>
      </c>
      <c r="P6" s="267" t="s">
        <v>860</v>
      </c>
      <c r="Q6" s="267" t="s">
        <v>860</v>
      </c>
      <c r="R6" s="267" t="s">
        <v>860</v>
      </c>
      <c r="S6" s="267" t="s">
        <v>860</v>
      </c>
      <c r="T6" s="267" t="s">
        <v>860</v>
      </c>
      <c r="U6" s="267" t="s">
        <v>860</v>
      </c>
      <c r="V6" s="267" t="s">
        <v>860</v>
      </c>
      <c r="W6" s="267" t="s">
        <v>860</v>
      </c>
      <c r="X6" s="267" t="s">
        <v>860</v>
      </c>
      <c r="Y6" s="267" t="s">
        <v>860</v>
      </c>
      <c r="Z6" s="267" t="s">
        <v>860</v>
      </c>
      <c r="AA6" s="267" t="s">
        <v>860</v>
      </c>
      <c r="AB6" s="267" t="s">
        <v>860</v>
      </c>
      <c r="AC6" s="267" t="s">
        <v>860</v>
      </c>
      <c r="AD6" s="267" t="s">
        <v>860</v>
      </c>
      <c r="AE6" s="267" t="s">
        <v>860</v>
      </c>
      <c r="AF6" s="267" t="s">
        <v>860</v>
      </c>
      <c r="AG6" s="267" t="s">
        <v>860</v>
      </c>
      <c r="AH6" s="267" t="s">
        <v>860</v>
      </c>
      <c r="AI6" s="267" t="s">
        <v>860</v>
      </c>
      <c r="AJ6" s="267" t="s">
        <v>860</v>
      </c>
      <c r="AK6" s="267" t="s">
        <v>860</v>
      </c>
      <c r="AL6" s="267" t="s">
        <v>860</v>
      </c>
      <c r="AM6" s="267" t="s">
        <v>860</v>
      </c>
      <c r="AN6" s="267" t="s">
        <v>860</v>
      </c>
      <c r="AO6" s="267" t="s">
        <v>860</v>
      </c>
      <c r="AP6" s="267" t="s">
        <v>860</v>
      </c>
      <c r="AQ6" s="267" t="s">
        <v>860</v>
      </c>
      <c r="AR6" s="267" t="s">
        <v>860</v>
      </c>
      <c r="AS6" s="267" t="s">
        <v>860</v>
      </c>
      <c r="AT6" s="267" t="s">
        <v>860</v>
      </c>
      <c r="AU6" s="267" t="s">
        <v>860</v>
      </c>
      <c r="AV6" s="267" t="s">
        <v>860</v>
      </c>
      <c r="AW6" s="267" t="s">
        <v>860</v>
      </c>
      <c r="AX6" s="267" t="s">
        <v>860</v>
      </c>
      <c r="AY6" s="267" t="s">
        <v>860</v>
      </c>
      <c r="AZ6" s="267" t="s">
        <v>860</v>
      </c>
      <c r="BA6" s="267" t="s">
        <v>860</v>
      </c>
      <c r="BB6" s="267" t="s">
        <v>860</v>
      </c>
      <c r="BC6" s="267" t="s">
        <v>860</v>
      </c>
      <c r="BD6" s="267" t="s">
        <v>860</v>
      </c>
      <c r="BE6" s="267" t="s">
        <v>860</v>
      </c>
      <c r="BF6" s="267" t="s">
        <v>860</v>
      </c>
      <c r="BG6" s="267" t="s">
        <v>860</v>
      </c>
      <c r="BH6" s="267" t="s">
        <v>860</v>
      </c>
      <c r="BI6" s="267" t="s">
        <v>860</v>
      </c>
      <c r="BJ6" s="267" t="s">
        <v>860</v>
      </c>
      <c r="BK6" s="267" t="s">
        <v>860</v>
      </c>
      <c r="BL6" s="267" t="s">
        <v>860</v>
      </c>
      <c r="BM6" s="267" t="s">
        <v>860</v>
      </c>
      <c r="BN6" s="267" t="s">
        <v>860</v>
      </c>
      <c r="BO6" s="268"/>
    </row>
    <row r="7" spans="1:67" ht="14.25" customHeight="1" x14ac:dyDescent="0.2">
      <c r="A7" s="274" t="s">
        <v>511</v>
      </c>
      <c r="B7" s="274" t="s">
        <v>511</v>
      </c>
      <c r="C7" s="266" t="s">
        <v>861</v>
      </c>
      <c r="D7" s="296">
        <v>1</v>
      </c>
      <c r="E7" s="67">
        <f>Paeds_Playroom</f>
        <v>20</v>
      </c>
      <c r="F7" s="66">
        <f t="shared" si="0"/>
        <v>20</v>
      </c>
      <c r="G7" s="276" t="s">
        <v>860</v>
      </c>
      <c r="H7" s="267" t="s">
        <v>860</v>
      </c>
      <c r="I7" s="267" t="s">
        <v>860</v>
      </c>
      <c r="J7" s="267" t="s">
        <v>860</v>
      </c>
      <c r="K7" s="267" t="s">
        <v>860</v>
      </c>
      <c r="L7" s="267" t="s">
        <v>860</v>
      </c>
      <c r="M7" s="267" t="s">
        <v>860</v>
      </c>
      <c r="N7" s="267" t="s">
        <v>860</v>
      </c>
      <c r="O7" s="267" t="s">
        <v>860</v>
      </c>
      <c r="P7" s="267" t="s">
        <v>860</v>
      </c>
      <c r="Q7" s="267" t="s">
        <v>860</v>
      </c>
      <c r="R7" s="267" t="s">
        <v>860</v>
      </c>
      <c r="S7" s="267" t="s">
        <v>860</v>
      </c>
      <c r="T7" s="267" t="s">
        <v>860</v>
      </c>
      <c r="U7" s="267" t="s">
        <v>860</v>
      </c>
      <c r="V7" s="267" t="s">
        <v>860</v>
      </c>
      <c r="W7" s="267" t="s">
        <v>860</v>
      </c>
      <c r="X7" s="267" t="s">
        <v>860</v>
      </c>
      <c r="Y7" s="267" t="s">
        <v>860</v>
      </c>
      <c r="Z7" s="267" t="s">
        <v>860</v>
      </c>
      <c r="AA7" s="267" t="s">
        <v>860</v>
      </c>
      <c r="AB7" s="267" t="s">
        <v>860</v>
      </c>
      <c r="AC7" s="267" t="s">
        <v>860</v>
      </c>
      <c r="AD7" s="267" t="s">
        <v>860</v>
      </c>
      <c r="AE7" s="267" t="s">
        <v>860</v>
      </c>
      <c r="AF7" s="267" t="s">
        <v>860</v>
      </c>
      <c r="AG7" s="267" t="s">
        <v>860</v>
      </c>
      <c r="AH7" s="267" t="s">
        <v>860</v>
      </c>
      <c r="AI7" s="267" t="s">
        <v>860</v>
      </c>
      <c r="AJ7" s="267" t="s">
        <v>860</v>
      </c>
      <c r="AK7" s="267" t="s">
        <v>860</v>
      </c>
      <c r="AL7" s="267" t="s">
        <v>860</v>
      </c>
      <c r="AM7" s="267" t="s">
        <v>860</v>
      </c>
      <c r="AN7" s="267" t="s">
        <v>860</v>
      </c>
      <c r="AO7" s="267" t="s">
        <v>860</v>
      </c>
      <c r="AP7" s="267" t="s">
        <v>860</v>
      </c>
      <c r="AQ7" s="267" t="s">
        <v>860</v>
      </c>
      <c r="AR7" s="267" t="s">
        <v>860</v>
      </c>
      <c r="AS7" s="267" t="s">
        <v>860</v>
      </c>
      <c r="AT7" s="267" t="s">
        <v>860</v>
      </c>
      <c r="AU7" s="267" t="s">
        <v>860</v>
      </c>
      <c r="AV7" s="267" t="s">
        <v>860</v>
      </c>
      <c r="AW7" s="267" t="s">
        <v>860</v>
      </c>
      <c r="AX7" s="267" t="s">
        <v>860</v>
      </c>
      <c r="AY7" s="267" t="s">
        <v>860</v>
      </c>
      <c r="AZ7" s="267" t="s">
        <v>860</v>
      </c>
      <c r="BA7" s="267" t="s">
        <v>860</v>
      </c>
      <c r="BB7" s="267" t="s">
        <v>860</v>
      </c>
      <c r="BC7" s="267" t="s">
        <v>860</v>
      </c>
      <c r="BD7" s="267" t="s">
        <v>860</v>
      </c>
      <c r="BE7" s="267" t="s">
        <v>860</v>
      </c>
      <c r="BF7" s="267" t="s">
        <v>860</v>
      </c>
      <c r="BG7" s="267" t="s">
        <v>860</v>
      </c>
      <c r="BH7" s="267" t="s">
        <v>860</v>
      </c>
      <c r="BI7" s="267" t="s">
        <v>860</v>
      </c>
      <c r="BJ7" s="267" t="s">
        <v>860</v>
      </c>
      <c r="BK7" s="267" t="s">
        <v>860</v>
      </c>
      <c r="BL7" s="267" t="s">
        <v>860</v>
      </c>
      <c r="BM7" s="267" t="s">
        <v>860</v>
      </c>
      <c r="BN7" s="267" t="s">
        <v>860</v>
      </c>
      <c r="BO7" s="268"/>
    </row>
    <row r="8" spans="1:67" x14ac:dyDescent="0.2">
      <c r="A8" s="65" t="s">
        <v>511</v>
      </c>
      <c r="B8" s="65" t="s">
        <v>511</v>
      </c>
      <c r="C8" s="266" t="s">
        <v>147</v>
      </c>
      <c r="D8" s="296">
        <v>1</v>
      </c>
      <c r="E8" s="67">
        <f>SRS_WC_Amb</f>
        <v>2.5</v>
      </c>
      <c r="F8" s="66">
        <f t="shared" si="0"/>
        <v>2.5</v>
      </c>
      <c r="G8" s="200"/>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1:67" x14ac:dyDescent="0.2">
      <c r="A9" s="65" t="s">
        <v>511</v>
      </c>
      <c r="B9" s="65" t="s">
        <v>511</v>
      </c>
      <c r="C9" s="266" t="s">
        <v>146</v>
      </c>
      <c r="D9" s="296">
        <v>2</v>
      </c>
      <c r="E9" s="67">
        <f>SRS_WC_Access</f>
        <v>4.5</v>
      </c>
      <c r="F9" s="66">
        <f t="shared" si="0"/>
        <v>9</v>
      </c>
      <c r="G9" s="200"/>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7" x14ac:dyDescent="0.2">
      <c r="A10" s="65" t="s">
        <v>511</v>
      </c>
      <c r="B10" s="65" t="s">
        <v>511</v>
      </c>
      <c r="C10" s="266" t="s">
        <v>109</v>
      </c>
      <c r="D10" s="296">
        <v>1</v>
      </c>
      <c r="E10" s="67">
        <f>SRS_Nappychange</f>
        <v>4.5</v>
      </c>
      <c r="F10" s="66">
        <f t="shared" si="0"/>
        <v>4.5</v>
      </c>
      <c r="G10" s="200"/>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7" x14ac:dyDescent="0.2">
      <c r="A11" s="65" t="s">
        <v>511</v>
      </c>
      <c r="B11" s="65" t="s">
        <v>511</v>
      </c>
      <c r="C11" s="266" t="s">
        <v>102</v>
      </c>
      <c r="D11" s="296">
        <v>1</v>
      </c>
      <c r="E11" s="67">
        <f>SRS_Infantfeed</f>
        <v>5</v>
      </c>
      <c r="F11" s="66">
        <f t="shared" si="0"/>
        <v>5</v>
      </c>
      <c r="G11" s="200"/>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7" x14ac:dyDescent="0.2">
      <c r="A12" s="61" t="s">
        <v>511</v>
      </c>
      <c r="B12" s="61" t="s">
        <v>511</v>
      </c>
      <c r="C12" s="266" t="s">
        <v>39</v>
      </c>
      <c r="D12" s="307">
        <v>1</v>
      </c>
      <c r="E12" s="71">
        <f>SRS_Cleaner_Rm</f>
        <v>8</v>
      </c>
      <c r="F12" s="66">
        <f t="shared" si="0"/>
        <v>8</v>
      </c>
      <c r="G12" s="277"/>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7" x14ac:dyDescent="0.2">
      <c r="A13" s="70" t="s">
        <v>512</v>
      </c>
      <c r="B13" s="70" t="s">
        <v>512</v>
      </c>
      <c r="C13" s="266" t="s">
        <v>141</v>
      </c>
      <c r="D13" s="297">
        <v>6</v>
      </c>
      <c r="E13" s="69">
        <f>SRS_Wait_Wheel_pp</f>
        <v>3</v>
      </c>
      <c r="F13" s="68">
        <f>E13*D13</f>
        <v>18</v>
      </c>
      <c r="G13" s="199" t="s">
        <v>862</v>
      </c>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7" x14ac:dyDescent="0.2">
      <c r="A14" s="65" t="s">
        <v>512</v>
      </c>
      <c r="B14" s="65" t="s">
        <v>512</v>
      </c>
      <c r="C14" s="266" t="s">
        <v>147</v>
      </c>
      <c r="D14" s="296">
        <v>1</v>
      </c>
      <c r="E14" s="67">
        <f>SRS_WC_Amb</f>
        <v>2.5</v>
      </c>
      <c r="F14" s="66">
        <f>E14*D14</f>
        <v>2.5</v>
      </c>
      <c r="G14" s="200"/>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7" x14ac:dyDescent="0.2">
      <c r="A15" s="65" t="s">
        <v>512</v>
      </c>
      <c r="B15" s="65" t="s">
        <v>512</v>
      </c>
      <c r="C15" s="266" t="s">
        <v>94</v>
      </c>
      <c r="D15" s="296">
        <v>1</v>
      </c>
      <c r="E15" s="67">
        <f>SRS_Waterdispenser</f>
        <v>0.5</v>
      </c>
      <c r="F15" s="273">
        <f t="shared" ref="F15:F22" si="1">E15*D15</f>
        <v>0.5</v>
      </c>
      <c r="G15" s="281"/>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7" x14ac:dyDescent="0.2">
      <c r="A16" s="65" t="s">
        <v>512</v>
      </c>
      <c r="B16" s="65" t="s">
        <v>512</v>
      </c>
      <c r="C16" s="266" t="s">
        <v>89</v>
      </c>
      <c r="D16" s="296">
        <v>4</v>
      </c>
      <c r="E16" s="67">
        <f>SRS_Change_Accesspt</f>
        <v>4</v>
      </c>
      <c r="F16" s="273">
        <f t="shared" si="1"/>
        <v>16</v>
      </c>
      <c r="G16" s="281" t="s">
        <v>863</v>
      </c>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row>
    <row r="17" spans="1:66" x14ac:dyDescent="0.2">
      <c r="A17" s="65" t="s">
        <v>512</v>
      </c>
      <c r="B17" s="65" t="s">
        <v>512</v>
      </c>
      <c r="C17" s="266" t="s">
        <v>444</v>
      </c>
      <c r="D17" s="296">
        <v>1</v>
      </c>
      <c r="E17" s="67">
        <f>Bay_Linentroll</f>
        <v>3</v>
      </c>
      <c r="F17" s="273">
        <f t="shared" si="1"/>
        <v>3</v>
      </c>
      <c r="G17" s="28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6" x14ac:dyDescent="0.2">
      <c r="A18" s="65" t="s">
        <v>512</v>
      </c>
      <c r="B18" s="65" t="s">
        <v>512</v>
      </c>
      <c r="C18" s="266" t="s">
        <v>457</v>
      </c>
      <c r="D18" s="296">
        <v>2</v>
      </c>
      <c r="E18" s="67">
        <f>Bay_Trolley_Singleside</f>
        <v>7</v>
      </c>
      <c r="F18" s="273">
        <f t="shared" si="1"/>
        <v>14</v>
      </c>
      <c r="G18" s="281" t="s">
        <v>864</v>
      </c>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6" x14ac:dyDescent="0.2">
      <c r="A19" s="65" t="s">
        <v>512</v>
      </c>
      <c r="B19" s="65" t="s">
        <v>512</v>
      </c>
      <c r="C19" s="266" t="s">
        <v>865</v>
      </c>
      <c r="D19" s="296">
        <v>4</v>
      </c>
      <c r="E19" s="67">
        <f>Imaging_Cannul</f>
        <v>12</v>
      </c>
      <c r="F19" s="273">
        <f t="shared" si="1"/>
        <v>48</v>
      </c>
      <c r="G19" s="432"/>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6" x14ac:dyDescent="0.2">
      <c r="A20" s="65" t="s">
        <v>512</v>
      </c>
      <c r="B20" s="65" t="s">
        <v>512</v>
      </c>
      <c r="C20" s="266" t="s">
        <v>866</v>
      </c>
      <c r="D20" s="296">
        <v>1</v>
      </c>
      <c r="E20" s="67">
        <f>Imaging_Control_Dbl</f>
        <v>26</v>
      </c>
      <c r="F20" s="273">
        <f t="shared" si="1"/>
        <v>26</v>
      </c>
      <c r="G20" s="281"/>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6" x14ac:dyDescent="0.2">
      <c r="A21" s="65" t="s">
        <v>512</v>
      </c>
      <c r="B21" s="65" t="s">
        <v>512</v>
      </c>
      <c r="C21" s="266" t="s">
        <v>196</v>
      </c>
      <c r="D21" s="296">
        <v>2</v>
      </c>
      <c r="E21" s="67">
        <f>Imaging_CTscan</f>
        <v>38</v>
      </c>
      <c r="F21" s="273">
        <f t="shared" si="1"/>
        <v>76</v>
      </c>
      <c r="G21" s="281"/>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row>
    <row r="22" spans="1:66" x14ac:dyDescent="0.2">
      <c r="A22" s="65" t="s">
        <v>512</v>
      </c>
      <c r="B22" s="65" t="s">
        <v>512</v>
      </c>
      <c r="C22" s="266" t="s">
        <v>219</v>
      </c>
      <c r="D22" s="296">
        <v>2</v>
      </c>
      <c r="E22" s="67">
        <f>Imaging_Technical_Lrg</f>
        <v>20</v>
      </c>
      <c r="F22" s="273">
        <f t="shared" si="1"/>
        <v>40</v>
      </c>
      <c r="G22" s="28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row>
    <row r="23" spans="1:66" x14ac:dyDescent="0.2">
      <c r="A23" s="291" t="s">
        <v>512</v>
      </c>
      <c r="B23" s="291" t="s">
        <v>512</v>
      </c>
      <c r="C23" s="266" t="s">
        <v>464</v>
      </c>
      <c r="D23" s="293">
        <v>1</v>
      </c>
      <c r="E23" s="67">
        <f>Store_10</f>
        <v>10</v>
      </c>
      <c r="F23" s="273">
        <f>E23*D23</f>
        <v>10</v>
      </c>
      <c r="G23" s="397" t="s">
        <v>867</v>
      </c>
    </row>
    <row r="24" spans="1:66" x14ac:dyDescent="0.2">
      <c r="A24" s="70" t="s">
        <v>513</v>
      </c>
      <c r="B24" s="70" t="s">
        <v>513</v>
      </c>
      <c r="C24" s="266" t="s">
        <v>141</v>
      </c>
      <c r="D24" s="297">
        <v>6</v>
      </c>
      <c r="E24" s="69">
        <f>SRS_Wait_Wheel_pp</f>
        <v>3</v>
      </c>
      <c r="F24" s="68">
        <f>E24*D24</f>
        <v>18</v>
      </c>
      <c r="G24" s="199" t="s">
        <v>862</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6" x14ac:dyDescent="0.2">
      <c r="A25" s="65" t="s">
        <v>513</v>
      </c>
      <c r="B25" s="65" t="s">
        <v>513</v>
      </c>
      <c r="C25" s="266" t="s">
        <v>94</v>
      </c>
      <c r="D25" s="296">
        <v>1</v>
      </c>
      <c r="E25" s="67">
        <f>SRS_Waterdispenser</f>
        <v>0.5</v>
      </c>
      <c r="F25" s="66">
        <f>E25*D25</f>
        <v>0.5</v>
      </c>
      <c r="G25" s="200"/>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6" x14ac:dyDescent="0.2">
      <c r="A26" s="65" t="s">
        <v>513</v>
      </c>
      <c r="B26" s="65" t="s">
        <v>513</v>
      </c>
      <c r="C26" s="266" t="s">
        <v>147</v>
      </c>
      <c r="D26" s="296">
        <v>1</v>
      </c>
      <c r="E26" s="67">
        <f>SRS_WC_Amb</f>
        <v>2.5</v>
      </c>
      <c r="F26" s="66">
        <f>E26*D26</f>
        <v>2.5</v>
      </c>
      <c r="G26" s="200"/>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6" x14ac:dyDescent="0.2">
      <c r="A27" s="65" t="s">
        <v>513</v>
      </c>
      <c r="B27" s="65" t="s">
        <v>513</v>
      </c>
      <c r="C27" s="266" t="s">
        <v>89</v>
      </c>
      <c r="D27" s="296">
        <v>4</v>
      </c>
      <c r="E27" s="67">
        <f>SRS_Change_Accesspt</f>
        <v>4</v>
      </c>
      <c r="F27" s="66">
        <f t="shared" ref="F27:F41" si="2">E27*D27</f>
        <v>16</v>
      </c>
      <c r="G27" s="200" t="s">
        <v>863</v>
      </c>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row>
    <row r="28" spans="1:66" x14ac:dyDescent="0.2">
      <c r="A28" s="65" t="s">
        <v>513</v>
      </c>
      <c r="B28" s="65" t="s">
        <v>513</v>
      </c>
      <c r="C28" s="266" t="s">
        <v>106</v>
      </c>
      <c r="D28" s="296">
        <v>4</v>
      </c>
      <c r="E28" s="67">
        <f>SRS_Locker_4</f>
        <v>0.5</v>
      </c>
      <c r="F28" s="273">
        <f t="shared" si="2"/>
        <v>2</v>
      </c>
      <c r="G28" s="432"/>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row>
    <row r="29" spans="1:66" x14ac:dyDescent="0.2">
      <c r="A29" s="65" t="s">
        <v>513</v>
      </c>
      <c r="B29" s="65" t="s">
        <v>513</v>
      </c>
      <c r="C29" s="266" t="s">
        <v>457</v>
      </c>
      <c r="D29" s="296">
        <v>2</v>
      </c>
      <c r="E29" s="67">
        <f>Bay_Trolley_Singleside</f>
        <v>7</v>
      </c>
      <c r="F29" s="273">
        <f t="shared" si="2"/>
        <v>14</v>
      </c>
      <c r="G29" s="281" t="s">
        <v>864</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x14ac:dyDescent="0.2">
      <c r="A30" s="65" t="s">
        <v>513</v>
      </c>
      <c r="B30" s="65" t="s">
        <v>513</v>
      </c>
      <c r="C30" s="266" t="s">
        <v>60</v>
      </c>
      <c r="D30" s="296">
        <v>1</v>
      </c>
      <c r="E30" s="67">
        <f>SCS_Interview</f>
        <v>10</v>
      </c>
      <c r="F30" s="273">
        <f t="shared" si="2"/>
        <v>10</v>
      </c>
      <c r="G30" s="281" t="s">
        <v>868</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x14ac:dyDescent="0.2">
      <c r="A31" s="65" t="s">
        <v>513</v>
      </c>
      <c r="B31" s="65" t="s">
        <v>513</v>
      </c>
      <c r="C31" s="266" t="s">
        <v>865</v>
      </c>
      <c r="D31" s="296">
        <v>2</v>
      </c>
      <c r="E31" s="67">
        <f>Imaging_Cannul</f>
        <v>12</v>
      </c>
      <c r="F31" s="273">
        <f t="shared" si="2"/>
        <v>24</v>
      </c>
      <c r="G31" s="432"/>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x14ac:dyDescent="0.2">
      <c r="A32" s="65" t="s">
        <v>513</v>
      </c>
      <c r="B32" s="65" t="s">
        <v>513</v>
      </c>
      <c r="C32" s="266" t="s">
        <v>869</v>
      </c>
      <c r="D32" s="296">
        <v>1</v>
      </c>
      <c r="E32" s="67">
        <f>Imaging_Lobby_Innercontr</f>
        <v>16</v>
      </c>
      <c r="F32" s="273">
        <f t="shared" si="2"/>
        <v>16</v>
      </c>
      <c r="G32" s="282"/>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x14ac:dyDescent="0.2">
      <c r="A33" s="65" t="s">
        <v>513</v>
      </c>
      <c r="B33" s="65" t="s">
        <v>513</v>
      </c>
      <c r="C33" s="266" t="s">
        <v>212</v>
      </c>
      <c r="D33" s="296">
        <v>1</v>
      </c>
      <c r="E33" s="67">
        <f>Imaging_MRI_Transfer</f>
        <v>26</v>
      </c>
      <c r="F33" s="273">
        <f t="shared" si="2"/>
        <v>26</v>
      </c>
      <c r="G33" s="283" t="s">
        <v>870</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x14ac:dyDescent="0.2">
      <c r="A34" s="65" t="s">
        <v>513</v>
      </c>
      <c r="B34" s="65" t="s">
        <v>513</v>
      </c>
      <c r="C34" s="266" t="s">
        <v>866</v>
      </c>
      <c r="D34" s="296">
        <v>1</v>
      </c>
      <c r="E34" s="67">
        <f>Imaging_Control_Dbl</f>
        <v>26</v>
      </c>
      <c r="F34" s="273">
        <f t="shared" si="2"/>
        <v>26</v>
      </c>
      <c r="G34" s="281"/>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x14ac:dyDescent="0.2">
      <c r="A35" s="65" t="s">
        <v>513</v>
      </c>
      <c r="B35" s="65" t="s">
        <v>513</v>
      </c>
      <c r="C35" s="266" t="s">
        <v>871</v>
      </c>
      <c r="D35" s="296">
        <v>2</v>
      </c>
      <c r="E35" s="67">
        <f>Imaging_MRI_Rm</f>
        <v>45</v>
      </c>
      <c r="F35" s="273">
        <f t="shared" si="2"/>
        <v>90</v>
      </c>
      <c r="G35" s="281"/>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x14ac:dyDescent="0.2">
      <c r="A36" s="65" t="s">
        <v>513</v>
      </c>
      <c r="B36" s="65" t="s">
        <v>513</v>
      </c>
      <c r="C36" s="266" t="s">
        <v>219</v>
      </c>
      <c r="D36" s="296">
        <v>2</v>
      </c>
      <c r="E36" s="67">
        <f>Imaging_Technical_Lrg</f>
        <v>20</v>
      </c>
      <c r="F36" s="273">
        <f t="shared" si="2"/>
        <v>40</v>
      </c>
      <c r="G36" s="283" t="s">
        <v>872</v>
      </c>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x14ac:dyDescent="0.2">
      <c r="A37" s="65" t="s">
        <v>513</v>
      </c>
      <c r="B37" s="65" t="s">
        <v>513</v>
      </c>
      <c r="C37" s="266" t="s">
        <v>450</v>
      </c>
      <c r="D37" s="296">
        <v>1</v>
      </c>
      <c r="E37" s="67">
        <f>Bay_Resustroll</f>
        <v>2</v>
      </c>
      <c r="F37" s="273">
        <f t="shared" si="2"/>
        <v>2</v>
      </c>
      <c r="G37" s="283" t="s">
        <v>873</v>
      </c>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x14ac:dyDescent="0.2">
      <c r="A38" s="65" t="s">
        <v>513</v>
      </c>
      <c r="B38" s="65" t="s">
        <v>513</v>
      </c>
      <c r="C38" s="266" t="s">
        <v>704</v>
      </c>
      <c r="D38" s="296">
        <v>2</v>
      </c>
      <c r="E38" s="67">
        <f>Store_10</f>
        <v>10</v>
      </c>
      <c r="F38" s="273">
        <f t="shared" si="2"/>
        <v>20</v>
      </c>
      <c r="G38" s="283" t="s">
        <v>874</v>
      </c>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x14ac:dyDescent="0.2">
      <c r="A39" s="65" t="s">
        <v>513</v>
      </c>
      <c r="B39" s="65" t="s">
        <v>513</v>
      </c>
      <c r="C39" s="266" t="s">
        <v>39</v>
      </c>
      <c r="D39" s="296">
        <v>1</v>
      </c>
      <c r="E39" s="67">
        <f>SRS_Cleaner_Rm</f>
        <v>8</v>
      </c>
      <c r="F39" s="273">
        <f t="shared" si="2"/>
        <v>8</v>
      </c>
      <c r="G39" s="281" t="s">
        <v>875</v>
      </c>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x14ac:dyDescent="0.2">
      <c r="A40" s="65" t="s">
        <v>513</v>
      </c>
      <c r="B40" s="65" t="s">
        <v>513</v>
      </c>
      <c r="C40" s="266" t="s">
        <v>209</v>
      </c>
      <c r="D40" s="296">
        <v>2</v>
      </c>
      <c r="E40" s="67">
        <f>Imaging_Anaesth_inc_Recov</f>
        <v>20</v>
      </c>
      <c r="F40" s="273">
        <f t="shared" si="2"/>
        <v>40</v>
      </c>
      <c r="G40" s="281" t="s">
        <v>876</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x14ac:dyDescent="0.2">
      <c r="A41" s="65" t="s">
        <v>513</v>
      </c>
      <c r="B41" s="65" t="s">
        <v>513</v>
      </c>
      <c r="C41" s="266" t="s">
        <v>444</v>
      </c>
      <c r="D41" s="296">
        <v>1</v>
      </c>
      <c r="E41" s="67">
        <f>Bay_Linentroll</f>
        <v>3</v>
      </c>
      <c r="F41" s="273">
        <f t="shared" si="2"/>
        <v>3</v>
      </c>
      <c r="G41" s="28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x14ac:dyDescent="0.2">
      <c r="A42" s="70" t="s">
        <v>514</v>
      </c>
      <c r="B42" s="70" t="s">
        <v>627</v>
      </c>
      <c r="C42" s="266" t="s">
        <v>141</v>
      </c>
      <c r="D42" s="334">
        <v>6</v>
      </c>
      <c r="E42" s="69">
        <f>SRS_Wait_Wheel_pp</f>
        <v>3</v>
      </c>
      <c r="F42" s="302">
        <f>E42*D42</f>
        <v>18</v>
      </c>
      <c r="G42" s="303" t="s">
        <v>862</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x14ac:dyDescent="0.2">
      <c r="A43" s="65" t="s">
        <v>514</v>
      </c>
      <c r="B43" s="65" t="s">
        <v>627</v>
      </c>
      <c r="C43" s="266" t="s">
        <v>94</v>
      </c>
      <c r="D43" s="296">
        <v>1</v>
      </c>
      <c r="E43" s="67">
        <f>SRS_Waterdispenser</f>
        <v>0.5</v>
      </c>
      <c r="F43" s="66">
        <f>E43*D43</f>
        <v>0.5</v>
      </c>
      <c r="G43" s="200"/>
      <c r="H43" s="43"/>
      <c r="I43" s="396"/>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x14ac:dyDescent="0.2">
      <c r="A44" s="65" t="s">
        <v>514</v>
      </c>
      <c r="B44" s="65" t="s">
        <v>627</v>
      </c>
      <c r="C44" s="266" t="s">
        <v>146</v>
      </c>
      <c r="D44" s="298">
        <v>1</v>
      </c>
      <c r="E44" s="67">
        <f>SRS_WC_Access</f>
        <v>4.5</v>
      </c>
      <c r="F44" s="273">
        <f>E44*D44</f>
        <v>4.5</v>
      </c>
      <c r="G44" s="281"/>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x14ac:dyDescent="0.2">
      <c r="A45" s="65" t="s">
        <v>514</v>
      </c>
      <c r="B45" s="65" t="s">
        <v>627</v>
      </c>
      <c r="C45" s="266" t="s">
        <v>89</v>
      </c>
      <c r="D45" s="298">
        <v>2</v>
      </c>
      <c r="E45" s="67">
        <f>SRS_Change_Accesspt</f>
        <v>4</v>
      </c>
      <c r="F45" s="273">
        <f t="shared" ref="F45:F51" si="3">E45*D45</f>
        <v>8</v>
      </c>
      <c r="G45" s="281" t="s">
        <v>863</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x14ac:dyDescent="0.2">
      <c r="A46" s="65" t="s">
        <v>514</v>
      </c>
      <c r="B46" s="65" t="s">
        <v>627</v>
      </c>
      <c r="C46" s="266" t="s">
        <v>457</v>
      </c>
      <c r="D46" s="298">
        <v>2</v>
      </c>
      <c r="E46" s="67">
        <f>Bay_Trolley_Singleside</f>
        <v>7</v>
      </c>
      <c r="F46" s="273">
        <f t="shared" si="3"/>
        <v>14</v>
      </c>
      <c r="G46" s="281" t="s">
        <v>864</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x14ac:dyDescent="0.2">
      <c r="A47" s="65" t="s">
        <v>514</v>
      </c>
      <c r="B47" s="65" t="s">
        <v>627</v>
      </c>
      <c r="C47" s="266" t="s">
        <v>201</v>
      </c>
      <c r="D47" s="298">
        <v>1</v>
      </c>
      <c r="E47" s="67">
        <f>Imaging_Fluroscopy</f>
        <v>38</v>
      </c>
      <c r="F47" s="273">
        <f t="shared" si="3"/>
        <v>38</v>
      </c>
      <c r="G47" s="281"/>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x14ac:dyDescent="0.2">
      <c r="A48" s="65" t="s">
        <v>514</v>
      </c>
      <c r="B48" s="65" t="s">
        <v>627</v>
      </c>
      <c r="C48" s="266" t="s">
        <v>221</v>
      </c>
      <c r="D48" s="298">
        <v>1</v>
      </c>
      <c r="E48" s="67">
        <f>Imaging_Technical_Small</f>
        <v>10</v>
      </c>
      <c r="F48" s="273">
        <f t="shared" si="3"/>
        <v>10</v>
      </c>
      <c r="G48" s="433" t="s">
        <v>877</v>
      </c>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x14ac:dyDescent="0.2">
      <c r="A49" s="65" t="s">
        <v>514</v>
      </c>
      <c r="B49" s="65" t="s">
        <v>627</v>
      </c>
      <c r="C49" s="266" t="s">
        <v>464</v>
      </c>
      <c r="D49" s="298">
        <v>1</v>
      </c>
      <c r="E49" s="67">
        <f>Store_10</f>
        <v>10</v>
      </c>
      <c r="F49" s="273">
        <f t="shared" si="3"/>
        <v>10</v>
      </c>
      <c r="G49" s="283" t="s">
        <v>878</v>
      </c>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x14ac:dyDescent="0.2">
      <c r="A50" s="65" t="s">
        <v>514</v>
      </c>
      <c r="B50" s="65" t="s">
        <v>627</v>
      </c>
      <c r="C50" s="266" t="s">
        <v>464</v>
      </c>
      <c r="D50" s="298">
        <v>1</v>
      </c>
      <c r="E50" s="67">
        <f>Store_10</f>
        <v>10</v>
      </c>
      <c r="F50" s="273">
        <f>E50*D50</f>
        <v>10</v>
      </c>
      <c r="G50" s="283" t="s">
        <v>879</v>
      </c>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x14ac:dyDescent="0.2">
      <c r="A51" s="65" t="s">
        <v>514</v>
      </c>
      <c r="B51" s="65" t="s">
        <v>627</v>
      </c>
      <c r="C51" s="266" t="s">
        <v>444</v>
      </c>
      <c r="D51" s="298">
        <v>1</v>
      </c>
      <c r="E51" s="67">
        <f>Bay_Linentroll</f>
        <v>3</v>
      </c>
      <c r="F51" s="273">
        <f t="shared" si="3"/>
        <v>3</v>
      </c>
      <c r="G51" s="28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x14ac:dyDescent="0.2">
      <c r="A52" s="70" t="s">
        <v>515</v>
      </c>
      <c r="B52" s="70" t="s">
        <v>515</v>
      </c>
      <c r="C52" s="266" t="s">
        <v>858</v>
      </c>
      <c r="D52" s="297">
        <v>15</v>
      </c>
      <c r="E52" s="69">
        <f>SRS_Wait_Amb_pp</f>
        <v>1.5</v>
      </c>
      <c r="F52" s="68">
        <f>SUM(E52*D52)</f>
        <v>22.5</v>
      </c>
      <c r="G52" s="199" t="s">
        <v>880</v>
      </c>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x14ac:dyDescent="0.2">
      <c r="A53" s="65" t="s">
        <v>515</v>
      </c>
      <c r="B53" s="65" t="s">
        <v>515</v>
      </c>
      <c r="C53" s="266" t="s">
        <v>94</v>
      </c>
      <c r="D53" s="298">
        <v>1</v>
      </c>
      <c r="E53" s="67">
        <f>SRS_Waterdispenser</f>
        <v>0.5</v>
      </c>
      <c r="F53" s="273">
        <f t="shared" ref="F53:F60" si="4">SUM(E53*D53)</f>
        <v>0.5</v>
      </c>
      <c r="G53" s="281"/>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x14ac:dyDescent="0.2">
      <c r="A54" s="65" t="s">
        <v>515</v>
      </c>
      <c r="B54" s="65" t="s">
        <v>515</v>
      </c>
      <c r="C54" s="266" t="s">
        <v>146</v>
      </c>
      <c r="D54" s="298">
        <v>1</v>
      </c>
      <c r="E54" s="67">
        <f>SRS_WC_Access</f>
        <v>4.5</v>
      </c>
      <c r="F54" s="273">
        <f t="shared" si="4"/>
        <v>4.5</v>
      </c>
      <c r="G54" s="281"/>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x14ac:dyDescent="0.2">
      <c r="A55" s="65" t="s">
        <v>515</v>
      </c>
      <c r="B55" s="65" t="s">
        <v>515</v>
      </c>
      <c r="C55" s="266" t="s">
        <v>91</v>
      </c>
      <c r="D55" s="298">
        <v>6</v>
      </c>
      <c r="E55" s="67">
        <f>SRS_Change_Ambpt</f>
        <v>2</v>
      </c>
      <c r="F55" s="273">
        <f t="shared" si="4"/>
        <v>12</v>
      </c>
      <c r="G55" s="281" t="s">
        <v>881</v>
      </c>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x14ac:dyDescent="0.2">
      <c r="A56" s="65" t="s">
        <v>515</v>
      </c>
      <c r="B56" s="65" t="s">
        <v>515</v>
      </c>
      <c r="C56" s="266" t="s">
        <v>89</v>
      </c>
      <c r="D56" s="298">
        <v>6</v>
      </c>
      <c r="E56" s="67">
        <f>SRS_Change_Accesspt</f>
        <v>4</v>
      </c>
      <c r="F56" s="273">
        <f t="shared" si="4"/>
        <v>24</v>
      </c>
      <c r="G56" s="281" t="s">
        <v>882</v>
      </c>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x14ac:dyDescent="0.2">
      <c r="A57" s="65" t="s">
        <v>515</v>
      </c>
      <c r="B57" s="65" t="s">
        <v>515</v>
      </c>
      <c r="C57" s="266" t="s">
        <v>228</v>
      </c>
      <c r="D57" s="298">
        <v>6</v>
      </c>
      <c r="E57" s="67">
        <f>Imaging_Xray_General</f>
        <v>30</v>
      </c>
      <c r="F57" s="273">
        <f t="shared" si="4"/>
        <v>180</v>
      </c>
      <c r="G57" s="281"/>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x14ac:dyDescent="0.2">
      <c r="A58" s="65" t="s">
        <v>515</v>
      </c>
      <c r="B58" s="65" t="s">
        <v>515</v>
      </c>
      <c r="C58" s="266" t="s">
        <v>457</v>
      </c>
      <c r="D58" s="298">
        <v>2</v>
      </c>
      <c r="E58" s="67">
        <f>Bay_Trolley_Singleside</f>
        <v>7</v>
      </c>
      <c r="F58" s="273">
        <f t="shared" si="4"/>
        <v>14</v>
      </c>
      <c r="G58" s="281" t="s">
        <v>883</v>
      </c>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x14ac:dyDescent="0.2">
      <c r="A59" s="65" t="s">
        <v>515</v>
      </c>
      <c r="B59" s="65" t="s">
        <v>515</v>
      </c>
      <c r="C59" s="266" t="s">
        <v>884</v>
      </c>
      <c r="D59" s="298">
        <v>1</v>
      </c>
      <c r="E59" s="67">
        <v>24</v>
      </c>
      <c r="F59" s="273">
        <f t="shared" si="4"/>
        <v>24</v>
      </c>
      <c r="G59" s="432"/>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x14ac:dyDescent="0.2">
      <c r="A60" s="65" t="s">
        <v>515</v>
      </c>
      <c r="B60" s="65" t="s">
        <v>515</v>
      </c>
      <c r="C60" s="266" t="s">
        <v>444</v>
      </c>
      <c r="D60" s="298">
        <v>1</v>
      </c>
      <c r="E60" s="67">
        <f>Bay_Linentroll</f>
        <v>3</v>
      </c>
      <c r="F60" s="273">
        <f t="shared" si="4"/>
        <v>3</v>
      </c>
      <c r="G60" s="28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x14ac:dyDescent="0.2">
      <c r="A61" s="70" t="s">
        <v>516</v>
      </c>
      <c r="B61" s="70" t="s">
        <v>516</v>
      </c>
      <c r="C61" s="266" t="s">
        <v>858</v>
      </c>
      <c r="D61" s="334">
        <v>12</v>
      </c>
      <c r="E61" s="69">
        <f>SRS_Wait_Amb_pp</f>
        <v>1.5</v>
      </c>
      <c r="F61" s="302">
        <f>E61*D61</f>
        <v>18</v>
      </c>
      <c r="G61" s="303" t="s">
        <v>885</v>
      </c>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x14ac:dyDescent="0.2">
      <c r="A62" s="65" t="s">
        <v>516</v>
      </c>
      <c r="B62" s="65" t="s">
        <v>516</v>
      </c>
      <c r="C62" s="266" t="s">
        <v>94</v>
      </c>
      <c r="D62" s="298">
        <v>1</v>
      </c>
      <c r="E62" s="67">
        <f>SRS_Waterdispenser</f>
        <v>0.5</v>
      </c>
      <c r="F62" s="273">
        <f t="shared" ref="F62:F66" si="5">E62*D62</f>
        <v>0.5</v>
      </c>
      <c r="G62" s="281"/>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x14ac:dyDescent="0.2">
      <c r="A63" s="65" t="s">
        <v>516</v>
      </c>
      <c r="B63" s="65" t="s">
        <v>516</v>
      </c>
      <c r="C63" s="266" t="s">
        <v>89</v>
      </c>
      <c r="D63" s="298">
        <v>4</v>
      </c>
      <c r="E63" s="67">
        <f>SRS_Change_Accesspt</f>
        <v>4</v>
      </c>
      <c r="F63" s="273">
        <f t="shared" si="5"/>
        <v>16</v>
      </c>
      <c r="G63" s="281"/>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x14ac:dyDescent="0.2">
      <c r="A64" s="65" t="s">
        <v>516</v>
      </c>
      <c r="B64" s="65" t="s">
        <v>516</v>
      </c>
      <c r="C64" s="266" t="s">
        <v>202</v>
      </c>
      <c r="D64" s="298">
        <v>4</v>
      </c>
      <c r="E64" s="67">
        <f>Imaging_Ultrasound</f>
        <v>16</v>
      </c>
      <c r="F64" s="273">
        <f t="shared" si="5"/>
        <v>64</v>
      </c>
      <c r="G64" s="281"/>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x14ac:dyDescent="0.2">
      <c r="A65" s="65" t="s">
        <v>516</v>
      </c>
      <c r="B65" s="65" t="s">
        <v>516</v>
      </c>
      <c r="C65" s="266" t="s">
        <v>146</v>
      </c>
      <c r="D65" s="298">
        <v>2</v>
      </c>
      <c r="E65" s="67">
        <f>SRS_WC_Access</f>
        <v>4.5</v>
      </c>
      <c r="F65" s="273">
        <f t="shared" si="5"/>
        <v>9</v>
      </c>
      <c r="G65" s="281"/>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x14ac:dyDescent="0.2">
      <c r="A66" s="65" t="s">
        <v>516</v>
      </c>
      <c r="B66" s="65" t="s">
        <v>516</v>
      </c>
      <c r="C66" s="266" t="s">
        <v>444</v>
      </c>
      <c r="D66" s="298">
        <v>1</v>
      </c>
      <c r="E66" s="67">
        <f>Bay_Linentroll</f>
        <v>3</v>
      </c>
      <c r="F66" s="273">
        <f t="shared" si="5"/>
        <v>3</v>
      </c>
      <c r="G66" s="28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x14ac:dyDescent="0.2">
      <c r="A67" s="70" t="s">
        <v>517</v>
      </c>
      <c r="B67" s="70" t="s">
        <v>517</v>
      </c>
      <c r="C67" s="266" t="s">
        <v>450</v>
      </c>
      <c r="D67" s="334">
        <v>2</v>
      </c>
      <c r="E67" s="69">
        <f>Bay_Resustroll</f>
        <v>2</v>
      </c>
      <c r="F67" s="302">
        <f t="shared" ref="F67:F79" si="6">E67*D67</f>
        <v>4</v>
      </c>
      <c r="G67" s="283" t="s">
        <v>886</v>
      </c>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x14ac:dyDescent="0.2">
      <c r="A68" s="65" t="s">
        <v>517</v>
      </c>
      <c r="B68" s="65" t="s">
        <v>517</v>
      </c>
      <c r="C68" s="266" t="s">
        <v>126</v>
      </c>
      <c r="D68" s="298">
        <v>2</v>
      </c>
      <c r="E68" s="67">
        <f>SRS_Staffbase_pp</f>
        <v>4</v>
      </c>
      <c r="F68" s="273">
        <f t="shared" si="6"/>
        <v>8</v>
      </c>
      <c r="G68" s="281"/>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x14ac:dyDescent="0.2">
      <c r="A69" s="65" t="s">
        <v>517</v>
      </c>
      <c r="B69" s="65" t="s">
        <v>517</v>
      </c>
      <c r="C69" s="266" t="s">
        <v>66</v>
      </c>
      <c r="D69" s="298">
        <v>1</v>
      </c>
      <c r="E69" s="67">
        <f>SCS_Medprep_Lrg</f>
        <v>16</v>
      </c>
      <c r="F69" s="273">
        <f t="shared" si="6"/>
        <v>16</v>
      </c>
      <c r="G69" s="281"/>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x14ac:dyDescent="0.2">
      <c r="A70" s="65" t="s">
        <v>517</v>
      </c>
      <c r="B70" s="65" t="s">
        <v>517</v>
      </c>
      <c r="C70" s="266" t="s">
        <v>31</v>
      </c>
      <c r="D70" s="298">
        <v>1</v>
      </c>
      <c r="E70" s="67">
        <f>SCS_Cleansupply_Med</f>
        <v>9</v>
      </c>
      <c r="F70" s="273">
        <f t="shared" si="6"/>
        <v>9</v>
      </c>
      <c r="G70" s="281"/>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x14ac:dyDescent="0.2">
      <c r="A71" s="65" t="s">
        <v>517</v>
      </c>
      <c r="B71" s="65" t="s">
        <v>517</v>
      </c>
      <c r="C71" s="266" t="s">
        <v>49</v>
      </c>
      <c r="D71" s="298">
        <v>1</v>
      </c>
      <c r="E71" s="67">
        <f>SCS_Dirtyutil_Med</f>
        <v>9</v>
      </c>
      <c r="F71" s="273">
        <f t="shared" si="6"/>
        <v>9</v>
      </c>
      <c r="G71" s="281"/>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x14ac:dyDescent="0.2">
      <c r="A72" s="65" t="s">
        <v>517</v>
      </c>
      <c r="B72" s="65" t="s">
        <v>517</v>
      </c>
      <c r="C72" s="266" t="s">
        <v>73</v>
      </c>
      <c r="D72" s="298">
        <v>1</v>
      </c>
      <c r="E72" s="67">
        <f>SCS_PTS</f>
        <v>2</v>
      </c>
      <c r="F72" s="273">
        <f t="shared" si="6"/>
        <v>2</v>
      </c>
      <c r="G72" s="281"/>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x14ac:dyDescent="0.2">
      <c r="A73" s="65" t="s">
        <v>517</v>
      </c>
      <c r="B73" s="65" t="s">
        <v>517</v>
      </c>
      <c r="C73" s="266" t="s">
        <v>444</v>
      </c>
      <c r="D73" s="298">
        <v>1</v>
      </c>
      <c r="E73" s="67">
        <f>Bay_Linentroll</f>
        <v>3</v>
      </c>
      <c r="F73" s="273">
        <f t="shared" si="6"/>
        <v>3</v>
      </c>
      <c r="G73" s="28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x14ac:dyDescent="0.2">
      <c r="A74" s="65" t="s">
        <v>517</v>
      </c>
      <c r="B74" s="65" t="s">
        <v>517</v>
      </c>
      <c r="C74" s="266" t="s">
        <v>467</v>
      </c>
      <c r="D74" s="298">
        <v>1</v>
      </c>
      <c r="E74" s="67">
        <f>Store_20</f>
        <v>20</v>
      </c>
      <c r="F74" s="273">
        <f t="shared" si="6"/>
        <v>20</v>
      </c>
      <c r="G74" s="283" t="s">
        <v>887</v>
      </c>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x14ac:dyDescent="0.2">
      <c r="A75" s="65" t="s">
        <v>517</v>
      </c>
      <c r="B75" s="65" t="s">
        <v>517</v>
      </c>
      <c r="C75" s="266" t="s">
        <v>203</v>
      </c>
      <c r="D75" s="298">
        <v>32</v>
      </c>
      <c r="E75" s="67">
        <f>Imaging_Hold_Leadapron</f>
        <v>0.5</v>
      </c>
      <c r="F75" s="273">
        <f t="shared" si="6"/>
        <v>16</v>
      </c>
      <c r="G75" s="281" t="s">
        <v>888</v>
      </c>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x14ac:dyDescent="0.2">
      <c r="A76" s="65" t="s">
        <v>517</v>
      </c>
      <c r="B76" s="65" t="s">
        <v>517</v>
      </c>
      <c r="C76" s="266" t="s">
        <v>447</v>
      </c>
      <c r="D76" s="298">
        <v>1</v>
      </c>
      <c r="E76" s="67">
        <f>Bay_Mobile_Hoist</f>
        <v>2</v>
      </c>
      <c r="F76" s="273">
        <f t="shared" si="6"/>
        <v>2</v>
      </c>
      <c r="G76" s="28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row r="77" spans="1:66" x14ac:dyDescent="0.2">
      <c r="A77" s="65" t="s">
        <v>517</v>
      </c>
      <c r="B77" s="65" t="s">
        <v>517</v>
      </c>
      <c r="C77" s="266" t="s">
        <v>39</v>
      </c>
      <c r="D77" s="298">
        <v>1</v>
      </c>
      <c r="E77" s="67">
        <f>SRS_Cleaner_Rm</f>
        <v>8</v>
      </c>
      <c r="F77" s="273">
        <f t="shared" si="6"/>
        <v>8</v>
      </c>
      <c r="G77" s="281"/>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row>
    <row r="78" spans="1:66" x14ac:dyDescent="0.2">
      <c r="A78" s="65" t="s">
        <v>517</v>
      </c>
      <c r="B78" s="65" t="s">
        <v>517</v>
      </c>
      <c r="C78" s="266" t="s">
        <v>52</v>
      </c>
      <c r="D78" s="298">
        <v>1</v>
      </c>
      <c r="E78" s="67">
        <f>SCS_Disphol_Med</f>
        <v>14</v>
      </c>
      <c r="F78" s="273">
        <f t="shared" si="6"/>
        <v>14</v>
      </c>
      <c r="G78" s="281"/>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row>
    <row r="79" spans="1:66" x14ac:dyDescent="0.2">
      <c r="A79" s="65" t="s">
        <v>517</v>
      </c>
      <c r="B79" s="65" t="s">
        <v>517</v>
      </c>
      <c r="C79" s="266" t="s">
        <v>208</v>
      </c>
      <c r="D79" s="298">
        <v>1</v>
      </c>
      <c r="E79" s="67">
        <f>Imaging_Maintenance_MobXray</f>
        <v>14</v>
      </c>
      <c r="F79" s="273">
        <f t="shared" si="6"/>
        <v>14</v>
      </c>
      <c r="G79" s="283" t="s">
        <v>889</v>
      </c>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row>
    <row r="80" spans="1:66" x14ac:dyDescent="0.2">
      <c r="A80" s="70" t="s">
        <v>518</v>
      </c>
      <c r="B80" s="70" t="s">
        <v>518</v>
      </c>
      <c r="C80" s="266" t="s">
        <v>216</v>
      </c>
      <c r="D80" s="334">
        <v>10</v>
      </c>
      <c r="E80" s="69">
        <f>Imaging_Reporting_pp</f>
        <v>5.5</v>
      </c>
      <c r="F80" s="302">
        <f t="shared" ref="F80:F89" si="7">E80*D80</f>
        <v>55</v>
      </c>
      <c r="G80" s="303" t="s">
        <v>890</v>
      </c>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row>
    <row r="81" spans="1:66" x14ac:dyDescent="0.2">
      <c r="A81" s="65" t="s">
        <v>518</v>
      </c>
      <c r="B81" s="65" t="s">
        <v>518</v>
      </c>
      <c r="C81" s="266" t="s">
        <v>891</v>
      </c>
      <c r="D81" s="298">
        <v>3</v>
      </c>
      <c r="E81" s="67">
        <v>8</v>
      </c>
      <c r="F81" s="273">
        <f>E81*D81</f>
        <v>24</v>
      </c>
      <c r="G81" s="281" t="s">
        <v>892</v>
      </c>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row>
    <row r="82" spans="1:66" x14ac:dyDescent="0.2">
      <c r="A82" s="65" t="s">
        <v>518</v>
      </c>
      <c r="B82" s="65" t="s">
        <v>518</v>
      </c>
      <c r="C82" s="266" t="s">
        <v>147</v>
      </c>
      <c r="D82" s="298">
        <v>2</v>
      </c>
      <c r="E82" s="67">
        <f>SRS_WC_Amb</f>
        <v>2.5</v>
      </c>
      <c r="F82" s="273">
        <f t="shared" si="7"/>
        <v>5</v>
      </c>
      <c r="G82" s="281"/>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row>
    <row r="83" spans="1:66" x14ac:dyDescent="0.2">
      <c r="A83" s="65" t="s">
        <v>518</v>
      </c>
      <c r="B83" s="65" t="s">
        <v>518</v>
      </c>
      <c r="C83" s="266" t="s">
        <v>146</v>
      </c>
      <c r="D83" s="298">
        <v>1</v>
      </c>
      <c r="E83" s="67">
        <f>SRS_WC_Access</f>
        <v>4.5</v>
      </c>
      <c r="F83" s="273">
        <f t="shared" si="7"/>
        <v>4.5</v>
      </c>
      <c r="G83" s="281"/>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row>
    <row r="84" spans="1:66" x14ac:dyDescent="0.2">
      <c r="A84" s="65" t="s">
        <v>518</v>
      </c>
      <c r="B84" s="65" t="s">
        <v>518</v>
      </c>
      <c r="C84" s="266" t="s">
        <v>70</v>
      </c>
      <c r="D84" s="298">
        <v>1</v>
      </c>
      <c r="E84" s="67">
        <f>SCS_MDT_30</f>
        <v>24</v>
      </c>
      <c r="F84" s="273">
        <f t="shared" si="7"/>
        <v>24</v>
      </c>
      <c r="G84" s="281"/>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row>
    <row r="85" spans="1:66" x14ac:dyDescent="0.2">
      <c r="A85" s="65" t="s">
        <v>518</v>
      </c>
      <c r="B85" s="65" t="s">
        <v>518</v>
      </c>
      <c r="C85" s="266" t="s">
        <v>60</v>
      </c>
      <c r="D85" s="298">
        <v>1</v>
      </c>
      <c r="E85" s="67">
        <f>SCS_Interview</f>
        <v>10</v>
      </c>
      <c r="F85" s="273">
        <f t="shared" si="7"/>
        <v>10</v>
      </c>
      <c r="G85" s="281"/>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row>
    <row r="86" spans="1:66" x14ac:dyDescent="0.2">
      <c r="A86" s="65" t="s">
        <v>518</v>
      </c>
      <c r="B86" s="65" t="s">
        <v>518</v>
      </c>
      <c r="C86" s="266" t="s">
        <v>344</v>
      </c>
      <c r="D86" s="298">
        <v>1</v>
      </c>
      <c r="E86" s="67">
        <f>Staff_Office_1</f>
        <v>8</v>
      </c>
      <c r="F86" s="273">
        <f t="shared" si="7"/>
        <v>8</v>
      </c>
      <c r="G86" s="281"/>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row>
    <row r="87" spans="1:66" x14ac:dyDescent="0.2">
      <c r="A87" s="65" t="s">
        <v>518</v>
      </c>
      <c r="B87" s="65" t="s">
        <v>518</v>
      </c>
      <c r="C87" s="266" t="s">
        <v>893</v>
      </c>
      <c r="D87" s="298">
        <v>10</v>
      </c>
      <c r="E87" s="67">
        <v>6</v>
      </c>
      <c r="F87" s="273">
        <f t="shared" si="7"/>
        <v>60</v>
      </c>
      <c r="G87" s="283" t="s">
        <v>894</v>
      </c>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row>
    <row r="88" spans="1:66" x14ac:dyDescent="0.2">
      <c r="A88" s="65" t="s">
        <v>518</v>
      </c>
      <c r="B88" s="65" t="s">
        <v>518</v>
      </c>
      <c r="C88" s="266" t="s">
        <v>893</v>
      </c>
      <c r="D88" s="298">
        <v>5</v>
      </c>
      <c r="E88" s="67">
        <v>6</v>
      </c>
      <c r="F88" s="273">
        <f>E88*D88</f>
        <v>30</v>
      </c>
      <c r="G88" s="283" t="s">
        <v>895</v>
      </c>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row>
    <row r="89" spans="1:66" x14ac:dyDescent="0.2">
      <c r="A89" s="65" t="s">
        <v>518</v>
      </c>
      <c r="B89" s="65" t="s">
        <v>518</v>
      </c>
      <c r="C89" s="266" t="s">
        <v>132</v>
      </c>
      <c r="D89" s="298">
        <v>16</v>
      </c>
      <c r="E89" s="67">
        <f>SRS_Staffrestbev_pp</f>
        <v>1.5</v>
      </c>
      <c r="F89" s="273">
        <f t="shared" si="7"/>
        <v>24</v>
      </c>
      <c r="G89" s="281"/>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row>
    <row r="90" spans="1:66" x14ac:dyDescent="0.2">
      <c r="A90" s="70" t="s">
        <v>896</v>
      </c>
      <c r="B90" s="70" t="s">
        <v>896</v>
      </c>
      <c r="C90" s="266" t="s">
        <v>120</v>
      </c>
      <c r="D90" s="334">
        <v>1</v>
      </c>
      <c r="E90" s="69">
        <f>SRS_Recept_pp</f>
        <v>5.5</v>
      </c>
      <c r="F90" s="302">
        <f t="shared" ref="F90:F122" si="8">D90*E90</f>
        <v>5.5</v>
      </c>
      <c r="G90" s="30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row>
    <row r="91" spans="1:66" x14ac:dyDescent="0.2">
      <c r="A91" s="65" t="s">
        <v>896</v>
      </c>
      <c r="B91" s="65" t="s">
        <v>896</v>
      </c>
      <c r="C91" s="266" t="s">
        <v>123</v>
      </c>
      <c r="D91" s="298">
        <v>1</v>
      </c>
      <c r="E91" s="67">
        <f>SRS_Selfcheckin</f>
        <v>2</v>
      </c>
      <c r="F91" s="273">
        <f t="shared" si="8"/>
        <v>2</v>
      </c>
      <c r="G91" s="281"/>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row>
    <row r="92" spans="1:66" x14ac:dyDescent="0.2">
      <c r="A92" s="65" t="s">
        <v>896</v>
      </c>
      <c r="B92" s="65" t="s">
        <v>896</v>
      </c>
      <c r="C92" s="266" t="s">
        <v>858</v>
      </c>
      <c r="D92" s="298">
        <v>8</v>
      </c>
      <c r="E92" s="67">
        <f>SRS_Wait_Amb_pp</f>
        <v>1.5</v>
      </c>
      <c r="F92" s="273">
        <f t="shared" si="8"/>
        <v>12</v>
      </c>
      <c r="G92" s="281"/>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row>
    <row r="93" spans="1:66" x14ac:dyDescent="0.2">
      <c r="A93" s="65" t="s">
        <v>896</v>
      </c>
      <c r="B93" s="65" t="s">
        <v>896</v>
      </c>
      <c r="C93" s="266" t="s">
        <v>60</v>
      </c>
      <c r="D93" s="298">
        <v>1</v>
      </c>
      <c r="E93" s="67">
        <f>SCS_Interview</f>
        <v>10</v>
      </c>
      <c r="F93" s="273">
        <f t="shared" si="8"/>
        <v>10</v>
      </c>
      <c r="G93" s="281"/>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row>
    <row r="94" spans="1:66" x14ac:dyDescent="0.2">
      <c r="A94" s="65" t="s">
        <v>896</v>
      </c>
      <c r="B94" s="65" t="s">
        <v>896</v>
      </c>
      <c r="C94" s="266" t="s">
        <v>146</v>
      </c>
      <c r="D94" s="298">
        <v>1</v>
      </c>
      <c r="E94" s="67">
        <f>SRS_WC_Access</f>
        <v>4.5</v>
      </c>
      <c r="F94" s="273">
        <f t="shared" si="8"/>
        <v>4.5</v>
      </c>
      <c r="G94" s="281"/>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row>
    <row r="95" spans="1:66" x14ac:dyDescent="0.2">
      <c r="A95" s="65" t="s">
        <v>896</v>
      </c>
      <c r="B95" s="65" t="s">
        <v>896</v>
      </c>
      <c r="C95" s="266" t="s">
        <v>893</v>
      </c>
      <c r="D95" s="298">
        <v>0</v>
      </c>
      <c r="E95" s="67">
        <v>6</v>
      </c>
      <c r="F95" s="273">
        <f t="shared" si="8"/>
        <v>0</v>
      </c>
      <c r="G95" s="281" t="s">
        <v>897</v>
      </c>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row>
    <row r="96" spans="1:66" x14ac:dyDescent="0.2">
      <c r="A96" s="65" t="s">
        <v>896</v>
      </c>
      <c r="B96" s="65" t="s">
        <v>896</v>
      </c>
      <c r="C96" s="266" t="s">
        <v>893</v>
      </c>
      <c r="D96" s="298">
        <v>0</v>
      </c>
      <c r="E96" s="67">
        <v>6</v>
      </c>
      <c r="F96" s="273">
        <f t="shared" si="8"/>
        <v>0</v>
      </c>
      <c r="G96" s="281" t="s">
        <v>898</v>
      </c>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row>
    <row r="97" spans="1:66" x14ac:dyDescent="0.2">
      <c r="A97" s="65" t="s">
        <v>896</v>
      </c>
      <c r="B97" s="65" t="s">
        <v>896</v>
      </c>
      <c r="C97" s="266" t="s">
        <v>893</v>
      </c>
      <c r="D97" s="298">
        <v>0</v>
      </c>
      <c r="E97" s="67">
        <v>6</v>
      </c>
      <c r="F97" s="273">
        <f t="shared" si="8"/>
        <v>0</v>
      </c>
      <c r="G97" s="281" t="s">
        <v>899</v>
      </c>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row>
    <row r="98" spans="1:66" x14ac:dyDescent="0.2">
      <c r="A98" s="65" t="s">
        <v>896</v>
      </c>
      <c r="B98" s="65" t="s">
        <v>896</v>
      </c>
      <c r="C98" s="266" t="s">
        <v>900</v>
      </c>
      <c r="D98" s="298">
        <v>1</v>
      </c>
      <c r="E98" s="67">
        <f>Imaging_Bookingarea_Radioact</f>
        <v>10</v>
      </c>
      <c r="F98" s="273">
        <f t="shared" si="8"/>
        <v>10</v>
      </c>
      <c r="G98" s="283" t="s">
        <v>901</v>
      </c>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row>
    <row r="99" spans="1:66" ht="25.5" x14ac:dyDescent="0.2">
      <c r="A99" s="65" t="s">
        <v>896</v>
      </c>
      <c r="B99" s="65" t="s">
        <v>896</v>
      </c>
      <c r="C99" s="266" t="s">
        <v>198</v>
      </c>
      <c r="D99" s="298">
        <v>1</v>
      </c>
      <c r="E99" s="67">
        <f>Imaging_Deliveryrm_Radioact</f>
        <v>10</v>
      </c>
      <c r="F99" s="273">
        <f t="shared" si="8"/>
        <v>10</v>
      </c>
      <c r="G99" s="281"/>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row>
    <row r="100" spans="1:66" x14ac:dyDescent="0.2">
      <c r="A100" s="65" t="s">
        <v>896</v>
      </c>
      <c r="B100" s="65" t="s">
        <v>896</v>
      </c>
      <c r="C100" s="266" t="s">
        <v>902</v>
      </c>
      <c r="D100" s="298">
        <v>1</v>
      </c>
      <c r="E100" s="67">
        <f>Imaging_Prep_Radiopharma</f>
        <v>14</v>
      </c>
      <c r="F100" s="273">
        <f t="shared" si="8"/>
        <v>14</v>
      </c>
      <c r="G100" s="283" t="s">
        <v>903</v>
      </c>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row>
    <row r="101" spans="1:66" x14ac:dyDescent="0.2">
      <c r="A101" s="65" t="s">
        <v>896</v>
      </c>
      <c r="B101" s="65" t="s">
        <v>896</v>
      </c>
      <c r="C101" s="266" t="s">
        <v>204</v>
      </c>
      <c r="D101" s="298">
        <v>2</v>
      </c>
      <c r="E101" s="67">
        <f>Imaging_Injection_Radioact</f>
        <v>8</v>
      </c>
      <c r="F101" s="273">
        <f t="shared" si="8"/>
        <v>16</v>
      </c>
      <c r="G101" s="281"/>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row>
    <row r="102" spans="1:66" x14ac:dyDescent="0.2">
      <c r="A102" s="65" t="s">
        <v>896</v>
      </c>
      <c r="B102" s="65" t="s">
        <v>896</v>
      </c>
      <c r="C102" s="266" t="s">
        <v>904</v>
      </c>
      <c r="D102" s="298">
        <v>1</v>
      </c>
      <c r="E102" s="67">
        <f>Imaging_Store_Radioactinjec</f>
        <v>5</v>
      </c>
      <c r="F102" s="273">
        <f t="shared" si="8"/>
        <v>5</v>
      </c>
      <c r="G102" s="283" t="s">
        <v>905</v>
      </c>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row>
    <row r="103" spans="1:66" x14ac:dyDescent="0.2">
      <c r="A103" s="65" t="s">
        <v>896</v>
      </c>
      <c r="B103" s="65" t="s">
        <v>896</v>
      </c>
      <c r="C103" s="266" t="s">
        <v>906</v>
      </c>
      <c r="D103" s="298">
        <v>10</v>
      </c>
      <c r="E103" s="67">
        <f>Imaging_Wait_Hotpostinjec</f>
        <v>1.5</v>
      </c>
      <c r="F103" s="273">
        <f t="shared" si="8"/>
        <v>15</v>
      </c>
      <c r="G103" s="281"/>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row>
    <row r="104" spans="1:66" x14ac:dyDescent="0.2">
      <c r="A104" s="65" t="s">
        <v>896</v>
      </c>
      <c r="B104" s="65" t="s">
        <v>896</v>
      </c>
      <c r="C104" s="266" t="s">
        <v>94</v>
      </c>
      <c r="D104" s="298">
        <v>1</v>
      </c>
      <c r="E104" s="67">
        <f>SRS_Waterdispenser</f>
        <v>0.5</v>
      </c>
      <c r="F104" s="273">
        <f t="shared" si="8"/>
        <v>0.5</v>
      </c>
      <c r="G104" s="281"/>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row>
    <row r="105" spans="1:66" x14ac:dyDescent="0.2">
      <c r="A105" s="65" t="s">
        <v>896</v>
      </c>
      <c r="B105" s="65" t="s">
        <v>896</v>
      </c>
      <c r="C105" s="266" t="s">
        <v>190</v>
      </c>
      <c r="D105" s="298">
        <v>1</v>
      </c>
      <c r="E105" s="67">
        <f>Imaging_Bay_Handfoot</f>
        <v>0.5</v>
      </c>
      <c r="F105" s="273">
        <f t="shared" si="8"/>
        <v>0.5</v>
      </c>
      <c r="G105" s="281"/>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row>
    <row r="106" spans="1:66" x14ac:dyDescent="0.2">
      <c r="A106" s="65" t="s">
        <v>896</v>
      </c>
      <c r="B106" s="65" t="s">
        <v>896</v>
      </c>
      <c r="C106" s="266" t="s">
        <v>89</v>
      </c>
      <c r="D106" s="298">
        <v>1</v>
      </c>
      <c r="E106" s="67">
        <f>SRS_Change_Accesspt</f>
        <v>4</v>
      </c>
      <c r="F106" s="273">
        <f t="shared" si="8"/>
        <v>4</v>
      </c>
      <c r="G106" s="281"/>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row>
    <row r="107" spans="1:66" x14ac:dyDescent="0.2">
      <c r="A107" s="65" t="s">
        <v>896</v>
      </c>
      <c r="B107" s="65" t="s">
        <v>896</v>
      </c>
      <c r="C107" s="266" t="s">
        <v>91</v>
      </c>
      <c r="D107" s="298">
        <v>1</v>
      </c>
      <c r="E107" s="67">
        <f>SRS_Change_Ambpt</f>
        <v>2</v>
      </c>
      <c r="F107" s="273">
        <f t="shared" si="8"/>
        <v>2</v>
      </c>
      <c r="G107" s="281"/>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row>
    <row r="108" spans="1:66" x14ac:dyDescent="0.2">
      <c r="A108" s="65" t="s">
        <v>896</v>
      </c>
      <c r="B108" s="65" t="s">
        <v>896</v>
      </c>
      <c r="C108" s="266" t="s">
        <v>218</v>
      </c>
      <c r="D108" s="298">
        <v>2</v>
      </c>
      <c r="E108" s="67">
        <f>Imaging_SPECTCT_Gammacam</f>
        <v>40</v>
      </c>
      <c r="F108" s="273">
        <f t="shared" si="8"/>
        <v>80</v>
      </c>
      <c r="G108" s="281"/>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row>
    <row r="109" spans="1:66" x14ac:dyDescent="0.2">
      <c r="A109" s="65" t="s">
        <v>896</v>
      </c>
      <c r="B109" s="65" t="s">
        <v>896</v>
      </c>
      <c r="C109" s="266" t="s">
        <v>866</v>
      </c>
      <c r="D109" s="298">
        <v>1</v>
      </c>
      <c r="E109" s="67">
        <f>Imaging_Control_Dbl</f>
        <v>26</v>
      </c>
      <c r="F109" s="273">
        <f t="shared" si="8"/>
        <v>26</v>
      </c>
      <c r="G109" s="281"/>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row>
    <row r="110" spans="1:66" x14ac:dyDescent="0.2">
      <c r="A110" s="65" t="s">
        <v>896</v>
      </c>
      <c r="B110" s="65" t="s">
        <v>896</v>
      </c>
      <c r="C110" s="266" t="s">
        <v>219</v>
      </c>
      <c r="D110" s="298">
        <v>2</v>
      </c>
      <c r="E110" s="67">
        <f>Imaging_Technical_Lrg</f>
        <v>20</v>
      </c>
      <c r="F110" s="273">
        <f t="shared" si="8"/>
        <v>40</v>
      </c>
      <c r="G110" s="281"/>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row>
    <row r="111" spans="1:66" x14ac:dyDescent="0.2">
      <c r="A111" s="65" t="s">
        <v>896</v>
      </c>
      <c r="B111" s="65" t="s">
        <v>896</v>
      </c>
      <c r="C111" s="266" t="s">
        <v>470</v>
      </c>
      <c r="D111" s="298">
        <v>2</v>
      </c>
      <c r="E111" s="67">
        <f>Store_5</f>
        <v>5</v>
      </c>
      <c r="F111" s="273">
        <f t="shared" si="8"/>
        <v>10</v>
      </c>
      <c r="G111" s="283" t="s">
        <v>907</v>
      </c>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row>
    <row r="112" spans="1:66" x14ac:dyDescent="0.2">
      <c r="A112" s="65" t="s">
        <v>896</v>
      </c>
      <c r="B112" s="65" t="s">
        <v>896</v>
      </c>
      <c r="C112" s="266" t="s">
        <v>908</v>
      </c>
      <c r="D112" s="298">
        <v>1</v>
      </c>
      <c r="E112" s="67">
        <f>Imaging_WCshower_Radioact</f>
        <v>5.5</v>
      </c>
      <c r="F112" s="273">
        <f t="shared" si="8"/>
        <v>5.5</v>
      </c>
      <c r="G112" s="281"/>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row>
    <row r="113" spans="1:66" x14ac:dyDescent="0.2">
      <c r="A113" s="65" t="s">
        <v>896</v>
      </c>
      <c r="B113" s="65" t="s">
        <v>896</v>
      </c>
      <c r="C113" s="266" t="s">
        <v>444</v>
      </c>
      <c r="D113" s="298">
        <v>1</v>
      </c>
      <c r="E113" s="67">
        <f>Bay_Linentroll</f>
        <v>3</v>
      </c>
      <c r="F113" s="273">
        <f t="shared" si="8"/>
        <v>3</v>
      </c>
      <c r="G113" s="28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row>
    <row r="114" spans="1:66" x14ac:dyDescent="0.2">
      <c r="A114" s="65" t="s">
        <v>896</v>
      </c>
      <c r="B114" s="65" t="s">
        <v>896</v>
      </c>
      <c r="C114" s="266" t="s">
        <v>226</v>
      </c>
      <c r="D114" s="298">
        <v>1</v>
      </c>
      <c r="E114" s="67">
        <f>Imaging_WCaccess_Radioact</f>
        <v>4.5</v>
      </c>
      <c r="F114" s="273">
        <f t="shared" si="8"/>
        <v>4.5</v>
      </c>
      <c r="G114" s="281"/>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row>
    <row r="115" spans="1:66" x14ac:dyDescent="0.2">
      <c r="A115" s="65" t="s">
        <v>896</v>
      </c>
      <c r="B115" s="65" t="s">
        <v>896</v>
      </c>
      <c r="C115" s="266" t="s">
        <v>217</v>
      </c>
      <c r="D115" s="298">
        <v>1</v>
      </c>
      <c r="E115" s="67">
        <f>Imaging_Samplecount</f>
        <v>9</v>
      </c>
      <c r="F115" s="273">
        <f t="shared" si="8"/>
        <v>9</v>
      </c>
      <c r="G115" s="281"/>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row>
    <row r="116" spans="1:66" x14ac:dyDescent="0.2">
      <c r="A116" s="65" t="s">
        <v>896</v>
      </c>
      <c r="B116" s="65" t="s">
        <v>896</v>
      </c>
      <c r="C116" s="266" t="s">
        <v>200</v>
      </c>
      <c r="D116" s="298">
        <v>1</v>
      </c>
      <c r="E116" s="67">
        <f>Imaging_Disphol_Radioact</f>
        <v>14</v>
      </c>
      <c r="F116" s="273">
        <f t="shared" si="8"/>
        <v>14</v>
      </c>
      <c r="G116" s="281"/>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row>
    <row r="117" spans="1:66" x14ac:dyDescent="0.2">
      <c r="A117" s="65" t="s">
        <v>896</v>
      </c>
      <c r="B117" s="65" t="s">
        <v>896</v>
      </c>
      <c r="C117" s="266" t="s">
        <v>31</v>
      </c>
      <c r="D117" s="298">
        <v>1</v>
      </c>
      <c r="E117" s="67">
        <f>SCS_Cleansupply_Med</f>
        <v>9</v>
      </c>
      <c r="F117" s="273">
        <f t="shared" si="8"/>
        <v>9</v>
      </c>
      <c r="G117" s="281"/>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row>
    <row r="118" spans="1:66" x14ac:dyDescent="0.2">
      <c r="A118" s="65" t="s">
        <v>896</v>
      </c>
      <c r="B118" s="65" t="s">
        <v>896</v>
      </c>
      <c r="C118" s="266" t="s">
        <v>49</v>
      </c>
      <c r="D118" s="298">
        <v>1</v>
      </c>
      <c r="E118" s="67">
        <f>SCS_Dirtyutil_Med</f>
        <v>9</v>
      </c>
      <c r="F118" s="273">
        <f t="shared" si="8"/>
        <v>9</v>
      </c>
      <c r="G118" s="281"/>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row>
    <row r="119" spans="1:66" x14ac:dyDescent="0.2">
      <c r="A119" s="65" t="s">
        <v>896</v>
      </c>
      <c r="B119" s="65" t="s">
        <v>896</v>
      </c>
      <c r="C119" s="266" t="s">
        <v>444</v>
      </c>
      <c r="D119" s="298">
        <v>1</v>
      </c>
      <c r="E119" s="67">
        <f>Bay_Linentroll</f>
        <v>3</v>
      </c>
      <c r="F119" s="273">
        <f t="shared" si="8"/>
        <v>3</v>
      </c>
      <c r="G119" s="28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row>
    <row r="120" spans="1:66" x14ac:dyDescent="0.2">
      <c r="A120" s="65" t="s">
        <v>896</v>
      </c>
      <c r="B120" s="65" t="s">
        <v>896</v>
      </c>
      <c r="C120" s="266" t="s">
        <v>450</v>
      </c>
      <c r="D120" s="298">
        <v>1</v>
      </c>
      <c r="E120" s="67">
        <f>Bay_Resustroll</f>
        <v>2</v>
      </c>
      <c r="F120" s="273">
        <f t="shared" si="8"/>
        <v>2</v>
      </c>
      <c r="G120" s="28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row>
    <row r="121" spans="1:66" x14ac:dyDescent="0.2">
      <c r="A121" s="65" t="s">
        <v>896</v>
      </c>
      <c r="B121" s="65" t="s">
        <v>896</v>
      </c>
      <c r="C121" s="266" t="s">
        <v>39</v>
      </c>
      <c r="D121" s="298">
        <v>1</v>
      </c>
      <c r="E121" s="67">
        <f>SRS_Cleaner_Rm</f>
        <v>8</v>
      </c>
      <c r="F121" s="273">
        <f t="shared" si="8"/>
        <v>8</v>
      </c>
      <c r="G121" s="281"/>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row>
    <row r="122" spans="1:66" x14ac:dyDescent="0.2">
      <c r="A122" s="65" t="s">
        <v>896</v>
      </c>
      <c r="B122" s="65" t="s">
        <v>896</v>
      </c>
      <c r="C122" s="266" t="s">
        <v>146</v>
      </c>
      <c r="D122" s="298">
        <v>1</v>
      </c>
      <c r="E122" s="67">
        <f>SRS_WC_Access</f>
        <v>4.5</v>
      </c>
      <c r="F122" s="273">
        <f t="shared" si="8"/>
        <v>4.5</v>
      </c>
      <c r="G122" s="281"/>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row>
    <row r="123" spans="1:66" x14ac:dyDescent="0.25">
      <c r="A123" s="45"/>
      <c r="B123" s="45"/>
      <c r="C123" s="45"/>
      <c r="D123" s="57"/>
      <c r="E123" s="56"/>
      <c r="F123" s="56"/>
      <c r="G123" s="45"/>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row>
    <row r="124" spans="1:66" x14ac:dyDescent="0.25">
      <c r="A124" s="45"/>
      <c r="B124" s="45"/>
      <c r="C124" s="45"/>
      <c r="D124" s="57"/>
      <c r="E124" s="56"/>
      <c r="F124" s="56"/>
      <c r="G124" s="45"/>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row>
    <row r="125" spans="1:66" x14ac:dyDescent="0.25">
      <c r="A125" s="45"/>
      <c r="B125" s="45"/>
      <c r="C125" s="45"/>
      <c r="D125" s="57"/>
      <c r="E125" s="56"/>
      <c r="F125" s="56"/>
      <c r="G125" s="45"/>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row>
    <row r="126" spans="1:66" x14ac:dyDescent="0.25">
      <c r="A126" s="45"/>
      <c r="B126" s="45"/>
      <c r="C126" s="45"/>
      <c r="D126" s="57"/>
      <c r="E126" s="56"/>
      <c r="F126" s="56"/>
      <c r="G126" s="45"/>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row>
    <row r="127" spans="1:66" x14ac:dyDescent="0.25">
      <c r="A127" s="45"/>
      <c r="B127" s="45"/>
      <c r="C127" s="45"/>
      <c r="D127" s="57"/>
      <c r="E127" s="56"/>
      <c r="F127" s="56"/>
      <c r="G127" s="45"/>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row>
    <row r="128" spans="1:66" x14ac:dyDescent="0.25">
      <c r="A128" s="45"/>
      <c r="B128" s="45"/>
      <c r="C128" s="45"/>
      <c r="D128" s="57"/>
      <c r="E128" s="56"/>
      <c r="F128" s="56"/>
      <c r="G128" s="45"/>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row>
    <row r="129" spans="1:66" x14ac:dyDescent="0.25">
      <c r="A129" s="45"/>
      <c r="B129" s="45"/>
      <c r="C129" s="45"/>
      <c r="D129" s="57"/>
      <c r="E129" s="56"/>
      <c r="F129" s="56"/>
      <c r="G129" s="45"/>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row>
    <row r="130" spans="1:66" x14ac:dyDescent="0.25">
      <c r="A130" s="45"/>
      <c r="B130" s="45"/>
      <c r="C130" s="45"/>
      <c r="D130" s="57"/>
      <c r="E130" s="56"/>
      <c r="F130" s="56"/>
      <c r="G130" s="45"/>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row>
    <row r="131" spans="1:66" x14ac:dyDescent="0.25">
      <c r="A131" s="45"/>
      <c r="B131" s="45"/>
      <c r="C131" s="45"/>
      <c r="D131" s="57"/>
      <c r="E131" s="56"/>
      <c r="F131" s="56"/>
      <c r="G131" s="45"/>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row>
    <row r="132" spans="1:66" x14ac:dyDescent="0.25">
      <c r="A132" s="45"/>
      <c r="B132" s="45"/>
      <c r="C132" s="45"/>
      <c r="D132" s="57"/>
      <c r="E132" s="56"/>
      <c r="F132" s="56"/>
      <c r="G132" s="45"/>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row>
    <row r="133" spans="1:66" x14ac:dyDescent="0.25">
      <c r="A133" s="45"/>
      <c r="B133" s="45"/>
      <c r="C133" s="45"/>
      <c r="D133" s="57"/>
      <c r="E133" s="56"/>
      <c r="F133" s="56"/>
      <c r="G133" s="45"/>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row>
    <row r="134" spans="1:66" x14ac:dyDescent="0.25">
      <c r="A134" s="45"/>
      <c r="B134" s="45"/>
      <c r="C134" s="45"/>
      <c r="D134" s="57"/>
      <c r="E134" s="56"/>
      <c r="F134" s="56"/>
      <c r="G134" s="45"/>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row>
    <row r="135" spans="1:66" x14ac:dyDescent="0.25">
      <c r="A135" s="45"/>
      <c r="B135" s="45"/>
      <c r="C135" s="45"/>
      <c r="D135" s="57"/>
      <c r="E135" s="56"/>
      <c r="F135" s="56"/>
      <c r="G135" s="45"/>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row>
    <row r="136" spans="1:66" x14ac:dyDescent="0.25">
      <c r="A136" s="45"/>
      <c r="B136" s="45"/>
      <c r="C136" s="45"/>
      <c r="D136" s="57"/>
      <c r="E136" s="56"/>
      <c r="F136" s="56"/>
      <c r="G136" s="45"/>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row>
    <row r="137" spans="1:66" x14ac:dyDescent="0.25">
      <c r="A137" s="45"/>
      <c r="B137" s="45"/>
      <c r="C137" s="45"/>
      <c r="D137" s="57"/>
      <c r="E137" s="56"/>
      <c r="F137" s="56"/>
      <c r="G137" s="45"/>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row>
    <row r="138" spans="1:66" x14ac:dyDescent="0.25">
      <c r="A138" s="45"/>
      <c r="B138" s="45"/>
      <c r="C138" s="45"/>
      <c r="D138" s="57"/>
      <c r="E138" s="56"/>
      <c r="F138" s="56"/>
      <c r="G138" s="45"/>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row>
    <row r="139" spans="1:66" x14ac:dyDescent="0.25">
      <c r="A139" s="45"/>
      <c r="B139" s="45"/>
      <c r="C139" s="45"/>
      <c r="D139" s="57"/>
      <c r="E139" s="56"/>
      <c r="F139" s="56"/>
      <c r="G139" s="45"/>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row>
    <row r="140" spans="1:66" x14ac:dyDescent="0.25">
      <c r="A140" s="45"/>
      <c r="B140" s="45"/>
      <c r="C140" s="45"/>
      <c r="D140" s="57"/>
      <c r="E140" s="56"/>
      <c r="F140" s="56"/>
      <c r="G140" s="45"/>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row>
    <row r="141" spans="1:66" x14ac:dyDescent="0.25">
      <c r="A141" s="45"/>
      <c r="B141" s="45"/>
      <c r="C141" s="45"/>
      <c r="D141" s="57"/>
      <c r="E141" s="56"/>
      <c r="F141" s="56"/>
      <c r="G141" s="45"/>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row>
    <row r="142" spans="1:66" x14ac:dyDescent="0.25">
      <c r="A142" s="45"/>
      <c r="B142" s="45"/>
      <c r="C142" s="45"/>
      <c r="D142" s="57"/>
      <c r="E142" s="56"/>
      <c r="F142" s="56"/>
      <c r="G142" s="45"/>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row>
    <row r="143" spans="1:66" x14ac:dyDescent="0.25">
      <c r="A143" s="45"/>
      <c r="B143" s="45"/>
      <c r="C143" s="45"/>
      <c r="D143" s="57"/>
      <c r="E143" s="56"/>
      <c r="F143" s="56"/>
      <c r="G143" s="45"/>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row>
    <row r="144" spans="1:66" x14ac:dyDescent="0.25">
      <c r="A144" s="45"/>
      <c r="B144" s="45"/>
      <c r="C144" s="45"/>
      <c r="D144" s="57"/>
      <c r="E144" s="56"/>
      <c r="F144" s="56"/>
      <c r="G144" s="45"/>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row>
    <row r="145" spans="1:66" x14ac:dyDescent="0.25">
      <c r="A145" s="45"/>
      <c r="B145" s="45"/>
      <c r="C145" s="45"/>
      <c r="D145" s="57"/>
      <c r="E145" s="56"/>
      <c r="F145" s="56"/>
      <c r="G145" s="45"/>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row>
    <row r="146" spans="1:66" x14ac:dyDescent="0.25">
      <c r="A146" s="45"/>
      <c r="B146" s="45"/>
      <c r="C146" s="45"/>
      <c r="D146" s="57"/>
      <c r="E146" s="56"/>
      <c r="F146" s="56"/>
      <c r="G146" s="45"/>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row>
    <row r="147" spans="1:66" x14ac:dyDescent="0.25">
      <c r="A147" s="45"/>
      <c r="B147" s="45"/>
      <c r="C147" s="45"/>
      <c r="D147" s="57"/>
      <c r="E147" s="56"/>
      <c r="F147" s="56"/>
      <c r="G147" s="45"/>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row>
    <row r="148" spans="1:66" x14ac:dyDescent="0.25">
      <c r="A148" s="45"/>
      <c r="B148" s="45"/>
      <c r="C148" s="45"/>
      <c r="D148" s="57"/>
      <c r="E148" s="56"/>
      <c r="F148" s="56"/>
      <c r="G148" s="45"/>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row>
    <row r="149" spans="1:66" x14ac:dyDescent="0.25">
      <c r="A149" s="45"/>
      <c r="B149" s="45"/>
      <c r="C149" s="45"/>
      <c r="D149" s="57"/>
      <c r="E149" s="56"/>
      <c r="F149" s="56"/>
      <c r="G149" s="45"/>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row>
    <row r="150" spans="1:66" x14ac:dyDescent="0.25">
      <c r="A150" s="45"/>
      <c r="B150" s="45"/>
      <c r="C150" s="45"/>
      <c r="D150" s="57"/>
      <c r="E150" s="56"/>
      <c r="F150" s="56"/>
      <c r="G150" s="45"/>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row>
    <row r="151" spans="1:66" x14ac:dyDescent="0.25">
      <c r="A151" s="45"/>
      <c r="B151" s="45"/>
      <c r="C151" s="45"/>
      <c r="D151" s="57"/>
      <c r="E151" s="56"/>
      <c r="F151" s="56"/>
      <c r="G151" s="45"/>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row>
    <row r="152" spans="1:66" x14ac:dyDescent="0.25">
      <c r="A152" s="45"/>
      <c r="B152" s="45"/>
      <c r="C152" s="45"/>
      <c r="D152" s="57"/>
      <c r="E152" s="56"/>
      <c r="F152" s="56"/>
      <c r="G152" s="45"/>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row>
    <row r="153" spans="1:66" x14ac:dyDescent="0.25">
      <c r="A153" s="45"/>
      <c r="B153" s="45"/>
      <c r="C153" s="45"/>
      <c r="D153" s="57"/>
      <c r="E153" s="56"/>
      <c r="F153" s="56"/>
      <c r="G153" s="45"/>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row>
    <row r="154" spans="1:66" x14ac:dyDescent="0.25">
      <c r="A154" s="45"/>
      <c r="B154" s="45"/>
      <c r="C154" s="45"/>
      <c r="D154" s="57"/>
      <c r="E154" s="56"/>
      <c r="F154" s="56"/>
      <c r="G154" s="45"/>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row>
    <row r="155" spans="1:66" x14ac:dyDescent="0.25">
      <c r="A155" s="45"/>
      <c r="B155" s="45"/>
      <c r="C155" s="45"/>
      <c r="D155" s="57"/>
      <c r="E155" s="56"/>
      <c r="F155" s="56"/>
      <c r="G155" s="45"/>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row>
    <row r="156" spans="1:66" x14ac:dyDescent="0.25">
      <c r="A156" s="45"/>
      <c r="B156" s="45"/>
      <c r="C156" s="45"/>
      <c r="D156" s="57"/>
      <c r="E156" s="56"/>
      <c r="F156" s="56"/>
      <c r="G156" s="45"/>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row>
    <row r="157" spans="1:66" x14ac:dyDescent="0.25">
      <c r="A157" s="45"/>
      <c r="B157" s="45"/>
      <c r="C157" s="45"/>
      <c r="D157" s="57"/>
      <c r="E157" s="56"/>
      <c r="F157" s="56"/>
      <c r="G157" s="45"/>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row>
    <row r="158" spans="1:66" x14ac:dyDescent="0.25">
      <c r="A158" s="45"/>
      <c r="B158" s="45"/>
      <c r="C158" s="45"/>
      <c r="D158" s="57"/>
      <c r="E158" s="56"/>
      <c r="F158" s="56"/>
      <c r="G158" s="45"/>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row>
    <row r="159" spans="1:66" x14ac:dyDescent="0.25">
      <c r="A159" s="45"/>
      <c r="B159" s="45"/>
      <c r="C159" s="45"/>
      <c r="D159" s="57"/>
      <c r="E159" s="56"/>
      <c r="F159" s="56"/>
      <c r="G159" s="45"/>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row>
    <row r="160" spans="1:66" x14ac:dyDescent="0.25">
      <c r="A160" s="45"/>
      <c r="B160" s="45"/>
      <c r="C160" s="45"/>
      <c r="D160" s="57"/>
      <c r="E160" s="56"/>
      <c r="F160" s="56"/>
      <c r="G160" s="45"/>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row>
    <row r="161" spans="1:67" x14ac:dyDescent="0.25">
      <c r="A161" s="45"/>
      <c r="B161" s="45"/>
      <c r="C161" s="45"/>
      <c r="D161" s="57"/>
      <c r="E161" s="56"/>
      <c r="F161" s="56"/>
      <c r="G161" s="45"/>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row>
    <row r="162" spans="1:67" x14ac:dyDescent="0.25">
      <c r="A162" s="45"/>
      <c r="B162" s="45"/>
      <c r="C162" s="45"/>
      <c r="D162" s="57"/>
      <c r="E162" s="56"/>
      <c r="F162" s="56"/>
      <c r="G162" s="45"/>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row>
    <row r="163" spans="1:67" x14ac:dyDescent="0.25">
      <c r="A163" s="45"/>
      <c r="B163" s="45"/>
      <c r="C163" s="45"/>
      <c r="D163" s="57"/>
      <c r="E163" s="56"/>
      <c r="F163" s="56"/>
      <c r="G163" s="45"/>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row>
    <row r="164" spans="1:67" x14ac:dyDescent="0.25">
      <c r="A164" s="45"/>
      <c r="B164" s="45"/>
      <c r="C164" s="45"/>
      <c r="D164" s="57"/>
      <c r="E164" s="56"/>
      <c r="F164" s="56"/>
      <c r="G164" s="45"/>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row>
    <row r="165" spans="1:67" x14ac:dyDescent="0.25">
      <c r="A165" s="45"/>
      <c r="B165" s="45"/>
      <c r="C165" s="45"/>
      <c r="D165" s="57"/>
      <c r="E165" s="56"/>
      <c r="F165" s="56"/>
      <c r="G165" s="45"/>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row>
    <row r="166" spans="1:67" x14ac:dyDescent="0.25">
      <c r="A166" s="45"/>
      <c r="B166" s="45"/>
      <c r="C166" s="45"/>
      <c r="D166" s="57"/>
      <c r="E166" s="56"/>
      <c r="F166" s="56"/>
      <c r="G166" s="45"/>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row>
    <row r="167" spans="1:67" x14ac:dyDescent="0.25">
      <c r="A167" s="45"/>
      <c r="B167" s="45"/>
      <c r="C167" s="45"/>
      <c r="D167" s="57"/>
      <c r="E167" s="56"/>
      <c r="F167" s="56"/>
      <c r="G167" s="45"/>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row>
    <row r="168" spans="1:67" x14ac:dyDescent="0.25">
      <c r="A168" s="45"/>
      <c r="B168" s="45"/>
      <c r="C168" s="45"/>
      <c r="D168" s="57"/>
      <c r="E168" s="56"/>
      <c r="F168" s="56"/>
      <c r="G168" s="45"/>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row>
    <row r="169" spans="1:67" x14ac:dyDescent="0.25">
      <c r="A169" s="45"/>
      <c r="B169" s="45"/>
      <c r="C169" s="45"/>
      <c r="D169" s="57"/>
      <c r="E169" s="56"/>
      <c r="F169" s="56"/>
      <c r="G169" s="45"/>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row>
    <row r="170" spans="1:67" x14ac:dyDescent="0.25">
      <c r="A170" s="45"/>
      <c r="B170" s="45"/>
      <c r="C170" s="45"/>
      <c r="D170" s="57"/>
      <c r="E170" s="56"/>
      <c r="F170" s="56"/>
      <c r="G170" s="45"/>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row>
    <row r="171" spans="1:67" x14ac:dyDescent="0.25">
      <c r="A171" s="45"/>
      <c r="B171" s="45"/>
      <c r="C171" s="45"/>
      <c r="D171" s="57"/>
      <c r="E171" s="56"/>
      <c r="F171" s="56"/>
      <c r="G171" s="45"/>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row>
    <row r="172" spans="1:67" x14ac:dyDescent="0.25">
      <c r="A172" s="45"/>
      <c r="B172" s="45"/>
      <c r="C172" s="45"/>
      <c r="D172" s="57"/>
      <c r="E172" s="56"/>
      <c r="F172" s="56"/>
      <c r="G172" s="45"/>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row>
    <row r="173" spans="1:67" x14ac:dyDescent="0.25">
      <c r="A173" s="45"/>
      <c r="B173" s="45"/>
      <c r="C173" s="45"/>
      <c r="D173" s="57"/>
      <c r="E173" s="56"/>
      <c r="F173" s="56"/>
      <c r="G173" s="45"/>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row>
    <row r="174" spans="1:67" x14ac:dyDescent="0.25">
      <c r="A174" s="45"/>
      <c r="B174" s="45"/>
      <c r="C174" s="45"/>
      <c r="D174" s="57"/>
      <c r="E174" s="56"/>
      <c r="F174" s="56"/>
      <c r="G174" s="45"/>
      <c r="H174" s="43"/>
      <c r="I174" s="43"/>
      <c r="J174" s="43"/>
      <c r="K174" s="43"/>
      <c r="L174" s="43"/>
      <c r="M174" s="43"/>
      <c r="N174" s="43"/>
      <c r="O174" s="43"/>
      <c r="P174" s="43"/>
      <c r="Q174" s="43"/>
      <c r="R174" s="43"/>
      <c r="S174" s="43"/>
      <c r="T174" s="43"/>
      <c r="U174" s="43"/>
      <c r="V174" s="43"/>
      <c r="W174" s="43"/>
    </row>
    <row r="175" spans="1:67" x14ac:dyDescent="0.25">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row>
    <row r="176" spans="1:67" x14ac:dyDescent="0.25">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row>
    <row r="177" spans="8:63" x14ac:dyDescent="0.25">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row>
    <row r="178" spans="8:63" x14ac:dyDescent="0.25">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row>
    <row r="179" spans="8:63" x14ac:dyDescent="0.25">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row>
    <row r="180" spans="8:63" x14ac:dyDescent="0.25">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row>
    <row r="181" spans="8:63" x14ac:dyDescent="0.25">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row>
    <row r="182" spans="8:63" x14ac:dyDescent="0.25">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row>
    <row r="183" spans="8:63" x14ac:dyDescent="0.25">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row>
    <row r="184" spans="8:63" x14ac:dyDescent="0.25">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row>
    <row r="185" spans="8:63" x14ac:dyDescent="0.25">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row>
    <row r="186" spans="8:63" x14ac:dyDescent="0.25">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row>
    <row r="187" spans="8:63" x14ac:dyDescent="0.25">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row>
    <row r="188" spans="8:63" x14ac:dyDescent="0.25">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row>
    <row r="189" spans="8:63" x14ac:dyDescent="0.25">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row>
    <row r="190" spans="8:63" x14ac:dyDescent="0.25">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row>
    <row r="191" spans="8:63" x14ac:dyDescent="0.25">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row>
    <row r="192" spans="8:63" x14ac:dyDescent="0.25">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row>
    <row r="193" spans="8:63" x14ac:dyDescent="0.25">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row>
    <row r="194" spans="8:63" x14ac:dyDescent="0.25">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row>
    <row r="195" spans="8:63" x14ac:dyDescent="0.25">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row>
    <row r="196" spans="8:63" x14ac:dyDescent="0.25">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row>
    <row r="197" spans="8:63" x14ac:dyDescent="0.25">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row>
    <row r="198" spans="8:63" x14ac:dyDescent="0.25">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row>
    <row r="199" spans="8:63" x14ac:dyDescent="0.25">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row>
    <row r="200" spans="8:63" x14ac:dyDescent="0.25">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row>
    <row r="201" spans="8:63" x14ac:dyDescent="0.25">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row>
    <row r="202" spans="8:63" x14ac:dyDescent="0.25">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row>
    <row r="203" spans="8:63" x14ac:dyDescent="0.25">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row>
    <row r="204" spans="8:63" x14ac:dyDescent="0.25">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row>
    <row r="205" spans="8:63" x14ac:dyDescent="0.25">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row>
    <row r="206" spans="8:63" x14ac:dyDescent="0.25">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row>
    <row r="207" spans="8:63" x14ac:dyDescent="0.25">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row>
    <row r="208" spans="8:63" x14ac:dyDescent="0.25">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row>
    <row r="209" spans="8:63" x14ac:dyDescent="0.25">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row>
    <row r="210" spans="8:63" x14ac:dyDescent="0.25">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row>
    <row r="211" spans="8:63" x14ac:dyDescent="0.25">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row>
    <row r="212" spans="8:63" x14ac:dyDescent="0.25">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row>
    <row r="213" spans="8:63" x14ac:dyDescent="0.25">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row>
    <row r="214" spans="8:63" x14ac:dyDescent="0.25">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row>
    <row r="215" spans="8:63" x14ac:dyDescent="0.25">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row>
    <row r="216" spans="8:63" x14ac:dyDescent="0.25">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row>
    <row r="217" spans="8:63" x14ac:dyDescent="0.25">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row>
    <row r="218" spans="8:63" x14ac:dyDescent="0.25">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row>
    <row r="219" spans="8:63" x14ac:dyDescent="0.25">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row>
    <row r="220" spans="8:63" x14ac:dyDescent="0.25">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row>
    <row r="221" spans="8:63" x14ac:dyDescent="0.25">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row>
    <row r="222" spans="8:63" x14ac:dyDescent="0.25">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row>
  </sheetData>
  <dataValidations count="1">
    <dataValidation type="list" allowBlank="1" showInputMessage="1" sqref="C30:C34 C19 G33" xr:uid="{573FB697-9B1A-4168-A519-37CC9CB2C72F}">
      <formula1>standardrooms</formula1>
    </dataValidation>
  </dataValidations>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E759-B1F5-4B62-8639-487889B95B39}">
  <sheetPr>
    <tabColor theme="0" tint="-0.14999847407452621"/>
  </sheetPr>
  <dimension ref="A1:G163"/>
  <sheetViews>
    <sheetView zoomScale="80" zoomScaleNormal="80" workbookViewId="0">
      <selection activeCell="C27" sqref="C27"/>
    </sheetView>
  </sheetViews>
  <sheetFormatPr defaultColWidth="8.85546875" defaultRowHeight="14.25" x14ac:dyDescent="0.25"/>
  <cols>
    <col min="1" max="1" width="43.42578125" style="447" bestFit="1" customWidth="1"/>
    <col min="2" max="2" width="38" style="447" customWidth="1"/>
    <col min="3" max="3" width="46" style="564" customWidth="1"/>
    <col min="4" max="4" width="10.140625" style="568" customWidth="1"/>
    <col min="5" max="5" width="10.85546875" style="569" bestFit="1" customWidth="1"/>
    <col min="6" max="6" width="11.85546875" style="569" bestFit="1" customWidth="1"/>
    <col min="7" max="7" width="44.5703125" style="447" customWidth="1"/>
    <col min="8" max="16384" width="8.85546875" style="439"/>
  </cols>
  <sheetData>
    <row r="1" spans="1:7" ht="27.75" thickBot="1" x14ac:dyDescent="0.3">
      <c r="A1" s="488" t="s">
        <v>477</v>
      </c>
      <c r="B1" s="488" t="s">
        <v>1088</v>
      </c>
      <c r="C1" s="488" t="s">
        <v>672</v>
      </c>
      <c r="D1" s="566" t="s">
        <v>674</v>
      </c>
      <c r="E1" s="567" t="s">
        <v>1094</v>
      </c>
      <c r="F1" s="567" t="s">
        <v>1095</v>
      </c>
      <c r="G1" s="559" t="s">
        <v>19</v>
      </c>
    </row>
    <row r="2" spans="1:7" x14ac:dyDescent="0.2">
      <c r="A2" s="472" t="s">
        <v>909</v>
      </c>
      <c r="B2" s="472" t="s">
        <v>909</v>
      </c>
      <c r="C2" s="441" t="s">
        <v>120</v>
      </c>
      <c r="D2" s="298">
        <v>2</v>
      </c>
      <c r="E2" s="67">
        <f>SRS_Recept_pp</f>
        <v>5.5</v>
      </c>
      <c r="F2" s="273">
        <f>E2*D2</f>
        <v>11</v>
      </c>
      <c r="G2" s="342"/>
    </row>
    <row r="3" spans="1:7" x14ac:dyDescent="0.2">
      <c r="A3" s="472" t="s">
        <v>909</v>
      </c>
      <c r="B3" s="472" t="s">
        <v>909</v>
      </c>
      <c r="C3" s="441" t="s">
        <v>123</v>
      </c>
      <c r="D3" s="298">
        <v>1</v>
      </c>
      <c r="E3" s="67">
        <f>SRS_Selfcheckin</f>
        <v>2</v>
      </c>
      <c r="F3" s="273">
        <f>E3*D3</f>
        <v>2</v>
      </c>
      <c r="G3" s="342"/>
    </row>
    <row r="4" spans="1:7" x14ac:dyDescent="0.2">
      <c r="A4" s="472" t="s">
        <v>909</v>
      </c>
      <c r="B4" s="472" t="s">
        <v>909</v>
      </c>
      <c r="C4" s="441" t="s">
        <v>415</v>
      </c>
      <c r="D4" s="298">
        <v>1</v>
      </c>
      <c r="E4" s="67">
        <f>NCS_Securitydesk</f>
        <v>5.5</v>
      </c>
      <c r="F4" s="273">
        <f t="shared" ref="F4" si="0">SUM(E4*D4)</f>
        <v>5.5</v>
      </c>
      <c r="G4" s="342"/>
    </row>
    <row r="5" spans="1:7" x14ac:dyDescent="0.2">
      <c r="A5" s="472" t="s">
        <v>909</v>
      </c>
      <c r="B5" s="472" t="s">
        <v>909</v>
      </c>
      <c r="C5" s="441" t="s">
        <v>143</v>
      </c>
      <c r="D5" s="298">
        <f>18*1.5*2</f>
        <v>54</v>
      </c>
      <c r="E5" s="67">
        <f>SRS_Wait_Amb_pp</f>
        <v>1.5</v>
      </c>
      <c r="F5" s="273">
        <f t="shared" ref="F5:F16" si="1">SUM(E5*D5)</f>
        <v>81</v>
      </c>
      <c r="G5" s="342"/>
    </row>
    <row r="6" spans="1:7" x14ac:dyDescent="0.2">
      <c r="A6" s="472" t="s">
        <v>909</v>
      </c>
      <c r="B6" s="472" t="s">
        <v>909</v>
      </c>
      <c r="C6" s="441" t="s">
        <v>147</v>
      </c>
      <c r="D6" s="298">
        <v>4</v>
      </c>
      <c r="E6" s="67">
        <f>SRS_WC_Amb</f>
        <v>2.5</v>
      </c>
      <c r="F6" s="273">
        <f t="shared" si="1"/>
        <v>10</v>
      </c>
      <c r="G6" s="342" t="s">
        <v>910</v>
      </c>
    </row>
    <row r="7" spans="1:7" x14ac:dyDescent="0.2">
      <c r="A7" s="472" t="s">
        <v>909</v>
      </c>
      <c r="B7" s="472" t="s">
        <v>909</v>
      </c>
      <c r="C7" s="441" t="s">
        <v>146</v>
      </c>
      <c r="D7" s="298">
        <v>2</v>
      </c>
      <c r="E7" s="67">
        <f>SRS_WC_Access</f>
        <v>4.5</v>
      </c>
      <c r="F7" s="273">
        <f t="shared" si="1"/>
        <v>9</v>
      </c>
      <c r="G7" s="342"/>
    </row>
    <row r="8" spans="1:7" x14ac:dyDescent="0.2">
      <c r="A8" s="472" t="s">
        <v>909</v>
      </c>
      <c r="B8" s="472" t="s">
        <v>909</v>
      </c>
      <c r="C8" s="441" t="s">
        <v>454</v>
      </c>
      <c r="D8" s="298">
        <v>2</v>
      </c>
      <c r="E8" s="67">
        <f>Bay_Vending</f>
        <v>3</v>
      </c>
      <c r="F8" s="273">
        <f t="shared" si="1"/>
        <v>6</v>
      </c>
      <c r="G8" s="372"/>
    </row>
    <row r="9" spans="1:7" ht="13.5" customHeight="1" x14ac:dyDescent="0.2">
      <c r="A9" s="560" t="s">
        <v>909</v>
      </c>
      <c r="B9" s="560" t="s">
        <v>909</v>
      </c>
      <c r="C9" s="441" t="s">
        <v>60</v>
      </c>
      <c r="D9" s="298">
        <v>2</v>
      </c>
      <c r="E9" s="67">
        <f>SCS_Interview</f>
        <v>10</v>
      </c>
      <c r="F9" s="273">
        <f t="shared" si="1"/>
        <v>20</v>
      </c>
      <c r="G9" s="436"/>
    </row>
    <row r="10" spans="1:7" x14ac:dyDescent="0.2">
      <c r="A10" s="472" t="s">
        <v>909</v>
      </c>
      <c r="B10" s="472" t="s">
        <v>909</v>
      </c>
      <c r="C10" s="441" t="s">
        <v>109</v>
      </c>
      <c r="D10" s="298">
        <v>1</v>
      </c>
      <c r="E10" s="67">
        <f>SRS_Nappychange</f>
        <v>4.5</v>
      </c>
      <c r="F10" s="273">
        <f t="shared" si="1"/>
        <v>4.5</v>
      </c>
      <c r="G10" s="342"/>
    </row>
    <row r="11" spans="1:7" x14ac:dyDescent="0.2">
      <c r="A11" s="472" t="s">
        <v>909</v>
      </c>
      <c r="B11" s="472" t="s">
        <v>909</v>
      </c>
      <c r="C11" s="441" t="s">
        <v>102</v>
      </c>
      <c r="D11" s="298">
        <v>1</v>
      </c>
      <c r="E11" s="67">
        <f>SRS_Infantfeed</f>
        <v>5</v>
      </c>
      <c r="F11" s="273">
        <f t="shared" si="1"/>
        <v>5</v>
      </c>
      <c r="G11" s="342"/>
    </row>
    <row r="12" spans="1:7" x14ac:dyDescent="0.2">
      <c r="A12" s="472" t="s">
        <v>909</v>
      </c>
      <c r="B12" s="472" t="s">
        <v>909</v>
      </c>
      <c r="C12" s="441" t="s">
        <v>450</v>
      </c>
      <c r="D12" s="298">
        <v>0</v>
      </c>
      <c r="E12" s="67">
        <f>Bay_Resustroll</f>
        <v>2</v>
      </c>
      <c r="F12" s="273">
        <f t="shared" si="1"/>
        <v>0</v>
      </c>
      <c r="G12" s="372"/>
    </row>
    <row r="13" spans="1:7" x14ac:dyDescent="0.2">
      <c r="A13" s="472" t="s">
        <v>909</v>
      </c>
      <c r="B13" s="472" t="s">
        <v>909</v>
      </c>
      <c r="C13" s="441" t="s">
        <v>88</v>
      </c>
      <c r="D13" s="298">
        <v>1</v>
      </c>
      <c r="E13" s="67">
        <f>SRS_Bay_Wheelstor</f>
        <v>5</v>
      </c>
      <c r="F13" s="273">
        <f t="shared" si="1"/>
        <v>5</v>
      </c>
      <c r="G13" s="342"/>
    </row>
    <row r="14" spans="1:7" x14ac:dyDescent="0.2">
      <c r="A14" s="472" t="s">
        <v>909</v>
      </c>
      <c r="B14" s="472" t="s">
        <v>909</v>
      </c>
      <c r="C14" s="441" t="s">
        <v>457</v>
      </c>
      <c r="D14" s="298">
        <v>1</v>
      </c>
      <c r="E14" s="67">
        <f>Bay_Trolley_Singleside</f>
        <v>7</v>
      </c>
      <c r="F14" s="273">
        <f t="shared" si="1"/>
        <v>7</v>
      </c>
      <c r="G14" s="372"/>
    </row>
    <row r="15" spans="1:7" x14ac:dyDescent="0.2">
      <c r="A15" s="472" t="s">
        <v>909</v>
      </c>
      <c r="B15" s="472" t="s">
        <v>909</v>
      </c>
      <c r="C15" s="441" t="s">
        <v>39</v>
      </c>
      <c r="D15" s="298">
        <v>1</v>
      </c>
      <c r="E15" s="67">
        <f>SRS_Cleaner_Rm</f>
        <v>8</v>
      </c>
      <c r="F15" s="273">
        <f t="shared" si="1"/>
        <v>8</v>
      </c>
      <c r="G15" s="342"/>
    </row>
    <row r="16" spans="1:7" x14ac:dyDescent="0.2">
      <c r="A16" s="561" t="s">
        <v>909</v>
      </c>
      <c r="B16" s="561" t="s">
        <v>909</v>
      </c>
      <c r="C16" s="441" t="s">
        <v>53</v>
      </c>
      <c r="D16" s="335">
        <v>1</v>
      </c>
      <c r="E16" s="71">
        <f>SRS_Disphol_Small</f>
        <v>10</v>
      </c>
      <c r="F16" s="366">
        <f t="shared" si="1"/>
        <v>10</v>
      </c>
      <c r="G16" s="344"/>
    </row>
    <row r="17" spans="1:7" x14ac:dyDescent="0.2">
      <c r="A17" s="440" t="s">
        <v>912</v>
      </c>
      <c r="B17" s="440" t="s">
        <v>911</v>
      </c>
      <c r="C17" s="441" t="s">
        <v>146</v>
      </c>
      <c r="D17" s="334">
        <v>1</v>
      </c>
      <c r="E17" s="69">
        <f>SRS_WC_Access</f>
        <v>4.5</v>
      </c>
      <c r="F17" s="302">
        <f t="shared" ref="F17" si="2">SUM(E17*D17)</f>
        <v>4.5</v>
      </c>
      <c r="G17" s="372" t="s">
        <v>913</v>
      </c>
    </row>
    <row r="18" spans="1:7" x14ac:dyDescent="0.2">
      <c r="A18" s="472" t="s">
        <v>912</v>
      </c>
      <c r="B18" s="472" t="s">
        <v>911</v>
      </c>
      <c r="C18" s="441" t="s">
        <v>49</v>
      </c>
      <c r="D18" s="298">
        <v>1</v>
      </c>
      <c r="E18" s="67">
        <f>SCS_Dirtyutil_Med</f>
        <v>9</v>
      </c>
      <c r="F18" s="273">
        <f>SUM(E18*D18)</f>
        <v>9</v>
      </c>
      <c r="G18" s="342"/>
    </row>
    <row r="19" spans="1:7" x14ac:dyDescent="0.2">
      <c r="A19" s="472" t="s">
        <v>912</v>
      </c>
      <c r="B19" s="472" t="s">
        <v>911</v>
      </c>
      <c r="C19" s="441" t="s">
        <v>60</v>
      </c>
      <c r="D19" s="298">
        <v>1</v>
      </c>
      <c r="E19" s="67">
        <f>SCS_Interview</f>
        <v>10</v>
      </c>
      <c r="F19" s="273">
        <f t="shared" ref="F19:F28" si="3">SUM(E19*D19)</f>
        <v>10</v>
      </c>
      <c r="G19" s="342"/>
    </row>
    <row r="20" spans="1:7" x14ac:dyDescent="0.2">
      <c r="A20" s="472" t="s">
        <v>912</v>
      </c>
      <c r="B20" s="472" t="s">
        <v>911</v>
      </c>
      <c r="C20" s="441" t="s">
        <v>914</v>
      </c>
      <c r="D20" s="298">
        <v>1</v>
      </c>
      <c r="E20" s="67">
        <v>8</v>
      </c>
      <c r="F20" s="273">
        <f t="shared" si="3"/>
        <v>8</v>
      </c>
      <c r="G20" s="342"/>
    </row>
    <row r="21" spans="1:7" x14ac:dyDescent="0.2">
      <c r="A21" s="472" t="s">
        <v>912</v>
      </c>
      <c r="B21" s="472" t="s">
        <v>911</v>
      </c>
      <c r="C21" s="441" t="s">
        <v>317</v>
      </c>
      <c r="D21" s="298">
        <v>1</v>
      </c>
      <c r="E21" s="67">
        <f>OPD_Phlebotomy</f>
        <v>10</v>
      </c>
      <c r="F21" s="273">
        <f t="shared" si="3"/>
        <v>10</v>
      </c>
      <c r="G21" s="342"/>
    </row>
    <row r="22" spans="1:7" x14ac:dyDescent="0.2">
      <c r="A22" s="472" t="s">
        <v>912</v>
      </c>
      <c r="B22" s="472" t="s">
        <v>911</v>
      </c>
      <c r="C22" s="441" t="s">
        <v>44</v>
      </c>
      <c r="D22" s="298">
        <v>1</v>
      </c>
      <c r="E22" s="67">
        <f>SCS_CE_Sing</f>
        <v>14</v>
      </c>
      <c r="F22" s="273">
        <f t="shared" si="3"/>
        <v>14</v>
      </c>
      <c r="G22" s="342" t="s">
        <v>915</v>
      </c>
    </row>
    <row r="23" spans="1:7" x14ac:dyDescent="0.2">
      <c r="A23" s="472" t="s">
        <v>912</v>
      </c>
      <c r="B23" s="472" t="s">
        <v>911</v>
      </c>
      <c r="C23" s="441" t="s">
        <v>41</v>
      </c>
      <c r="D23" s="298">
        <v>10</v>
      </c>
      <c r="E23" s="289">
        <f>SCS_CE_Dual</f>
        <v>16</v>
      </c>
      <c r="F23" s="273">
        <f>SUM(E22*D23)</f>
        <v>140</v>
      </c>
      <c r="G23" s="342"/>
    </row>
    <row r="24" spans="1:7" x14ac:dyDescent="0.2">
      <c r="A24" s="472" t="s">
        <v>912</v>
      </c>
      <c r="B24" s="472" t="s">
        <v>911</v>
      </c>
      <c r="C24" s="441" t="s">
        <v>348</v>
      </c>
      <c r="D24" s="298">
        <v>2</v>
      </c>
      <c r="E24" s="67">
        <f>Staff_Workstn_pp</f>
        <v>4.5</v>
      </c>
      <c r="F24" s="273">
        <f>SUM(E24*D24)</f>
        <v>9</v>
      </c>
      <c r="G24" s="342"/>
    </row>
    <row r="25" spans="1:7" x14ac:dyDescent="0.2">
      <c r="A25" s="472" t="s">
        <v>912</v>
      </c>
      <c r="B25" s="472" t="s">
        <v>911</v>
      </c>
      <c r="C25" s="441" t="s">
        <v>70</v>
      </c>
      <c r="D25" s="298">
        <v>1</v>
      </c>
      <c r="E25" s="67">
        <f>SCS_MDT_30</f>
        <v>24</v>
      </c>
      <c r="F25" s="273">
        <f>SUM(E25*D25)</f>
        <v>24</v>
      </c>
      <c r="G25" s="342" t="s">
        <v>916</v>
      </c>
    </row>
    <row r="26" spans="1:7" x14ac:dyDescent="0.2">
      <c r="A26" s="472" t="s">
        <v>912</v>
      </c>
      <c r="B26" s="472" t="s">
        <v>911</v>
      </c>
      <c r="C26" s="441" t="s">
        <v>344</v>
      </c>
      <c r="D26" s="298">
        <v>1</v>
      </c>
      <c r="E26" s="67">
        <f>Staff_Office_1</f>
        <v>8</v>
      </c>
      <c r="F26" s="273">
        <f t="shared" ref="F26" si="4">SUM(E26*D26)</f>
        <v>8</v>
      </c>
      <c r="G26" s="372" t="s">
        <v>917</v>
      </c>
    </row>
    <row r="27" spans="1:7" x14ac:dyDescent="0.2">
      <c r="A27" s="472" t="s">
        <v>912</v>
      </c>
      <c r="B27" s="472" t="s">
        <v>911</v>
      </c>
      <c r="C27" s="441" t="s">
        <v>146</v>
      </c>
      <c r="D27" s="298">
        <v>1</v>
      </c>
      <c r="E27" s="67">
        <f>SRS_WC_Access</f>
        <v>4.5</v>
      </c>
      <c r="F27" s="273">
        <f t="shared" si="3"/>
        <v>4.5</v>
      </c>
      <c r="G27" s="342"/>
    </row>
    <row r="28" spans="1:7" x14ac:dyDescent="0.2">
      <c r="A28" s="561" t="s">
        <v>912</v>
      </c>
      <c r="B28" s="561" t="s">
        <v>911</v>
      </c>
      <c r="C28" s="441" t="s">
        <v>466</v>
      </c>
      <c r="D28" s="298">
        <v>1</v>
      </c>
      <c r="E28" s="67">
        <f>Store_15</f>
        <v>15</v>
      </c>
      <c r="F28" s="366">
        <f t="shared" si="3"/>
        <v>15</v>
      </c>
      <c r="G28" s="480" t="s">
        <v>769</v>
      </c>
    </row>
    <row r="29" spans="1:7" x14ac:dyDescent="0.2">
      <c r="A29" s="440" t="s">
        <v>602</v>
      </c>
      <c r="B29" s="440" t="s">
        <v>602</v>
      </c>
      <c r="C29" s="441" t="s">
        <v>147</v>
      </c>
      <c r="D29" s="334">
        <v>1</v>
      </c>
      <c r="E29" s="69">
        <f>SRS_WC_Amb</f>
        <v>2.5</v>
      </c>
      <c r="F29" s="302">
        <f t="shared" ref="F29:F34" si="5">SUM(E29*D29)</f>
        <v>2.5</v>
      </c>
      <c r="G29" s="369"/>
    </row>
    <row r="30" spans="1:7" x14ac:dyDescent="0.2">
      <c r="A30" s="472" t="s">
        <v>602</v>
      </c>
      <c r="B30" s="472" t="s">
        <v>602</v>
      </c>
      <c r="C30" s="441" t="s">
        <v>146</v>
      </c>
      <c r="D30" s="298">
        <v>1</v>
      </c>
      <c r="E30" s="67">
        <f>SRS_WC_Access</f>
        <v>4.5</v>
      </c>
      <c r="F30" s="273">
        <f t="shared" si="5"/>
        <v>4.5</v>
      </c>
      <c r="G30" s="342"/>
    </row>
    <row r="31" spans="1:7" x14ac:dyDescent="0.2">
      <c r="A31" s="472" t="s">
        <v>602</v>
      </c>
      <c r="B31" s="472" t="s">
        <v>602</v>
      </c>
      <c r="C31" s="441" t="s">
        <v>60</v>
      </c>
      <c r="D31" s="298">
        <v>1</v>
      </c>
      <c r="E31" s="67">
        <f>SCS_Interview</f>
        <v>10</v>
      </c>
      <c r="F31" s="273">
        <f t="shared" si="5"/>
        <v>10</v>
      </c>
      <c r="G31" s="342"/>
    </row>
    <row r="32" spans="1:7" x14ac:dyDescent="0.2">
      <c r="A32" s="472" t="s">
        <v>602</v>
      </c>
      <c r="B32" s="472" t="s">
        <v>602</v>
      </c>
      <c r="C32" s="441" t="s">
        <v>202</v>
      </c>
      <c r="D32" s="298">
        <v>8</v>
      </c>
      <c r="E32" s="67">
        <f>Imaging_Ultrasound</f>
        <v>16</v>
      </c>
      <c r="F32" s="273">
        <f t="shared" si="5"/>
        <v>128</v>
      </c>
      <c r="G32" s="342"/>
    </row>
    <row r="33" spans="1:7" x14ac:dyDescent="0.2">
      <c r="A33" s="472" t="s">
        <v>602</v>
      </c>
      <c r="B33" s="472" t="s">
        <v>602</v>
      </c>
      <c r="C33" s="441" t="s">
        <v>146</v>
      </c>
      <c r="D33" s="298">
        <v>1</v>
      </c>
      <c r="E33" s="67">
        <f>SRS_WC_Access</f>
        <v>4.5</v>
      </c>
      <c r="F33" s="273">
        <f t="shared" si="5"/>
        <v>4.5</v>
      </c>
      <c r="G33" s="372" t="s">
        <v>918</v>
      </c>
    </row>
    <row r="34" spans="1:7" x14ac:dyDescent="0.2">
      <c r="A34" s="561" t="s">
        <v>602</v>
      </c>
      <c r="B34" s="561" t="s">
        <v>602</v>
      </c>
      <c r="C34" s="441" t="s">
        <v>464</v>
      </c>
      <c r="D34" s="335">
        <v>1</v>
      </c>
      <c r="E34" s="71">
        <f>Store_10</f>
        <v>10</v>
      </c>
      <c r="F34" s="366">
        <f t="shared" si="5"/>
        <v>10</v>
      </c>
      <c r="G34" s="344"/>
    </row>
    <row r="35" spans="1:7" x14ac:dyDescent="0.2">
      <c r="A35" s="562" t="s">
        <v>919</v>
      </c>
      <c r="B35" s="562" t="s">
        <v>919</v>
      </c>
      <c r="C35" s="441" t="s">
        <v>66</v>
      </c>
      <c r="D35" s="334">
        <v>1</v>
      </c>
      <c r="E35" s="69">
        <f>SCS_Medprep_Lrg</f>
        <v>16</v>
      </c>
      <c r="F35" s="302">
        <f>SUM(E35*D35)</f>
        <v>16</v>
      </c>
      <c r="G35" s="369"/>
    </row>
    <row r="36" spans="1:7" x14ac:dyDescent="0.2">
      <c r="A36" s="560" t="s">
        <v>919</v>
      </c>
      <c r="B36" s="560" t="s">
        <v>919</v>
      </c>
      <c r="C36" s="441" t="s">
        <v>28</v>
      </c>
      <c r="D36" s="298">
        <v>1</v>
      </c>
      <c r="E36" s="67">
        <f>SCS_Cleansupply_lrg</f>
        <v>12</v>
      </c>
      <c r="F36" s="273">
        <f t="shared" ref="F36" si="6">SUM(E36*D36)</f>
        <v>12</v>
      </c>
      <c r="G36" s="342"/>
    </row>
    <row r="37" spans="1:7" x14ac:dyDescent="0.2">
      <c r="A37" s="560" t="s">
        <v>919</v>
      </c>
      <c r="B37" s="560" t="s">
        <v>919</v>
      </c>
      <c r="C37" s="441" t="s">
        <v>49</v>
      </c>
      <c r="D37" s="298">
        <v>1</v>
      </c>
      <c r="E37" s="67">
        <f>SCS_Dirtyutil_Med</f>
        <v>9</v>
      </c>
      <c r="F37" s="273">
        <f>SUM(E37*D37)</f>
        <v>9</v>
      </c>
      <c r="G37" s="342"/>
    </row>
    <row r="38" spans="1:7" x14ac:dyDescent="0.2">
      <c r="A38" s="560" t="s">
        <v>919</v>
      </c>
      <c r="B38" s="560" t="s">
        <v>919</v>
      </c>
      <c r="C38" s="441" t="s">
        <v>464</v>
      </c>
      <c r="D38" s="298">
        <v>1</v>
      </c>
      <c r="E38" s="67">
        <f>Store_10</f>
        <v>10</v>
      </c>
      <c r="F38" s="273">
        <f>SUM(E38*D38)</f>
        <v>10</v>
      </c>
      <c r="G38" s="342"/>
    </row>
    <row r="39" spans="1:7" x14ac:dyDescent="0.2">
      <c r="A39" s="560" t="s">
        <v>919</v>
      </c>
      <c r="B39" s="560" t="s">
        <v>919</v>
      </c>
      <c r="C39" s="441" t="s">
        <v>450</v>
      </c>
      <c r="D39" s="298">
        <v>1</v>
      </c>
      <c r="E39" s="67">
        <f>Bay_Resustroll</f>
        <v>2</v>
      </c>
      <c r="F39" s="273">
        <f t="shared" ref="F39:F45" si="7">SUM(E39*D39)</f>
        <v>2</v>
      </c>
      <c r="G39" s="372"/>
    </row>
    <row r="40" spans="1:7" x14ac:dyDescent="0.2">
      <c r="A40" s="560" t="s">
        <v>919</v>
      </c>
      <c r="B40" s="560" t="s">
        <v>919</v>
      </c>
      <c r="C40" s="441" t="s">
        <v>88</v>
      </c>
      <c r="D40" s="298">
        <v>1</v>
      </c>
      <c r="E40" s="67">
        <f>SRS_Bay_Wheelstor</f>
        <v>5</v>
      </c>
      <c r="F40" s="273">
        <f t="shared" si="7"/>
        <v>5</v>
      </c>
      <c r="G40" s="342"/>
    </row>
    <row r="41" spans="1:7" x14ac:dyDescent="0.2">
      <c r="A41" s="560" t="s">
        <v>919</v>
      </c>
      <c r="B41" s="560" t="s">
        <v>919</v>
      </c>
      <c r="C41" s="441" t="s">
        <v>444</v>
      </c>
      <c r="D41" s="298">
        <v>1</v>
      </c>
      <c r="E41" s="67">
        <f>Bay_Linentroll</f>
        <v>3</v>
      </c>
      <c r="F41" s="273">
        <f t="shared" si="7"/>
        <v>3</v>
      </c>
      <c r="G41" s="372"/>
    </row>
    <row r="42" spans="1:7" x14ac:dyDescent="0.2">
      <c r="A42" s="560" t="s">
        <v>919</v>
      </c>
      <c r="B42" s="560" t="s">
        <v>919</v>
      </c>
      <c r="C42" s="441" t="s">
        <v>147</v>
      </c>
      <c r="D42" s="298">
        <v>1</v>
      </c>
      <c r="E42" s="67">
        <f>SRS_WC_Amb</f>
        <v>2.5</v>
      </c>
      <c r="F42" s="273">
        <f t="shared" si="7"/>
        <v>2.5</v>
      </c>
      <c r="G42" s="372" t="s">
        <v>920</v>
      </c>
    </row>
    <row r="43" spans="1:7" x14ac:dyDescent="0.2">
      <c r="A43" s="560" t="s">
        <v>919</v>
      </c>
      <c r="B43" s="560" t="s">
        <v>919</v>
      </c>
      <c r="C43" s="441" t="s">
        <v>146</v>
      </c>
      <c r="D43" s="298">
        <v>1</v>
      </c>
      <c r="E43" s="67">
        <f>SRS_WC_Access</f>
        <v>4.5</v>
      </c>
      <c r="F43" s="273">
        <f t="shared" si="7"/>
        <v>4.5</v>
      </c>
      <c r="G43" s="372" t="s">
        <v>920</v>
      </c>
    </row>
    <row r="44" spans="1:7" x14ac:dyDescent="0.2">
      <c r="A44" s="560" t="s">
        <v>919</v>
      </c>
      <c r="B44" s="560" t="s">
        <v>919</v>
      </c>
      <c r="C44" s="441" t="s">
        <v>39</v>
      </c>
      <c r="D44" s="298">
        <v>1</v>
      </c>
      <c r="E44" s="67">
        <f>SRS_Cleaner_Rm</f>
        <v>8</v>
      </c>
      <c r="F44" s="273">
        <f t="shared" si="7"/>
        <v>8</v>
      </c>
      <c r="G44" s="342"/>
    </row>
    <row r="45" spans="1:7" x14ac:dyDescent="0.2">
      <c r="A45" s="563" t="s">
        <v>919</v>
      </c>
      <c r="B45" s="563" t="s">
        <v>919</v>
      </c>
      <c r="C45" s="441" t="s">
        <v>38</v>
      </c>
      <c r="D45" s="335">
        <v>1</v>
      </c>
      <c r="E45" s="71">
        <f>SRS_Cleaner_Cup</f>
        <v>5</v>
      </c>
      <c r="F45" s="366">
        <f t="shared" si="7"/>
        <v>5</v>
      </c>
      <c r="G45" s="480"/>
    </row>
    <row r="46" spans="1:7" x14ac:dyDescent="0.2">
      <c r="A46" s="440" t="s">
        <v>921</v>
      </c>
      <c r="B46" s="440" t="s">
        <v>921</v>
      </c>
      <c r="C46" s="441" t="s">
        <v>120</v>
      </c>
      <c r="D46" s="334">
        <v>2</v>
      </c>
      <c r="E46" s="69">
        <f>SRS_Recept_pp</f>
        <v>5.5</v>
      </c>
      <c r="F46" s="302">
        <f t="shared" ref="F46:F66" si="8">SUM(E46*D46)</f>
        <v>11</v>
      </c>
      <c r="G46" s="369"/>
    </row>
    <row r="47" spans="1:7" x14ac:dyDescent="0.2">
      <c r="A47" s="472" t="s">
        <v>921</v>
      </c>
      <c r="B47" s="472" t="s">
        <v>921</v>
      </c>
      <c r="C47" s="441" t="s">
        <v>143</v>
      </c>
      <c r="D47" s="298">
        <f>8*2*2</f>
        <v>32</v>
      </c>
      <c r="E47" s="67">
        <f>SRS_Wait_Amb_pp</f>
        <v>1.5</v>
      </c>
      <c r="F47" s="273">
        <f t="shared" si="8"/>
        <v>48</v>
      </c>
      <c r="G47" s="342"/>
    </row>
    <row r="48" spans="1:7" x14ac:dyDescent="0.2">
      <c r="A48" s="472" t="s">
        <v>921</v>
      </c>
      <c r="B48" s="472" t="s">
        <v>921</v>
      </c>
      <c r="C48" s="441" t="s">
        <v>147</v>
      </c>
      <c r="D48" s="298">
        <v>1</v>
      </c>
      <c r="E48" s="67">
        <f>SRS_WC_Amb</f>
        <v>2.5</v>
      </c>
      <c r="F48" s="273">
        <f t="shared" si="8"/>
        <v>2.5</v>
      </c>
      <c r="G48" s="372" t="s">
        <v>910</v>
      </c>
    </row>
    <row r="49" spans="1:7" x14ac:dyDescent="0.2">
      <c r="A49" s="472" t="s">
        <v>921</v>
      </c>
      <c r="B49" s="472" t="s">
        <v>921</v>
      </c>
      <c r="C49" s="441" t="s">
        <v>146</v>
      </c>
      <c r="D49" s="298">
        <v>1</v>
      </c>
      <c r="E49" s="67">
        <f>SRS_WC_Access</f>
        <v>4.5</v>
      </c>
      <c r="F49" s="273">
        <f t="shared" si="8"/>
        <v>4.5</v>
      </c>
      <c r="G49" s="342"/>
    </row>
    <row r="50" spans="1:7" x14ac:dyDescent="0.2">
      <c r="A50" s="472" t="s">
        <v>921</v>
      </c>
      <c r="B50" s="472" t="s">
        <v>921</v>
      </c>
      <c r="C50" s="441" t="s">
        <v>102</v>
      </c>
      <c r="D50" s="298">
        <v>1</v>
      </c>
      <c r="E50" s="67">
        <f>SRS_Infantfeed</f>
        <v>5</v>
      </c>
      <c r="F50" s="273">
        <f t="shared" si="8"/>
        <v>5</v>
      </c>
      <c r="G50" s="342"/>
    </row>
    <row r="51" spans="1:7" x14ac:dyDescent="0.2">
      <c r="A51" s="472" t="s">
        <v>921</v>
      </c>
      <c r="B51" s="472" t="s">
        <v>921</v>
      </c>
      <c r="C51" s="441" t="s">
        <v>60</v>
      </c>
      <c r="D51" s="298">
        <v>1</v>
      </c>
      <c r="E51" s="67">
        <f>SCS_Interview</f>
        <v>10</v>
      </c>
      <c r="F51" s="273">
        <f t="shared" si="8"/>
        <v>10</v>
      </c>
      <c r="G51" s="342"/>
    </row>
    <row r="52" spans="1:7" x14ac:dyDescent="0.2">
      <c r="A52" s="472" t="s">
        <v>922</v>
      </c>
      <c r="B52" s="472" t="s">
        <v>921</v>
      </c>
      <c r="C52" s="441" t="s">
        <v>41</v>
      </c>
      <c r="D52" s="298">
        <v>0</v>
      </c>
      <c r="E52" s="67">
        <f>SCS_CE_Dual</f>
        <v>16</v>
      </c>
      <c r="F52" s="273">
        <f t="shared" si="8"/>
        <v>0</v>
      </c>
      <c r="G52" s="342"/>
    </row>
    <row r="53" spans="1:7" x14ac:dyDescent="0.2">
      <c r="A53" s="472" t="s">
        <v>922</v>
      </c>
      <c r="B53" s="472" t="s">
        <v>921</v>
      </c>
      <c r="C53" s="441" t="s">
        <v>265</v>
      </c>
      <c r="D53" s="298">
        <v>6</v>
      </c>
      <c r="E53" s="67">
        <f>Theatres_Cabin_Stage1_Lrg</f>
        <v>16</v>
      </c>
      <c r="F53" s="273">
        <f t="shared" si="8"/>
        <v>96</v>
      </c>
      <c r="G53" s="342"/>
    </row>
    <row r="54" spans="1:7" x14ac:dyDescent="0.2">
      <c r="A54" s="472" t="s">
        <v>922</v>
      </c>
      <c r="B54" s="472" t="s">
        <v>921</v>
      </c>
      <c r="C54" s="441" t="s">
        <v>146</v>
      </c>
      <c r="D54" s="298">
        <v>2</v>
      </c>
      <c r="E54" s="67">
        <f>SRS_WC_Access</f>
        <v>4.5</v>
      </c>
      <c r="F54" s="273">
        <f t="shared" si="8"/>
        <v>9</v>
      </c>
      <c r="G54" s="342"/>
    </row>
    <row r="55" spans="1:7" x14ac:dyDescent="0.2">
      <c r="A55" s="472" t="s">
        <v>922</v>
      </c>
      <c r="B55" s="472" t="s">
        <v>921</v>
      </c>
      <c r="C55" s="441" t="s">
        <v>344</v>
      </c>
      <c r="D55" s="298">
        <v>1</v>
      </c>
      <c r="E55" s="67">
        <f>Staff_Office_1</f>
        <v>8</v>
      </c>
      <c r="F55" s="273">
        <f t="shared" si="8"/>
        <v>8</v>
      </c>
      <c r="G55" s="342"/>
    </row>
    <row r="56" spans="1:7" x14ac:dyDescent="0.2">
      <c r="A56" s="472" t="s">
        <v>922</v>
      </c>
      <c r="B56" s="472" t="s">
        <v>921</v>
      </c>
      <c r="C56" s="441" t="s">
        <v>348</v>
      </c>
      <c r="D56" s="298">
        <v>2</v>
      </c>
      <c r="E56" s="67">
        <f>Staff_Workstn_pp</f>
        <v>4.5</v>
      </c>
      <c r="F56" s="273">
        <f>SUM(E56*D56)</f>
        <v>9</v>
      </c>
      <c r="G56" s="342"/>
    </row>
    <row r="57" spans="1:7" x14ac:dyDescent="0.2">
      <c r="A57" s="472" t="s">
        <v>923</v>
      </c>
      <c r="B57" s="472" t="s">
        <v>921</v>
      </c>
      <c r="C57" s="441" t="s">
        <v>66</v>
      </c>
      <c r="D57" s="298">
        <v>1</v>
      </c>
      <c r="E57" s="67">
        <f>SCS_Medprep_Lrg</f>
        <v>16</v>
      </c>
      <c r="F57" s="273">
        <f t="shared" ref="F57:F58" si="9">SUM(E57*D57)</f>
        <v>16</v>
      </c>
      <c r="G57" s="342"/>
    </row>
    <row r="58" spans="1:7" x14ac:dyDescent="0.2">
      <c r="A58" s="472" t="s">
        <v>923</v>
      </c>
      <c r="B58" s="472" t="s">
        <v>921</v>
      </c>
      <c r="C58" s="441" t="s">
        <v>28</v>
      </c>
      <c r="D58" s="298">
        <v>1</v>
      </c>
      <c r="E58" s="67">
        <f>SCS_Cleansupply_lrg</f>
        <v>12</v>
      </c>
      <c r="F58" s="273">
        <f t="shared" si="9"/>
        <v>12</v>
      </c>
      <c r="G58" s="342"/>
    </row>
    <row r="59" spans="1:7" x14ac:dyDescent="0.2">
      <c r="A59" s="472" t="s">
        <v>923</v>
      </c>
      <c r="B59" s="472" t="s">
        <v>921</v>
      </c>
      <c r="C59" s="441" t="s">
        <v>49</v>
      </c>
      <c r="D59" s="298">
        <v>1</v>
      </c>
      <c r="E59" s="67">
        <f>SCS_Dirtyutil_Med</f>
        <v>9</v>
      </c>
      <c r="F59" s="273">
        <f>SUM(E59*D59)</f>
        <v>9</v>
      </c>
      <c r="G59" s="342"/>
    </row>
    <row r="60" spans="1:7" x14ac:dyDescent="0.2">
      <c r="A60" s="472" t="s">
        <v>923</v>
      </c>
      <c r="B60" s="472" t="s">
        <v>921</v>
      </c>
      <c r="C60" s="441" t="s">
        <v>117</v>
      </c>
      <c r="D60" s="298">
        <v>1</v>
      </c>
      <c r="E60" s="67">
        <f>SRS_Pantry_Small</f>
        <v>8</v>
      </c>
      <c r="F60" s="273">
        <f>SUM(E60*D60)</f>
        <v>8</v>
      </c>
      <c r="G60" s="342"/>
    </row>
    <row r="61" spans="1:7" x14ac:dyDescent="0.2">
      <c r="A61" s="472" t="s">
        <v>923</v>
      </c>
      <c r="B61" s="472" t="s">
        <v>921</v>
      </c>
      <c r="C61" s="441" t="s">
        <v>146</v>
      </c>
      <c r="D61" s="298">
        <v>1</v>
      </c>
      <c r="E61" s="67">
        <f>SRS_WC_Access</f>
        <v>4.5</v>
      </c>
      <c r="F61" s="273">
        <f t="shared" si="8"/>
        <v>4.5</v>
      </c>
      <c r="G61" s="372" t="s">
        <v>920</v>
      </c>
    </row>
    <row r="62" spans="1:7" x14ac:dyDescent="0.2">
      <c r="A62" s="472" t="s">
        <v>923</v>
      </c>
      <c r="B62" s="472" t="s">
        <v>921</v>
      </c>
      <c r="C62" s="441" t="s">
        <v>39</v>
      </c>
      <c r="D62" s="298">
        <v>1</v>
      </c>
      <c r="E62" s="67">
        <f>SRS_Cleaner_Rm</f>
        <v>8</v>
      </c>
      <c r="F62" s="273">
        <f t="shared" si="8"/>
        <v>8</v>
      </c>
      <c r="G62" s="342"/>
    </row>
    <row r="63" spans="1:7" x14ac:dyDescent="0.2">
      <c r="A63" s="472" t="s">
        <v>923</v>
      </c>
      <c r="B63" s="472" t="s">
        <v>921</v>
      </c>
      <c r="C63" s="441" t="s">
        <v>464</v>
      </c>
      <c r="D63" s="298">
        <v>1</v>
      </c>
      <c r="E63" s="67">
        <f>Store_10</f>
        <v>10</v>
      </c>
      <c r="F63" s="273">
        <f t="shared" si="8"/>
        <v>10</v>
      </c>
      <c r="G63" s="342"/>
    </row>
    <row r="64" spans="1:7" x14ac:dyDescent="0.2">
      <c r="A64" s="472" t="s">
        <v>924</v>
      </c>
      <c r="B64" s="472" t="s">
        <v>921</v>
      </c>
      <c r="C64" s="441" t="s">
        <v>344</v>
      </c>
      <c r="D64" s="298">
        <v>1</v>
      </c>
      <c r="E64" s="67">
        <f>Staff_Office_1</f>
        <v>8</v>
      </c>
      <c r="F64" s="273">
        <f t="shared" si="8"/>
        <v>8</v>
      </c>
      <c r="G64" s="372" t="s">
        <v>925</v>
      </c>
    </row>
    <row r="65" spans="1:7" x14ac:dyDescent="0.2">
      <c r="A65" s="472" t="s">
        <v>924</v>
      </c>
      <c r="B65" s="472" t="s">
        <v>921</v>
      </c>
      <c r="C65" s="441" t="s">
        <v>180</v>
      </c>
      <c r="D65" s="298">
        <v>2</v>
      </c>
      <c r="E65" s="67">
        <f>ED_Triage</f>
        <v>14</v>
      </c>
      <c r="F65" s="273">
        <f t="shared" si="8"/>
        <v>28</v>
      </c>
      <c r="G65" s="342"/>
    </row>
    <row r="66" spans="1:7" x14ac:dyDescent="0.2">
      <c r="A66" s="561" t="s">
        <v>924</v>
      </c>
      <c r="B66" s="561" t="s">
        <v>921</v>
      </c>
      <c r="C66" s="441" t="s">
        <v>464</v>
      </c>
      <c r="D66" s="335">
        <v>1</v>
      </c>
      <c r="E66" s="71">
        <f>Store_10</f>
        <v>10</v>
      </c>
      <c r="F66" s="366">
        <f t="shared" si="8"/>
        <v>10</v>
      </c>
      <c r="G66" s="342" t="s">
        <v>926</v>
      </c>
    </row>
    <row r="67" spans="1:7" x14ac:dyDescent="0.2">
      <c r="A67" s="472" t="s">
        <v>1114</v>
      </c>
      <c r="B67" s="472" t="s">
        <v>1106</v>
      </c>
      <c r="C67" s="441" t="s">
        <v>1107</v>
      </c>
      <c r="D67" s="298">
        <v>6</v>
      </c>
      <c r="E67" s="67">
        <f>Maternity_LDRP_Pool</f>
        <v>34.5</v>
      </c>
      <c r="F67" s="273">
        <f t="shared" ref="F67:F69" si="10">SUM(E67*D67)</f>
        <v>207</v>
      </c>
      <c r="G67" s="342"/>
    </row>
    <row r="68" spans="1:7" x14ac:dyDescent="0.2">
      <c r="A68" s="472" t="s">
        <v>1114</v>
      </c>
      <c r="B68" s="472" t="s">
        <v>1106</v>
      </c>
      <c r="C68" s="441" t="s">
        <v>1109</v>
      </c>
      <c r="D68" s="298">
        <v>5</v>
      </c>
      <c r="E68" s="67">
        <v>4.5</v>
      </c>
      <c r="F68" s="273">
        <f t="shared" si="10"/>
        <v>22.5</v>
      </c>
      <c r="G68" s="342"/>
    </row>
    <row r="69" spans="1:7" x14ac:dyDescent="0.2">
      <c r="A69" s="472" t="s">
        <v>1114</v>
      </c>
      <c r="B69" s="472" t="s">
        <v>1106</v>
      </c>
      <c r="C69" s="441" t="s">
        <v>95</v>
      </c>
      <c r="D69" s="298">
        <v>1</v>
      </c>
      <c r="E69" s="67">
        <f>SRS_Ensuite_lrg</f>
        <v>7.5</v>
      </c>
      <c r="F69" s="273">
        <f t="shared" si="10"/>
        <v>7.5</v>
      </c>
      <c r="G69" s="342" t="s">
        <v>927</v>
      </c>
    </row>
    <row r="70" spans="1:7" x14ac:dyDescent="0.2">
      <c r="A70" s="472" t="s">
        <v>1114</v>
      </c>
      <c r="B70" s="472" t="s">
        <v>1106</v>
      </c>
      <c r="C70" s="441" t="s">
        <v>1108</v>
      </c>
      <c r="D70" s="298">
        <v>4</v>
      </c>
      <c r="E70" s="67">
        <f>Maternity_LDRP</f>
        <v>24</v>
      </c>
      <c r="F70" s="273">
        <f t="shared" ref="F70:F71" si="11">SUM(E70*D70)</f>
        <v>96</v>
      </c>
      <c r="G70" s="342"/>
    </row>
    <row r="71" spans="1:7" x14ac:dyDescent="0.2">
      <c r="A71" s="472" t="s">
        <v>1114</v>
      </c>
      <c r="B71" s="472" t="s">
        <v>1106</v>
      </c>
      <c r="C71" s="441" t="s">
        <v>1109</v>
      </c>
      <c r="D71" s="298">
        <v>4</v>
      </c>
      <c r="E71" s="67">
        <v>4.5</v>
      </c>
      <c r="F71" s="273">
        <f t="shared" si="11"/>
        <v>18</v>
      </c>
      <c r="G71" s="342"/>
    </row>
    <row r="72" spans="1:7" x14ac:dyDescent="0.2">
      <c r="A72" s="472" t="s">
        <v>1114</v>
      </c>
      <c r="B72" s="472" t="s">
        <v>1106</v>
      </c>
      <c r="C72" s="441" t="s">
        <v>470</v>
      </c>
      <c r="D72" s="298">
        <v>10</v>
      </c>
      <c r="E72" s="67">
        <f>Store_5</f>
        <v>5</v>
      </c>
      <c r="F72" s="273">
        <f>SUM(E72*D72)</f>
        <v>50</v>
      </c>
      <c r="G72" s="342" t="s">
        <v>928</v>
      </c>
    </row>
    <row r="73" spans="1:7" x14ac:dyDescent="0.2">
      <c r="A73" s="472" t="s">
        <v>1114</v>
      </c>
      <c r="B73" s="472" t="s">
        <v>1106</v>
      </c>
      <c r="C73" s="441" t="s">
        <v>49</v>
      </c>
      <c r="D73" s="298">
        <v>1</v>
      </c>
      <c r="E73" s="67">
        <f>SCS_Dirtyutil_Med</f>
        <v>9</v>
      </c>
      <c r="F73" s="273">
        <f>SUM(E73*D73)</f>
        <v>9</v>
      </c>
      <c r="G73" s="342"/>
    </row>
    <row r="74" spans="1:7" x14ac:dyDescent="0.2">
      <c r="A74" s="472" t="s">
        <v>1114</v>
      </c>
      <c r="B74" s="472" t="s">
        <v>1106</v>
      </c>
      <c r="C74" s="441" t="s">
        <v>66</v>
      </c>
      <c r="D74" s="298">
        <v>1</v>
      </c>
      <c r="E74" s="67">
        <f>SCS_Medprep_Lrg</f>
        <v>16</v>
      </c>
      <c r="F74" s="273">
        <f t="shared" ref="F74:F82" si="12">SUM(E74*D74)</f>
        <v>16</v>
      </c>
      <c r="G74" s="342"/>
    </row>
    <row r="75" spans="1:7" x14ac:dyDescent="0.2">
      <c r="A75" s="472" t="s">
        <v>1114</v>
      </c>
      <c r="B75" s="472" t="s">
        <v>1106</v>
      </c>
      <c r="C75" s="441" t="s">
        <v>28</v>
      </c>
      <c r="D75" s="298">
        <v>1</v>
      </c>
      <c r="E75" s="67">
        <f>SCS_Cleansupply_lrg</f>
        <v>12</v>
      </c>
      <c r="F75" s="273">
        <f t="shared" si="12"/>
        <v>12</v>
      </c>
      <c r="G75" s="342"/>
    </row>
    <row r="76" spans="1:7" x14ac:dyDescent="0.2">
      <c r="A76" s="472" t="s">
        <v>1114</v>
      </c>
      <c r="B76" s="472" t="s">
        <v>1106</v>
      </c>
      <c r="C76" s="441" t="s">
        <v>60</v>
      </c>
      <c r="D76" s="298">
        <v>1</v>
      </c>
      <c r="E76" s="67">
        <f>SCS_Interview</f>
        <v>10</v>
      </c>
      <c r="F76" s="273">
        <f t="shared" si="12"/>
        <v>10</v>
      </c>
      <c r="G76" s="342"/>
    </row>
    <row r="77" spans="1:7" x14ac:dyDescent="0.2">
      <c r="A77" s="472" t="s">
        <v>1114</v>
      </c>
      <c r="B77" s="472" t="s">
        <v>1106</v>
      </c>
      <c r="C77" s="441" t="s">
        <v>348</v>
      </c>
      <c r="D77" s="298">
        <v>1</v>
      </c>
      <c r="E77" s="67">
        <f>Staff_Workstn_pp</f>
        <v>4.5</v>
      </c>
      <c r="F77" s="273">
        <f t="shared" si="12"/>
        <v>4.5</v>
      </c>
      <c r="G77" s="342"/>
    </row>
    <row r="78" spans="1:7" x14ac:dyDescent="0.2">
      <c r="A78" s="472" t="s">
        <v>1114</v>
      </c>
      <c r="B78" s="472" t="s">
        <v>1106</v>
      </c>
      <c r="C78" s="441" t="s">
        <v>146</v>
      </c>
      <c r="D78" s="298">
        <v>1</v>
      </c>
      <c r="E78" s="67">
        <f>SRS_WC_Access</f>
        <v>4.5</v>
      </c>
      <c r="F78" s="273">
        <f t="shared" si="12"/>
        <v>4.5</v>
      </c>
      <c r="G78" s="342" t="s">
        <v>920</v>
      </c>
    </row>
    <row r="79" spans="1:7" x14ac:dyDescent="0.2">
      <c r="A79" s="472" t="s">
        <v>1114</v>
      </c>
      <c r="B79" s="472" t="s">
        <v>1106</v>
      </c>
      <c r="C79" s="441" t="s">
        <v>39</v>
      </c>
      <c r="D79" s="335">
        <v>1</v>
      </c>
      <c r="E79" s="71">
        <f>SCS_Cleaner_Rm</f>
        <v>8</v>
      </c>
      <c r="F79" s="366">
        <f t="shared" si="12"/>
        <v>8</v>
      </c>
      <c r="G79" s="342"/>
    </row>
    <row r="80" spans="1:7" x14ac:dyDescent="0.2">
      <c r="A80" s="472" t="s">
        <v>1114</v>
      </c>
      <c r="B80" s="472" t="s">
        <v>1106</v>
      </c>
      <c r="C80" s="565" t="s">
        <v>1110</v>
      </c>
      <c r="D80" s="293">
        <v>1</v>
      </c>
      <c r="E80" s="289">
        <v>5</v>
      </c>
      <c r="F80" s="366">
        <f t="shared" si="12"/>
        <v>5</v>
      </c>
      <c r="G80" s="479"/>
    </row>
    <row r="81" spans="1:7" x14ac:dyDescent="0.2">
      <c r="A81" s="472" t="s">
        <v>1114</v>
      </c>
      <c r="B81" s="472" t="s">
        <v>929</v>
      </c>
      <c r="C81" s="441" t="s">
        <v>1108</v>
      </c>
      <c r="D81" s="298">
        <v>10</v>
      </c>
      <c r="E81" s="67">
        <f>Maternity_LDRP</f>
        <v>24</v>
      </c>
      <c r="F81" s="273">
        <f t="shared" si="12"/>
        <v>240</v>
      </c>
      <c r="G81" s="372"/>
    </row>
    <row r="82" spans="1:7" x14ac:dyDescent="0.2">
      <c r="A82" s="472" t="s">
        <v>1114</v>
      </c>
      <c r="B82" s="472" t="s">
        <v>929</v>
      </c>
      <c r="C82" s="441" t="s">
        <v>1109</v>
      </c>
      <c r="D82" s="298">
        <v>10</v>
      </c>
      <c r="E82" s="67">
        <v>4.5</v>
      </c>
      <c r="F82" s="273">
        <f t="shared" si="12"/>
        <v>45</v>
      </c>
      <c r="G82" s="342"/>
    </row>
    <row r="83" spans="1:7" x14ac:dyDescent="0.2">
      <c r="A83" s="472" t="s">
        <v>1114</v>
      </c>
      <c r="B83" s="472" t="s">
        <v>929</v>
      </c>
      <c r="C83" s="441" t="s">
        <v>470</v>
      </c>
      <c r="D83" s="298">
        <v>10</v>
      </c>
      <c r="E83" s="67">
        <f>Store_5</f>
        <v>5</v>
      </c>
      <c r="F83" s="273">
        <f t="shared" ref="F83:F91" si="13">SUM(E83*D83)</f>
        <v>50</v>
      </c>
      <c r="G83" s="372" t="s">
        <v>928</v>
      </c>
    </row>
    <row r="84" spans="1:7" x14ac:dyDescent="0.2">
      <c r="A84" s="472" t="s">
        <v>1114</v>
      </c>
      <c r="B84" s="472" t="s">
        <v>929</v>
      </c>
      <c r="C84" s="441" t="s">
        <v>49</v>
      </c>
      <c r="D84" s="298">
        <v>1</v>
      </c>
      <c r="E84" s="67">
        <f>SCS_Dirtyutil_Med</f>
        <v>9</v>
      </c>
      <c r="F84" s="273">
        <f>SUM(E84*D84)</f>
        <v>9</v>
      </c>
      <c r="G84" s="342"/>
    </row>
    <row r="85" spans="1:7" x14ac:dyDescent="0.2">
      <c r="A85" s="472" t="s">
        <v>1114</v>
      </c>
      <c r="B85" s="472" t="s">
        <v>929</v>
      </c>
      <c r="C85" s="441" t="s">
        <v>66</v>
      </c>
      <c r="D85" s="298">
        <v>1</v>
      </c>
      <c r="E85" s="67">
        <f>SCS_Medprep_Lrg</f>
        <v>16</v>
      </c>
      <c r="F85" s="273">
        <f t="shared" si="13"/>
        <v>16</v>
      </c>
      <c r="G85" s="342"/>
    </row>
    <row r="86" spans="1:7" x14ac:dyDescent="0.2">
      <c r="A86" s="472" t="s">
        <v>1114</v>
      </c>
      <c r="B86" s="472" t="s">
        <v>929</v>
      </c>
      <c r="C86" s="441" t="s">
        <v>28</v>
      </c>
      <c r="D86" s="298">
        <v>1</v>
      </c>
      <c r="E86" s="67">
        <f>SCS_Cleansupply_lrg</f>
        <v>12</v>
      </c>
      <c r="F86" s="273">
        <f t="shared" si="13"/>
        <v>12</v>
      </c>
      <c r="G86" s="342"/>
    </row>
    <row r="87" spans="1:7" x14ac:dyDescent="0.2">
      <c r="A87" s="472" t="s">
        <v>1114</v>
      </c>
      <c r="B87" s="472" t="s">
        <v>929</v>
      </c>
      <c r="C87" s="441" t="s">
        <v>60</v>
      </c>
      <c r="D87" s="298">
        <v>1</v>
      </c>
      <c r="E87" s="67">
        <f>SCS_Interview</f>
        <v>10</v>
      </c>
      <c r="F87" s="273">
        <f t="shared" si="13"/>
        <v>10</v>
      </c>
      <c r="G87" s="342"/>
    </row>
    <row r="88" spans="1:7" x14ac:dyDescent="0.2">
      <c r="A88" s="472" t="s">
        <v>1114</v>
      </c>
      <c r="B88" s="472" t="s">
        <v>929</v>
      </c>
      <c r="C88" s="441" t="s">
        <v>348</v>
      </c>
      <c r="D88" s="298">
        <v>1</v>
      </c>
      <c r="E88" s="67">
        <f>Staff_Workstn_pp</f>
        <v>4.5</v>
      </c>
      <c r="F88" s="273">
        <f t="shared" si="13"/>
        <v>4.5</v>
      </c>
      <c r="G88" s="342" t="s">
        <v>930</v>
      </c>
    </row>
    <row r="89" spans="1:7" x14ac:dyDescent="0.2">
      <c r="A89" s="472" t="s">
        <v>1114</v>
      </c>
      <c r="B89" s="472" t="s">
        <v>929</v>
      </c>
      <c r="C89" s="441" t="s">
        <v>146</v>
      </c>
      <c r="D89" s="298">
        <v>1</v>
      </c>
      <c r="E89" s="67">
        <f>SRS_WC_Access</f>
        <v>4.5</v>
      </c>
      <c r="F89" s="273">
        <f t="shared" si="13"/>
        <v>4.5</v>
      </c>
      <c r="G89" s="342" t="s">
        <v>920</v>
      </c>
    </row>
    <row r="90" spans="1:7" x14ac:dyDescent="0.2">
      <c r="A90" s="472" t="s">
        <v>1114</v>
      </c>
      <c r="B90" s="472" t="s">
        <v>929</v>
      </c>
      <c r="C90" s="441" t="s">
        <v>39</v>
      </c>
      <c r="D90" s="335">
        <v>1</v>
      </c>
      <c r="E90" s="71">
        <f>SRS_Cleaner_Rm</f>
        <v>8</v>
      </c>
      <c r="F90" s="366">
        <f t="shared" si="13"/>
        <v>8</v>
      </c>
      <c r="G90" s="342"/>
    </row>
    <row r="91" spans="1:7" x14ac:dyDescent="0.2">
      <c r="A91" s="472" t="s">
        <v>1114</v>
      </c>
      <c r="B91" s="472" t="s">
        <v>929</v>
      </c>
      <c r="C91" s="565" t="s">
        <v>1110</v>
      </c>
      <c r="D91" s="293">
        <v>1</v>
      </c>
      <c r="E91" s="289">
        <v>5</v>
      </c>
      <c r="F91" s="366">
        <f t="shared" si="13"/>
        <v>5</v>
      </c>
      <c r="G91" s="479"/>
    </row>
    <row r="92" spans="1:7" ht="25.5" x14ac:dyDescent="0.2">
      <c r="A92" s="472" t="s">
        <v>1114</v>
      </c>
      <c r="B92" s="472" t="s">
        <v>929</v>
      </c>
      <c r="C92" s="441" t="s">
        <v>937</v>
      </c>
      <c r="D92" s="298">
        <v>1</v>
      </c>
      <c r="E92" s="67">
        <v>12</v>
      </c>
      <c r="F92" s="273">
        <f>SUM(E92*D92)</f>
        <v>12</v>
      </c>
      <c r="G92" s="342" t="s">
        <v>938</v>
      </c>
    </row>
    <row r="93" spans="1:7" x14ac:dyDescent="0.2">
      <c r="A93" s="472" t="s">
        <v>1114</v>
      </c>
      <c r="B93" s="472" t="s">
        <v>929</v>
      </c>
      <c r="C93" s="441" t="s">
        <v>60</v>
      </c>
      <c r="D93" s="298">
        <v>1</v>
      </c>
      <c r="E93" s="67">
        <f>SCS_Interview</f>
        <v>10</v>
      </c>
      <c r="F93" s="273">
        <f>SUM(E93*D93)</f>
        <v>10</v>
      </c>
      <c r="G93" s="342"/>
    </row>
    <row r="94" spans="1:7" x14ac:dyDescent="0.2">
      <c r="A94" s="472" t="s">
        <v>1114</v>
      </c>
      <c r="B94" s="472" t="s">
        <v>931</v>
      </c>
      <c r="C94" s="441" t="s">
        <v>74</v>
      </c>
      <c r="D94" s="334">
        <v>1</v>
      </c>
      <c r="E94" s="69">
        <f>SCS_POCT</f>
        <v>10</v>
      </c>
      <c r="F94" s="302">
        <f t="shared" ref="F94" si="14">SUM(E94*D94)</f>
        <v>10</v>
      </c>
      <c r="G94" s="369"/>
    </row>
    <row r="95" spans="1:7" x14ac:dyDescent="0.2">
      <c r="A95" s="472" t="s">
        <v>1114</v>
      </c>
      <c r="B95" s="472" t="s">
        <v>931</v>
      </c>
      <c r="C95" s="441" t="s">
        <v>73</v>
      </c>
      <c r="D95" s="298">
        <v>1</v>
      </c>
      <c r="E95" s="67">
        <f>SCS_PTS</f>
        <v>2</v>
      </c>
      <c r="F95" s="273">
        <f>SUM(E95*D95)</f>
        <v>2</v>
      </c>
      <c r="G95" s="342"/>
    </row>
    <row r="96" spans="1:7" x14ac:dyDescent="0.2">
      <c r="A96" s="472" t="s">
        <v>1114</v>
      </c>
      <c r="B96" s="472" t="s">
        <v>931</v>
      </c>
      <c r="C96" s="441" t="s">
        <v>111</v>
      </c>
      <c r="D96" s="298">
        <v>1</v>
      </c>
      <c r="E96" s="67">
        <f>SRS_Pantry_Lrg</f>
        <v>16</v>
      </c>
      <c r="F96" s="273">
        <f>SUM(E96*D96)</f>
        <v>16</v>
      </c>
      <c r="G96" s="342"/>
    </row>
    <row r="97" spans="1:7" x14ac:dyDescent="0.2">
      <c r="A97" s="472" t="s">
        <v>1114</v>
      </c>
      <c r="B97" s="472" t="s">
        <v>931</v>
      </c>
      <c r="C97" s="441" t="s">
        <v>86</v>
      </c>
      <c r="D97" s="298">
        <v>1</v>
      </c>
      <c r="E97" s="67">
        <f>SRS_Bath_Assist</f>
        <v>15</v>
      </c>
      <c r="F97" s="273">
        <f>SUM(E97*D97)</f>
        <v>15</v>
      </c>
      <c r="G97" s="342"/>
    </row>
    <row r="98" spans="1:7" x14ac:dyDescent="0.2">
      <c r="A98" s="472" t="s">
        <v>1114</v>
      </c>
      <c r="B98" s="472" t="s">
        <v>931</v>
      </c>
      <c r="C98" s="441" t="s">
        <v>444</v>
      </c>
      <c r="D98" s="298">
        <v>1</v>
      </c>
      <c r="E98" s="67">
        <f>Bay_Linentroll</f>
        <v>3</v>
      </c>
      <c r="F98" s="273">
        <f t="shared" ref="F98:F112" si="15">SUM(E98*D98)</f>
        <v>3</v>
      </c>
      <c r="G98" s="372"/>
    </row>
    <row r="99" spans="1:7" x14ac:dyDescent="0.2">
      <c r="A99" s="472" t="s">
        <v>1114</v>
      </c>
      <c r="B99" s="472" t="s">
        <v>931</v>
      </c>
      <c r="C99" s="441" t="s">
        <v>447</v>
      </c>
      <c r="D99" s="298">
        <v>1</v>
      </c>
      <c r="E99" s="67">
        <f>Bay_Mobile_Hoist</f>
        <v>2</v>
      </c>
      <c r="F99" s="273">
        <f t="shared" si="15"/>
        <v>2</v>
      </c>
      <c r="G99" s="372"/>
    </row>
    <row r="100" spans="1:7" x14ac:dyDescent="0.2">
      <c r="A100" s="472" t="s">
        <v>1114</v>
      </c>
      <c r="B100" s="472" t="s">
        <v>931</v>
      </c>
      <c r="C100" s="441" t="s">
        <v>442</v>
      </c>
      <c r="D100" s="298">
        <v>1</v>
      </c>
      <c r="E100" s="67">
        <f>Bay_Foodtroll</f>
        <v>2</v>
      </c>
      <c r="F100" s="273">
        <f t="shared" si="15"/>
        <v>2</v>
      </c>
      <c r="G100" s="372"/>
    </row>
    <row r="101" spans="1:7" ht="25.5" x14ac:dyDescent="0.2">
      <c r="A101" s="472" t="s">
        <v>1114</v>
      </c>
      <c r="B101" s="472" t="s">
        <v>931</v>
      </c>
      <c r="C101" s="441" t="s">
        <v>450</v>
      </c>
      <c r="D101" s="298">
        <v>2</v>
      </c>
      <c r="E101" s="67">
        <f>Bay_Resustroll</f>
        <v>2</v>
      </c>
      <c r="F101" s="273">
        <f t="shared" si="15"/>
        <v>4</v>
      </c>
      <c r="G101" s="372" t="s">
        <v>932</v>
      </c>
    </row>
    <row r="102" spans="1:7" x14ac:dyDescent="0.2">
      <c r="A102" s="472" t="s">
        <v>1114</v>
      </c>
      <c r="B102" s="472" t="s">
        <v>931</v>
      </c>
      <c r="C102" s="441" t="s">
        <v>455</v>
      </c>
      <c r="D102" s="298">
        <v>1</v>
      </c>
      <c r="E102" s="67">
        <f>Bay_XrayUS</f>
        <v>3</v>
      </c>
      <c r="F102" s="273">
        <f t="shared" si="15"/>
        <v>3</v>
      </c>
      <c r="G102" s="372"/>
    </row>
    <row r="103" spans="1:7" x14ac:dyDescent="0.2">
      <c r="A103" s="472" t="s">
        <v>1114</v>
      </c>
      <c r="B103" s="472" t="s">
        <v>931</v>
      </c>
      <c r="C103" s="441" t="s">
        <v>453</v>
      </c>
      <c r="D103" s="298">
        <v>1</v>
      </c>
      <c r="E103" s="67">
        <f>Bay_Transportincub</f>
        <v>4</v>
      </c>
      <c r="F103" s="273">
        <f t="shared" si="15"/>
        <v>4</v>
      </c>
      <c r="G103" s="372"/>
    </row>
    <row r="104" spans="1:7" x14ac:dyDescent="0.2">
      <c r="A104" s="472" t="s">
        <v>1114</v>
      </c>
      <c r="B104" s="472" t="s">
        <v>931</v>
      </c>
      <c r="C104" s="441" t="s">
        <v>449</v>
      </c>
      <c r="D104" s="298">
        <v>4</v>
      </c>
      <c r="E104" s="67">
        <f>Bay_MobilePC</f>
        <v>5</v>
      </c>
      <c r="F104" s="273">
        <f t="shared" si="15"/>
        <v>20</v>
      </c>
      <c r="G104" s="372"/>
    </row>
    <row r="105" spans="1:7" x14ac:dyDescent="0.2">
      <c r="A105" s="472" t="s">
        <v>1114</v>
      </c>
      <c r="B105" s="472" t="s">
        <v>931</v>
      </c>
      <c r="C105" s="441" t="s">
        <v>54</v>
      </c>
      <c r="D105" s="298">
        <v>1</v>
      </c>
      <c r="E105" s="67">
        <f>SCS_Fluidroom</f>
        <v>8</v>
      </c>
      <c r="F105" s="273">
        <f t="shared" si="15"/>
        <v>8</v>
      </c>
      <c r="G105" s="342" t="s">
        <v>933</v>
      </c>
    </row>
    <row r="106" spans="1:7" x14ac:dyDescent="0.2">
      <c r="A106" s="472" t="s">
        <v>1114</v>
      </c>
      <c r="B106" s="472" t="s">
        <v>931</v>
      </c>
      <c r="C106" s="441" t="s">
        <v>438</v>
      </c>
      <c r="D106" s="298">
        <v>1</v>
      </c>
      <c r="E106" s="67">
        <f>Bay_Bloodbankfridge</f>
        <v>2</v>
      </c>
      <c r="F106" s="273">
        <f t="shared" si="15"/>
        <v>2</v>
      </c>
      <c r="G106" s="372"/>
    </row>
    <row r="107" spans="1:7" x14ac:dyDescent="0.2">
      <c r="A107" s="472" t="s">
        <v>1114</v>
      </c>
      <c r="B107" s="472" t="s">
        <v>931</v>
      </c>
      <c r="C107" s="441" t="s">
        <v>470</v>
      </c>
      <c r="D107" s="298">
        <v>2</v>
      </c>
      <c r="E107" s="67">
        <f>Store_5</f>
        <v>5</v>
      </c>
      <c r="F107" s="273">
        <f t="shared" si="15"/>
        <v>10</v>
      </c>
      <c r="G107" s="372" t="s">
        <v>926</v>
      </c>
    </row>
    <row r="108" spans="1:7" x14ac:dyDescent="0.2">
      <c r="A108" s="472" t="s">
        <v>1114</v>
      </c>
      <c r="B108" s="472" t="s">
        <v>931</v>
      </c>
      <c r="C108" s="441" t="s">
        <v>470</v>
      </c>
      <c r="D108" s="298">
        <v>2</v>
      </c>
      <c r="E108" s="67">
        <f>Store_5</f>
        <v>5</v>
      </c>
      <c r="F108" s="273">
        <f t="shared" si="15"/>
        <v>10</v>
      </c>
      <c r="G108" s="372" t="s">
        <v>934</v>
      </c>
    </row>
    <row r="109" spans="1:7" x14ac:dyDescent="0.2">
      <c r="A109" s="472" t="s">
        <v>1114</v>
      </c>
      <c r="B109" s="472" t="s">
        <v>931</v>
      </c>
      <c r="C109" s="441" t="s">
        <v>239</v>
      </c>
      <c r="D109" s="298">
        <v>1</v>
      </c>
      <c r="E109" s="67">
        <f>IP_Breakoutpt</f>
        <v>12</v>
      </c>
      <c r="F109" s="273">
        <f>SUM(E109*D109)</f>
        <v>12</v>
      </c>
      <c r="G109" s="342"/>
    </row>
    <row r="110" spans="1:7" x14ac:dyDescent="0.2">
      <c r="A110" s="472" t="s">
        <v>1114</v>
      </c>
      <c r="B110" s="472" t="s">
        <v>931</v>
      </c>
      <c r="C110" s="441" t="s">
        <v>146</v>
      </c>
      <c r="D110" s="298">
        <v>1</v>
      </c>
      <c r="E110" s="67">
        <f>SRS_WC_Access</f>
        <v>4.5</v>
      </c>
      <c r="F110" s="273">
        <f>SUM(E110*D110)</f>
        <v>4.5</v>
      </c>
      <c r="G110" s="342" t="s">
        <v>935</v>
      </c>
    </row>
    <row r="111" spans="1:7" x14ac:dyDescent="0.2">
      <c r="A111" s="472" t="s">
        <v>1114</v>
      </c>
      <c r="B111" s="472" t="s">
        <v>931</v>
      </c>
      <c r="C111" s="441" t="s">
        <v>46</v>
      </c>
      <c r="D111" s="298">
        <v>1</v>
      </c>
      <c r="E111" s="67">
        <f>SCS_Controlhub</f>
        <v>10</v>
      </c>
      <c r="F111" s="273">
        <f>SUM(E111*D111)</f>
        <v>10</v>
      </c>
      <c r="G111" s="342" t="s">
        <v>936</v>
      </c>
    </row>
    <row r="112" spans="1:7" x14ac:dyDescent="0.2">
      <c r="A112" s="472" t="s">
        <v>1114</v>
      </c>
      <c r="B112" s="472" t="s">
        <v>931</v>
      </c>
      <c r="C112" s="441" t="s">
        <v>70</v>
      </c>
      <c r="D112" s="335">
        <v>1</v>
      </c>
      <c r="E112" s="71">
        <f>SCS_MDT_30</f>
        <v>24</v>
      </c>
      <c r="F112" s="366">
        <f t="shared" si="15"/>
        <v>24</v>
      </c>
      <c r="G112" s="342"/>
    </row>
    <row r="113" spans="1:7" x14ac:dyDescent="0.2">
      <c r="A113" s="472" t="s">
        <v>1114</v>
      </c>
      <c r="B113" s="472" t="s">
        <v>1111</v>
      </c>
      <c r="C113" s="441" t="s">
        <v>233</v>
      </c>
      <c r="D113" s="208">
        <v>10</v>
      </c>
      <c r="E113" s="452">
        <f>IP_Bedsingle_Lrg</f>
        <v>22</v>
      </c>
      <c r="F113" s="452">
        <f t="shared" ref="F113:F114" si="16">E113*D113</f>
        <v>220</v>
      </c>
      <c r="G113" s="372"/>
    </row>
    <row r="114" spans="1:7" x14ac:dyDescent="0.2">
      <c r="A114" s="472" t="s">
        <v>1114</v>
      </c>
      <c r="B114" s="472" t="s">
        <v>1111</v>
      </c>
      <c r="C114" s="441" t="s">
        <v>95</v>
      </c>
      <c r="D114" s="208">
        <v>10</v>
      </c>
      <c r="E114" s="452">
        <v>4.5</v>
      </c>
      <c r="F114" s="452">
        <f t="shared" si="16"/>
        <v>45</v>
      </c>
      <c r="G114" s="342"/>
    </row>
    <row r="115" spans="1:7" x14ac:dyDescent="0.2">
      <c r="A115" s="472" t="s">
        <v>1114</v>
      </c>
      <c r="B115" s="472" t="s">
        <v>1111</v>
      </c>
      <c r="C115" s="441" t="s">
        <v>49</v>
      </c>
      <c r="D115" s="298">
        <v>1</v>
      </c>
      <c r="E115" s="67">
        <f>SCS_Dirtyutil_Med</f>
        <v>9</v>
      </c>
      <c r="F115" s="273">
        <f>SUM(E115*D115)</f>
        <v>9</v>
      </c>
      <c r="G115" s="342"/>
    </row>
    <row r="116" spans="1:7" x14ac:dyDescent="0.2">
      <c r="A116" s="472" t="s">
        <v>1114</v>
      </c>
      <c r="B116" s="472" t="s">
        <v>1111</v>
      </c>
      <c r="C116" s="441" t="s">
        <v>66</v>
      </c>
      <c r="D116" s="298">
        <v>1</v>
      </c>
      <c r="E116" s="67">
        <f>SCS_Medprep_Lrg</f>
        <v>16</v>
      </c>
      <c r="F116" s="273">
        <f t="shared" ref="F116:F122" si="17">SUM(E116*D116)</f>
        <v>16</v>
      </c>
      <c r="G116" s="342"/>
    </row>
    <row r="117" spans="1:7" x14ac:dyDescent="0.2">
      <c r="A117" s="472" t="s">
        <v>1114</v>
      </c>
      <c r="B117" s="472" t="s">
        <v>1111</v>
      </c>
      <c r="C117" s="441" t="s">
        <v>28</v>
      </c>
      <c r="D117" s="298">
        <v>1</v>
      </c>
      <c r="E117" s="67">
        <f>SCS_Cleansupply_lrg</f>
        <v>12</v>
      </c>
      <c r="F117" s="273">
        <f t="shared" si="17"/>
        <v>12</v>
      </c>
      <c r="G117" s="342"/>
    </row>
    <row r="118" spans="1:7" x14ac:dyDescent="0.2">
      <c r="A118" s="472" t="s">
        <v>1114</v>
      </c>
      <c r="B118" s="472" t="s">
        <v>1111</v>
      </c>
      <c r="C118" s="441" t="s">
        <v>60</v>
      </c>
      <c r="D118" s="298">
        <v>1</v>
      </c>
      <c r="E118" s="67">
        <f>SCS_Interview</f>
        <v>10</v>
      </c>
      <c r="F118" s="273">
        <f t="shared" si="17"/>
        <v>10</v>
      </c>
      <c r="G118" s="342"/>
    </row>
    <row r="119" spans="1:7" x14ac:dyDescent="0.2">
      <c r="A119" s="472" t="s">
        <v>1114</v>
      </c>
      <c r="B119" s="472" t="s">
        <v>1111</v>
      </c>
      <c r="C119" s="441" t="s">
        <v>348</v>
      </c>
      <c r="D119" s="298">
        <v>1</v>
      </c>
      <c r="E119" s="67">
        <f>Staff_Workstn_pp</f>
        <v>4.5</v>
      </c>
      <c r="F119" s="273">
        <f t="shared" si="17"/>
        <v>4.5</v>
      </c>
      <c r="G119" s="342"/>
    </row>
    <row r="120" spans="1:7" x14ac:dyDescent="0.2">
      <c r="A120" s="472" t="s">
        <v>1114</v>
      </c>
      <c r="B120" s="472" t="s">
        <v>1111</v>
      </c>
      <c r="C120" s="441" t="s">
        <v>146</v>
      </c>
      <c r="D120" s="298">
        <v>1</v>
      </c>
      <c r="E120" s="67">
        <f>SRS_WC_Access</f>
        <v>4.5</v>
      </c>
      <c r="F120" s="273">
        <f t="shared" si="17"/>
        <v>4.5</v>
      </c>
      <c r="G120" s="342" t="s">
        <v>920</v>
      </c>
    </row>
    <row r="121" spans="1:7" x14ac:dyDescent="0.2">
      <c r="A121" s="472" t="s">
        <v>1114</v>
      </c>
      <c r="B121" s="472" t="s">
        <v>1111</v>
      </c>
      <c r="C121" s="441" t="s">
        <v>39</v>
      </c>
      <c r="D121" s="335">
        <v>1</v>
      </c>
      <c r="E121" s="71">
        <f>SRS_Cleaner_Rm</f>
        <v>8</v>
      </c>
      <c r="F121" s="366">
        <f t="shared" si="17"/>
        <v>8</v>
      </c>
      <c r="G121" s="342"/>
    </row>
    <row r="122" spans="1:7" x14ac:dyDescent="0.2">
      <c r="A122" s="472" t="s">
        <v>1114</v>
      </c>
      <c r="B122" s="472" t="s">
        <v>1111</v>
      </c>
      <c r="C122" s="565" t="s">
        <v>1110</v>
      </c>
      <c r="D122" s="293">
        <v>1</v>
      </c>
      <c r="E122" s="289">
        <v>5</v>
      </c>
      <c r="F122" s="366">
        <f t="shared" si="17"/>
        <v>5</v>
      </c>
      <c r="G122" s="479"/>
    </row>
    <row r="123" spans="1:7" x14ac:dyDescent="0.2">
      <c r="A123" s="472" t="s">
        <v>1114</v>
      </c>
      <c r="B123" s="472" t="s">
        <v>1112</v>
      </c>
      <c r="C123" s="441" t="s">
        <v>233</v>
      </c>
      <c r="D123" s="208">
        <v>10</v>
      </c>
      <c r="E123" s="452">
        <f>IP_Bedsingle_Lrg</f>
        <v>22</v>
      </c>
      <c r="F123" s="452">
        <f t="shared" ref="F123:F124" si="18">E123*D123</f>
        <v>220</v>
      </c>
      <c r="G123" s="372"/>
    </row>
    <row r="124" spans="1:7" x14ac:dyDescent="0.2">
      <c r="A124" s="472" t="s">
        <v>1114</v>
      </c>
      <c r="B124" s="472" t="s">
        <v>1112</v>
      </c>
      <c r="C124" s="441" t="s">
        <v>95</v>
      </c>
      <c r="D124" s="208">
        <v>10</v>
      </c>
      <c r="E124" s="452">
        <v>4.5</v>
      </c>
      <c r="F124" s="452">
        <f t="shared" si="18"/>
        <v>45</v>
      </c>
      <c r="G124" s="342"/>
    </row>
    <row r="125" spans="1:7" x14ac:dyDescent="0.2">
      <c r="A125" s="472" t="s">
        <v>1114</v>
      </c>
      <c r="B125" s="472" t="s">
        <v>1112</v>
      </c>
      <c r="C125" s="441" t="s">
        <v>49</v>
      </c>
      <c r="D125" s="298">
        <v>1</v>
      </c>
      <c r="E125" s="67">
        <f>SCS_Dirtyutil_Med</f>
        <v>9</v>
      </c>
      <c r="F125" s="273">
        <f>SUM(E125*D125)</f>
        <v>9</v>
      </c>
      <c r="G125" s="342"/>
    </row>
    <row r="126" spans="1:7" x14ac:dyDescent="0.2">
      <c r="A126" s="472" t="s">
        <v>1114</v>
      </c>
      <c r="B126" s="472" t="s">
        <v>1112</v>
      </c>
      <c r="C126" s="441" t="s">
        <v>66</v>
      </c>
      <c r="D126" s="298">
        <v>1</v>
      </c>
      <c r="E126" s="67">
        <f>SCS_Medprep_Lrg</f>
        <v>16</v>
      </c>
      <c r="F126" s="273">
        <f t="shared" ref="F126:F132" si="19">SUM(E126*D126)</f>
        <v>16</v>
      </c>
      <c r="G126" s="342"/>
    </row>
    <row r="127" spans="1:7" x14ac:dyDescent="0.2">
      <c r="A127" s="472" t="s">
        <v>1114</v>
      </c>
      <c r="B127" s="472" t="s">
        <v>1112</v>
      </c>
      <c r="C127" s="441" t="s">
        <v>28</v>
      </c>
      <c r="D127" s="298">
        <v>1</v>
      </c>
      <c r="E127" s="67">
        <f>SCS_Cleansupply_lrg</f>
        <v>12</v>
      </c>
      <c r="F127" s="273">
        <f t="shared" si="19"/>
        <v>12</v>
      </c>
      <c r="G127" s="342"/>
    </row>
    <row r="128" spans="1:7" x14ac:dyDescent="0.2">
      <c r="A128" s="472" t="s">
        <v>1114</v>
      </c>
      <c r="B128" s="472" t="s">
        <v>1112</v>
      </c>
      <c r="C128" s="441" t="s">
        <v>60</v>
      </c>
      <c r="D128" s="298">
        <v>1</v>
      </c>
      <c r="E128" s="67">
        <f>SCS_Interview</f>
        <v>10</v>
      </c>
      <c r="F128" s="273">
        <f t="shared" si="19"/>
        <v>10</v>
      </c>
      <c r="G128" s="342"/>
    </row>
    <row r="129" spans="1:7" x14ac:dyDescent="0.2">
      <c r="A129" s="472" t="s">
        <v>1114</v>
      </c>
      <c r="B129" s="472" t="s">
        <v>1112</v>
      </c>
      <c r="C129" s="441" t="s">
        <v>348</v>
      </c>
      <c r="D129" s="298">
        <v>1</v>
      </c>
      <c r="E129" s="67">
        <f>Staff_Workstn_pp</f>
        <v>4.5</v>
      </c>
      <c r="F129" s="273">
        <f t="shared" si="19"/>
        <v>4.5</v>
      </c>
      <c r="G129" s="342"/>
    </row>
    <row r="130" spans="1:7" x14ac:dyDescent="0.2">
      <c r="A130" s="472" t="s">
        <v>1114</v>
      </c>
      <c r="B130" s="472" t="s">
        <v>1112</v>
      </c>
      <c r="C130" s="441" t="s">
        <v>146</v>
      </c>
      <c r="D130" s="298">
        <v>1</v>
      </c>
      <c r="E130" s="67">
        <f>SRS_WC_Access</f>
        <v>4.5</v>
      </c>
      <c r="F130" s="273">
        <f t="shared" si="19"/>
        <v>4.5</v>
      </c>
      <c r="G130" s="342" t="s">
        <v>920</v>
      </c>
    </row>
    <row r="131" spans="1:7" x14ac:dyDescent="0.2">
      <c r="A131" s="472" t="s">
        <v>1114</v>
      </c>
      <c r="B131" s="472" t="s">
        <v>1112</v>
      </c>
      <c r="C131" s="441" t="s">
        <v>39</v>
      </c>
      <c r="D131" s="335">
        <v>1</v>
      </c>
      <c r="E131" s="71">
        <f>SRS_Cleaner_Rm</f>
        <v>8</v>
      </c>
      <c r="F131" s="366">
        <f t="shared" si="19"/>
        <v>8</v>
      </c>
      <c r="G131" s="342"/>
    </row>
    <row r="132" spans="1:7" x14ac:dyDescent="0.2">
      <c r="A132" s="472" t="s">
        <v>1114</v>
      </c>
      <c r="B132" s="472" t="s">
        <v>1112</v>
      </c>
      <c r="C132" s="565" t="s">
        <v>1110</v>
      </c>
      <c r="D132" s="293">
        <v>1</v>
      </c>
      <c r="E132" s="289">
        <v>5</v>
      </c>
      <c r="F132" s="366">
        <f t="shared" si="19"/>
        <v>5</v>
      </c>
      <c r="G132" s="479"/>
    </row>
    <row r="133" spans="1:7" x14ac:dyDescent="0.2">
      <c r="A133" s="472" t="s">
        <v>1114</v>
      </c>
      <c r="B133" s="472" t="s">
        <v>939</v>
      </c>
      <c r="C133" s="441" t="s">
        <v>74</v>
      </c>
      <c r="D133" s="334">
        <v>1</v>
      </c>
      <c r="E133" s="69">
        <f>SCS_POCT</f>
        <v>10</v>
      </c>
      <c r="F133" s="302">
        <f t="shared" ref="F133" si="20">SUM(E133*D133)</f>
        <v>10</v>
      </c>
      <c r="G133" s="369"/>
    </row>
    <row r="134" spans="1:7" x14ac:dyDescent="0.2">
      <c r="A134" s="472" t="s">
        <v>1114</v>
      </c>
      <c r="B134" s="472" t="s">
        <v>939</v>
      </c>
      <c r="C134" s="441" t="s">
        <v>73</v>
      </c>
      <c r="D134" s="298">
        <v>1</v>
      </c>
      <c r="E134" s="67">
        <f>SCS_PTS</f>
        <v>2</v>
      </c>
      <c r="F134" s="273">
        <f>SUM(E134*D134)</f>
        <v>2</v>
      </c>
      <c r="G134" s="342"/>
    </row>
    <row r="135" spans="1:7" x14ac:dyDescent="0.2">
      <c r="A135" s="472" t="s">
        <v>1114</v>
      </c>
      <c r="B135" s="472" t="s">
        <v>939</v>
      </c>
      <c r="C135" s="441" t="s">
        <v>111</v>
      </c>
      <c r="D135" s="298">
        <v>1</v>
      </c>
      <c r="E135" s="67">
        <f>SRS_Pantry_Lrg</f>
        <v>16</v>
      </c>
      <c r="F135" s="273">
        <f>SUM(E135*D135)</f>
        <v>16</v>
      </c>
      <c r="G135" s="342"/>
    </row>
    <row r="136" spans="1:7" x14ac:dyDescent="0.2">
      <c r="A136" s="472" t="s">
        <v>1114</v>
      </c>
      <c r="B136" s="472" t="s">
        <v>939</v>
      </c>
      <c r="C136" s="441" t="s">
        <v>86</v>
      </c>
      <c r="D136" s="298">
        <v>1</v>
      </c>
      <c r="E136" s="67">
        <v>9</v>
      </c>
      <c r="F136" s="273">
        <f>SUM(E136*D136)</f>
        <v>9</v>
      </c>
      <c r="G136" s="342"/>
    </row>
    <row r="137" spans="1:7" x14ac:dyDescent="0.2">
      <c r="A137" s="472" t="s">
        <v>1114</v>
      </c>
      <c r="B137" s="472" t="s">
        <v>939</v>
      </c>
      <c r="C137" s="441" t="s">
        <v>444</v>
      </c>
      <c r="D137" s="298">
        <v>1</v>
      </c>
      <c r="E137" s="67">
        <f>Bay_Linentroll</f>
        <v>3</v>
      </c>
      <c r="F137" s="273">
        <f t="shared" ref="F137:F147" si="21">SUM(E137*D137)</f>
        <v>3</v>
      </c>
      <c r="G137" s="372"/>
    </row>
    <row r="138" spans="1:7" x14ac:dyDescent="0.2">
      <c r="A138" s="472" t="s">
        <v>1114</v>
      </c>
      <c r="B138" s="472" t="s">
        <v>939</v>
      </c>
      <c r="C138" s="441" t="s">
        <v>447</v>
      </c>
      <c r="D138" s="298">
        <v>1</v>
      </c>
      <c r="E138" s="67">
        <f>Bay_Mobile_Hoist</f>
        <v>2</v>
      </c>
      <c r="F138" s="273">
        <f t="shared" si="21"/>
        <v>2</v>
      </c>
      <c r="G138" s="372"/>
    </row>
    <row r="139" spans="1:7" x14ac:dyDescent="0.2">
      <c r="A139" s="472" t="s">
        <v>1114</v>
      </c>
      <c r="B139" s="472" t="s">
        <v>939</v>
      </c>
      <c r="C139" s="441" t="s">
        <v>442</v>
      </c>
      <c r="D139" s="298">
        <v>1</v>
      </c>
      <c r="E139" s="67">
        <f>Bay_Foodtroll</f>
        <v>2</v>
      </c>
      <c r="F139" s="273">
        <f t="shared" si="21"/>
        <v>2</v>
      </c>
      <c r="G139" s="372"/>
    </row>
    <row r="140" spans="1:7" ht="25.5" x14ac:dyDescent="0.2">
      <c r="A140" s="472" t="s">
        <v>1114</v>
      </c>
      <c r="B140" s="472" t="s">
        <v>939</v>
      </c>
      <c r="C140" s="441" t="s">
        <v>450</v>
      </c>
      <c r="D140" s="298">
        <v>2</v>
      </c>
      <c r="E140" s="67">
        <f>Bay_Resustroll</f>
        <v>2</v>
      </c>
      <c r="F140" s="273">
        <f t="shared" si="21"/>
        <v>4</v>
      </c>
      <c r="G140" s="372" t="s">
        <v>932</v>
      </c>
    </row>
    <row r="141" spans="1:7" x14ac:dyDescent="0.2">
      <c r="A141" s="472" t="s">
        <v>1114</v>
      </c>
      <c r="B141" s="472" t="s">
        <v>939</v>
      </c>
      <c r="C141" s="441" t="s">
        <v>455</v>
      </c>
      <c r="D141" s="298">
        <v>1</v>
      </c>
      <c r="E141" s="67">
        <f>Bay_XrayUS</f>
        <v>3</v>
      </c>
      <c r="F141" s="273">
        <f t="shared" si="21"/>
        <v>3</v>
      </c>
      <c r="G141" s="372"/>
    </row>
    <row r="142" spans="1:7" x14ac:dyDescent="0.2">
      <c r="A142" s="472" t="s">
        <v>1114</v>
      </c>
      <c r="B142" s="472" t="s">
        <v>939</v>
      </c>
      <c r="C142" s="441" t="s">
        <v>453</v>
      </c>
      <c r="D142" s="298">
        <v>1</v>
      </c>
      <c r="E142" s="67">
        <f>Bay_Transportincub</f>
        <v>4</v>
      </c>
      <c r="F142" s="273">
        <f t="shared" si="21"/>
        <v>4</v>
      </c>
      <c r="G142" s="372"/>
    </row>
    <row r="143" spans="1:7" x14ac:dyDescent="0.2">
      <c r="A143" s="472" t="s">
        <v>1114</v>
      </c>
      <c r="B143" s="472" t="s">
        <v>939</v>
      </c>
      <c r="C143" s="441" t="s">
        <v>449</v>
      </c>
      <c r="D143" s="298">
        <v>4</v>
      </c>
      <c r="E143" s="67">
        <f>Bay_MobilePC</f>
        <v>5</v>
      </c>
      <c r="F143" s="273">
        <f t="shared" si="21"/>
        <v>20</v>
      </c>
      <c r="G143" s="372"/>
    </row>
    <row r="144" spans="1:7" x14ac:dyDescent="0.2">
      <c r="A144" s="472" t="s">
        <v>1114</v>
      </c>
      <c r="B144" s="472" t="s">
        <v>939</v>
      </c>
      <c r="C144" s="441" t="s">
        <v>54</v>
      </c>
      <c r="D144" s="298">
        <v>1</v>
      </c>
      <c r="E144" s="67">
        <f>SCS_Fluidroom</f>
        <v>8</v>
      </c>
      <c r="F144" s="273">
        <f t="shared" si="21"/>
        <v>8</v>
      </c>
      <c r="G144" s="372" t="s">
        <v>933</v>
      </c>
    </row>
    <row r="145" spans="1:7" x14ac:dyDescent="0.2">
      <c r="A145" s="472" t="s">
        <v>1114</v>
      </c>
      <c r="B145" s="472" t="s">
        <v>939</v>
      </c>
      <c r="C145" s="441" t="s">
        <v>438</v>
      </c>
      <c r="D145" s="298">
        <v>1</v>
      </c>
      <c r="E145" s="67">
        <f>Bay_Bloodbankfridge</f>
        <v>2</v>
      </c>
      <c r="F145" s="273">
        <f t="shared" si="21"/>
        <v>2</v>
      </c>
      <c r="G145" s="372"/>
    </row>
    <row r="146" spans="1:7" x14ac:dyDescent="0.2">
      <c r="A146" s="472" t="s">
        <v>1114</v>
      </c>
      <c r="B146" s="472" t="s">
        <v>939</v>
      </c>
      <c r="C146" s="441" t="s">
        <v>470</v>
      </c>
      <c r="D146" s="298">
        <v>2</v>
      </c>
      <c r="E146" s="67">
        <f>Store_5</f>
        <v>5</v>
      </c>
      <c r="F146" s="273">
        <f t="shared" si="21"/>
        <v>10</v>
      </c>
      <c r="G146" s="372" t="s">
        <v>926</v>
      </c>
    </row>
    <row r="147" spans="1:7" x14ac:dyDescent="0.2">
      <c r="A147" s="472" t="s">
        <v>1114</v>
      </c>
      <c r="B147" s="472" t="s">
        <v>939</v>
      </c>
      <c r="C147" s="441" t="s">
        <v>470</v>
      </c>
      <c r="D147" s="298">
        <v>2</v>
      </c>
      <c r="E147" s="67">
        <f>Store_5</f>
        <v>5</v>
      </c>
      <c r="F147" s="273">
        <f t="shared" si="21"/>
        <v>10</v>
      </c>
      <c r="G147" s="372" t="s">
        <v>934</v>
      </c>
    </row>
    <row r="148" spans="1:7" x14ac:dyDescent="0.2">
      <c r="A148" s="472" t="s">
        <v>1114</v>
      </c>
      <c r="B148" s="472" t="s">
        <v>939</v>
      </c>
      <c r="C148" s="441" t="s">
        <v>239</v>
      </c>
      <c r="D148" s="298">
        <v>1</v>
      </c>
      <c r="E148" s="67">
        <f>IP_Breakoutpt</f>
        <v>12</v>
      </c>
      <c r="F148" s="273">
        <f>SUM(E148*D148)</f>
        <v>12</v>
      </c>
      <c r="G148" s="342"/>
    </row>
    <row r="149" spans="1:7" x14ac:dyDescent="0.2">
      <c r="A149" s="472" t="s">
        <v>1114</v>
      </c>
      <c r="B149" s="472" t="s">
        <v>939</v>
      </c>
      <c r="C149" s="441" t="s">
        <v>146</v>
      </c>
      <c r="D149" s="298">
        <v>1</v>
      </c>
      <c r="E149" s="67">
        <f>SRS_WC_Access</f>
        <v>4.5</v>
      </c>
      <c r="F149" s="273">
        <f>SUM(E149*D149)</f>
        <v>4.5</v>
      </c>
      <c r="G149" s="342" t="s">
        <v>935</v>
      </c>
    </row>
    <row r="150" spans="1:7" x14ac:dyDescent="0.2">
      <c r="A150" s="472" t="s">
        <v>1114</v>
      </c>
      <c r="B150" s="472" t="s">
        <v>939</v>
      </c>
      <c r="C150" s="441" t="s">
        <v>344</v>
      </c>
      <c r="D150" s="298">
        <v>1</v>
      </c>
      <c r="E150" s="67">
        <f>Staff_Office_1</f>
        <v>8</v>
      </c>
      <c r="F150" s="273">
        <f t="shared" ref="F150:F151" si="22">SUM(E150*D150)</f>
        <v>8</v>
      </c>
      <c r="G150" s="372" t="s">
        <v>940</v>
      </c>
    </row>
    <row r="151" spans="1:7" x14ac:dyDescent="0.2">
      <c r="A151" s="472" t="s">
        <v>1114</v>
      </c>
      <c r="B151" s="472" t="s">
        <v>939</v>
      </c>
      <c r="C151" s="441" t="s">
        <v>70</v>
      </c>
      <c r="D151" s="335">
        <v>1</v>
      </c>
      <c r="E151" s="71">
        <f>SCS_MDT_30</f>
        <v>24</v>
      </c>
      <c r="F151" s="366">
        <f t="shared" si="22"/>
        <v>24</v>
      </c>
      <c r="G151" s="342"/>
    </row>
    <row r="152" spans="1:7" ht="25.5" x14ac:dyDescent="0.2">
      <c r="A152" s="440" t="s">
        <v>942</v>
      </c>
      <c r="B152" s="440" t="s">
        <v>941</v>
      </c>
      <c r="C152" s="441" t="s">
        <v>1113</v>
      </c>
      <c r="D152" s="334">
        <v>1</v>
      </c>
      <c r="E152" s="69">
        <f>SRS_Seminar_30</f>
        <v>45</v>
      </c>
      <c r="F152" s="302">
        <v>30</v>
      </c>
      <c r="G152" s="369"/>
    </row>
    <row r="153" spans="1:7" ht="25.5" x14ac:dyDescent="0.2">
      <c r="A153" s="472" t="s">
        <v>942</v>
      </c>
      <c r="B153" s="472" t="s">
        <v>941</v>
      </c>
      <c r="C153" s="441" t="s">
        <v>138</v>
      </c>
      <c r="D153" s="298">
        <v>2</v>
      </c>
      <c r="E153" s="67">
        <f>SRS_Virtualconsult_2</f>
        <v>8</v>
      </c>
      <c r="F153" s="273">
        <f t="shared" ref="F153:F161" si="23">E153*D153</f>
        <v>16</v>
      </c>
      <c r="G153" s="342" t="s">
        <v>943</v>
      </c>
    </row>
    <row r="154" spans="1:7" ht="25.5" x14ac:dyDescent="0.2">
      <c r="A154" s="472" t="s">
        <v>942</v>
      </c>
      <c r="B154" s="472" t="s">
        <v>941</v>
      </c>
      <c r="C154" s="441" t="s">
        <v>132</v>
      </c>
      <c r="D154" s="298">
        <v>25</v>
      </c>
      <c r="E154" s="67">
        <f>SRS_Staffrestbev_pp</f>
        <v>1.5</v>
      </c>
      <c r="F154" s="273">
        <f t="shared" si="23"/>
        <v>37.5</v>
      </c>
      <c r="G154" s="342"/>
    </row>
    <row r="155" spans="1:7" ht="25.5" x14ac:dyDescent="0.2">
      <c r="A155" s="472" t="s">
        <v>942</v>
      </c>
      <c r="B155" s="472" t="s">
        <v>941</v>
      </c>
      <c r="C155" s="441" t="s">
        <v>130</v>
      </c>
      <c r="D155" s="373"/>
      <c r="E155" s="15">
        <f>SRS_Staffchange_pp</f>
        <v>2.5</v>
      </c>
      <c r="F155" s="273">
        <f t="shared" si="23"/>
        <v>0</v>
      </c>
      <c r="G155" s="342"/>
    </row>
    <row r="156" spans="1:7" ht="25.5" x14ac:dyDescent="0.2">
      <c r="A156" s="472" t="s">
        <v>942</v>
      </c>
      <c r="B156" s="472" t="s">
        <v>941</v>
      </c>
      <c r="C156" s="441" t="s">
        <v>134</v>
      </c>
      <c r="D156" s="287"/>
      <c r="E156" s="15">
        <f>SRS_Staff_Shower</f>
        <v>3</v>
      </c>
      <c r="F156" s="273">
        <f t="shared" si="23"/>
        <v>0</v>
      </c>
      <c r="G156" s="342"/>
    </row>
    <row r="157" spans="1:7" ht="25.5" x14ac:dyDescent="0.2">
      <c r="A157" s="472" t="s">
        <v>942</v>
      </c>
      <c r="B157" s="472" t="s">
        <v>941</v>
      </c>
      <c r="C157" s="441" t="s">
        <v>147</v>
      </c>
      <c r="D157" s="287"/>
      <c r="E157" s="15">
        <f>SRS_WC_Amb</f>
        <v>2.5</v>
      </c>
      <c r="F157" s="273">
        <f t="shared" si="23"/>
        <v>0</v>
      </c>
      <c r="G157" s="342"/>
    </row>
    <row r="158" spans="1:7" ht="25.5" x14ac:dyDescent="0.2">
      <c r="A158" s="472" t="s">
        <v>942</v>
      </c>
      <c r="B158" s="472" t="s">
        <v>941</v>
      </c>
      <c r="C158" s="441" t="s">
        <v>106</v>
      </c>
      <c r="D158" s="298">
        <v>20</v>
      </c>
      <c r="E158" s="67">
        <f>SRS_Locker_4</f>
        <v>0.5</v>
      </c>
      <c r="F158" s="273">
        <f t="shared" si="23"/>
        <v>10</v>
      </c>
      <c r="G158" s="342" t="s">
        <v>944</v>
      </c>
    </row>
    <row r="159" spans="1:7" ht="25.5" x14ac:dyDescent="0.2">
      <c r="A159" s="472" t="s">
        <v>942</v>
      </c>
      <c r="B159" s="472" t="s">
        <v>941</v>
      </c>
      <c r="C159" s="441" t="s">
        <v>53</v>
      </c>
      <c r="D159" s="298">
        <v>2</v>
      </c>
      <c r="E159" s="67">
        <f>SCS_Disphol_Small</f>
        <v>10</v>
      </c>
      <c r="F159" s="273">
        <f t="shared" si="23"/>
        <v>20</v>
      </c>
      <c r="G159" s="342" t="s">
        <v>945</v>
      </c>
    </row>
    <row r="160" spans="1:7" ht="25.5" x14ac:dyDescent="0.2">
      <c r="A160" s="472" t="s">
        <v>942</v>
      </c>
      <c r="B160" s="472" t="s">
        <v>941</v>
      </c>
      <c r="C160" s="441" t="s">
        <v>93</v>
      </c>
      <c r="D160" s="298">
        <v>2</v>
      </c>
      <c r="E160" s="67">
        <f>SRS_Delivhub_Small</f>
        <v>4.5</v>
      </c>
      <c r="F160" s="273">
        <f t="shared" si="23"/>
        <v>9</v>
      </c>
      <c r="G160" s="342" t="s">
        <v>946</v>
      </c>
    </row>
    <row r="161" spans="1:7" ht="25.5" x14ac:dyDescent="0.2">
      <c r="A161" s="472" t="s">
        <v>942</v>
      </c>
      <c r="B161" s="472" t="s">
        <v>941</v>
      </c>
      <c r="C161" s="441" t="s">
        <v>104</v>
      </c>
      <c r="D161" s="298">
        <v>1</v>
      </c>
      <c r="E161" s="67">
        <f>SRS_Kitchen_IP</f>
        <v>25</v>
      </c>
      <c r="F161" s="273">
        <f t="shared" si="23"/>
        <v>25</v>
      </c>
      <c r="G161" s="342"/>
    </row>
    <row r="162" spans="1:7" ht="25.5" x14ac:dyDescent="0.2">
      <c r="A162" s="472" t="s">
        <v>942</v>
      </c>
      <c r="B162" s="472" t="s">
        <v>941</v>
      </c>
      <c r="C162" s="441" t="s">
        <v>466</v>
      </c>
      <c r="D162" s="298">
        <v>1</v>
      </c>
      <c r="E162" s="67">
        <f>Store_15</f>
        <v>15</v>
      </c>
      <c r="F162" s="273">
        <v>15</v>
      </c>
      <c r="G162" s="372" t="s">
        <v>947</v>
      </c>
    </row>
    <row r="163" spans="1:7" ht="25.5" x14ac:dyDescent="0.2">
      <c r="A163" s="561" t="s">
        <v>942</v>
      </c>
      <c r="B163" s="561" t="s">
        <v>941</v>
      </c>
      <c r="C163" s="441" t="s">
        <v>948</v>
      </c>
      <c r="D163" s="335">
        <v>1</v>
      </c>
      <c r="E163" s="91">
        <f>RTU_Gascylinder_Small</f>
        <v>4</v>
      </c>
      <c r="F163" s="366">
        <v>4</v>
      </c>
      <c r="G163" s="342"/>
    </row>
  </sheetData>
  <pageMargins left="0.7" right="0.7" top="0.75" bottom="0.75" header="0.3" footer="0.3"/>
  <pageSetup paperSize="9" orientation="portrait" horizontalDpi="300" r:id="rId1"/>
  <ignoredErrors>
    <ignoredError sqref="F3"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Team Word Document" ma:contentTypeID="0x0101007BD61AFCC8A643B8924AB3F7EE1826010307001EA2B4D7CC5BE042B83A423F605E1C27" ma:contentTypeVersion="142" ma:contentTypeDescription="Base content type for business function documents" ma:contentTypeScope="" ma:versionID="faca896d8c6bac1f619c95a36a8a35c2">
  <xsd:schema xmlns:xsd="http://www.w3.org/2001/XMLSchema" xmlns:xs="http://www.w3.org/2001/XMLSchema" xmlns:p="http://schemas.microsoft.com/office/2006/metadata/properties" xmlns:ns1="http://schemas.microsoft.com/sharepoint/v3" xmlns:ns2="980b2c76-4eb4-4926-991a-bb246786b55e" xmlns:ns3="9261456b-3dc8-4f5a-844c-bb4c04bd1c86" xmlns:ns4="0abcf3db-de78-4153-8fa2-8009e492505b" xmlns:ns5="63e50aad-ed6e-46b9-b4dd-1a43c27868b5" xmlns:ns6="f7617c65-729f-418f-a5ab-8d647f9ec256" xmlns:ns7="10ea19f2-85bc-4d81-ba37-5d3dd0eedbf3" targetNamespace="http://schemas.microsoft.com/office/2006/metadata/properties" ma:root="true" ma:fieldsID="47e7ceb302393340dd3c3c492c10c3bd" ns1:_="" ns2:_="" ns3:_="" ns4:_="" ns5:_="" ns6:_="" ns7:_="">
    <xsd:import namespace="http://schemas.microsoft.com/sharepoint/v3"/>
    <xsd:import namespace="980b2c76-4eb4-4926-991a-bb246786b55e"/>
    <xsd:import namespace="9261456b-3dc8-4f5a-844c-bb4c04bd1c86"/>
    <xsd:import namespace="0abcf3db-de78-4153-8fa2-8009e492505b"/>
    <xsd:import namespace="63e50aad-ed6e-46b9-b4dd-1a43c27868b5"/>
    <xsd:import namespace="f7617c65-729f-418f-a5ab-8d647f9ec256"/>
    <xsd:import namespace="10ea19f2-85bc-4d81-ba37-5d3dd0eedbf3"/>
    <xsd:element name="properties">
      <xsd:complexType>
        <xsd:sequence>
          <xsd:element name="documentManagement">
            <xsd:complexType>
              <xsd:all>
                <xsd:element ref="ns2:_dlc_DocIdUrl" minOccurs="0"/>
                <xsd:element ref="ns3:IM_Sub_x0020_Title" minOccurs="0"/>
                <xsd:element ref="ns3:IM_DocumentNumber" minOccurs="0"/>
                <xsd:element ref="ns3:IM_State" minOccurs="0"/>
                <xsd:element ref="ns3:IM_Status" minOccurs="0"/>
                <xsd:element ref="ns3:IM_Revision" minOccurs="0"/>
                <xsd:element ref="ns3:MM_InfomationSecurity" minOccurs="0"/>
                <xsd:element ref="ns3:IM_Project" minOccurs="0"/>
                <xsd:element ref="ns3:IM_Originator" minOccurs="0"/>
                <xsd:element ref="ns3:IM_SubOriginator" minOccurs="0"/>
                <xsd:element ref="ns3:IM_Level_x002f_Location" minOccurs="0"/>
                <xsd:element ref="ns3:IM_Type" minOccurs="0"/>
                <xsd:element ref="ns3:IM_Role" minOccurs="0"/>
                <xsd:element ref="ns3:IM_Number" minOccurs="0"/>
                <xsd:element ref="ns3:MM_ProjectNumber" minOccurs="0"/>
                <xsd:element ref="ns4:activityIDtext" minOccurs="0"/>
                <xsd:element ref="ns4:projectStagePhase" minOccurs="0"/>
                <xsd:element ref="ns2:_dlc_DocId" minOccurs="0"/>
                <xsd:element ref="ns2:_dlc_DocIdPersistId" minOccurs="0"/>
                <xsd:element ref="ns2:TaxCatchAll" minOccurs="0"/>
                <xsd:element ref="ns2:TaxCatchAllLabel" minOccurs="0"/>
                <xsd:element ref="ns1:RatedBy" minOccurs="0"/>
                <xsd:element ref="ns1:Ratings" minOccurs="0"/>
                <xsd:element ref="ns1:LikedBy" minOccurs="0"/>
                <xsd:element ref="ns3:IM_TIDPLink" minOccurs="0"/>
                <xsd:element ref="ns3:IM_SharedDate" minOccurs="0"/>
                <xsd:element ref="ns3:IM_PublishedDate" minOccurs="0"/>
                <xsd:element ref="ns5:MediaServiceAutoTags" minOccurs="0"/>
                <xsd:element ref="ns5:MediaServiceGenerationTime" minOccurs="0"/>
                <xsd:element ref="ns5:MediaServiceEventHashCode" minOccurs="0"/>
                <xsd:element ref="ns5:MediaServiceOCR" minOccurs="0"/>
                <xsd:element ref="ns6:SharedWithUsers" minOccurs="0"/>
                <xsd:element ref="ns6:SharedWithDetails" minOccurs="0"/>
                <xsd:element ref="ns5:MediaServiceDateTaken" minOccurs="0"/>
                <xsd:element ref="ns5:MediaLengthInSeconds" minOccurs="0"/>
                <xsd:element ref="ns5:MediaServiceLocation" minOccurs="0"/>
                <xsd:element ref="ns7:IM_NC_Project" minOccurs="0"/>
                <xsd:element ref="ns7:IM_NC_Originator" minOccurs="0"/>
                <xsd:element ref="ns7:IM_NC_03AssetSystemCodes" minOccurs="0"/>
                <xsd:element ref="ns7:IM_NC_04LocationCodes" minOccurs="0"/>
                <xsd:element ref="ns7:IM_NC_05FileTypeCodes" minOccurs="0"/>
                <xsd:element ref="ns7:IM_NC_06RoleDisciplineCodes" minOccurs="0"/>
                <xsd:element ref="ns4:lcf76f155ced4ddcb4097134ff3c332f" minOccurs="0"/>
                <xsd:element ref="ns4:requestShared" minOccurs="0"/>
                <xsd:element ref="ns4:requestPublished" minOccurs="0"/>
                <xsd:element ref="ns4:requestIssueDoc" minOccurs="0"/>
                <xsd:element ref="ns4:reviseToWIP" minOccurs="0"/>
                <xsd:element ref="ns4:RequestArchived" minOccurs="0"/>
                <xsd:element ref="ns3:IM_Volume_x002f_System" minOccurs="0"/>
                <xsd:element ref="ns3:IM_DeliverableYN" minOccurs="0"/>
                <xsd:element ref="ns4:requestClientShared" minOccurs="0"/>
                <xsd:element ref="ns4:SHAREDorPUBLISHEDfolder" minOccurs="0"/>
                <xsd:element ref="ns4:MediaServiceDocTags"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27" nillable="true" ma:displayName="Rated By" ma:description="Users rated the item." ma:hidden="true" ma:list="UserInfo" ma:internalName="RatedBy"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28" nillable="true" ma:displayName="User ratings" ma:description="User ratings for the item" ma:hidden="true" ma:internalName="Ratings" ma:readOnly="false">
      <xsd:simpleType>
        <xsd:restriction base="dms:Note"/>
      </xsd:simpleType>
    </xsd:element>
    <xsd:element name="LikedBy" ma:index="29" nillable="true" ma:displayName="Liked By" ma:hidden="true" ma:list="UserInfo" ma:internalName="LikedBy"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80b2c76-4eb4-4926-991a-bb246786b55e"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2" nillable="true" ma:displayName="Document ID Value" ma:description="The value of the document ID assigned to this item." ma:hidden="true" ma:internalName="_dlc_DocId" ma:readOnly="true">
      <xsd:simpleType>
        <xsd:restriction base="dms:Text"/>
      </xsd:simpleType>
    </xsd:element>
    <xsd:element name="_dlc_DocIdPersistId" ma:index="24"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37a7385d-3fd9-442d-be11-a07902acd384}" ma:internalName="TaxCatchAll" ma:readOnly="false" ma:showField="CatchAllData" ma:web="10ea19f2-85bc-4d81-ba37-5d3dd0eedbf3">
      <xsd:complexType>
        <xsd:complexContent>
          <xsd:extension base="dms:MultiChoiceLookup">
            <xsd:sequence>
              <xsd:element name="Value" type="dms:Lookup" maxOccurs="unbounded" minOccurs="0" nillable="true"/>
            </xsd:sequence>
          </xsd:extension>
        </xsd:complexContent>
      </xsd:complexType>
    </xsd:element>
    <xsd:element name="TaxCatchAllLabel" ma:index="26" nillable="true" ma:displayName="Taxonomy Catch All Column1" ma:hidden="true" ma:list="{37a7385d-3fd9-442d-be11-a07902acd384}" ma:internalName="TaxCatchAllLabel" ma:readOnly="true" ma:showField="CatchAllDataLabel" ma:web="10ea19f2-85bc-4d81-ba37-5d3dd0eedbf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61456b-3dc8-4f5a-844c-bb4c04bd1c86" elementFormDefault="qualified">
    <xsd:import namespace="http://schemas.microsoft.com/office/2006/documentManagement/types"/>
    <xsd:import namespace="http://schemas.microsoft.com/office/infopath/2007/PartnerControls"/>
    <xsd:element name="IM_Sub_x0020_Title" ma:index="3" nillable="true" ma:displayName="IM_Sub Title" ma:description="Sub title for project document" ma:internalName="IM_Sub_x0020_Title" ma:readOnly="false">
      <xsd:simpleType>
        <xsd:restriction base="dms:Text">
          <xsd:maxLength value="255"/>
        </xsd:restriction>
      </xsd:simpleType>
    </xsd:element>
    <xsd:element name="IM_DocumentNumber" ma:index="4" nillable="true" ma:displayName="IM_DocumentNumber" ma:default="DO NOT CHANGE" ma:description="Unique FIle Name in accordance with Project naming convention. DO NOT SELECT. Auto determined from next available number" ma:indexed="true" ma:internalName="IM_DocumentNumber" ma:readOnly="false">
      <xsd:simpleType>
        <xsd:restriction base="dms:Text">
          <xsd:maxLength value="255"/>
        </xsd:restriction>
      </xsd:simpleType>
    </xsd:element>
    <xsd:element name="IM_State" ma:index="5" nillable="true" ma:displayName="IM_State" ma:default="WIP" ma:format="Dropdown" ma:internalName="IM_State" ma:readOnly="false">
      <xsd:simpleType>
        <xsd:restriction base="dms:Choice">
          <xsd:enumeration value="WIP"/>
          <xsd:enumeration value="SHARED"/>
          <xsd:enumeration value="PUBLISHED"/>
          <xsd:enumeration value="REFERENCE"/>
          <xsd:enumeration value="ARCHIVED"/>
          <xsd:enumeration value="OTHER"/>
          <xsd:enumeration value="N/A"/>
        </xsd:restriction>
      </xsd:simpleType>
    </xsd:element>
    <xsd:element name="IM_Status" ma:index="6" nillable="true" ma:displayName="IM_Status" ma:default="S0 - WIP" ma:format="Dropdown" ma:internalName="IM_Status" ma:readOnly="false">
      <xsd:simpleType>
        <xsd:restriction base="dms:Choice">
          <xsd:enumeration value="S0 - WIP"/>
          <xsd:enumeration value="S1 - For Coordination"/>
          <xsd:enumeration value="S2 - For Information"/>
          <xsd:enumeration value="S3 - For Review and Comment"/>
          <xsd:enumeration value="S4 - For Stage Approval"/>
          <xsd:enumeration value="A1 - Client Accepted"/>
          <xsd:enumeration value="N/A"/>
        </xsd:restriction>
      </xsd:simpleType>
    </xsd:element>
    <xsd:element name="IM_Revision" ma:index="7" nillable="true" ma:displayName="IM_Revision" ma:default="P01.01" ma:description="Revision based on Project Technology Plan" ma:format="Dropdown" ma:internalName="IM_Revision" ma:readOnly="false">
      <xsd:simpleType>
        <xsd:restriction base="dms:Choice">
          <xsd:enumeration value="P01.01"/>
          <xsd:enumeration value="P01.02"/>
          <xsd:enumeration value="P01.03"/>
          <xsd:enumeration value="P01"/>
          <xsd:enumeration value="P02.01"/>
          <xsd:enumeration value="P02.02"/>
          <xsd:enumeration value="P02.03"/>
          <xsd:enumeration value="P02"/>
          <xsd:enumeration value="P03.01"/>
          <xsd:enumeration value="P03.02"/>
          <xsd:enumeration value="P03.03"/>
          <xsd:enumeration value="P03"/>
          <xsd:enumeration value="P04"/>
          <xsd:enumeration value="P05"/>
          <xsd:enumeration value="P06"/>
          <xsd:enumeration value="P07"/>
          <xsd:enumeration value="P08"/>
          <xsd:enumeration value="P09"/>
          <xsd:enumeration value="P10"/>
          <xsd:enumeration value="C01"/>
          <xsd:enumeration value="C02"/>
          <xsd:enumeration value="C03"/>
          <xsd:enumeration value="C04"/>
          <xsd:enumeration value="C05"/>
        </xsd:restriction>
      </xsd:simpleType>
    </xsd:element>
    <xsd:element name="MM_InfomationSecurity" ma:index="8" nillable="true" ma:displayName="MM_InfomationSecurity" ma:format="Dropdown" ma:internalName="MM_InfomationSecurity" ma:readOnly="false">
      <xsd:simpleType>
        <xsd:restriction base="dms:Choice">
          <xsd:enumeration value="Non-confidential - Standard"/>
          <xsd:enumeration value="Non-confidential - Secure"/>
          <xsd:enumeration value="Confidential - Secure"/>
          <xsd:enumeration value="Confidential - Standard"/>
        </xsd:restriction>
      </xsd:simpleType>
    </xsd:element>
    <xsd:element name="IM_Project" ma:index="9" nillable="true" ma:displayName="IM_Project" ma:default="100108748_DWDS" ma:description="Project reference number as per Tech Plan" ma:format="Dropdown" ma:internalName="IM_Project" ma:readOnly="false">
      <xsd:simpleType>
        <xsd:restriction base="dms:Text">
          <xsd:maxLength value="255"/>
        </xsd:restriction>
      </xsd:simpleType>
    </xsd:element>
    <xsd:element name="IM_Originator" ma:index="10" nillable="true" ma:displayName="IM_Originator" ma:default="DO NOT CHANGE" ma:description="Originator code. DO NOT SELECT. Auto determined from folder location.&#10;AHI Ahimanu&#10;C3C Channel 3 Consulting&#10;CCS CorCap Solutions&#10;EPS Evolve People Solutions&#10;JRO Jamie Robertson&#10;MACE MACE&#10;MMD Mott MacDonald Ltd&#10;SVC St Vincents Consulting&#10;TAT Turner &amp; Townsend" ma:internalName="IM_Originator" ma:readOnly="false">
      <xsd:simpleType>
        <xsd:restriction base="dms:Text">
          <xsd:maxLength value="255"/>
        </xsd:restriction>
      </xsd:simpleType>
    </xsd:element>
    <xsd:element name="IM_SubOriginator" ma:index="11" nillable="true" ma:displayName="IM_SubOriginator" ma:default="DO NOT CHANGE" ma:description="Task Team 2 or 3 letter abbrevation. E.g. PCO, BNI. Auto generated based on files folder location" ma:internalName="IM_SubOriginator" ma:readOnly="false">
      <xsd:simpleType>
        <xsd:restriction base="dms:Text">
          <xsd:maxLength value="255"/>
        </xsd:restriction>
      </xsd:simpleType>
    </xsd:element>
    <xsd:element name="IM_Level_x002f_Location" ma:index="12" nillable="true" ma:displayName="IM_Level/Location" ma:description="2.2.1 tbc&#10;2.3.2 tbc&#10;2.3.3 Cohort 3 and 4 Optioneering&#10;2.6.3 tbc&#10;2.6.4 Standard Rooms&#10;AGH Airedale General Hospital&#10;BTT Brighton 3Ts&#10;BWC Barts Whipps Cross&#10;C1O CH1 Overarching&#10;C2O CH2 Overarching&#10;C3O CH3 Overarching&#10;C4O CH4 Overarching&#10;CCH Cumberland Cancer Hospital (Carlisle)&#10;CCHD Christchurch Community Hospital (Dorset)&#10;CCRH Cambridge Cancer Research Hospital&#10;CH34 Cohort 3 &amp; 4&#10;CN Cedar North&#10;DCC Dyson Cancer Centre&#10;DCH Dorset Community Hospital&#10;EDD Emergency Dept. Derriford&#10;EPS EPSOM&#10;ES East Sussex&#10;FPH Frimley Park Hospital&#10;HH Hampshire Hospitals&#10;HI Hillingdon&#10;HIH Hinchingbrooke Hospital&#10;JPUH James Paget University Hospital&#10;KGH Kettering General Hospital&#10;LE Leicester &#10;LH Leighton Hospital&#10;LTH Leeds Teaching Hospital&#10;MKH Milton Keynes Hospital&#10;MMUH Midland Metropolitan University Hospital&#10;MNM Manchester NMGH&#10;MO Moorfield ORIEL &#10;MPH Musgrove Park Hospital&#10;NCA NCA Royal Salford Hospital&#10;NDD North Devon District Hospital&#10;NRC National Rehabilitation Centre&#10;PAH Princess Alexandra Hospital&#10;PH Poole Hospital&#10;PMO Project Management Office&#10;QEKL Queen Elizabeth Kings Lynn&#10;RB Royal Berkshire Hospital&#10;RBH Royal Bournemouth Hospital&#10;RLH Royal Liverpool Hospital&#10;SAH St Anne's Hospital&#10;SBH Shotley Bridge Hospital&#10;SM St Mary's Hospital&#10;TH Torbay Hospital&#10;UHD University Hospitals Dorset&#10;UHD_CC Christchurch Community Hospital&#10;UHD_PH Pool Hospital&#10;UHD_RBH Royal Bournemouth Hospital&#10;WCT Woman's &amp; Children's Treliske&#10;WHW West Herts Watford&#10;WSH West Suffolk Hospital&#10;XX no level/location applicable&#10;ZZ multiple levels/locations" ma:format="Dropdown" ma:internalName="IM_Level_x002F_Location">
      <xsd:simpleType>
        <xsd:restriction base="dms:Choice">
          <xsd:enumeration value="2.2.1"/>
          <xsd:enumeration value="2.3.2"/>
          <xsd:enumeration value="2.3.3"/>
          <xsd:enumeration value="2.6.3"/>
          <xsd:enumeration value="2.6.4"/>
          <xsd:enumeration value="AGH"/>
          <xsd:enumeration value="BTT"/>
          <xsd:enumeration value="BWC"/>
          <xsd:enumeration value="C1O"/>
          <xsd:enumeration value="C2O"/>
          <xsd:enumeration value="C3O"/>
          <xsd:enumeration value="C4O"/>
          <xsd:enumeration value="CCH"/>
          <xsd:enumeration value="CCHD"/>
          <xsd:enumeration value="CCRH"/>
          <xsd:enumeration value="CH34"/>
          <xsd:enumeration value="CN"/>
          <xsd:enumeration value="DCC"/>
          <xsd:enumeration value="DCH"/>
          <xsd:enumeration value="EDD"/>
          <xsd:enumeration value="EPS"/>
          <xsd:enumeration value="ES"/>
          <xsd:enumeration value="FPH"/>
          <xsd:enumeration value="HH"/>
          <xsd:enumeration value="HI"/>
          <xsd:enumeration value="HIH"/>
          <xsd:enumeration value="JPUH"/>
          <xsd:enumeration value="KGH"/>
          <xsd:enumeration value="LE"/>
          <xsd:enumeration value="LH"/>
          <xsd:enumeration value="LTH"/>
          <xsd:enumeration value="MKH"/>
          <xsd:enumeration value="MMUH"/>
          <xsd:enumeration value="MNM"/>
          <xsd:enumeration value="MO"/>
          <xsd:enumeration value="MPH"/>
          <xsd:enumeration value="NCA"/>
          <xsd:enumeration value="NDD"/>
          <xsd:enumeration value="NRC"/>
          <xsd:enumeration value="PAH"/>
          <xsd:enumeration value="PH"/>
          <xsd:enumeration value="PMO"/>
          <xsd:enumeration value="QEKL"/>
          <xsd:enumeration value="RB"/>
          <xsd:enumeration value="RBH"/>
          <xsd:enumeration value="RLH"/>
          <xsd:enumeration value="SAH"/>
          <xsd:enumeration value="SBH"/>
          <xsd:enumeration value="SM"/>
          <xsd:enumeration value="TH"/>
          <xsd:enumeration value="UHD"/>
          <xsd:enumeration value="UHD_CC"/>
          <xsd:enumeration value="UHD_PH"/>
          <xsd:enumeration value="UHD_RBH"/>
          <xsd:enumeration value="WCT"/>
          <xsd:enumeration value="WHW"/>
          <xsd:enumeration value="WSH"/>
          <xsd:enumeration value="XX"/>
          <xsd:enumeration value="ZZ"/>
        </xsd:restriction>
      </xsd:simpleType>
    </xsd:element>
    <xsd:element name="IM_Type" ma:index="13" nillable="true" ma:displayName="IM_Type" ma:description="File Type as per Tech Plan:&#10;animation file AF&#10;audio, visual &amp; media AV&#10;bill of quantities BQ&#10;briefing note BN&#10;calculations CA&#10;certificates CE&#10;combined model (combined multidiscipline model) CM&#10;consent CS&#10;contract CT&#10;correspondence CO&#10;cost plan CP&#10;coordination models / clash renditons CR&#10;database DB&#10;data sheet DS&#10;drawings DR&#10;file note FN&#10;flow chart &amp; diagram FC&#10;form FO&#10;Ground Investigation GI&#10;GIS Model GM&#10;guidance GU&#10;health and safety HS&#10;information exchange file IE&#10;invoice IN&#10;ITT IT&#10;2D model M2&#10;3D model M3&#10;manual MA&#10;Memos ME&#10;minutes / action notes MI&#10;model renditions MR&#10;method statement MS&#10;plans PL&#10;Policy PY&#10;Procedure &amp; Process PS&#10;presentation PP&#10;programme PR&#10;quote QU&#10;register RE&#10;Risk Assessment RA&#10;room data sheet RD&#10;request for information RI&#10;report RP&#10;schedule of accommodation SA&#10;schedule SH&#10;scope of work SC&#10;sketch SK&#10;snagging list SN&#10;specification SP&#10;strategy ST&#10;survey SU&#10;Technical Note TN&#10;template TE&#10;visualization VS&#10;Not applicable XX&#10;General ZZ" ma:format="Dropdown" ma:internalName="IM_Type" ma:readOnly="false">
      <xsd:simpleType>
        <xsd:restriction base="dms:Choice">
          <xsd:enumeration value="AF"/>
          <xsd:enumeration value="AV"/>
          <xsd:enumeration value="BQ"/>
          <xsd:enumeration value="BN"/>
          <xsd:enumeration value="CA"/>
          <xsd:enumeration value="CE"/>
          <xsd:enumeration value="CM"/>
          <xsd:enumeration value="CS"/>
          <xsd:enumeration value="CT"/>
          <xsd:enumeration value="CO"/>
          <xsd:enumeration value="CP"/>
          <xsd:enumeration value="CR"/>
          <xsd:enumeration value="DB"/>
          <xsd:enumeration value="DS"/>
          <xsd:enumeration value="DR"/>
          <xsd:enumeration value="FN"/>
          <xsd:enumeration value="FC"/>
          <xsd:enumeration value="FO"/>
          <xsd:enumeration value="GI"/>
          <xsd:enumeration value="GM"/>
          <xsd:enumeration value="GU"/>
          <xsd:enumeration value="HS"/>
          <xsd:enumeration value="IE"/>
          <xsd:enumeration value="IN"/>
          <xsd:enumeration value="IT"/>
          <xsd:enumeration value="M2"/>
          <xsd:enumeration value="M3"/>
          <xsd:enumeration value="MA"/>
          <xsd:enumeration value="ME"/>
          <xsd:enumeration value="MI"/>
          <xsd:enumeration value="MR"/>
          <xsd:enumeration value="MS"/>
          <xsd:enumeration value="PL"/>
          <xsd:enumeration value="PY"/>
          <xsd:enumeration value="PS"/>
          <xsd:enumeration value="PP"/>
          <xsd:enumeration value="PR"/>
          <xsd:enumeration value="QU"/>
          <xsd:enumeration value="RE"/>
          <xsd:enumeration value="RA"/>
          <xsd:enumeration value="RD"/>
          <xsd:enumeration value="RI"/>
          <xsd:enumeration value="RP"/>
          <xsd:enumeration value="SA"/>
          <xsd:enumeration value="SH"/>
          <xsd:enumeration value="SC"/>
          <xsd:enumeration value="SK"/>
          <xsd:enumeration value="SN"/>
          <xsd:enumeration value="SP"/>
          <xsd:enumeration value="ST"/>
          <xsd:enumeration value="SU"/>
          <xsd:enumeration value="TN"/>
          <xsd:enumeration value="TE"/>
          <xsd:enumeration value="VS"/>
          <xsd:enumeration value="XX"/>
          <xsd:enumeration value="ZZ"/>
        </xsd:restriction>
      </xsd:simpleType>
    </xsd:element>
    <xsd:element name="IM_Role" ma:index="14" nillable="true" ma:displayName="IM_Role" ma:description="Role (Discipline) as per Tech Plan:&#10;A architect&#10;B building surveyor&#10;BC TBC&#10;C civil engineer&#10;CL Clinical Assurance&#10;D drainage, highways engineer&#10;DE Design Assurance&#10;DI Digital Assurance&#10;E engineer&#10;EN environment&#10;EW Enabling Works&#10;F facilities manager&#10;FI fire&#10;G geographical and land surveyor&#10;GE geotechncial enginner&#10;H health, safety &amp; environment&#10;HY hydraulics&#10;I interior designer&#10;IC Instrumentation &amp; Controls&#10;IM information management&#10;IT information technology&#10;J (available for customisation if required)&#10;K client&#10;L landscape architect&#10;M mechanical engineer&#10;N (available for customisation if required)&#10;O (available for customisation if required)&#10;P public health engineer&#10;PM programme &amp; project management&#10;PR procurement&#10;Q quantity surveyor&#10;R Rail&#10;RE Reinforcement&#10;S structural engineer&#10;SH stakeholder management&#10;SW surface works&#10;T town and country planner&#10;TE telecommunications&#10;U Cross Discipline&#10;UT utilities &amp; statutory authorities&#10;V (available for customisation if required)&#10;W contractor&#10;X subcontractor&#10;Y specialist designer&#10;Z general (non‑disciplinary)&#10; " ma:format="Dropdown" ma:internalName="IM_Role">
      <xsd:simpleType>
        <xsd:restriction base="dms:Choice">
          <xsd:enumeration value="A"/>
          <xsd:enumeration value="B"/>
          <xsd:enumeration value="BC"/>
          <xsd:enumeration value="C"/>
          <xsd:enumeration value="CL"/>
          <xsd:enumeration value="D"/>
          <xsd:enumeration value="DE"/>
          <xsd:enumeration value="DI"/>
          <xsd:enumeration value="E"/>
          <xsd:enumeration value="EN"/>
          <xsd:enumeration value="EW"/>
          <xsd:enumeration value="F"/>
          <xsd:enumeration value="FI"/>
          <xsd:enumeration value="G"/>
          <xsd:enumeration value="GE"/>
          <xsd:enumeration value="H"/>
          <xsd:enumeration value="HY"/>
          <xsd:enumeration value="I"/>
          <xsd:enumeration value="IC"/>
          <xsd:enumeration value="IM"/>
          <xsd:enumeration value="IT"/>
          <xsd:enumeration value="J"/>
          <xsd:enumeration value="K"/>
          <xsd:enumeration value="L"/>
          <xsd:enumeration value="M"/>
          <xsd:enumeration value="N"/>
          <xsd:enumeration value="O"/>
          <xsd:enumeration value="P"/>
          <xsd:enumeration value="PM"/>
          <xsd:enumeration value="PR"/>
          <xsd:enumeration value="Q"/>
          <xsd:enumeration value="R"/>
          <xsd:enumeration value="RE"/>
          <xsd:enumeration value="S"/>
          <xsd:enumeration value="SH"/>
          <xsd:enumeration value="SW"/>
          <xsd:enumeration value="T"/>
          <xsd:enumeration value="TE"/>
          <xsd:enumeration value="U"/>
          <xsd:enumeration value="UT"/>
          <xsd:enumeration value="V"/>
          <xsd:enumeration value="W"/>
          <xsd:enumeration value="X"/>
          <xsd:enumeration value="Y"/>
          <xsd:enumeration value="Z"/>
        </xsd:restriction>
      </xsd:simpleType>
    </xsd:element>
    <xsd:element name="IM_Number" ma:index="15" nillable="true" ma:displayName="IM_Number" ma:default="DO NOT CHANGE" ma:description="File Unique number. 6 digits. as per Tech Plan. DO NOT ENTER. Auto populated based on next available number" ma:internalName="IM_Number" ma:readOnly="false">
      <xsd:simpleType>
        <xsd:restriction base="dms:Text">
          <xsd:maxLength value="255"/>
        </xsd:restriction>
      </xsd:simpleType>
    </xsd:element>
    <xsd:element name="MM_ProjectNumber" ma:index="16" nillable="true" ma:displayName="MM_ProjectNumber" ma:default="100108748" ma:description="MM Project Number" ma:internalName="MM_ProjectNumber" ma:readOnly="false">
      <xsd:simpleType>
        <xsd:restriction base="dms:Text">
          <xsd:maxLength value="255"/>
        </xsd:restriction>
      </xsd:simpleType>
    </xsd:element>
    <xsd:element name="IM_TIDPLink" ma:index="32" nillable="true" ma:displayName="IM_TIDPLink" ma:description="Used to record associated link to item in TIDP" ma:hidden="true" ma:internalName="IM_TIDPLink0" ma:readOnly="false">
      <xsd:simpleType>
        <xsd:restriction base="dms:Note"/>
      </xsd:simpleType>
    </xsd:element>
    <xsd:element name="IM_SharedDate" ma:index="33" nillable="true" ma:displayName="IM_SharedDate" ma:description="Date that the document was SHARED (i.e. added to the SHARED folder)." ma:format="DateOnly" ma:hidden="true" ma:internalName="IM_SharedDate" ma:readOnly="false">
      <xsd:simpleType>
        <xsd:restriction base="dms:DateTime"/>
      </xsd:simpleType>
    </xsd:element>
    <xsd:element name="IM_PublishedDate" ma:index="34" nillable="true" ma:displayName="IM_PublishedDate" ma:description="Date that the document was PUBLISHED (i.e. added to the PUBLIHSED folder)." ma:format="DateOnly" ma:hidden="true" ma:internalName="IM_PublishedDate" ma:readOnly="false">
      <xsd:simpleType>
        <xsd:restriction base="dms:DateTime"/>
      </xsd:simpleType>
    </xsd:element>
    <xsd:element name="IM_Volume_x002f_System" ma:index="57" nillable="true" ma:displayName="IM_Volume/System" ma:description="Asset Type as per Tech Plan:&#10;no volume / system applicable XX&#10;all volumes / systems ZZ" ma:format="Dropdown" ma:hidden="true" ma:internalName="IM_Volume_x002F_System" ma:readOnly="false">
      <xsd:simpleType>
        <xsd:restriction base="dms:Choice">
          <xsd:enumeration value="XX"/>
          <xsd:enumeration value="ZZ"/>
        </xsd:restriction>
      </xsd:simpleType>
    </xsd:element>
    <xsd:element name="IM_DeliverableYN" ma:index="58" nillable="true" ma:displayName="IM_DeliverableYN" ma:default="No" ma:description="Deliverable Yes/No" ma:format="Dropdown" ma:hidden="true" ma:internalName="IM_DeliverableYN" ma:readOnly="false">
      <xsd:simpleType>
        <xsd:restriction base="dms:Choice">
          <xsd:enumeration value="Yes"/>
          <xsd:enumeration value="No"/>
        </xsd:restriction>
      </xsd:simpleType>
    </xsd:element>
  </xsd:schema>
  <xsd:schema xmlns:xsd="http://www.w3.org/2001/XMLSchema" xmlns:xs="http://www.w3.org/2001/XMLSchema" xmlns:dms="http://schemas.microsoft.com/office/2006/documentManagement/types" xmlns:pc="http://schemas.microsoft.com/office/infopath/2007/PartnerControls" targetNamespace="0abcf3db-de78-4153-8fa2-8009e492505b" elementFormDefault="qualified">
    <xsd:import namespace="http://schemas.microsoft.com/office/2006/documentManagement/types"/>
    <xsd:import namespace="http://schemas.microsoft.com/office/infopath/2007/PartnerControls"/>
    <xsd:element name="activityIDtext" ma:index="17" nillable="true" ma:displayName="Activity ID" ma:format="Dropdown" ma:internalName="activityIDtext">
      <xsd:simpleType>
        <xsd:restriction base="dms:Text">
          <xsd:maxLength value="255"/>
        </xsd:restriction>
      </xsd:simpleType>
    </xsd:element>
    <xsd:element name="projectStagePhase" ma:index="18" nillable="true" ma:displayName="Project Stage" ma:description="As per https://mottmac.sharepoint.com/teams/pj-g1955/Lists/IM_StatusSuitabilityCodes/Contractual.aspx" ma:format="Dropdown" ma:internalName="projectStagePhase">
      <xsd:simpleType>
        <xsd:restriction base="dms:Choice">
          <xsd:enumeration value="Strategy"/>
          <xsd:enumeration value="Brief"/>
          <xsd:enumeration value="Concept design"/>
          <xsd:enumeration value="Planning"/>
          <xsd:enumeration value="Tender"/>
          <xsd:enumeration value="Developed design"/>
          <xsd:enumeration value="Technical design"/>
          <xsd:enumeration value="Construction"/>
          <xsd:enumeration value="Handover"/>
          <xsd:enumeration value="In Use"/>
        </xsd:restriction>
      </xsd:simpleType>
    </xsd:element>
    <xsd:element name="lcf76f155ced4ddcb4097134ff3c332f" ma:index="51" nillable="true" ma:taxonomy="true" ma:internalName="lcf76f155ced4ddcb4097134ff3c332f" ma:taxonomyFieldName="MediaServiceImageTags" ma:displayName="Image Tags" ma:readOnly="false" ma:fieldId="{5cf76f15-5ced-4ddc-b409-7134ff3c332f}" ma:taxonomyMulti="true" ma:sspId="3bee4c5c-8f43-4f7f-9637-07f983ecca3d" ma:termSetId="09814cd3-568e-fe90-9814-8d621ff8fb84" ma:anchorId="fba54fb3-c3e1-fe81-a776-ca4b69148c4d" ma:open="true" ma:isKeyword="false">
      <xsd:complexType>
        <xsd:sequence>
          <xsd:element ref="pc:Terms" minOccurs="0" maxOccurs="1"/>
        </xsd:sequence>
      </xsd:complexType>
    </xsd:element>
    <xsd:element name="requestShared" ma:index="52" nillable="true" ma:displayName="requestShared" ma:format="Dropdown" ma:hidden="true" ma:internalName="requestShared" ma:readOnly="false">
      <xsd:simpleType>
        <xsd:restriction base="dms:Text">
          <xsd:maxLength value="255"/>
        </xsd:restriction>
      </xsd:simpleType>
    </xsd:element>
    <xsd:element name="requestPublished" ma:index="53" nillable="true" ma:displayName="requestPublished " ma:format="Dropdown" ma:hidden="true" ma:internalName="requestPublished" ma:readOnly="false">
      <xsd:simpleType>
        <xsd:restriction base="dms:Text">
          <xsd:maxLength value="255"/>
        </xsd:restriction>
      </xsd:simpleType>
    </xsd:element>
    <xsd:element name="requestIssueDoc" ma:index="54" nillable="true" ma:displayName="requestIssueDoc " ma:format="Dropdown" ma:hidden="true" ma:internalName="requestIssueDoc">
      <xsd:simpleType>
        <xsd:restriction base="dms:Text">
          <xsd:maxLength value="255"/>
        </xsd:restriction>
      </xsd:simpleType>
    </xsd:element>
    <xsd:element name="reviseToWIP" ma:index="55" nillable="true" ma:displayName="reviseToWIP " ma:format="Dropdown" ma:hidden="true" ma:internalName="reviseToWIP" ma:readOnly="false">
      <xsd:simpleType>
        <xsd:restriction base="dms:Text">
          <xsd:maxLength value="255"/>
        </xsd:restriction>
      </xsd:simpleType>
    </xsd:element>
    <xsd:element name="RequestArchived" ma:index="56" nillable="true" ma:displayName="RequestArchived " ma:format="Dropdown" ma:hidden="true" ma:internalName="RequestArchived">
      <xsd:simpleType>
        <xsd:restriction base="dms:Text">
          <xsd:maxLength value="255"/>
        </xsd:restriction>
      </xsd:simpleType>
    </xsd:element>
    <xsd:element name="requestClientShared" ma:index="59" nillable="true" ma:displayName="requestClientShared" ma:format="Dropdown" ma:hidden="true" ma:internalName="requestClientShared" ma:readOnly="false">
      <xsd:simpleType>
        <xsd:restriction base="dms:Text">
          <xsd:maxLength value="255"/>
        </xsd:restriction>
      </xsd:simpleType>
    </xsd:element>
    <xsd:element name="SHAREDorPUBLISHEDfolder" ma:index="60" nillable="true" ma:displayName="SHAREDorPUBLISHEDfolder" ma:format="Dropdown" ma:internalName="SHAREDorPUBLISHEDfolder">
      <xsd:simpleType>
        <xsd:restriction base="dms:Text">
          <xsd:maxLength value="255"/>
        </xsd:restriction>
      </xsd:simpleType>
    </xsd:element>
    <xsd:element name="MediaServiceDocTags" ma:index="61" nillable="true" ma:displayName="MediaServiceDocTags" ma:hidden="true" ma:internalName="MediaServiceDocTags" ma:readOnly="true">
      <xsd:simpleType>
        <xsd:restriction base="dms:Note"/>
      </xsd:simpleType>
    </xsd:element>
    <xsd:element name="MediaServiceObjectDetectorVersions" ma:index="62" nillable="true" ma:displayName="MediaServiceObjectDetectorVersions" ma:hidden="true" ma:indexed="true" ma:internalName="MediaServiceObjectDetectorVersions" ma:readOnly="true">
      <xsd:simpleType>
        <xsd:restriction base="dms:Text"/>
      </xsd:simpleType>
    </xsd:element>
    <xsd:element name="MediaServiceSearchProperties" ma:index="6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e50aad-ed6e-46b9-b4dd-1a43c27868b5" elementFormDefault="qualified">
    <xsd:import namespace="http://schemas.microsoft.com/office/2006/documentManagement/types"/>
    <xsd:import namespace="http://schemas.microsoft.com/office/infopath/2007/PartnerControls"/>
    <xsd:element name="MediaServiceAutoTags" ma:index="35" nillable="true" ma:displayName="Tags" ma:hidden="true"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hidden="true" ma:internalName="MediaServiceOCR" ma:readOnly="true">
      <xsd:simpleType>
        <xsd:restriction base="dms:Note"/>
      </xsd:simpleType>
    </xsd:element>
    <xsd:element name="MediaServiceDateTaken" ma:index="41" nillable="true" ma:displayName="MediaServiceDateTaken" ma:hidden="true" ma:internalName="MediaServiceDateTaken" ma:readOnly="true">
      <xsd:simpleType>
        <xsd:restriction base="dms:Text"/>
      </xsd:simpleType>
    </xsd:element>
    <xsd:element name="MediaLengthInSeconds" ma:index="42" nillable="true" ma:displayName="MediaLengthInSeconds" ma:hidden="true" ma:internalName="MediaLengthInSeconds" ma:readOnly="true">
      <xsd:simpleType>
        <xsd:restriction base="dms:Unknown"/>
      </xsd:simpleType>
    </xsd:element>
    <xsd:element name="MediaServiceLocation" ma:index="43" nillable="true" ma:displayName="Location" ma:hidden="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17c65-729f-418f-a5ab-8d647f9ec256" elementFormDefault="qualified">
    <xsd:import namespace="http://schemas.microsoft.com/office/2006/documentManagement/types"/>
    <xsd:import namespace="http://schemas.microsoft.com/office/infopath/2007/PartnerControls"/>
    <xsd:element name="SharedWithUsers" ma:index="39"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0"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ea19f2-85bc-4d81-ba37-5d3dd0eedbf3" elementFormDefault="qualified">
    <xsd:import namespace="http://schemas.microsoft.com/office/2006/documentManagement/types"/>
    <xsd:import namespace="http://schemas.microsoft.com/office/infopath/2007/PartnerControls"/>
    <xsd:element name="IM_NC_Project" ma:index="44" nillable="true" ma:displayName="IM_NC_Project" ma:description="As per Tech Plan" ma:hidden="true" ma:list="{987d6e61-7bfa-4d50-9c16-c3a397445139}" ma:internalName="IM_NC_Project" ma:readOnly="false" ma:showField="Title" ma:web="10ea19f2-85bc-4d81-ba37-5d3dd0eedbf3">
      <xsd:simpleType>
        <xsd:restriction base="dms:Lookup"/>
      </xsd:simpleType>
    </xsd:element>
    <xsd:element name="IM_NC_Originator" ma:index="45" nillable="true" ma:displayName="IM_NC_Originator" ma:description="As per Tech Plan:&#10;AHI Ahimanu&#10;C3C Channel 3 Consulting&#10;CCS CorCap Solutions&#10;EPS Evolve People Solutions&#10;JRO Jamie Robertson&#10;MACE MACE&#10;MMD Mott MacDonald Ltd&#10;SVC St Vincents Consulting&#10;TAT Turner &amp; Townsend" ma:hidden="true" ma:list="{978f5ad6-0aa4-41ae-9cb6-bc8c7073cd77}" ma:internalName="IM_NC_Originator" ma:readOnly="false" ma:showField="Title" ma:web="10ea19f2-85bc-4d81-ba37-5d3dd0eedbf3">
      <xsd:simpleType>
        <xsd:restriction base="dms:Lookup"/>
      </xsd:simpleType>
    </xsd:element>
    <xsd:element name="IM_NC_03AssetSystemCodes" ma:index="46" nillable="true" ma:displayName="IM_NC_03AssetSystemCodes" ma:description="As Per Tech Plan: &#10;&#10;ZZ all volumes / systems&#10;XX no volume / system applicable" ma:hidden="true" ma:list="{9f9ae19c-18b3-4ee0-b459-97bc18fcaca3}" ma:internalName="IM_NC_03AssetSystemCodes" ma:readOnly="false" ma:showField="ID" ma:web="10ea19f2-85bc-4d81-ba37-5d3dd0eedbf3">
      <xsd:simpleType>
        <xsd:restriction base="dms:Lookup"/>
      </xsd:simpleType>
    </xsd:element>
    <xsd:element name="IM_NC_04LocationCodes" ma:index="47" nillable="true" ma:displayName="IM_NC_04LocationCodes" ma:description="As Per Tech Plan:&#10;ZZ multiple levels/locations&#10;XX no level/location applicable" ma:hidden="true" ma:list="{583240c8-ed35-4502-bc05-be86f7198f32}" ma:internalName="IM_NC_04LocationCodes" ma:readOnly="false" ma:showField="ID" ma:web="10ea19f2-85bc-4d81-ba37-5d3dd0eedbf3">
      <xsd:simpleType>
        <xsd:restriction base="dms:Lookup"/>
      </xsd:simpleType>
    </xsd:element>
    <xsd:element name="IM_NC_05FileTypeCodes" ma:index="48" nillable="true" ma:displayName="IM_NC_05FileTypeCodes" ma:description="As Per Tech Plan:&#10;AF animation file&#10;AV audio, visual &amp; media&#10;BQ bill of quantities&#10;BN briefing note&#10;CA calculations&#10;CE certificates&#10;CM combined model (combined multidiscipline model)&#10;CS consent&#10;CT contract&#10;CO correspondence&#10;CP cost plan&#10;CR coordination models / clash renditons&#10;DB database&#10;DS data sheet&#10;DR drawings&#10;FN file note&#10;FC flow chart &amp; diagram&#10;FO form&#10;GI Ground Investigation&#10;GM GIS Model&#10;GU guidance&#10;HS health and safety&#10;IE information exchange file&#10;IN invoice&#10;IT ITT&#10;M2 2D model&#10;M3 3D model&#10;MA manual&#10;ME Memos&#10;MI minutes / action notes&#10;MR model renditions&#10;MS method statement&#10;PL plans&#10;PY Policy&#10;PS Procedure &amp; Process&#10;PP presentation&#10;PR programme&#10;QU quote&#10;RE register&#10;RA Risk Assessment&#10;RD room data sheet&#10;RI request for information&#10;RP report&#10;SA schedule of accommodation&#10;SH schedule&#10;SC scope of work&#10;SK sketch&#10;SN snagging list&#10;SP specification&#10;ST strategy&#10;SU survey&#10;TN Technical Note&#10;TE template&#10;VS visualization&#10;XX Not applicable&#10;ZZ General" ma:hidden="true" ma:list="{b958ba57-cd7f-4943-a4eb-c3f28ffe0e36}" ma:internalName="IM_NC_05FileTypeCodes" ma:readOnly="false" ma:showField="ID" ma:web="10ea19f2-85bc-4d81-ba37-5d3dd0eedbf3">
      <xsd:simpleType>
        <xsd:restriction base="dms:Lookup"/>
      </xsd:simpleType>
    </xsd:element>
    <xsd:element name="IM_NC_06RoleDisciplineCodes" ma:index="49" nillable="true" ma:displayName="IM_NC_06RoleDisciplineCodes" ma:description="As Per Tech Plan:&#10;A architect&#10;B building surveyor&#10;C civil engineer&#10;D drainage, highways engineer&#10;E electrical engineer&#10;EN environment&#10;F facilities manager&#10;FI fire&#10;G geographical and land surveyor&#10;GE geotechncial enginner&#10;H health, safety &amp; environment&#10;HY hydraulics&#10;I interior designer&#10;IC Instrumentation &amp; Controls&#10;IM information management&#10;IT information technology&#10;J (available for customisation if required)&#10;K client&#10;L landscape architect&#10;M mechanical engineer&#10;N (available for customisation if required)&#10;O (available for customisation if required)&#10;P public health engineer&#10;PM programme &amp; project management&#10;PR procurement&#10;Q quantity surveyor&#10;R Rail&#10;RE Reinforcement&#10;S structural engineer&#10;SH stakeholder management&#10;SW surface works&#10;T town and country planner&#10;TE telecommunications&#10;U Cross Discipline&#10;UT utilities &amp; statutory authorities&#10;V (available for customisation if required)&#10;W contractor&#10;X subcontractor&#10;Y specialist designer&#10;Z general (non‑disciplinary)" ma:hidden="true" ma:list="{cbdef4ec-70ca-4cac-8249-258433d96f95}" ma:internalName="IM_NC_06RoleDisciplineCodes" ma:readOnly="false" ma:showField="ID" ma:web="10ea19f2-85bc-4d81-ba37-5d3dd0eedbf3">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80b2c76-4eb4-4926-991a-bb246786b55e" xsi:nil="true"/>
    <_dlc_DocId xmlns="980b2c76-4eb4-4926-991a-bb246786b55e">100108747-318304925-14906</_dlc_DocId>
    <_dlc_DocIdUrl xmlns="980b2c76-4eb4-4926-991a-bb246786b55e">
      <Url>https://mottmac.sharepoint.com/teams/pj-g1955/gs-DWDS/_layouts/15/DocIdRedir.aspx?ID=100108747-318304925-14906</Url>
      <Description>100108747-318304925-14906</Description>
    </_dlc_DocIdUrl>
    <lcf76f155ced4ddcb4097134ff3c332f xmlns="0abcf3db-de78-4153-8fa2-8009e492505b">
      <Terms xmlns="http://schemas.microsoft.com/office/infopath/2007/PartnerControls"/>
    </lcf76f155ced4ddcb4097134ff3c332f>
    <MM_ProjectNumber xmlns="9261456b-3dc8-4f5a-844c-bb4c04bd1c86">100108748</MM_ProjectNumber>
    <activityIDtext xmlns="0abcf3db-de78-4153-8fa2-8009e492505b" xsi:nil="true"/>
    <IM_State xmlns="9261456b-3dc8-4f5a-844c-bb4c04bd1c86">WIP</IM_State>
    <IM_NC_03AssetSystemCodes xmlns="10ea19f2-85bc-4d81-ba37-5d3dd0eedbf3" xsi:nil="true"/>
    <IM_NC_04LocationCodes xmlns="10ea19f2-85bc-4d81-ba37-5d3dd0eedbf3" xsi:nil="true"/>
    <IM_Volume_x002f_System xmlns="9261456b-3dc8-4f5a-844c-bb4c04bd1c86" xsi:nil="true"/>
    <requestClientShared xmlns="0abcf3db-de78-4153-8fa2-8009e492505b" xsi:nil="true"/>
    <IM_Number xmlns="9261456b-3dc8-4f5a-844c-bb4c04bd1c86">DO NOT CHANGE</IM_Number>
    <IM_SubOriginator xmlns="9261456b-3dc8-4f5a-844c-bb4c04bd1c86">DO NOT CHANGE</IM_SubOriginator>
    <IM_Type xmlns="9261456b-3dc8-4f5a-844c-bb4c04bd1c86" xsi:nil="true"/>
    <IM_Revision xmlns="9261456b-3dc8-4f5a-844c-bb4c04bd1c86">P01.01</IM_Revision>
    <IM_Level_x002f_Location xmlns="9261456b-3dc8-4f5a-844c-bb4c04bd1c86" xsi:nil="true"/>
    <Ratings xmlns="http://schemas.microsoft.com/sharepoint/v3" xsi:nil="true"/>
    <IM_NC_06RoleDisciplineCodes xmlns="10ea19f2-85bc-4d81-ba37-5d3dd0eedbf3" xsi:nil="true"/>
    <RequestArchived xmlns="0abcf3db-de78-4153-8fa2-8009e492505b" xsi:nil="true"/>
    <SHAREDorPUBLISHEDfolder xmlns="0abcf3db-de78-4153-8fa2-8009e492505b" xsi:nil="true"/>
    <requestIssueDoc xmlns="0abcf3db-de78-4153-8fa2-8009e492505b" xsi:nil="true"/>
    <IM_Project xmlns="9261456b-3dc8-4f5a-844c-bb4c04bd1c86">100108748_DWDS</IM_Project>
    <LikedBy xmlns="http://schemas.microsoft.com/sharepoint/v3">
      <UserInfo>
        <DisplayName/>
        <AccountId xsi:nil="true"/>
        <AccountType/>
      </UserInfo>
    </LikedBy>
    <IM_TIDPLink xmlns="9261456b-3dc8-4f5a-844c-bb4c04bd1c86" xsi:nil="true"/>
    <IM_PublishedDate xmlns="9261456b-3dc8-4f5a-844c-bb4c04bd1c86" xsi:nil="true"/>
    <reviseToWIP xmlns="0abcf3db-de78-4153-8fa2-8009e492505b" xsi:nil="true"/>
    <IM_DocumentNumber xmlns="9261456b-3dc8-4f5a-844c-bb4c04bd1c86">DO NOT CHANGE</IM_DocumentNumber>
    <IM_NC_Project xmlns="10ea19f2-85bc-4d81-ba37-5d3dd0eedbf3" xsi:nil="true"/>
    <IM_NC_Originator xmlns="10ea19f2-85bc-4d81-ba37-5d3dd0eedbf3" xsi:nil="true"/>
    <MM_InfomationSecurity xmlns="9261456b-3dc8-4f5a-844c-bb4c04bd1c86" xsi:nil="true"/>
    <IM_Role xmlns="9261456b-3dc8-4f5a-844c-bb4c04bd1c86" xsi:nil="true"/>
    <projectStagePhase xmlns="0abcf3db-de78-4153-8fa2-8009e492505b" xsi:nil="true"/>
    <IM_NC_05FileTypeCodes xmlns="10ea19f2-85bc-4d81-ba37-5d3dd0eedbf3" xsi:nil="true"/>
    <IM_Originator xmlns="9261456b-3dc8-4f5a-844c-bb4c04bd1c86">DO NOT CHANGE</IM_Originator>
    <IM_DeliverableYN xmlns="9261456b-3dc8-4f5a-844c-bb4c04bd1c86">No</IM_DeliverableYN>
    <IM_Status xmlns="9261456b-3dc8-4f5a-844c-bb4c04bd1c86">S0 - WIP</IM_Status>
    <requestShared xmlns="0abcf3db-de78-4153-8fa2-8009e492505b" xsi:nil="true"/>
    <IM_Sub_x0020_Title xmlns="9261456b-3dc8-4f5a-844c-bb4c04bd1c86" xsi:nil="true"/>
    <RatedBy xmlns="http://schemas.microsoft.com/sharepoint/v3">
      <UserInfo>
        <DisplayName/>
        <AccountId xsi:nil="true"/>
        <AccountType/>
      </UserInfo>
    </RatedBy>
    <IM_SharedDate xmlns="9261456b-3dc8-4f5a-844c-bb4c04bd1c86" xsi:nil="true"/>
    <requestPublished xmlns="0abcf3db-de78-4153-8fa2-8009e492505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3bee4c5c-8f43-4f7f-9637-07f983ecca3d" ContentTypeId="0x0101007BD61AFCC8A643B8924AB3F7EE1826010307"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CF1EF81-0316-4C20-B2FE-D655C2081A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80b2c76-4eb4-4926-991a-bb246786b55e"/>
    <ds:schemaRef ds:uri="9261456b-3dc8-4f5a-844c-bb4c04bd1c86"/>
    <ds:schemaRef ds:uri="0abcf3db-de78-4153-8fa2-8009e492505b"/>
    <ds:schemaRef ds:uri="63e50aad-ed6e-46b9-b4dd-1a43c27868b5"/>
    <ds:schemaRef ds:uri="f7617c65-729f-418f-a5ab-8d647f9ec256"/>
    <ds:schemaRef ds:uri="10ea19f2-85bc-4d81-ba37-5d3dd0eedb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6647A4-5563-48C1-B094-4B3F609A4E6B}">
  <ds:schemaRefs>
    <ds:schemaRef ds:uri="http://schemas.microsoft.com/office/2006/metadata/properties"/>
    <ds:schemaRef ds:uri="http://schemas.microsoft.com/office/infopath/2007/PartnerControls"/>
    <ds:schemaRef ds:uri="980b2c76-4eb4-4926-991a-bb246786b55e"/>
    <ds:schemaRef ds:uri="0abcf3db-de78-4153-8fa2-8009e492505b"/>
    <ds:schemaRef ds:uri="9261456b-3dc8-4f5a-844c-bb4c04bd1c86"/>
    <ds:schemaRef ds:uri="10ea19f2-85bc-4d81-ba37-5d3dd0eedbf3"/>
    <ds:schemaRef ds:uri="http://schemas.microsoft.com/sharepoint/v3"/>
  </ds:schemaRefs>
</ds:datastoreItem>
</file>

<file path=customXml/itemProps3.xml><?xml version="1.0" encoding="utf-8"?>
<ds:datastoreItem xmlns:ds="http://schemas.openxmlformats.org/officeDocument/2006/customXml" ds:itemID="{E9F1C754-8161-4B43-AE13-73AD8B26FC62}">
  <ds:schemaRefs>
    <ds:schemaRef ds:uri="http://schemas.microsoft.com/sharepoint/v3/contenttype/forms"/>
  </ds:schemaRefs>
</ds:datastoreItem>
</file>

<file path=customXml/itemProps4.xml><?xml version="1.0" encoding="utf-8"?>
<ds:datastoreItem xmlns:ds="http://schemas.openxmlformats.org/officeDocument/2006/customXml" ds:itemID="{23A4822E-3510-406F-8D47-38DDC24A61DC}">
  <ds:schemaRefs>
    <ds:schemaRef ds:uri="Microsoft.SharePoint.Taxonomy.ContentTypeSync"/>
  </ds:schemaRefs>
</ds:datastoreItem>
</file>

<file path=customXml/itemProps5.xml><?xml version="1.0" encoding="utf-8"?>
<ds:datastoreItem xmlns:ds="http://schemas.openxmlformats.org/officeDocument/2006/customXml" ds:itemID="{496602FA-04B2-42C2-A3AE-2833FD795C6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330</vt:i4>
      </vt:variant>
    </vt:vector>
  </HeadingPairs>
  <TitlesOfParts>
    <vt:vector size="344" baseType="lpstr">
      <vt:lpstr>Principles</vt:lpstr>
      <vt:lpstr>Room List</vt:lpstr>
      <vt:lpstr>Collect Sheet</vt:lpstr>
      <vt:lpstr> Inpatients</vt:lpstr>
      <vt:lpstr>Critical Care Unit</vt:lpstr>
      <vt:lpstr>Paediatric Inpatients</vt:lpstr>
      <vt:lpstr>Urgent and Emergency Care</vt:lpstr>
      <vt:lpstr>Imaging</vt:lpstr>
      <vt:lpstr>Maternity</vt:lpstr>
      <vt:lpstr>Neonatal Unit 18 SFRs</vt:lpstr>
      <vt:lpstr>Theatres</vt:lpstr>
      <vt:lpstr>Outpatients</vt:lpstr>
      <vt:lpstr>Renal Dialysis</vt:lpstr>
      <vt:lpstr>Standard Naming Conventions</vt:lpstr>
      <vt:lpstr>Bay_Airwayequip</vt:lpstr>
      <vt:lpstr>Bay_Ambulance_Clean</vt:lpstr>
      <vt:lpstr>Bay_Ambulance_Park</vt:lpstr>
      <vt:lpstr>Bay_Beverage</vt:lpstr>
      <vt:lpstr>Bay_Bloodbankfridge</vt:lpstr>
      <vt:lpstr>Bay_ECG</vt:lpstr>
      <vt:lpstr>Bay_Equip</vt:lpstr>
      <vt:lpstr>Bay_Foodtroll</vt:lpstr>
      <vt:lpstr>Bay_Icemachine</vt:lpstr>
      <vt:lpstr>Bay_Linentroll</vt:lpstr>
      <vt:lpstr>Bay_Mobile_Endo</vt:lpstr>
      <vt:lpstr>Bay_Mobile_Equip</vt:lpstr>
      <vt:lpstr>Bay_Mobile_Hoist</vt:lpstr>
      <vt:lpstr>Bay_Mobile_Imaging</vt:lpstr>
      <vt:lpstr>Bay_MobilePC</vt:lpstr>
      <vt:lpstr>Bay_Resustroll</vt:lpstr>
      <vt:lpstr>Bay_Scrubdispens</vt:lpstr>
      <vt:lpstr>Bay_Suppliestroll</vt:lpstr>
      <vt:lpstr>Bay_Transportincub</vt:lpstr>
      <vt:lpstr>Bay_Trolley_Dualside</vt:lpstr>
      <vt:lpstr>Bay_Trolley_Singleside</vt:lpstr>
      <vt:lpstr>Bay_Vending</vt:lpstr>
      <vt:lpstr>Bay_XrayUS</vt:lpstr>
      <vt:lpstr>Decon_Clinequip_Lrg</vt:lpstr>
      <vt:lpstr>Decon_Clinequip_Small</vt:lpstr>
      <vt:lpstr>ED_Cabin_Lrg</vt:lpstr>
      <vt:lpstr>ED_Cabin_SDEC_Lrg</vt:lpstr>
      <vt:lpstr>ED_Cabin_SDEC_Stand</vt:lpstr>
      <vt:lpstr>ED_Cabin_Stand</vt:lpstr>
      <vt:lpstr>ED_Decon_Rm</vt:lpstr>
      <vt:lpstr>ED_Decon_Shower</vt:lpstr>
      <vt:lpstr>ED_DigTriage</vt:lpstr>
      <vt:lpstr>ED_MH_Rm</vt:lpstr>
      <vt:lpstr>ED_Recliner_Assesstreat</vt:lpstr>
      <vt:lpstr>ED_Resus_Lrg</vt:lpstr>
      <vt:lpstr>ED_Resus_Stand</vt:lpstr>
      <vt:lpstr>ED_Triage</vt:lpstr>
      <vt:lpstr>Education_Classrm_pp</vt:lpstr>
      <vt:lpstr>Education_Haptics_pp</vt:lpstr>
      <vt:lpstr>Education_Skillslab_pp</vt:lpstr>
      <vt:lpstr>Endo_Decon_Dirty</vt:lpstr>
      <vt:lpstr>Endo_Decon_Endocollect</vt:lpstr>
      <vt:lpstr>Endo_Decon_Usedscope</vt:lpstr>
      <vt:lpstr>Endo_Procedure</vt:lpstr>
      <vt:lpstr>Handwash_station</vt:lpstr>
      <vt:lpstr>Helipad</vt:lpstr>
      <vt:lpstr>Hotlab_Lrg</vt:lpstr>
      <vt:lpstr>Hotlab_Med</vt:lpstr>
      <vt:lpstr>Hotlab_Small</vt:lpstr>
      <vt:lpstr>ICU_Bedsingle</vt:lpstr>
      <vt:lpstr>ICU_ensuite_isoneg</vt:lpstr>
      <vt:lpstr>ICU_rehabspace</vt:lpstr>
      <vt:lpstr>Imaging_Anaesth_inc_Recov</vt:lpstr>
      <vt:lpstr>Imaging_Bay_Handfoot</vt:lpstr>
      <vt:lpstr>Imaging_Bookingarea_Radioact</vt:lpstr>
      <vt:lpstr>Imaging_Cannul</vt:lpstr>
      <vt:lpstr>Imaging_Conebeam</vt:lpstr>
      <vt:lpstr>Imaging_Control_Dbl</vt:lpstr>
      <vt:lpstr>Imaging_Control_Sngl</vt:lpstr>
      <vt:lpstr>Imaging_CTscan</vt:lpstr>
      <vt:lpstr>Imaging_Deliveryrm_Radioact</vt:lpstr>
      <vt:lpstr>Imaging_DEXA</vt:lpstr>
      <vt:lpstr>Imaging_Disphol_Radioact</vt:lpstr>
      <vt:lpstr>Imaging_Fluroscopy</vt:lpstr>
      <vt:lpstr>Imaging_Hold_Leadapron</vt:lpstr>
      <vt:lpstr>Imaging_Injection_Radioact</vt:lpstr>
      <vt:lpstr>Imaging_Lobby_Innercontr</vt:lpstr>
      <vt:lpstr>Imaging_Maintenance_MobXray</vt:lpstr>
      <vt:lpstr>Imaging_Mammography</vt:lpstr>
      <vt:lpstr>Imaging_MRI_Rm</vt:lpstr>
      <vt:lpstr>Imaging_MRI_Transfer</vt:lpstr>
      <vt:lpstr>Imaging_PET_Scan</vt:lpstr>
      <vt:lpstr>Imaging_Prep_Bariumsw</vt:lpstr>
      <vt:lpstr>Imaging_Prep_Radiopharma</vt:lpstr>
      <vt:lpstr>Imaging_Reporting_pp</vt:lpstr>
      <vt:lpstr>Imaging_Samplecount</vt:lpstr>
      <vt:lpstr>Imaging_SPECTCT_Gammacam</vt:lpstr>
      <vt:lpstr>Imaging_Store_Radioactinjec</vt:lpstr>
      <vt:lpstr>Imaging_Technical_Lrg</vt:lpstr>
      <vt:lpstr>Imaging_Technical_Small</vt:lpstr>
      <vt:lpstr>Imaging_Ultrasound</vt:lpstr>
      <vt:lpstr>Imaging_Viewing</vt:lpstr>
      <vt:lpstr>Imaging_Wait_Hotpostinjec</vt:lpstr>
      <vt:lpstr>Imaging_WCaccess_Radioact</vt:lpstr>
      <vt:lpstr>Imaging_WCshower_Radioact</vt:lpstr>
      <vt:lpstr>Imaging_Xray_Fluoroscopy</vt:lpstr>
      <vt:lpstr>Imaging_Xray_General</vt:lpstr>
      <vt:lpstr>Imaging_Xray_OPG</vt:lpstr>
      <vt:lpstr>IP_Bedsingle</vt:lpstr>
      <vt:lpstr>IP_Bedsingle_HDU</vt:lpstr>
      <vt:lpstr>IP_Bedsingle_Iso</vt:lpstr>
      <vt:lpstr>IP_Bedsingle_Lrg</vt:lpstr>
      <vt:lpstr>IP_Bedsingle_MH</vt:lpstr>
      <vt:lpstr>IP_Bedsingle_relative</vt:lpstr>
      <vt:lpstr>IP_Breakoutpt</vt:lpstr>
      <vt:lpstr>Lab_Bloodbank</vt:lpstr>
      <vt:lpstr>Lab_Cat3</vt:lpstr>
      <vt:lpstr>Lab_Cat4</vt:lpstr>
      <vt:lpstr>Lab_Coldroom</vt:lpstr>
      <vt:lpstr>Lab_Generalautotest</vt:lpstr>
      <vt:lpstr>Lab_Generalchem_immun</vt:lpstr>
      <vt:lpstr>Lab_Haematology</vt:lpstr>
      <vt:lpstr>Lab_Histopath_Frozensect</vt:lpstr>
      <vt:lpstr>Lab_Histopath_Sortprocesscut</vt:lpstr>
      <vt:lpstr>Lab_Sortingproc_Specimen</vt:lpstr>
      <vt:lpstr>Lab_Specimen_Receiv</vt:lpstr>
      <vt:lpstr>Lab_Sterilesupp</vt:lpstr>
      <vt:lpstr>Lab_Tissueroom</vt:lpstr>
      <vt:lpstr>Lobby_Ambulance_Transfer</vt:lpstr>
      <vt:lpstr>Maternity_LDRP</vt:lpstr>
      <vt:lpstr>Maternity_LDRP_Bereav</vt:lpstr>
      <vt:lpstr>Maternity_LDRP_Pool</vt:lpstr>
      <vt:lpstr>Maternity_Lobby_LDRP</vt:lpstr>
      <vt:lpstr>Mortuary_Bier</vt:lpstr>
      <vt:lpstr>Mortuary_Bodystorehandle_30</vt:lpstr>
      <vt:lpstr>Mortuary_Observation</vt:lpstr>
      <vt:lpstr>Mortuary_Postmort_2</vt:lpstr>
      <vt:lpstr>Mortuary_Trolley_Xray</vt:lpstr>
      <vt:lpstr>Mortuary_Viewing_Fam</vt:lpstr>
      <vt:lpstr>NCS_AGV_cartwash</vt:lpstr>
      <vt:lpstr>NCS_AGV_Charge</vt:lpstr>
      <vt:lpstr>NCS_AGV_Cleanhub</vt:lpstr>
      <vt:lpstr>NCS_AGV_dirtyhub</vt:lpstr>
      <vt:lpstr>NCS_AGV_parkload</vt:lpstr>
      <vt:lpstr>NCS_CSSD_Centralwash</vt:lpstr>
      <vt:lpstr>NCS_CSSD_Steriliser</vt:lpstr>
      <vt:lpstr>NCS_Equiplibrary</vt:lpstr>
      <vt:lpstr>NCS_Estateworkshop</vt:lpstr>
      <vt:lpstr>NCS_Housekeeping</vt:lpstr>
      <vt:lpstr>NCS_Infocentre_Lrg</vt:lpstr>
      <vt:lpstr>NCS_Infocentre_Small</vt:lpstr>
      <vt:lpstr>NCS_Laundry</vt:lpstr>
      <vt:lpstr>NCS_Medicalphysics</vt:lpstr>
      <vt:lpstr>NCS_Multifaith</vt:lpstr>
      <vt:lpstr>NCS_Portering</vt:lpstr>
      <vt:lpstr>NCS_Retailcafe</vt:lpstr>
      <vt:lpstr>NCS_Retailshop</vt:lpstr>
      <vt:lpstr>NCS_Securitydesk</vt:lpstr>
      <vt:lpstr>NCS_Wastemanage</vt:lpstr>
      <vt:lpstr>Neonate_Bedfam_Access</vt:lpstr>
      <vt:lpstr>Neonate_Bedfam_Amb</vt:lpstr>
      <vt:lpstr>Neonate_Cotsingle</vt:lpstr>
      <vt:lpstr>Neonate_Ensuite_Access</vt:lpstr>
      <vt:lpstr>Neonate_Ensuite_Amb</vt:lpstr>
      <vt:lpstr>Neonate_Expressing</vt:lpstr>
      <vt:lpstr>Neonate_Store_Donormilk</vt:lpstr>
      <vt:lpstr>OPD_Audiobooth</vt:lpstr>
      <vt:lpstr>OPD_Bathroom_Dermat</vt:lpstr>
      <vt:lpstr>OPD_Cabinrecl_Medday_Stand</vt:lpstr>
      <vt:lpstr>OPD_Cabintroll_Medday_Stand</vt:lpstr>
      <vt:lpstr>OPD_Cameraroom</vt:lpstr>
      <vt:lpstr>OPD_CPEX</vt:lpstr>
      <vt:lpstr>OPD_Dental_Lab</vt:lpstr>
      <vt:lpstr>OPD_Dentalchair_1</vt:lpstr>
      <vt:lpstr>OPD_Grouproom</vt:lpstr>
      <vt:lpstr>OPD_Gym_Small</vt:lpstr>
      <vt:lpstr>OPD_Gym_Therapies</vt:lpstr>
      <vt:lpstr>OPD_Handtherapy</vt:lpstr>
      <vt:lpstr>OPD_Investdiag_Lrg</vt:lpstr>
      <vt:lpstr>OPD_Investdiag_Med</vt:lpstr>
      <vt:lpstr>OPD_Laserroom</vt:lpstr>
      <vt:lpstr>OPD_Lungfunction</vt:lpstr>
      <vt:lpstr>OPD_Machine_Disinfect</vt:lpstr>
      <vt:lpstr>OPD_Medprep_Cytotox</vt:lpstr>
      <vt:lpstr>OPD_Minorprocedure</vt:lpstr>
      <vt:lpstr>OPD_Orthoptics</vt:lpstr>
      <vt:lpstr>OPD_Phlebotomy</vt:lpstr>
      <vt:lpstr>OPD_Plaster</vt:lpstr>
      <vt:lpstr>OPD_Pool_Hydrotherapy</vt:lpstr>
      <vt:lpstr>OPD_PUVA</vt:lpstr>
      <vt:lpstr>OPD_Technical_Dialysis</vt:lpstr>
      <vt:lpstr>OPD_Visualfields</vt:lpstr>
      <vt:lpstr>OPD_Watertreatment</vt:lpstr>
      <vt:lpstr>Paeds_kitchen_milkspecialfeed</vt:lpstr>
      <vt:lpstr>Paeds_Lounge_Adoles_pp</vt:lpstr>
      <vt:lpstr>Paeds_Lounge_Fam_pp</vt:lpstr>
      <vt:lpstr>Paeds_Playroom</vt:lpstr>
      <vt:lpstr>Paeds_Schoolrm_Lrg</vt:lpstr>
      <vt:lpstr>Paeds_Schoolrm_Small</vt:lpstr>
      <vt:lpstr>Paeds_Sensoryroom</vt:lpstr>
      <vt:lpstr>Pharmacy_Aseptic</vt:lpstr>
      <vt:lpstr>Pharmacy_IVperitoneal</vt:lpstr>
      <vt:lpstr>Pharmacy_Loadingbay</vt:lpstr>
      <vt:lpstr>Pharmacy_Maindispens</vt:lpstr>
      <vt:lpstr>Pharmacy_OP</vt:lpstr>
      <vt:lpstr>Pharmacy_Repacking</vt:lpstr>
      <vt:lpstr>Pharmacy_Research</vt:lpstr>
      <vt:lpstr>RTU_Gascylinder_Lrg</vt:lpstr>
      <vt:lpstr>RTU_Gascylinder_Small</vt:lpstr>
      <vt:lpstr>SCS_CE_Dual</vt:lpstr>
      <vt:lpstr>SCS_CE_Sing</vt:lpstr>
      <vt:lpstr>SCS_Cleaner_Cup</vt:lpstr>
      <vt:lpstr>SCS_Cleaner_Rm</vt:lpstr>
      <vt:lpstr>SCS_Cleansupply_ICU</vt:lpstr>
      <vt:lpstr>SCS_Cleansupply_lrg</vt:lpstr>
      <vt:lpstr>SCS_Cleansupply_Med</vt:lpstr>
      <vt:lpstr>SCS_Cleansupply_Small</vt:lpstr>
      <vt:lpstr>SCS_Controlhub</vt:lpstr>
      <vt:lpstr>SCS_Dirtyutil_Lrg</vt:lpstr>
      <vt:lpstr>SCS_Dirtyutil_Med</vt:lpstr>
      <vt:lpstr>SCS_Disphol_Med</vt:lpstr>
      <vt:lpstr>SCS_Disphol_Small</vt:lpstr>
      <vt:lpstr>SCS_Disphold_Lrg</vt:lpstr>
      <vt:lpstr>SCS_Fluidroom</vt:lpstr>
      <vt:lpstr>SCS_Hifidel_ICU</vt:lpstr>
      <vt:lpstr>SCS_Hifidel_NICU</vt:lpstr>
      <vt:lpstr>SCS_Hifidel_Theatre</vt:lpstr>
      <vt:lpstr>SCS_Interview</vt:lpstr>
      <vt:lpstr>SCS_Lobby_Iso</vt:lpstr>
      <vt:lpstr>SCS_MDT_15</vt:lpstr>
      <vt:lpstr>SCS_MDT_30</vt:lpstr>
      <vt:lpstr>SCS_Medprep_Lrg</vt:lpstr>
      <vt:lpstr>SCS_Medprep_Med</vt:lpstr>
      <vt:lpstr>SCS_Plaster</vt:lpstr>
      <vt:lpstr>SCS_POCT</vt:lpstr>
      <vt:lpstr>SCS_PTS</vt:lpstr>
      <vt:lpstr>SCS_Recliner_pp</vt:lpstr>
      <vt:lpstr>SCS_Therapyroom</vt:lpstr>
      <vt:lpstr>SCS_Treatment_Lrg</vt:lpstr>
      <vt:lpstr>SCS_Treatment_Stand</vt:lpstr>
      <vt:lpstr>Serviceroom_Equip_Lrg</vt:lpstr>
      <vt:lpstr>Serviceroom_Equip_Small</vt:lpstr>
      <vt:lpstr>SRS_Bath_Assist</vt:lpstr>
      <vt:lpstr>SRS_Bay_Wheelstor</vt:lpstr>
      <vt:lpstr>SRS_CE_Dual</vt:lpstr>
      <vt:lpstr>SRS_CE_Sing</vt:lpstr>
      <vt:lpstr>SRS_Change_Accesspt</vt:lpstr>
      <vt:lpstr>SRS_Change_Ambpt</vt:lpstr>
      <vt:lpstr>SRS_Cleaner_Cup</vt:lpstr>
      <vt:lpstr>SRS_Cleaner_Rm</vt:lpstr>
      <vt:lpstr>SRS_Cleansupply_ICU</vt:lpstr>
      <vt:lpstr>SRS_Cleansupply_lrg</vt:lpstr>
      <vt:lpstr>SRS_Cleansupply_Med</vt:lpstr>
      <vt:lpstr>SRS_Cleansupply_Small</vt:lpstr>
      <vt:lpstr>SRS_Controlhub</vt:lpstr>
      <vt:lpstr>SRS_Delivhub_Med</vt:lpstr>
      <vt:lpstr>SRS_Delivhub_Small</vt:lpstr>
      <vt:lpstr>SRS_Dirtyutil_Lrg</vt:lpstr>
      <vt:lpstr>SRS_Dirtyutil_Med</vt:lpstr>
      <vt:lpstr>SRS_Disphol_Med</vt:lpstr>
      <vt:lpstr>SRS_Disphol_Small</vt:lpstr>
      <vt:lpstr>SRS_Disphold_Lrg</vt:lpstr>
      <vt:lpstr>SRS_Ensuite_Amb</vt:lpstr>
      <vt:lpstr>SRS_Ensuite_lrg</vt:lpstr>
      <vt:lpstr>SRS_Fluidroom</vt:lpstr>
      <vt:lpstr>SRS_Hifidel_ICU</vt:lpstr>
      <vt:lpstr>SRS_Hifidel_NICU</vt:lpstr>
      <vt:lpstr>SRS_Hifidel_Theatre</vt:lpstr>
      <vt:lpstr>SRS_Infantfeed</vt:lpstr>
      <vt:lpstr>SRS_Interview</vt:lpstr>
      <vt:lpstr>SRS_Kitchen_IP</vt:lpstr>
      <vt:lpstr>SRS_Lobby_Iso</vt:lpstr>
      <vt:lpstr>SRS_Locker_4</vt:lpstr>
      <vt:lpstr>SRS_MDT_15</vt:lpstr>
      <vt:lpstr>SRS_MDT_30</vt:lpstr>
      <vt:lpstr>SRS_Medprep_Lrg</vt:lpstr>
      <vt:lpstr>SRS_Medprep_Med</vt:lpstr>
      <vt:lpstr>SRS_Nappychange</vt:lpstr>
      <vt:lpstr>SRS_Oncallroom</vt:lpstr>
      <vt:lpstr>SRS_Pantry_Lrg</vt:lpstr>
      <vt:lpstr>SRS_Pantry_Med</vt:lpstr>
      <vt:lpstr>SRS_Pantry_Small</vt:lpstr>
      <vt:lpstr>SRS_Plaster</vt:lpstr>
      <vt:lpstr>SRS_POCT</vt:lpstr>
      <vt:lpstr>SRS_PTS</vt:lpstr>
      <vt:lpstr>SRS_Recept_pp</vt:lpstr>
      <vt:lpstr>SRS_Recliner_pp</vt:lpstr>
      <vt:lpstr>SRS_Selfcheckin</vt:lpstr>
      <vt:lpstr>SRS_Seminar_15</vt:lpstr>
      <vt:lpstr>SRS_Seminar_30</vt:lpstr>
      <vt:lpstr>SRS_Staff_Shower</vt:lpstr>
      <vt:lpstr>SRS_Staffbase_pp</vt:lpstr>
      <vt:lpstr>SRS_Staffbreakout_pp</vt:lpstr>
      <vt:lpstr>SRS_Staffchange_pp</vt:lpstr>
      <vt:lpstr>SRS_Staffrestbev_pp</vt:lpstr>
      <vt:lpstr>SRS_Therapyroom</vt:lpstr>
      <vt:lpstr>SRS_Touchdown_pp</vt:lpstr>
      <vt:lpstr>SRS_Treatment_Lrg</vt:lpstr>
      <vt:lpstr>SRS_Treatment_Stand</vt:lpstr>
      <vt:lpstr>SRS_Treatment_Stnd</vt:lpstr>
      <vt:lpstr>SRS_Virtualconsult_1</vt:lpstr>
      <vt:lpstr>SRS_Virtualconsult_2</vt:lpstr>
      <vt:lpstr>SRS_Wait_Amb_pp</vt:lpstr>
      <vt:lpstr>SRS_Wait_Child_pp</vt:lpstr>
      <vt:lpstr>SRS_Wait_Wheel_pp</vt:lpstr>
      <vt:lpstr>SRS_Waterdispenser</vt:lpstr>
      <vt:lpstr>SRS_WC_Access</vt:lpstr>
      <vt:lpstr>SRS_WC_Amb</vt:lpstr>
      <vt:lpstr>SRS_WC_Changingplace</vt:lpstr>
      <vt:lpstr>SRS_WC_Shower_Assist</vt:lpstr>
      <vt:lpstr>Staff_Commandcentre_pp</vt:lpstr>
      <vt:lpstr>Staff_Diningroom</vt:lpstr>
      <vt:lpstr>Staff_Meetingbooth</vt:lpstr>
      <vt:lpstr>Staff_Meetingroom_pp</vt:lpstr>
      <vt:lpstr>Staff_Office_1</vt:lpstr>
      <vt:lpstr>Staff_Privac_phonebooth</vt:lpstr>
      <vt:lpstr>Staff_Wellbeinglact</vt:lpstr>
      <vt:lpstr>Staff_Workstn_pp</vt:lpstr>
      <vt:lpstr>Store_10</vt:lpstr>
      <vt:lpstr>Store_15</vt:lpstr>
      <vt:lpstr>Store_20</vt:lpstr>
      <vt:lpstr>Store_30</vt:lpstr>
      <vt:lpstr>Store_5</vt:lpstr>
      <vt:lpstr>Store_50</vt:lpstr>
      <vt:lpstr>Store_Anaesth</vt:lpstr>
      <vt:lpstr>Store_CleanSSD_6</vt:lpstr>
      <vt:lpstr>Store_DirtySSD_6</vt:lpstr>
      <vt:lpstr>Store_Plaster</vt:lpstr>
      <vt:lpstr>Studyroom</vt:lpstr>
      <vt:lpstr>Theatres_Anaesth</vt:lpstr>
      <vt:lpstr>Theatres_Bay_Exit</vt:lpstr>
      <vt:lpstr>Theatres_Blockroom_pp</vt:lpstr>
      <vt:lpstr>Theatres_Cabin_Stage1_Lrg</vt:lpstr>
      <vt:lpstr>Theatres_Cabin_Stage1_Stand</vt:lpstr>
      <vt:lpstr>Theatres_Cabin_Stage2_Lrg</vt:lpstr>
      <vt:lpstr>Theatres_Cabin_Stage2_Stand</vt:lpstr>
      <vt:lpstr>Theatres_Cathlab</vt:lpstr>
      <vt:lpstr>Theatres_Footwash</vt:lpstr>
      <vt:lpstr>Theatres_IRsuite</vt:lpstr>
      <vt:lpstr>Theatres_Lobby_Emerg</vt:lpstr>
      <vt:lpstr>Theatres_Lobby_IP</vt:lpstr>
      <vt:lpstr>Theatres_OT_Emerg</vt:lpstr>
      <vt:lpstr>Theatres_OT_Hybrid</vt:lpstr>
      <vt:lpstr>Theatres_OT_IntraopMRI</vt:lpstr>
      <vt:lpstr>Theatres_OT_Obstetric</vt:lpstr>
      <vt:lpstr>Theatres_OT_Obstettric</vt:lpstr>
      <vt:lpstr>Theatres_OT_Standard</vt:lpstr>
      <vt:lpstr>Theatres_Preparation</vt:lpstr>
      <vt:lpstr>Theatres_Samplefrozen</vt:lpstr>
      <vt:lpstr>Theatres_Scrubroom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Bradley</dc:creator>
  <cp:keywords/>
  <dc:description/>
  <cp:lastModifiedBy>Kate Bradley</cp:lastModifiedBy>
  <cp:revision/>
  <dcterms:created xsi:type="dcterms:W3CDTF">2023-08-03T11:39:26Z</dcterms:created>
  <dcterms:modified xsi:type="dcterms:W3CDTF">2024-03-12T12:26:51Z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0x0101007BD61AFCC8A643B8924AB3F7EE1826010307001EA2B4D7CC5BE042B83A423F605E1C27</vt:lpwstr>
  </property>
  <property fmtid="{D5CDD505-2E9C-101B-9397-08002B2CF9AE}" pid="3" name="_dlc_DocIdItemGuid">
    <vt:lpwstr>51ef2e80-a839-44a6-b3c7-fc83232360bc</vt:lpwstr>
  </property>
  <property fmtid="{D5CDD505-2E9C-101B-9397-08002B2CF9AE}" pid="4" name="MediaServiceImageTags">
    <vt:lpwstr/>
  </property>
  <property fmtid="{D5CDD505-2E9C-101B-9397-08002B2CF9AE}" pid="5" name="TaxKeyword">
    <vt:lpwstr/>
  </property>
  <property fmtid="{D5CDD505-2E9C-101B-9397-08002B2CF9AE}" pid="6" name="TaxKeywordTaxHTField">
    <vt:lpwstr/>
  </property>
  <property fmtid="{D5CDD505-2E9C-101B-9397-08002B2CF9AE}" pid="7" name="MSIP_Label_f49efa9f-42fe-4312-9503-c89a219c0830_Enabled">
    <vt:lpwstr>true</vt:lpwstr>
  </property>
  <property fmtid="{D5CDD505-2E9C-101B-9397-08002B2CF9AE}" pid="8" name="MSIP_Label_f49efa9f-42fe-4312-9503-c89a219c0830_SetDate">
    <vt:lpwstr>2024-02-27T07:58:47Z</vt:lpwstr>
  </property>
  <property fmtid="{D5CDD505-2E9C-101B-9397-08002B2CF9AE}" pid="9" name="MSIP_Label_f49efa9f-42fe-4312-9503-c89a219c0830_Method">
    <vt:lpwstr>Standard</vt:lpwstr>
  </property>
  <property fmtid="{D5CDD505-2E9C-101B-9397-08002B2CF9AE}" pid="10" name="MSIP_Label_f49efa9f-42fe-4312-9503-c89a219c0830_Name">
    <vt:lpwstr>MM RESTRICTED</vt:lpwstr>
  </property>
  <property fmtid="{D5CDD505-2E9C-101B-9397-08002B2CF9AE}" pid="11" name="MSIP_Label_f49efa9f-42fe-4312-9503-c89a219c0830_SiteId">
    <vt:lpwstr>a2bed0c4-5957-4f73-b0c2-a811407590fb</vt:lpwstr>
  </property>
  <property fmtid="{D5CDD505-2E9C-101B-9397-08002B2CF9AE}" pid="12" name="MSIP_Label_f49efa9f-42fe-4312-9503-c89a219c0830_ActionId">
    <vt:lpwstr>fc489b79-a2ee-408f-8631-25179f5b9a3e</vt:lpwstr>
  </property>
  <property fmtid="{D5CDD505-2E9C-101B-9397-08002B2CF9AE}" pid="13" name="MSIP_Label_f49efa9f-42fe-4312-9503-c89a219c0830_ContentBits">
    <vt:lpwstr>0</vt:lpwstr>
  </property>
</Properties>
</file>