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Payrollcomp\"/>
    </mc:Choice>
  </mc:AlternateContent>
  <xr:revisionPtr revIDLastSave="0" documentId="13_ncr:1_{3B60C387-0DFB-4932-ABA3-9F534BC12E0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ayroll" sheetId="1" r:id="rId1"/>
    <sheet name="Payroll-1" sheetId="3" r:id="rId2"/>
    <sheet name="PAYROLL-1ST-BATCH" sheetId="4" r:id="rId3"/>
    <sheet name="PAYROLL-2ND-BATCH" sheetId="5" r:id="rId4"/>
    <sheet name="PAYROLL-MASTER-FILE" sheetId="6" r:id="rId5"/>
    <sheet name="SSS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4" i="6"/>
  <c r="D3" i="6"/>
  <c r="D2" i="6"/>
  <c r="I5" i="5"/>
  <c r="I4" i="5"/>
  <c r="I3" i="5"/>
  <c r="I2" i="5"/>
  <c r="S7" i="1"/>
  <c r="C4" i="3"/>
  <c r="B4" i="3"/>
  <c r="C3" i="3"/>
  <c r="B3" i="3"/>
  <c r="C2" i="3"/>
  <c r="B2" i="3"/>
  <c r="AL117" i="1"/>
  <c r="AL116" i="1"/>
  <c r="AL115" i="1"/>
  <c r="AL111" i="1"/>
  <c r="AL123" i="1" s="1"/>
  <c r="AC110" i="1"/>
  <c r="F110" i="1"/>
  <c r="AI106" i="1"/>
  <c r="AH106" i="1"/>
  <c r="AG106" i="1"/>
  <c r="AF106" i="1"/>
  <c r="AE106" i="1"/>
  <c r="AB106" i="1"/>
  <c r="AA106" i="1"/>
  <c r="Z106" i="1"/>
  <c r="Y106" i="1"/>
  <c r="V106" i="1"/>
  <c r="T106" i="1"/>
  <c r="Q106" i="1"/>
  <c r="P106" i="1"/>
  <c r="L106" i="1"/>
  <c r="K106" i="1"/>
  <c r="J106" i="1"/>
  <c r="G106" i="1"/>
  <c r="D106" i="1"/>
  <c r="C106" i="1"/>
  <c r="U105" i="1"/>
  <c r="R105" i="1"/>
  <c r="N105" i="1"/>
  <c r="I105" i="1"/>
  <c r="B105" i="1"/>
  <c r="F105" i="1" s="1"/>
  <c r="AC105" i="1" s="1"/>
  <c r="AJ105" i="1" s="1"/>
  <c r="A105" i="1"/>
  <c r="M105" i="1" s="1"/>
  <c r="AL104" i="1"/>
  <c r="X104" i="1"/>
  <c r="U104" i="1"/>
  <c r="R104" i="1"/>
  <c r="I104" i="1"/>
  <c r="F104" i="1"/>
  <c r="B104" i="1"/>
  <c r="A104" i="1"/>
  <c r="M104" i="1" s="1"/>
  <c r="N104" i="1" s="1"/>
  <c r="X103" i="1"/>
  <c r="W103" i="1"/>
  <c r="W106" i="1" s="1"/>
  <c r="U103" i="1"/>
  <c r="R103" i="1"/>
  <c r="I103" i="1"/>
  <c r="F103" i="1"/>
  <c r="B103" i="1"/>
  <c r="A103" i="1"/>
  <c r="M103" i="1" s="1"/>
  <c r="AD102" i="1"/>
  <c r="AD106" i="1" s="1"/>
  <c r="U102" i="1"/>
  <c r="R102" i="1"/>
  <c r="M102" i="1"/>
  <c r="I102" i="1"/>
  <c r="H102" i="1"/>
  <c r="H106" i="1" s="1"/>
  <c r="B102" i="1"/>
  <c r="F102" i="1" s="1"/>
  <c r="A102" i="1"/>
  <c r="X101" i="1"/>
  <c r="X106" i="1" s="1"/>
  <c r="U101" i="1"/>
  <c r="R101" i="1"/>
  <c r="I101" i="1"/>
  <c r="F101" i="1"/>
  <c r="E101" i="1"/>
  <c r="E106" i="1" s="1"/>
  <c r="C101" i="1"/>
  <c r="B101" i="1"/>
  <c r="A101" i="1"/>
  <c r="M101" i="1" s="1"/>
  <c r="AL100" i="1"/>
  <c r="AJ96" i="1"/>
  <c r="AC96" i="1"/>
  <c r="F96" i="1"/>
  <c r="AG95" i="1"/>
  <c r="AF95" i="1"/>
  <c r="AE95" i="1"/>
  <c r="AD95" i="1"/>
  <c r="AB95" i="1"/>
  <c r="AA95" i="1"/>
  <c r="Z95" i="1"/>
  <c r="Y95" i="1"/>
  <c r="X95" i="1"/>
  <c r="W95" i="1"/>
  <c r="V95" i="1"/>
  <c r="T95" i="1"/>
  <c r="S95" i="1"/>
  <c r="Q95" i="1"/>
  <c r="P95" i="1"/>
  <c r="L95" i="1"/>
  <c r="K95" i="1"/>
  <c r="J95" i="1"/>
  <c r="G95" i="1"/>
  <c r="E95" i="1"/>
  <c r="D95" i="1"/>
  <c r="C95" i="1"/>
  <c r="AL94" i="1"/>
  <c r="AI94" i="1"/>
  <c r="AH94" i="1"/>
  <c r="U94" i="1"/>
  <c r="R94" i="1"/>
  <c r="I94" i="1"/>
  <c r="F94" i="1"/>
  <c r="AC94" i="1" s="1"/>
  <c r="B94" i="1"/>
  <c r="A94" i="1"/>
  <c r="M94" i="1" s="1"/>
  <c r="N94" i="1" s="1"/>
  <c r="AI93" i="1"/>
  <c r="AH93" i="1"/>
  <c r="U93" i="1"/>
  <c r="R93" i="1"/>
  <c r="I93" i="1"/>
  <c r="F93" i="1"/>
  <c r="AC93" i="1" s="1"/>
  <c r="AJ93" i="1" s="1"/>
  <c r="B93" i="1"/>
  <c r="A93" i="1"/>
  <c r="M93" i="1" s="1"/>
  <c r="AI92" i="1"/>
  <c r="AH92" i="1"/>
  <c r="B92" i="1"/>
  <c r="F92" i="1" s="1"/>
  <c r="AC92" i="1" s="1"/>
  <c r="AJ92" i="1" s="1"/>
  <c r="A92" i="1"/>
  <c r="AC91" i="1"/>
  <c r="AJ91" i="1" s="1"/>
  <c r="AD90" i="1"/>
  <c r="U90" i="1"/>
  <c r="U95" i="1" s="1"/>
  <c r="R90" i="1"/>
  <c r="M90" i="1"/>
  <c r="H90" i="1"/>
  <c r="H95" i="1" s="1"/>
  <c r="B90" i="1"/>
  <c r="F90" i="1" s="1"/>
  <c r="A90" i="1"/>
  <c r="AL89" i="1"/>
  <c r="AL95" i="1" s="1"/>
  <c r="AJ85" i="1"/>
  <c r="AC85" i="1"/>
  <c r="F85" i="1"/>
  <c r="AL84" i="1"/>
  <c r="AI84" i="1"/>
  <c r="AH84" i="1"/>
  <c r="AG84" i="1"/>
  <c r="AF84" i="1"/>
  <c r="AE84" i="1"/>
  <c r="AD84" i="1"/>
  <c r="AB84" i="1"/>
  <c r="AA84" i="1"/>
  <c r="Z84" i="1"/>
  <c r="Y84" i="1"/>
  <c r="W84" i="1"/>
  <c r="V84" i="1"/>
  <c r="T84" i="1"/>
  <c r="S84" i="1"/>
  <c r="Q84" i="1"/>
  <c r="P84" i="1"/>
  <c r="L84" i="1"/>
  <c r="K84" i="1"/>
  <c r="J84" i="1"/>
  <c r="H84" i="1"/>
  <c r="G84" i="1"/>
  <c r="D84" i="1"/>
  <c r="C84" i="1"/>
  <c r="U83" i="1"/>
  <c r="R83" i="1"/>
  <c r="N83" i="1"/>
  <c r="I83" i="1"/>
  <c r="B83" i="1"/>
  <c r="F83" i="1" s="1"/>
  <c r="A83" i="1"/>
  <c r="M83" i="1" s="1"/>
  <c r="X82" i="1"/>
  <c r="X84" i="1" s="1"/>
  <c r="U82" i="1"/>
  <c r="R82" i="1"/>
  <c r="M82" i="1"/>
  <c r="I82" i="1"/>
  <c r="E82" i="1"/>
  <c r="E84" i="1" s="1"/>
  <c r="B82" i="1"/>
  <c r="A82" i="1"/>
  <c r="U81" i="1"/>
  <c r="R81" i="1"/>
  <c r="N81" i="1"/>
  <c r="I81" i="1"/>
  <c r="I84" i="1" s="1"/>
  <c r="B81" i="1"/>
  <c r="A81" i="1"/>
  <c r="M81" i="1" s="1"/>
  <c r="AL80" i="1"/>
  <c r="AJ76" i="1"/>
  <c r="AC76" i="1"/>
  <c r="F76" i="1"/>
  <c r="AI75" i="1"/>
  <c r="AH75" i="1"/>
  <c r="AG75" i="1"/>
  <c r="AF75" i="1"/>
  <c r="AE75" i="1"/>
  <c r="AB75" i="1"/>
  <c r="AA75" i="1"/>
  <c r="Z75" i="1"/>
  <c r="W75" i="1"/>
  <c r="V75" i="1"/>
  <c r="T75" i="1"/>
  <c r="R75" i="1"/>
  <c r="Q75" i="1"/>
  <c r="P75" i="1"/>
  <c r="L75" i="1"/>
  <c r="J75" i="1"/>
  <c r="G75" i="1"/>
  <c r="D75" i="1"/>
  <c r="C75" i="1"/>
  <c r="AL74" i="1"/>
  <c r="U74" i="1"/>
  <c r="I74" i="1"/>
  <c r="B74" i="1"/>
  <c r="F74" i="1" s="1"/>
  <c r="A74" i="1"/>
  <c r="M74" i="1" s="1"/>
  <c r="AD73" i="1"/>
  <c r="H73" i="1"/>
  <c r="I73" i="1" s="1"/>
  <c r="B73" i="1"/>
  <c r="F73" i="1" s="1"/>
  <c r="A73" i="1"/>
  <c r="M73" i="1" s="1"/>
  <c r="U72" i="1"/>
  <c r="I72" i="1"/>
  <c r="B72" i="1"/>
  <c r="F72" i="1" s="1"/>
  <c r="A72" i="1"/>
  <c r="M72" i="1" s="1"/>
  <c r="N72" i="1" s="1"/>
  <c r="Y71" i="1"/>
  <c r="U71" i="1"/>
  <c r="I71" i="1"/>
  <c r="B71" i="1"/>
  <c r="F71" i="1" s="1"/>
  <c r="A71" i="1"/>
  <c r="M71" i="1" s="1"/>
  <c r="N71" i="1" s="1"/>
  <c r="AC70" i="1"/>
  <c r="AJ70" i="1" s="1"/>
  <c r="A70" i="1"/>
  <c r="AD69" i="1"/>
  <c r="Y69" i="1"/>
  <c r="H69" i="1"/>
  <c r="I69" i="1" s="1"/>
  <c r="B69" i="1"/>
  <c r="F69" i="1" s="1"/>
  <c r="A69" i="1"/>
  <c r="M69" i="1" s="1"/>
  <c r="N69" i="1" s="1"/>
  <c r="O69" i="1" s="1"/>
  <c r="U68" i="1"/>
  <c r="M68" i="1"/>
  <c r="I68" i="1"/>
  <c r="B68" i="1"/>
  <c r="F68" i="1" s="1"/>
  <c r="AL67" i="1"/>
  <c r="AL112" i="1" s="1"/>
  <c r="AL113" i="1" s="1"/>
  <c r="U67" i="1"/>
  <c r="I67" i="1"/>
  <c r="F67" i="1"/>
  <c r="AC67" i="1" s="1"/>
  <c r="AJ67" i="1" s="1"/>
  <c r="B67" i="1"/>
  <c r="A67" i="1"/>
  <c r="M67" i="1" s="1"/>
  <c r="N67" i="1" s="1"/>
  <c r="AL66" i="1"/>
  <c r="Y66" i="1"/>
  <c r="U66" i="1"/>
  <c r="M66" i="1"/>
  <c r="H66" i="1"/>
  <c r="I66" i="1" s="1"/>
  <c r="G66" i="1"/>
  <c r="B66" i="1"/>
  <c r="F66" i="1" s="1"/>
  <c r="A66" i="1"/>
  <c r="U65" i="1"/>
  <c r="M65" i="1"/>
  <c r="H65" i="1"/>
  <c r="I65" i="1" s="1"/>
  <c r="B65" i="1"/>
  <c r="F65" i="1" s="1"/>
  <c r="A65" i="1"/>
  <c r="U64" i="1"/>
  <c r="M64" i="1"/>
  <c r="I64" i="1"/>
  <c r="B64" i="1"/>
  <c r="F64" i="1" s="1"/>
  <c r="AC64" i="1" s="1"/>
  <c r="AJ64" i="1" s="1"/>
  <c r="U63" i="1"/>
  <c r="M63" i="1"/>
  <c r="H63" i="1"/>
  <c r="E63" i="1"/>
  <c r="B63" i="1"/>
  <c r="A63" i="1"/>
  <c r="X62" i="1"/>
  <c r="X75" i="1" s="1"/>
  <c r="U62" i="1"/>
  <c r="K62" i="1"/>
  <c r="K75" i="1" s="1"/>
  <c r="I62" i="1"/>
  <c r="E62" i="1"/>
  <c r="B62" i="1"/>
  <c r="F62" i="1" s="1"/>
  <c r="AC62" i="1" s="1"/>
  <c r="AJ62" i="1" s="1"/>
  <c r="A62" i="1"/>
  <c r="M62" i="1" s="1"/>
  <c r="N62" i="1" s="1"/>
  <c r="U61" i="1"/>
  <c r="I61" i="1"/>
  <c r="B61" i="1"/>
  <c r="F61" i="1" s="1"/>
  <c r="AC61" i="1" s="1"/>
  <c r="AJ61" i="1" s="1"/>
  <c r="A61" i="1"/>
  <c r="M61" i="1" s="1"/>
  <c r="N61" i="1" s="1"/>
  <c r="U60" i="1"/>
  <c r="I60" i="1"/>
  <c r="E60" i="1"/>
  <c r="F60" i="1" s="1"/>
  <c r="B60" i="1"/>
  <c r="A60" i="1"/>
  <c r="M60" i="1" s="1"/>
  <c r="AJ55" i="1"/>
  <c r="AC55" i="1"/>
  <c r="F55" i="1"/>
  <c r="AL54" i="1"/>
  <c r="AI54" i="1"/>
  <c r="AH54" i="1"/>
  <c r="AG54" i="1"/>
  <c r="AF54" i="1"/>
  <c r="AE54" i="1"/>
  <c r="AD54" i="1"/>
  <c r="AB54" i="1"/>
  <c r="AA54" i="1"/>
  <c r="Z54" i="1"/>
  <c r="Y54" i="1"/>
  <c r="X54" i="1"/>
  <c r="W54" i="1"/>
  <c r="V54" i="1"/>
  <c r="T54" i="1"/>
  <c r="R54" i="1"/>
  <c r="Q54" i="1"/>
  <c r="P54" i="1"/>
  <c r="L54" i="1"/>
  <c r="K54" i="1"/>
  <c r="J54" i="1"/>
  <c r="G54" i="1"/>
  <c r="E54" i="1"/>
  <c r="D54" i="1"/>
  <c r="C54" i="1"/>
  <c r="B54" i="1"/>
  <c r="AD53" i="1"/>
  <c r="U53" i="1"/>
  <c r="R53" i="1"/>
  <c r="H53" i="1"/>
  <c r="I53" i="1" s="1"/>
  <c r="B53" i="1"/>
  <c r="F53" i="1" s="1"/>
  <c r="A53" i="1"/>
  <c r="M53" i="1" s="1"/>
  <c r="AD52" i="1"/>
  <c r="U52" i="1"/>
  <c r="R52" i="1"/>
  <c r="S52" i="1" s="1"/>
  <c r="S54" i="1" s="1"/>
  <c r="H52" i="1"/>
  <c r="B52" i="1"/>
  <c r="F52" i="1" s="1"/>
  <c r="A52" i="1"/>
  <c r="M52" i="1" s="1"/>
  <c r="AL50" i="1"/>
  <c r="AN49" i="1"/>
  <c r="AN48" i="1"/>
  <c r="X45" i="1"/>
  <c r="AJ44" i="1"/>
  <c r="AC44" i="1"/>
  <c r="F44" i="1"/>
  <c r="AI43" i="1"/>
  <c r="AH43" i="1"/>
  <c r="AE43" i="1"/>
  <c r="AB43" i="1"/>
  <c r="AA43" i="1"/>
  <c r="Z43" i="1"/>
  <c r="W43" i="1"/>
  <c r="T43" i="1"/>
  <c r="T44" i="1" s="1"/>
  <c r="Q43" i="1"/>
  <c r="P43" i="1"/>
  <c r="J43" i="1"/>
  <c r="D43" i="1"/>
  <c r="C43" i="1"/>
  <c r="U42" i="1"/>
  <c r="S42" i="1"/>
  <c r="I42" i="1"/>
  <c r="H42" i="1"/>
  <c r="F42" i="1"/>
  <c r="B42" i="1"/>
  <c r="A42" i="1"/>
  <c r="M42" i="1" s="1"/>
  <c r="AM41" i="1"/>
  <c r="X41" i="1"/>
  <c r="U41" i="1"/>
  <c r="M41" i="1"/>
  <c r="H41" i="1"/>
  <c r="I41" i="1" s="1"/>
  <c r="B41" i="1"/>
  <c r="F41" i="1" s="1"/>
  <c r="A41" i="1"/>
  <c r="U40" i="1"/>
  <c r="I40" i="1"/>
  <c r="B40" i="1"/>
  <c r="F40" i="1" s="1"/>
  <c r="A40" i="1"/>
  <c r="M40" i="1" s="1"/>
  <c r="AD39" i="1"/>
  <c r="Y39" i="1"/>
  <c r="U39" i="1"/>
  <c r="M39" i="1"/>
  <c r="H39" i="1"/>
  <c r="G39" i="1"/>
  <c r="I39" i="1" s="1"/>
  <c r="E39" i="1"/>
  <c r="B39" i="1"/>
  <c r="F39" i="1" s="1"/>
  <c r="A39" i="1"/>
  <c r="U38" i="1"/>
  <c r="I38" i="1"/>
  <c r="B38" i="1"/>
  <c r="F38" i="1" s="1"/>
  <c r="A38" i="1"/>
  <c r="M38" i="1" s="1"/>
  <c r="N38" i="1" s="1"/>
  <c r="X37" i="1"/>
  <c r="U37" i="1"/>
  <c r="I37" i="1"/>
  <c r="B37" i="1"/>
  <c r="F37" i="1" s="1"/>
  <c r="A37" i="1"/>
  <c r="M37" i="1" s="1"/>
  <c r="N37" i="1" s="1"/>
  <c r="U36" i="1"/>
  <c r="I36" i="1"/>
  <c r="B36" i="1"/>
  <c r="F36" i="1" s="1"/>
  <c r="A36" i="1"/>
  <c r="M36" i="1" s="1"/>
  <c r="X35" i="1"/>
  <c r="U35" i="1"/>
  <c r="I35" i="1"/>
  <c r="B35" i="1"/>
  <c r="F35" i="1" s="1"/>
  <c r="A35" i="1"/>
  <c r="M35" i="1" s="1"/>
  <c r="AG34" i="1"/>
  <c r="AG43" i="1" s="1"/>
  <c r="U34" i="1"/>
  <c r="H34" i="1"/>
  <c r="I34" i="1" s="1"/>
  <c r="E34" i="1"/>
  <c r="B34" i="1"/>
  <c r="A34" i="1"/>
  <c r="M34" i="1" s="1"/>
  <c r="N34" i="1" s="1"/>
  <c r="AD33" i="1"/>
  <c r="X33" i="1"/>
  <c r="U33" i="1"/>
  <c r="H33" i="1"/>
  <c r="G33" i="1"/>
  <c r="B33" i="1"/>
  <c r="F33" i="1" s="1"/>
  <c r="A33" i="1"/>
  <c r="M33" i="1" s="1"/>
  <c r="AM32" i="1"/>
  <c r="AL110" i="1" s="1"/>
  <c r="AD32" i="1"/>
  <c r="U32" i="1"/>
  <c r="H32" i="1"/>
  <c r="I32" i="1" s="1"/>
  <c r="B32" i="1"/>
  <c r="F32" i="1" s="1"/>
  <c r="A32" i="1"/>
  <c r="M32" i="1" s="1"/>
  <c r="U31" i="1"/>
  <c r="I31" i="1"/>
  <c r="B31" i="1"/>
  <c r="F31" i="1" s="1"/>
  <c r="AC31" i="1" s="1"/>
  <c r="AJ31" i="1" s="1"/>
  <c r="A31" i="1"/>
  <c r="M31" i="1" s="1"/>
  <c r="N31" i="1" s="1"/>
  <c r="U30" i="1"/>
  <c r="I30" i="1"/>
  <c r="E30" i="1"/>
  <c r="B30" i="1"/>
  <c r="F30" i="1" s="1"/>
  <c r="AC30" i="1" s="1"/>
  <c r="AJ30" i="1" s="1"/>
  <c r="A30" i="1"/>
  <c r="M30" i="1" s="1"/>
  <c r="U29" i="1"/>
  <c r="I29" i="1"/>
  <c r="E29" i="1"/>
  <c r="B29" i="1"/>
  <c r="A29" i="1"/>
  <c r="M29" i="1" s="1"/>
  <c r="AF28" i="1"/>
  <c r="AD28" i="1"/>
  <c r="U28" i="1"/>
  <c r="H28" i="1"/>
  <c r="G28" i="1"/>
  <c r="B28" i="1"/>
  <c r="F28" i="1" s="1"/>
  <c r="A28" i="1"/>
  <c r="M28" i="1" s="1"/>
  <c r="U27" i="1"/>
  <c r="I27" i="1"/>
  <c r="E27" i="1"/>
  <c r="B27" i="1"/>
  <c r="A27" i="1"/>
  <c r="M27" i="1" s="1"/>
  <c r="U26" i="1"/>
  <c r="N26" i="1"/>
  <c r="M26" i="1"/>
  <c r="H26" i="1"/>
  <c r="G26" i="1"/>
  <c r="A26" i="1"/>
  <c r="B26" i="1" s="1"/>
  <c r="F26" i="1" s="1"/>
  <c r="U25" i="1"/>
  <c r="M25" i="1"/>
  <c r="H25" i="1"/>
  <c r="I25" i="1" s="1"/>
  <c r="G25" i="1"/>
  <c r="A25" i="1"/>
  <c r="B25" i="1" s="1"/>
  <c r="F25" i="1" s="1"/>
  <c r="AD24" i="1"/>
  <c r="U24" i="1"/>
  <c r="H24" i="1"/>
  <c r="G24" i="1"/>
  <c r="E24" i="1"/>
  <c r="B24" i="1"/>
  <c r="F24" i="1" s="1"/>
  <c r="A24" i="1"/>
  <c r="M24" i="1" s="1"/>
  <c r="X23" i="1"/>
  <c r="U23" i="1"/>
  <c r="I23" i="1"/>
  <c r="E23" i="1"/>
  <c r="B23" i="1"/>
  <c r="F23" i="1" s="1"/>
  <c r="AC23" i="1" s="1"/>
  <c r="AJ23" i="1" s="1"/>
  <c r="A23" i="1"/>
  <c r="M23" i="1" s="1"/>
  <c r="N23" i="1" s="1"/>
  <c r="X22" i="1"/>
  <c r="U22" i="1"/>
  <c r="L22" i="1"/>
  <c r="L43" i="1" s="1"/>
  <c r="I22" i="1"/>
  <c r="H22" i="1"/>
  <c r="B22" i="1"/>
  <c r="F22" i="1" s="1"/>
  <c r="AC22" i="1" s="1"/>
  <c r="AJ22" i="1" s="1"/>
  <c r="A22" i="1"/>
  <c r="M22" i="1" s="1"/>
  <c r="N22" i="1" s="1"/>
  <c r="U21" i="1"/>
  <c r="I21" i="1"/>
  <c r="E21" i="1"/>
  <c r="B21" i="1"/>
  <c r="F21" i="1" s="1"/>
  <c r="AC21" i="1" s="1"/>
  <c r="AJ21" i="1" s="1"/>
  <c r="A21" i="1"/>
  <c r="M21" i="1" s="1"/>
  <c r="N21" i="1" s="1"/>
  <c r="AF20" i="1"/>
  <c r="Y20" i="1"/>
  <c r="Y43" i="1" s="1"/>
  <c r="U20" i="1"/>
  <c r="I20" i="1"/>
  <c r="B20" i="1"/>
  <c r="F20" i="1" s="1"/>
  <c r="A20" i="1"/>
  <c r="M20" i="1" s="1"/>
  <c r="AD19" i="1"/>
  <c r="V19" i="1"/>
  <c r="V43" i="1" s="1"/>
  <c r="U19" i="1"/>
  <c r="R19" i="1"/>
  <c r="I19" i="1"/>
  <c r="F19" i="1"/>
  <c r="AC19" i="1" s="1"/>
  <c r="AJ19" i="1" s="1"/>
  <c r="B19" i="1"/>
  <c r="A19" i="1"/>
  <c r="M19" i="1" s="1"/>
  <c r="U18" i="1"/>
  <c r="M18" i="1"/>
  <c r="H18" i="1"/>
  <c r="I18" i="1" s="1"/>
  <c r="B18" i="1"/>
  <c r="F18" i="1" s="1"/>
  <c r="A18" i="1"/>
  <c r="U17" i="1"/>
  <c r="N17" i="1"/>
  <c r="O17" i="1" s="1"/>
  <c r="M17" i="1"/>
  <c r="I17" i="1"/>
  <c r="B17" i="1"/>
  <c r="F17" i="1" s="1"/>
  <c r="AC17" i="1" s="1"/>
  <c r="AJ17" i="1" s="1"/>
  <c r="X16" i="1"/>
  <c r="U16" i="1"/>
  <c r="I16" i="1"/>
  <c r="B16" i="1"/>
  <c r="F16" i="1" s="1"/>
  <c r="A16" i="1"/>
  <c r="M16" i="1" s="1"/>
  <c r="AD15" i="1"/>
  <c r="U15" i="1"/>
  <c r="I15" i="1"/>
  <c r="B15" i="1"/>
  <c r="F15" i="1" s="1"/>
  <c r="A15" i="1"/>
  <c r="M15" i="1" s="1"/>
  <c r="U14" i="1"/>
  <c r="I14" i="1"/>
  <c r="E14" i="1"/>
  <c r="B14" i="1"/>
  <c r="F14" i="1" s="1"/>
  <c r="A14" i="1"/>
  <c r="M14" i="1" s="1"/>
  <c r="N14" i="1" s="1"/>
  <c r="O14" i="1" s="1"/>
  <c r="AD13" i="1"/>
  <c r="X13" i="1"/>
  <c r="U13" i="1"/>
  <c r="H13" i="1"/>
  <c r="I13" i="1" s="1"/>
  <c r="E13" i="1"/>
  <c r="B13" i="1"/>
  <c r="F13" i="1" s="1"/>
  <c r="A13" i="1"/>
  <c r="M13" i="1" s="1"/>
  <c r="U12" i="1"/>
  <c r="R12" i="1"/>
  <c r="O12" i="1"/>
  <c r="N12" i="1"/>
  <c r="H12" i="1"/>
  <c r="G12" i="1"/>
  <c r="I12" i="1" s="1"/>
  <c r="B12" i="1"/>
  <c r="F12" i="1" s="1"/>
  <c r="A12" i="1"/>
  <c r="U11" i="1"/>
  <c r="I11" i="1"/>
  <c r="B11" i="1"/>
  <c r="F11" i="1" s="1"/>
  <c r="A11" i="1"/>
  <c r="M11" i="1" s="1"/>
  <c r="U10" i="1"/>
  <c r="M10" i="1"/>
  <c r="N10" i="1" s="1"/>
  <c r="H10" i="1"/>
  <c r="G10" i="1"/>
  <c r="B10" i="1"/>
  <c r="F10" i="1" s="1"/>
  <c r="A10" i="1"/>
  <c r="U9" i="1"/>
  <c r="I9" i="1"/>
  <c r="B9" i="1"/>
  <c r="F9" i="1" s="1"/>
  <c r="A9" i="1"/>
  <c r="M9" i="1" s="1"/>
  <c r="X8" i="1"/>
  <c r="U8" i="1"/>
  <c r="I8" i="1"/>
  <c r="B8" i="1"/>
  <c r="F8" i="1" s="1"/>
  <c r="A8" i="1"/>
  <c r="M8" i="1" s="1"/>
  <c r="AF7" i="1"/>
  <c r="AF43" i="1" s="1"/>
  <c r="AD7" i="1"/>
  <c r="U7" i="1"/>
  <c r="K7" i="1"/>
  <c r="K43" i="1" s="1"/>
  <c r="K44" i="1" s="1"/>
  <c r="H7" i="1"/>
  <c r="B7" i="1"/>
  <c r="A7" i="1"/>
  <c r="M7" i="1" s="1"/>
  <c r="AC14" i="1" l="1"/>
  <c r="AJ14" i="1" s="1"/>
  <c r="N24" i="1"/>
  <c r="O24" i="1" s="1"/>
  <c r="F54" i="1"/>
  <c r="AC52" i="1"/>
  <c r="N7" i="1"/>
  <c r="O7" i="1" s="1"/>
  <c r="AC36" i="1"/>
  <c r="AJ36" i="1" s="1"/>
  <c r="O82" i="1"/>
  <c r="U43" i="1"/>
  <c r="O10" i="1"/>
  <c r="AC9" i="1"/>
  <c r="AJ9" i="1" s="1"/>
  <c r="G43" i="1"/>
  <c r="G44" i="1" s="1"/>
  <c r="H75" i="1"/>
  <c r="X43" i="1"/>
  <c r="X108" i="1" s="1"/>
  <c r="I28" i="1"/>
  <c r="I33" i="1"/>
  <c r="AM35" i="1"/>
  <c r="I63" i="1"/>
  <c r="AD75" i="1"/>
  <c r="AC83" i="1"/>
  <c r="AJ83" i="1" s="1"/>
  <c r="L108" i="1"/>
  <c r="AB108" i="1"/>
  <c r="T108" i="1"/>
  <c r="C108" i="1"/>
  <c r="E43" i="1"/>
  <c r="F27" i="1"/>
  <c r="AC27" i="1" s="1"/>
  <c r="AJ27" i="1" s="1"/>
  <c r="D108" i="1"/>
  <c r="AC35" i="1"/>
  <c r="AJ35" i="1" s="1"/>
  <c r="AC71" i="1"/>
  <c r="AJ71" i="1" s="1"/>
  <c r="R84" i="1"/>
  <c r="P108" i="1"/>
  <c r="AL85" i="1"/>
  <c r="I90" i="1"/>
  <c r="R95" i="1"/>
  <c r="N82" i="1"/>
  <c r="AL106" i="1"/>
  <c r="H43" i="1"/>
  <c r="AC38" i="1"/>
  <c r="AJ38" i="1" s="1"/>
  <c r="Y75" i="1"/>
  <c r="AC68" i="1"/>
  <c r="AJ68" i="1" s="1"/>
  <c r="U84" i="1"/>
  <c r="U106" i="1"/>
  <c r="N84" i="1"/>
  <c r="AC10" i="1"/>
  <c r="AJ10" i="1" s="1"/>
  <c r="F29" i="1"/>
  <c r="AC29" i="1" s="1"/>
  <c r="AJ29" i="1" s="1"/>
  <c r="F34" i="1"/>
  <c r="AC34" i="1" s="1"/>
  <c r="AJ34" i="1" s="1"/>
  <c r="AH95" i="1"/>
  <c r="AC104" i="1"/>
  <c r="AJ104" i="1" s="1"/>
  <c r="J108" i="1"/>
  <c r="S20" i="1"/>
  <c r="AC20" i="1"/>
  <c r="AJ20" i="1" s="1"/>
  <c r="N8" i="1"/>
  <c r="M43" i="1"/>
  <c r="M44" i="1" s="1"/>
  <c r="AC16" i="1"/>
  <c r="AJ16" i="1" s="1"/>
  <c r="AC26" i="1"/>
  <c r="AJ26" i="1" s="1"/>
  <c r="O11" i="1"/>
  <c r="N11" i="1"/>
  <c r="N15" i="1"/>
  <c r="O15" i="1" s="1"/>
  <c r="AC15" i="1"/>
  <c r="AJ15" i="1" s="1"/>
  <c r="S13" i="1"/>
  <c r="AC13" i="1"/>
  <c r="AJ13" i="1" s="1"/>
  <c r="N16" i="1"/>
  <c r="O16" i="1" s="1"/>
  <c r="S24" i="1"/>
  <c r="AC24" i="1" s="1"/>
  <c r="AJ24" i="1" s="1"/>
  <c r="AC8" i="1"/>
  <c r="AJ8" i="1" s="1"/>
  <c r="N9" i="1"/>
  <c r="O9" i="1" s="1"/>
  <c r="AC11" i="1"/>
  <c r="AJ11" i="1" s="1"/>
  <c r="S12" i="1"/>
  <c r="AL12" i="1" s="1"/>
  <c r="AM12" i="1" s="1"/>
  <c r="S18" i="1"/>
  <c r="AC18" i="1" s="1"/>
  <c r="AJ18" i="1" s="1"/>
  <c r="N20" i="1"/>
  <c r="O20" i="1" s="1"/>
  <c r="S39" i="1"/>
  <c r="AC39" i="1" s="1"/>
  <c r="AJ39" i="1" s="1"/>
  <c r="N40" i="1"/>
  <c r="O40" i="1" s="1"/>
  <c r="O74" i="1"/>
  <c r="N74" i="1"/>
  <c r="O102" i="1"/>
  <c r="N102" i="1"/>
  <c r="S102" i="1"/>
  <c r="AF108" i="1"/>
  <c r="I7" i="1"/>
  <c r="AD43" i="1"/>
  <c r="AD108" i="1" s="1"/>
  <c r="N13" i="1"/>
  <c r="O13" i="1" s="1"/>
  <c r="N18" i="1"/>
  <c r="O18" i="1" s="1"/>
  <c r="O22" i="1"/>
  <c r="N25" i="1"/>
  <c r="O25" i="1" s="1"/>
  <c r="S26" i="1"/>
  <c r="AL26" i="1" s="1"/>
  <c r="AM26" i="1" s="1"/>
  <c r="O27" i="1"/>
  <c r="N27" i="1"/>
  <c r="S28" i="1"/>
  <c r="AC28" i="1" s="1"/>
  <c r="AJ28" i="1" s="1"/>
  <c r="N29" i="1"/>
  <c r="O29" i="1" s="1"/>
  <c r="O31" i="1"/>
  <c r="AC32" i="1"/>
  <c r="AJ32" i="1" s="1"/>
  <c r="N36" i="1"/>
  <c r="O36" i="1" s="1"/>
  <c r="O37" i="1"/>
  <c r="AC40" i="1"/>
  <c r="AJ40" i="1" s="1"/>
  <c r="AC41" i="1"/>
  <c r="AJ41" i="1" s="1"/>
  <c r="AC42" i="1"/>
  <c r="AJ42" i="1" s="1"/>
  <c r="AJ52" i="1"/>
  <c r="O72" i="1"/>
  <c r="AC74" i="1"/>
  <c r="AJ74" i="1" s="1"/>
  <c r="AL118" i="1"/>
  <c r="AL122" i="1"/>
  <c r="N28" i="1"/>
  <c r="O28" i="1" s="1"/>
  <c r="S33" i="1"/>
  <c r="AC33" i="1" s="1"/>
  <c r="AJ33" i="1" s="1"/>
  <c r="N19" i="1"/>
  <c r="O19" i="1" s="1"/>
  <c r="S25" i="1"/>
  <c r="AC25" i="1" s="1"/>
  <c r="AJ25" i="1" s="1"/>
  <c r="I26" i="1"/>
  <c r="N30" i="1"/>
  <c r="O30" i="1" s="1"/>
  <c r="S37" i="1"/>
  <c r="AC37" i="1"/>
  <c r="AJ37" i="1" s="1"/>
  <c r="AM43" i="1"/>
  <c r="H54" i="1"/>
  <c r="H108" i="1" s="1"/>
  <c r="I52" i="1"/>
  <c r="I54" i="1" s="1"/>
  <c r="S66" i="1"/>
  <c r="AC66" i="1" s="1"/>
  <c r="AJ66" i="1" s="1"/>
  <c r="Q108" i="1"/>
  <c r="AH108" i="1"/>
  <c r="F75" i="1"/>
  <c r="B43" i="1"/>
  <c r="I10" i="1"/>
  <c r="F7" i="1"/>
  <c r="R43" i="1"/>
  <c r="O21" i="1"/>
  <c r="O23" i="1"/>
  <c r="I24" i="1"/>
  <c r="O26" i="1"/>
  <c r="N32" i="1"/>
  <c r="O32" i="1" s="1"/>
  <c r="N33" i="1"/>
  <c r="O33" i="1" s="1"/>
  <c r="O34" i="1"/>
  <c r="N35" i="1"/>
  <c r="O35" i="1" s="1"/>
  <c r="O38" i="1"/>
  <c r="N39" i="1"/>
  <c r="O39" i="1" s="1"/>
  <c r="N41" i="1"/>
  <c r="O41" i="1" s="1"/>
  <c r="N42" i="1"/>
  <c r="O42" i="1" s="1"/>
  <c r="S69" i="1"/>
  <c r="AC69" i="1"/>
  <c r="AJ69" i="1" s="1"/>
  <c r="M54" i="1"/>
  <c r="N52" i="1"/>
  <c r="AL56" i="1"/>
  <c r="O60" i="1"/>
  <c r="M75" i="1"/>
  <c r="N60" i="1"/>
  <c r="I75" i="1"/>
  <c r="F63" i="1"/>
  <c r="AC63" i="1" s="1"/>
  <c r="AJ63" i="1" s="1"/>
  <c r="N63" i="1"/>
  <c r="O63" i="1" s="1"/>
  <c r="N65" i="1"/>
  <c r="O65" i="1" s="1"/>
  <c r="AL69" i="1"/>
  <c r="AL75" i="1" s="1"/>
  <c r="O71" i="1"/>
  <c r="M84" i="1"/>
  <c r="O81" i="1"/>
  <c r="F82" i="1"/>
  <c r="AC82" i="1" s="1"/>
  <c r="AJ82" i="1" s="1"/>
  <c r="O83" i="1"/>
  <c r="I95" i="1"/>
  <c r="N93" i="1"/>
  <c r="O93" i="1" s="1"/>
  <c r="O94" i="1"/>
  <c r="R106" i="1"/>
  <c r="AC102" i="1"/>
  <c r="AJ102" i="1" s="1"/>
  <c r="O105" i="1"/>
  <c r="K108" i="1"/>
  <c r="Y108" i="1"/>
  <c r="AE108" i="1"/>
  <c r="O53" i="1"/>
  <c r="N53" i="1"/>
  <c r="B75" i="1"/>
  <c r="U75" i="1"/>
  <c r="S65" i="1"/>
  <c r="O67" i="1"/>
  <c r="AC72" i="1"/>
  <c r="AJ72" i="1" s="1"/>
  <c r="N73" i="1"/>
  <c r="O73" i="1" s="1"/>
  <c r="S73" i="1"/>
  <c r="AC73" i="1" s="1"/>
  <c r="AJ73" i="1" s="1"/>
  <c r="B84" i="1"/>
  <c r="F81" i="1"/>
  <c r="M95" i="1"/>
  <c r="N90" i="1"/>
  <c r="N101" i="1"/>
  <c r="M106" i="1"/>
  <c r="F106" i="1"/>
  <c r="S101" i="1"/>
  <c r="S106" i="1" s="1"/>
  <c r="N103" i="1"/>
  <c r="O103" i="1" s="1"/>
  <c r="AC103" i="1"/>
  <c r="AJ103" i="1" s="1"/>
  <c r="G108" i="1"/>
  <c r="V108" i="1"/>
  <c r="Z108" i="1"/>
  <c r="U54" i="1"/>
  <c r="AC53" i="1"/>
  <c r="AJ53" i="1" s="1"/>
  <c r="E75" i="1"/>
  <c r="E108" i="1" s="1"/>
  <c r="O61" i="1"/>
  <c r="O62" i="1"/>
  <c r="N68" i="1"/>
  <c r="O68" i="1" s="1"/>
  <c r="AC90" i="1"/>
  <c r="AI95" i="1"/>
  <c r="AI108" i="1" s="1"/>
  <c r="AJ94" i="1"/>
  <c r="B95" i="1"/>
  <c r="F95" i="1"/>
  <c r="B106" i="1"/>
  <c r="I106" i="1"/>
  <c r="O104" i="1"/>
  <c r="W108" i="1"/>
  <c r="AA108" i="1"/>
  <c r="AG108" i="1"/>
  <c r="AC60" i="1"/>
  <c r="N64" i="1"/>
  <c r="O64" i="1" s="1"/>
  <c r="N66" i="1"/>
  <c r="O66" i="1" s="1"/>
  <c r="O43" i="1" l="1"/>
  <c r="U108" i="1"/>
  <c r="N43" i="1"/>
  <c r="N95" i="1"/>
  <c r="N54" i="1"/>
  <c r="B108" i="1"/>
  <c r="S75" i="1"/>
  <c r="O84" i="1"/>
  <c r="AC54" i="1"/>
  <c r="I43" i="1"/>
  <c r="AC95" i="1"/>
  <c r="AJ90" i="1"/>
  <c r="AJ95" i="1" s="1"/>
  <c r="O90" i="1"/>
  <c r="O95" i="1" s="1"/>
  <c r="N75" i="1"/>
  <c r="O52" i="1"/>
  <c r="AJ54" i="1"/>
  <c r="AC12" i="1"/>
  <c r="O8" i="1"/>
  <c r="AJ60" i="1"/>
  <c r="M108" i="1"/>
  <c r="AL25" i="1"/>
  <c r="AM25" i="1" s="1"/>
  <c r="I108" i="1"/>
  <c r="AC101" i="1"/>
  <c r="N106" i="1"/>
  <c r="N108" i="1" s="1"/>
  <c r="O101" i="1"/>
  <c r="O106" i="1" s="1"/>
  <c r="F84" i="1"/>
  <c r="AC81" i="1"/>
  <c r="AC65" i="1"/>
  <c r="AJ65" i="1" s="1"/>
  <c r="R108" i="1"/>
  <c r="O75" i="1"/>
  <c r="F43" i="1"/>
  <c r="F45" i="1" s="1"/>
  <c r="F46" i="1" s="1"/>
  <c r="AC7" i="1"/>
  <c r="S43" i="1"/>
  <c r="S44" i="1" s="1"/>
  <c r="AC84" i="1" l="1"/>
  <c r="AJ81" i="1"/>
  <c r="AJ84" i="1" s="1"/>
  <c r="AJ101" i="1"/>
  <c r="AJ106" i="1" s="1"/>
  <c r="AC106" i="1"/>
  <c r="I50" i="1"/>
  <c r="O54" i="1"/>
  <c r="O108" i="1" s="1"/>
  <c r="AJ75" i="1"/>
  <c r="AC45" i="1"/>
  <c r="AC46" i="1" s="1"/>
  <c r="AJ12" i="1"/>
  <c r="AJ45" i="1" s="1"/>
  <c r="AJ7" i="1"/>
  <c r="AC43" i="1"/>
  <c r="F108" i="1"/>
  <c r="S108" i="1"/>
  <c r="AC75" i="1"/>
  <c r="AJ43" i="1" l="1"/>
  <c r="AJ110" i="1" s="1"/>
  <c r="AC108" i="1"/>
  <c r="AM42" i="1"/>
  <c r="AJ46" i="1"/>
  <c r="AJ108" i="1" s="1"/>
  <c r="AL124" i="1" l="1"/>
  <c r="AL125" i="1" s="1"/>
  <c r="AM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Ma. Eliza Delis Borja</author>
    <author>Author</author>
    <author>Jing Borja</author>
  </authors>
  <commentList>
    <comment ref="A7" authorId="0" shapeId="0" xr:uid="{2393AA06-2CA1-413B-804B-736B71987A8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32100.00 old</t>
        </r>
      </text>
    </comment>
    <comment ref="K7" authorId="1" shapeId="0" xr:uid="{9665AB7B-EFA0-40BD-8741-8D9ADA9D52D6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
</t>
        </r>
      </text>
    </comment>
    <comment ref="S7" authorId="2" shapeId="0" xr:uid="{66C93E82-82F2-4D75-B219-1897EE57D0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8" authorId="0" shapeId="0" xr:uid="{3CBBC377-97B1-4094-AB92-376D99F79F0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15729.00 old</t>
        </r>
      </text>
    </comment>
    <comment ref="K8" authorId="0" shapeId="0" xr:uid="{9E298407-45A4-418C-8B45-FC301B567EE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7/15/2022 SSS SAL. LOAN 1430.49
1ST DEDUCTION</t>
        </r>
      </text>
    </comment>
    <comment ref="V8" authorId="3" shapeId="0" xr:uid="{7304B657-1F90-4808-8071-4BD34733332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950.00 NEW HDMF LOAN</t>
        </r>
      </text>
    </comment>
    <comment ref="X8" authorId="1" shapeId="0" xr:uid="{35A550B4-3DD8-4306-B6ED-7F219889EE8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A9" authorId="0" shapeId="0" xr:uid="{F1CCDED9-48B9-410C-A97D-514650137459}">
      <text>
        <r>
          <rPr>
            <b/>
            <sz val="9"/>
            <color indexed="81"/>
            <rFont val="Tahoma"/>
            <family val="2"/>
          </rPr>
          <t>Ma. Eliza Borja:14867.50 OLD</t>
        </r>
      </text>
    </comment>
    <comment ref="A10" authorId="0" shapeId="0" xr:uid="{2378B61C-902C-4164-A08F-96B112DF7A5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11" authorId="0" shapeId="0" xr:uid="{FA5326D9-2E50-48B0-8A05-97078050BA3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17,167.50 old</t>
        </r>
      </text>
    </comment>
    <comment ref="K11" authorId="0" shapeId="0" xr:uid="{4F44D665-C4F5-42EA-A934-69DB70CBDE1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5/15/2022 NEW SSS SALARY LOAN 784.46</t>
        </r>
      </text>
    </comment>
    <comment ref="A12" authorId="0" shapeId="0" xr:uid="{0456CD12-98A8-4B94-9F25-A0D5E64331F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</t>
        </r>
      </text>
    </comment>
    <comment ref="S12" authorId="2" shapeId="0" xr:uid="{61BB59D2-44E9-4597-AC75-985BC2D5F0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S13" authorId="2" shapeId="0" xr:uid="{28B522BE-F8FE-4BB6-BE6D-ABD97470B8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V13" authorId="0" shapeId="0" xr:uid="{CEBCB651-7099-48B9-A6E5-D5D4AA0D735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1ST DEDUCTION 
3680.46 PAG-IBIG SALARY LOAN</t>
        </r>
      </text>
    </comment>
    <comment ref="X13" authorId="1" shapeId="0" xr:uid="{A50883F2-B3C6-4ED8-9DC4-9074A68121F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 1500.00</t>
        </r>
      </text>
    </comment>
    <comment ref="K15" authorId="1" shapeId="0" xr:uid="{3D9C56B1-91C0-492B-8777-93DEAC693DF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1753.51
</t>
        </r>
      </text>
    </comment>
    <comment ref="AG15" authorId="0" shapeId="0" xr:uid="{1BEA65FB-0E90-4A9B-86B4-CE7265AA309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A16" authorId="0" shapeId="0" xr:uid="{E021B3B0-A7E9-4E1F-9A5E-22FE9E3E2FF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14,170.00 old
15170 OLD</t>
        </r>
      </text>
    </comment>
    <comment ref="D16" authorId="1" shapeId="0" xr:uid="{447D72F4-FE8D-42D8-84E1-F0412C5FF52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add 2 days add back salary</t>
        </r>
      </text>
    </comment>
    <comment ref="K16" authorId="0" shapeId="0" xr:uid="{0DD9E09F-363F-4FD9-92FF-D7CE461C177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1384.35
</t>
        </r>
      </text>
    </comment>
    <comment ref="V16" authorId="0" shapeId="0" xr:uid="{8296BDDF-323E-4F29-A641-22E28E9DC7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398.91 PAG IBIG SALARY LOAN</t>
        </r>
      </text>
    </comment>
    <comment ref="X16" authorId="2" shapeId="0" xr:uid="{A078A23D-8822-47AC-A4C0-9FFC3EB4B9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c.a 1000.00
1500+1500 </t>
        </r>
      </text>
    </comment>
    <comment ref="A17" authorId="0" shapeId="0" xr:uid="{2543E557-AD0D-4396-8126-BEF4EF8AC69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7500+7500 old
8500+8500 new
</t>
        </r>
      </text>
    </comment>
    <comment ref="A18" authorId="0" shapeId="0" xr:uid="{8662F7C9-6FAE-480A-8C63-44455ADF3B0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21507 old 
25137 new
</t>
        </r>
      </text>
    </comment>
    <comment ref="K18" authorId="0" shapeId="0" xr:uid="{C358C263-3547-4E69-91D4-10AA06D9872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LOAN 1845.80</t>
        </r>
      </text>
    </comment>
    <comment ref="S18" authorId="2" shapeId="0" xr:uid="{756B0F74-61CE-49CA-B265-CEF4ED273F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G18" authorId="0" shapeId="0" xr:uid="{7C1DD780-BF1E-4CB4-957D-275DBF0DB08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K19" authorId="3" shapeId="0" xr:uid="{F57791D3-7821-4E61-83EE-B84C2F1D20BB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1799.65 1ST DEDUCTION</t>
        </r>
      </text>
    </comment>
    <comment ref="V19" authorId="0" shapeId="0" xr:uid="{8C908D69-20DA-4F0A-ADA5-005024A18CD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HDMF SAL. LOAN
add: 1743.66 last deduction </t>
        </r>
      </text>
    </comment>
    <comment ref="K20" authorId="3" shapeId="0" xr:uid="{86D609D9-B24D-48C8-930B-54EA8CA464A3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1845.8 SSS SALARY LOAN 1ST DEDUCTION</t>
        </r>
      </text>
    </comment>
    <comment ref="S20" authorId="2" shapeId="0" xr:uid="{C65250AF-F29B-46AE-9F22-3D585704285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V20" authorId="1" shapeId="0" xr:uid="{D87E78E3-5953-494F-8D1C-947AAEF086DD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3826.05 HDMF SALARY LOAN</t>
        </r>
      </text>
    </comment>
    <comment ref="A21" authorId="0" shapeId="0" xr:uid="{475DEA8F-0B2F-47C9-8FA0-4A71CC0C4EB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13,080.00 old</t>
        </r>
      </text>
    </comment>
    <comment ref="D21" authorId="1" shapeId="0" xr:uid="{8BE3BCFD-4562-40EC-BAE8-BA2E1C5A9523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basic pay adj. 35.00</t>
        </r>
      </text>
    </comment>
    <comment ref="K21" authorId="2" shapeId="0" xr:uid="{D1AE73D7-E5EC-447F-B88A-26F8007E6A09}">
      <text>
        <r>
          <rPr>
            <b/>
            <sz val="9"/>
            <color indexed="81"/>
            <rFont val="Tahoma"/>
            <family val="2"/>
          </rPr>
          <t>Ma. Eliza Borja:NEW SSS LOAN 1061.33 5/15/2021
1292.06 DEDUCTION FOR SEPT</t>
        </r>
      </text>
    </comment>
    <comment ref="A22" authorId="0" shapeId="0" xr:uid="{9AAA2100-940D-4349-873E-934612E8FA7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20,140.00 old</t>
        </r>
      </text>
    </comment>
    <comment ref="K22" authorId="1" shapeId="0" xr:uid="{C97048E0-597B-44F1-819E-7A210A1EBCE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
</t>
        </r>
      </text>
    </comment>
    <comment ref="V22" authorId="0" shapeId="0" xr:uid="{40A17055-5987-41C4-9BAA-7DDB8B8458E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1514.63 HDMF LOAN
NO DEDUCTION FOR MAY 2023</t>
        </r>
      </text>
    </comment>
    <comment ref="X22" authorId="2" shapeId="0" xr:uid="{4D2BEA1D-03A9-4496-900C-04F42751BE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450.00 last ca
new c.a. oct. 15
1000.00
</t>
        </r>
      </text>
    </comment>
    <comment ref="A23" authorId="0" shapeId="0" xr:uid="{B50CA52D-CADF-44C3-B7A7-4D08A225EC7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15264.00 old</t>
        </r>
      </text>
    </comment>
    <comment ref="K23" authorId="0" shapeId="0" xr:uid="{5C80153C-AA39-4C76-AE3B-9B188D22F1E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1522.78</t>
        </r>
      </text>
    </comment>
    <comment ref="X23" authorId="3" shapeId="0" xr:uid="{E933D2C4-5A12-4B93-983C-CA88A6F5A722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A24" authorId="3" shapeId="0" xr:uid="{269E36D3-00BD-4187-913A-B53D8F85596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20520 OLD</t>
        </r>
      </text>
    </comment>
    <comment ref="K24" authorId="3" shapeId="0" xr:uid="{44D5CD3C-D9F5-4DF6-BBE0-77CC412DC3D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1ST DEDUCTION</t>
        </r>
      </text>
    </comment>
    <comment ref="V24" authorId="3" shapeId="0" xr:uid="{13E8A42D-9FF4-468E-9D88-B42E5A270E3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LOAN 1417.00
</t>
        </r>
      </text>
    </comment>
    <comment ref="A25" authorId="2" shapeId="0" xr:uid="{9F9A18F9-0F91-46D1-BBAF-7F7AB23F14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7/02/2020 as per mam eunice 125,000 monthly salary</t>
        </r>
      </text>
    </comment>
    <comment ref="S25" authorId="2" shapeId="0" xr:uid="{19622CFE-EA8B-4DCF-96D6-31215D7875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26" authorId="0" shapeId="0" xr:uid="{529876E7-E43D-4AF6-9117-FF701264544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</t>
        </r>
      </text>
    </comment>
    <comment ref="S26" authorId="2" shapeId="0" xr:uid="{D556238A-C256-4FE4-B83C-5BE889EB22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27" authorId="0" shapeId="0" xr:uid="{8598E9AD-401E-40AD-B523-1CD9D54B9C3C}">
      <text>
        <r>
          <rPr>
            <b/>
            <sz val="9"/>
            <color indexed="81"/>
            <rFont val="Tahoma"/>
            <family val="2"/>
          </rPr>
          <t>Ma. Eliza Borja:
16000 OLD</t>
        </r>
      </text>
    </comment>
    <comment ref="A28" authorId="3" shapeId="0" xr:uid="{23D60FA7-F221-438F-BAF6-017E0336868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20710 OLD</t>
        </r>
      </text>
    </comment>
    <comment ref="S28" authorId="3" shapeId="0" xr:uid="{8503147C-0BC0-4F3A-B17E-F7CE9225D2A9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V28" authorId="3" shapeId="0" xr:uid="{30891BA6-15CF-4F69-924A-96E6BE10D9F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SAL. LOAN 1ST DEDUCTION</t>
        </r>
      </text>
    </comment>
    <comment ref="A29" authorId="0" shapeId="0" xr:uid="{9DA4BCEE-60C1-420C-8626-E4BF689CDE3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19,000.00
NEW 20,000.00</t>
        </r>
      </text>
    </comment>
    <comment ref="A30" authorId="0" shapeId="0" xr:uid="{1C3CC409-CCC2-4348-BD66-AD04F2FB1C0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A31" authorId="0" shapeId="0" xr:uid="{2FF7A584-B785-4DDB-B9B9-B14F5FA52D8D}">
      <text>
        <r>
          <rPr>
            <b/>
            <sz val="9"/>
            <color indexed="81"/>
            <rFont val="Tahoma"/>
            <family val="2"/>
          </rPr>
          <t>Ma. Eliza Borja
16000.00 OLD
17316.00 NEW</t>
        </r>
      </text>
    </comment>
    <comment ref="A32" authorId="0" shapeId="0" xr:uid="{206B6191-AFF2-4F65-8A7B-12C1388EB33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19822.00 old
</t>
        </r>
      </text>
    </comment>
    <comment ref="K32" authorId="0" shapeId="0" xr:uid="{4D8B8727-02E5-452F-87A5-C039432BDCB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LOAN 1799.65</t>
        </r>
      </text>
    </comment>
    <comment ref="V32" authorId="0" shapeId="0" xr:uid="{28607D3B-580B-4DDB-81F4-2C41082858B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SAL LOAN</t>
        </r>
      </text>
    </comment>
    <comment ref="S33" authorId="2" shapeId="0" xr:uid="{81716467-063B-49C0-8B3C-FF46CE6276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X33" authorId="3" shapeId="0" xr:uid="{93272906-1DC8-4DC8-9D0A-87E27770121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A34" authorId="3" shapeId="0" xr:uid="{CCF0D0F0-13CE-4907-9266-8FD48414AE3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16940 OLD</t>
        </r>
      </text>
    </comment>
    <comment ref="A35" authorId="0" shapeId="0" xr:uid="{F82C4CB0-6214-43DB-975D-247D43A0185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17133.00 old</t>
        </r>
      </text>
    </comment>
    <comment ref="K35" authorId="0" shapeId="0" xr:uid="{C9BA2577-2A3B-4784-8BF4-7A2B631BCEF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SALARY LOAN 1661.22</t>
        </r>
      </text>
    </comment>
    <comment ref="X35" authorId="0" shapeId="0" xr:uid="{8E91394B-D8CC-47ED-ABF3-8225A098967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 ca 1250.00
LAST CA 1750.00</t>
        </r>
      </text>
    </comment>
    <comment ref="A36" authorId="0" shapeId="0" xr:uid="{CDEC7DFB-7990-4B9A-A938-3E654F89ED2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15000 OLD</t>
        </r>
      </text>
    </comment>
    <comment ref="K36" authorId="1" shapeId="0" xr:uid="{E0895190-E1DA-4FA1-89F0-44AB3DBDDC11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SALAY LOAN 738.32</t>
        </r>
      </text>
    </comment>
    <comment ref="A37" authorId="0" shapeId="0" xr:uid="{547D7299-EC64-4416-8828-DBB5067FCEC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FROM HFC TRANSFER TO DRDC
15000 OLD
30000 NEW</t>
        </r>
      </text>
    </comment>
    <comment ref="K37" authorId="1" shapeId="0" xr:uid="{9BEC151B-EB12-40AD-AA74-F006DBAFA73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1523.08
</t>
        </r>
      </text>
    </comment>
    <comment ref="S37" authorId="3" shapeId="0" xr:uid="{22362D43-B131-46FF-930C-1CEE702B7784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X37" authorId="1" shapeId="0" xr:uid="{3A4C6492-F13C-4B7E-AF6E-1B72C5D38AA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c.a. 1000.00</t>
        </r>
      </text>
    </comment>
    <comment ref="A38" authorId="0" shapeId="0" xr:uid="{E52DAB3C-B23B-40F5-ABB2-12E17F6D7CE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13,392.00 old</t>
        </r>
      </text>
    </comment>
    <comment ref="K38" authorId="0" shapeId="0" xr:uid="{7BD3D789-0292-41A0-A759-C1C02A2EA4C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V38" authorId="0" shapeId="0" xr:uid="{C78B558F-BFD7-400C-8DD4-D19A8075999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396.58 PAG IBIG SALARY LOAN </t>
        </r>
      </text>
    </comment>
    <comment ref="A39" authorId="3" shapeId="0" xr:uid="{F70D3BC8-910A-4DB4-8B51-8F2EDD6F8ED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20140.00
</t>
        </r>
      </text>
    </comment>
    <comment ref="S39" authorId="3" shapeId="0" xr:uid="{EB4FAE70-25C9-464D-A317-5C37CB88D523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V39" authorId="1" shapeId="0" xr:uid="{0851F4B4-7547-4C3C-B2ED-D315F47B2AAE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Y39" authorId="0" shapeId="0" xr:uid="{38BF1C90-8EA1-4B79-A39F-76176EA9768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MATERIALS
</t>
        </r>
      </text>
    </comment>
    <comment ref="K40" authorId="1" shapeId="0" xr:uid="{D95212FC-BB66-4115-8308-E68C92FF936A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</t>
        </r>
      </text>
    </comment>
    <comment ref="V40" authorId="1" shapeId="0" xr:uid="{FA6F5592-957F-47F3-BE31-E4F1D3D3D66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K41" authorId="0" shapeId="0" xr:uid="{9A3A0150-1298-4FBF-BCD6-BA48AE06B8F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 LOAN 1845.80</t>
        </r>
      </text>
    </comment>
    <comment ref="A42" authorId="0" shapeId="0" xr:uid="{125B1B71-5E14-48E0-9622-AB9E316BC35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21,836.00 old</t>
        </r>
      </text>
    </comment>
    <comment ref="S42" authorId="3" shapeId="0" xr:uid="{4D775C67-7FB1-45A4-9244-394A1C4F713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K43" authorId="0" shapeId="0" xr:uid="{B9C48606-3DF1-4C5F-AFF7-BCE1D8F94DB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23691.80+660.84 OTHERS SSS SAL LOAN BAL YARTE JEFFREY</t>
        </r>
      </text>
    </comment>
    <comment ref="V43" authorId="0" shapeId="0" xr:uid="{B7254068-EEC1-400B-947F-B883F67B62E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12814.92+660.84 others deduction yarte jeffrey</t>
        </r>
      </text>
    </comment>
    <comment ref="AK43" authorId="0" shapeId="0" xr:uid="{8B03D944-77DE-4F6C-9C18-8328B24E83B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OTHER ADJUSTMENT+
CA+HDMF CAL. LOAN + SSS CAL. LOAN</t>
        </r>
      </text>
    </comment>
    <comment ref="F44" authorId="3" shapeId="0" xr:uid="{17B2850D-1299-4BD2-B156-4778E4B566D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EMPLOYEE
</t>
        </r>
      </text>
    </comment>
    <comment ref="K44" authorId="0" shapeId="0" xr:uid="{EE1D0825-B0D9-44ED-BF2B-1C85F352A08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ADD:
OTHER DEDUCTION DOMIQUIL CONST. 841.01
6/30/2023</t>
        </r>
      </text>
    </comment>
    <comment ref="AC44" authorId="0" shapeId="0" xr:uid="{FB85CB2C-2776-4CE1-841F-5F806B59DAF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pay.reg.</t>
        </r>
      </text>
    </comment>
    <comment ref="AJ44" authorId="0" shapeId="0" xr:uid="{2CB6F82B-2C81-4EFB-87AC-137E236249E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payroll reg.</t>
        </r>
      </text>
    </comment>
    <comment ref="F45" authorId="3" shapeId="0" xr:uid="{5DD303DD-4B1F-4D3A-A512-8705BDD14A0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EXEC.</t>
        </r>
      </text>
    </comment>
    <comment ref="AC45" authorId="0" shapeId="0" xr:uid="{8793B5BD-A94F-42DC-8607-6B31B19202C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exec</t>
        </r>
      </text>
    </comment>
    <comment ref="AJ45" authorId="0" shapeId="0" xr:uid="{FEF02000-A911-4681-9786-F1FE03AAB36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exec</t>
        </r>
      </text>
    </comment>
    <comment ref="A60" authorId="0" shapeId="0" xr:uid="{D059A73C-A5E5-4898-AA24-711A62EE66C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13000 OLD</t>
        </r>
      </text>
    </comment>
    <comment ref="A61" authorId="0" shapeId="0" xr:uid="{2EFD095C-6779-4262-BFF7-AA4ABCFE14E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16786.00 old</t>
        </r>
      </text>
    </comment>
    <comment ref="V61" authorId="1" shapeId="0" xr:uid="{698E2552-236E-4543-B4B7-F7F68A5D7C31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loan salary 941.46</t>
        </r>
      </text>
    </comment>
    <comment ref="K62" authorId="0" shapeId="0" xr:uid="{226C2D01-B497-47E8-B2BA-06CF046428D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SAL. LOAN 1661.22
 SSS salary loan payment for July will be deducted on August 2nd half payou</t>
        </r>
      </text>
    </comment>
    <comment ref="A63" authorId="0" shapeId="0" xr:uid="{F9D7A4DE-0722-490D-801D-C4FA9889D0F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 
1ST SALARY</t>
        </r>
      </text>
    </comment>
    <comment ref="A65" authorId="0" shapeId="0" xr:uid="{D8BB9BE3-F3CE-4726-B744-4E4F6A92342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18000.00 old
19303.00 old
28000 new</t>
        </r>
      </text>
    </comment>
    <comment ref="S65" authorId="2" shapeId="0" xr:uid="{FB85B5BC-57FA-4717-909E-41056BCA7A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66" authorId="3" shapeId="0" xr:uid="{77BCD4D9-84F6-498B-9EBC-18DDECDA0AE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20K</t>
        </r>
      </text>
    </comment>
    <comment ref="S66" authorId="2" shapeId="0" xr:uid="{FA511944-F2E7-4145-9F8F-21974E537F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67" authorId="0" shapeId="0" xr:uid="{CAF9CE43-7A47-4F7C-AC45-84F3D41C603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69" authorId="0" shapeId="0" xr:uid="{532BF8AC-5E31-4FA4-AA2F-994468B8D25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27,200.00 old
</t>
        </r>
      </text>
    </comment>
    <comment ref="S69" authorId="2" shapeId="0" xr:uid="{6A17F76B-97A2-4696-A6A5-B01EBB82FE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Y69" authorId="0" shapeId="0" xr:uid="{79ADD197-1E90-4786-91CF-DBF835DE620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2915.91 m.a.</t>
        </r>
      </text>
    </comment>
    <comment ref="A70" authorId="0" shapeId="0" xr:uid="{0D7E2287-0C57-43AD-A317-87A57D46B7F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26000.00 old
27832.00 OLD
29663.00 NEW
29663.00 old
35000 new</t>
        </r>
      </text>
    </comment>
    <comment ref="K71" authorId="1" shapeId="0" xr:uid="{11BB00C0-B4CC-4C90-928F-ED73E7A068E5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SALAY LOAN</t>
        </r>
      </text>
    </comment>
    <comment ref="A72" authorId="0" shapeId="0" xr:uid="{386774F3-9266-4CE4-972B-0FCDCD172AE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73" authorId="0" shapeId="0" xr:uid="{546824A2-97F0-46A0-A412-67FEC5C5362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24600.00</t>
        </r>
      </text>
    </comment>
    <comment ref="S73" authorId="2" shapeId="0" xr:uid="{4994FEEC-83CB-49CA-8EE4-3E0B74AD9C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74" authorId="0" shapeId="0" xr:uid="{110CD844-CE67-416B-A443-EA41FA639A5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 old
14000 new</t>
        </r>
      </text>
    </comment>
    <comment ref="K74" authorId="0" shapeId="0" xr:uid="{4DD5C1DC-A3A1-4FFB-8C87-0C2F2565AA2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
</t>
        </r>
      </text>
    </comment>
    <comment ref="AJ74" authorId="3" shapeId="0" xr:uid="{442D2E78-549D-48BC-8723-9EA3963D289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CASH</t>
        </r>
      </text>
    </comment>
    <comment ref="K75" authorId="0" shapeId="0" xr:uid="{2ADCA0A7-B9EA-4EF9-9370-3649D9CC8ED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4776.01+718.52 trinidad other deduction</t>
        </r>
      </text>
    </comment>
    <comment ref="A81" authorId="3" shapeId="0" xr:uid="{FAEF1D5F-77F9-4334-8B81-10BC85570A6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K81" authorId="0" shapeId="0" xr:uid="{E4AC40F7-DFD9-4876-A186-6AEBAA9CCBA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1568.93</t>
        </r>
      </text>
    </comment>
    <comment ref="A82" authorId="0" shapeId="0" xr:uid="{9AE724AF-9052-4CC8-82B3-CF6519F3B41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11033.28 OLD 
16000 NEW</t>
        </r>
      </text>
    </comment>
    <comment ref="X82" authorId="0" shapeId="0" xr:uid="{58638FC2-C922-4108-8726-86DEEEA399E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1st c.a.</t>
        </r>
      </text>
    </comment>
    <comment ref="A83" authorId="0" shapeId="0" xr:uid="{14390FDE-5D49-4938-8735-84FF27945D5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14980.00
NEW 16500.00</t>
        </r>
      </text>
    </comment>
    <comment ref="K83" authorId="0" shapeId="0" xr:uid="{369DC2F1-7525-43CB-B85A-825DE32D45A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A90" authorId="0" shapeId="0" xr:uid="{707C2F86-C787-4B5A-BA62-05758CA011C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20,412.00 old</t>
        </r>
      </text>
    </comment>
    <comment ref="K90" authorId="0" shapeId="0" xr:uid="{D1466578-4362-4D50-8D7F-29095212501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LOAN 1,845.80</t>
        </r>
      </text>
    </comment>
    <comment ref="B91" authorId="1" shapeId="0" xr:uid="{F9CD9FA5-48ED-40F3-BA38-166AD440C154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TRANSFER TO AFMI - DECEMBER 2023</t>
        </r>
      </text>
    </comment>
    <comment ref="A92" authorId="0" shapeId="0" xr:uid="{6F021A19-E949-45A0-874E-D9304F0B1ED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 old
14000 new</t>
        </r>
      </text>
    </comment>
    <comment ref="G92" authorId="1" shapeId="0" xr:uid="{18244300-BFC6-464C-946A-CA006B794F9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NO DISTRIBUTION TRANS TO AFMI</t>
        </r>
      </text>
    </comment>
    <comment ref="A93" authorId="0" shapeId="0" xr:uid="{911A0D70-5D2C-4127-AE7C-6E1EEC29B1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14,100.00 old</t>
        </r>
      </text>
    </comment>
    <comment ref="K93" authorId="0" shapeId="0" xr:uid="{1C209252-3FEA-4E89-9A07-DA58B178ADBD}">
      <text>
        <r>
          <rPr>
            <b/>
            <sz val="9"/>
            <color indexed="81"/>
            <rFont val="Tahoma"/>
            <family val="2"/>
          </rPr>
          <t>Ma. Eliza BorjA
646.03 NEW LOAN</t>
        </r>
      </text>
    </comment>
    <comment ref="X93" authorId="0" shapeId="0" xr:uid="{0D12455E-10AF-4036-81E5-F174C3F26DD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1000 C.A.</t>
        </r>
      </text>
    </comment>
    <comment ref="A94" authorId="0" shapeId="0" xr:uid="{BCB34940-C39D-4936-98D7-8243DD45F2B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12000.00 old</t>
        </r>
      </text>
    </comment>
    <comment ref="W94" authorId="0" shapeId="0" xr:uid="{E8368035-CD09-4189-A85A-E2D04BD2BFF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paid</t>
        </r>
      </text>
    </comment>
    <comment ref="A101" authorId="0" shapeId="0" xr:uid="{54E5345B-3842-4F28-BABF-1C1F343476D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15,000.00 old
18000 OLD</t>
        </r>
      </text>
    </comment>
    <comment ref="S101" authorId="0" shapeId="0" xr:uid="{921FE3AB-9768-4376-9C34-43E4606957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X101" authorId="2" shapeId="0" xr:uid="{BC7B616D-82D8-4F58-80F5-04C5E41D24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 1000
</t>
        </r>
      </text>
    </comment>
    <comment ref="A102" authorId="0" shapeId="0" xr:uid="{D8800BCE-9B4C-4A90-A33C-0498B79BA5C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24,300.00 old</t>
        </r>
      </text>
    </comment>
    <comment ref="S102" authorId="0" shapeId="0" xr:uid="{83C2B9F1-8B9C-4B32-A7DC-6D4D22EDAE4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A105" authorId="1" shapeId="0" xr:uid="{993CDF8D-8822-4DFE-AEB1-D7D78A9134B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12350 OLD
13564.00 NEW</t>
        </r>
      </text>
    </comment>
    <comment ref="F110" authorId="0" shapeId="0" xr:uid="{5C700315-0697-4718-A10F-C89C036F382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QH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Borja</author>
    <author>Ma. Eliza Borja</author>
  </authors>
  <commentList>
    <comment ref="B2" authorId="0" shapeId="0" xr:uid="{54533950-06A3-4697-B54E-D5B02C9618C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3" authorId="1" shapeId="0" xr:uid="{DBDB45D3-97F2-416C-90B2-BF13CBC7933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11033.28 OLD 
16000 NEW</t>
        </r>
      </text>
    </comment>
    <comment ref="B4" authorId="1" shapeId="0" xr:uid="{C887E373-6DE6-45E0-8CA8-451A3A40B4F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14980.00
NEW 16500.00</t>
        </r>
      </text>
    </comment>
  </commentList>
</comments>
</file>

<file path=xl/sharedStrings.xml><?xml version="1.0" encoding="utf-8"?>
<sst xmlns="http://schemas.openxmlformats.org/spreadsheetml/2006/main" count="470" uniqueCount="111">
  <si>
    <t>DURAVILLE REALTY AND DEVELOPMENT CORPORATION</t>
  </si>
  <si>
    <t xml:space="preserve">MONTHLY PAYROLL DATA </t>
  </si>
  <si>
    <t>FOR THE MONTH OF JANUARY 2024</t>
  </si>
  <si>
    <t>Name</t>
  </si>
  <si>
    <t>Rate</t>
  </si>
  <si>
    <t>Gross Pay</t>
  </si>
  <si>
    <t>Hol. Pay          30%</t>
  </si>
  <si>
    <t>Basic pay adjustment</t>
  </si>
  <si>
    <t>OT Pay</t>
  </si>
  <si>
    <t>Total Gross</t>
  </si>
  <si>
    <t>SSS CONTRIBUTION</t>
  </si>
  <si>
    <t>SSS Loan</t>
  </si>
  <si>
    <t>SSS Calamity Loan</t>
  </si>
  <si>
    <t>PHILHEALTH CONTRIBUTION</t>
  </si>
  <si>
    <t xml:space="preserve">W/ TAX </t>
  </si>
  <si>
    <t>HDMF CONTRIBUTION</t>
  </si>
  <si>
    <t>HDMF LOAN</t>
  </si>
  <si>
    <t>HDMF CALAMITY</t>
  </si>
  <si>
    <t>CASH ADVANCE</t>
  </si>
  <si>
    <t>Personal Loan (MA)</t>
  </si>
  <si>
    <t xml:space="preserve">Others  Deduction              </t>
  </si>
  <si>
    <t>2023</t>
  </si>
  <si>
    <t>NET GROSS</t>
  </si>
  <si>
    <t xml:space="preserve"> </t>
  </si>
  <si>
    <t>Add: Others                Adjustment</t>
  </si>
  <si>
    <t>Less: Other Adj.</t>
  </si>
  <si>
    <t>Net Pay</t>
  </si>
  <si>
    <t>Employee</t>
  </si>
  <si>
    <t>Share</t>
  </si>
  <si>
    <t>Total</t>
  </si>
  <si>
    <t>EC</t>
  </si>
  <si>
    <t>Comb.</t>
  </si>
  <si>
    <t>1% PHIC. EMP</t>
  </si>
  <si>
    <t>1% PHIC. EMPLR</t>
  </si>
  <si>
    <t>1% PHIC. COMB.</t>
  </si>
  <si>
    <t>Tax Refund</t>
  </si>
  <si>
    <t>Tax Addition</t>
  </si>
  <si>
    <t>Allowance</t>
  </si>
  <si>
    <t>Regular Allowance</t>
  </si>
  <si>
    <t>Holiday/RDOT Pay</t>
  </si>
  <si>
    <t>Meal</t>
  </si>
  <si>
    <t>Developmental</t>
  </si>
  <si>
    <t>1st cut-off</t>
  </si>
  <si>
    <t>allowance</t>
  </si>
  <si>
    <t>Cash</t>
  </si>
  <si>
    <t>TOTAL</t>
  </si>
  <si>
    <t>2nd cut-off</t>
  </si>
  <si>
    <t>cash</t>
  </si>
  <si>
    <t>total</t>
  </si>
  <si>
    <t>executive</t>
  </si>
  <si>
    <t>GRAND TOTAL</t>
  </si>
  <si>
    <t>MARY CRIS COMPLEX</t>
  </si>
  <si>
    <t>atm</t>
  </si>
  <si>
    <t>Hol. Pay 30%</t>
  </si>
  <si>
    <t>Adj.</t>
  </si>
  <si>
    <t>Others                Adjustment</t>
  </si>
  <si>
    <t>P</t>
  </si>
  <si>
    <t>ELLISTON PLACE</t>
  </si>
  <si>
    <t>Hol. Pay</t>
  </si>
  <si>
    <t>Add: PHIC Contri.</t>
  </si>
  <si>
    <t>CASH</t>
  </si>
  <si>
    <t>ATM</t>
  </si>
  <si>
    <t>WELLINGTON PLACE</t>
  </si>
  <si>
    <t>Basic Adj.</t>
  </si>
  <si>
    <t>W/ TAX 2022</t>
  </si>
  <si>
    <t xml:space="preserve">Add:  HDMF Salary Loan              </t>
  </si>
  <si>
    <t>2022</t>
  </si>
  <si>
    <t>Incentive</t>
  </si>
  <si>
    <t xml:space="preserve">  </t>
  </si>
  <si>
    <t>GRANS TOTAL</t>
  </si>
  <si>
    <t>WELLINGTON TANZA RESIDENCES</t>
  </si>
  <si>
    <t>Other                Deduction</t>
  </si>
  <si>
    <t>Allowance Adj.</t>
  </si>
  <si>
    <t>HANGOR, JENEGEN CORDANO</t>
  </si>
  <si>
    <t>QUEENSTOWN HEIGHTS 2</t>
  </si>
  <si>
    <t>Other &amp; leaves</t>
  </si>
  <si>
    <t>ATM TOTAL</t>
  </si>
  <si>
    <t>EXEC.</t>
  </si>
  <si>
    <t>PACHECO, JAYSON HILVANO</t>
  </si>
  <si>
    <t>WTR TO NLDC</t>
  </si>
  <si>
    <t>atm Tax Refund 2023</t>
  </si>
  <si>
    <t>atm - Tax Refund - Fabillo, Gabriel Jade Arman</t>
  </si>
  <si>
    <t>AWOL</t>
  </si>
  <si>
    <t>ATM Tax Refund 2023 WTR-Fabillo, Gabriel Jade Arman &amp; Ong, Jamy Apples</t>
  </si>
  <si>
    <t>Employer_Share</t>
  </si>
  <si>
    <t>Employee_share</t>
  </si>
  <si>
    <t>SS_provident_emp</t>
  </si>
  <si>
    <t>SS_provident_empr</t>
  </si>
  <si>
    <t>Rate_from</t>
  </si>
  <si>
    <t>Rate_to</t>
  </si>
  <si>
    <t>ECC</t>
  </si>
  <si>
    <t>EMPLOYEE_ID</t>
  </si>
  <si>
    <t>COMPANY</t>
  </si>
  <si>
    <t>LATE</t>
  </si>
  <si>
    <t>NORMAL_WORKIG_DAY OT</t>
  </si>
  <si>
    <t>ND_REGULAR_OT</t>
  </si>
  <si>
    <t>TAX_REFUND</t>
  </si>
  <si>
    <t>GROSS_PAY</t>
  </si>
  <si>
    <t>SSS_LOAN</t>
  </si>
  <si>
    <t>HDMF_LOAN</t>
  </si>
  <si>
    <t>TOTAL DEDUCTION</t>
  </si>
  <si>
    <t>NET_PAY</t>
  </si>
  <si>
    <t>Lancris Properties Development Corp.</t>
  </si>
  <si>
    <t>EMPLOYEE_NAME</t>
  </si>
  <si>
    <t>BASIC_MONTHLY_PAY</t>
  </si>
  <si>
    <t>JOHN CARLO MASANGKAY</t>
  </si>
  <si>
    <t>JERICHO SENA</t>
  </si>
  <si>
    <t>AECEE PASCUAL</t>
  </si>
  <si>
    <t>ABBYGALE MARGARETTE RATON, CATIGGAY</t>
  </si>
  <si>
    <t>TAXCODE</t>
  </si>
  <si>
    <t>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</si>
</sst>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7"/>
      <color theme="1"/>
      <name val="Arial"/>
      <family val="2"/>
    </font>
    <font>
      <b/>
      <sz val="5"/>
      <color theme="1"/>
      <name val="Arial"/>
      <family val="2"/>
    </font>
    <font>
      <b/>
      <sz val="10"/>
      <color rgb="FFFF0000"/>
      <name val="Arial"/>
      <family val="2"/>
    </font>
    <font>
      <sz val="8"/>
      <color theme="1" tint="4.9989318521683403E-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2" fillId="2" borderId="0" xfId="0" applyFont="1" applyFill="1"/>
    <xf numFmtId="43" fontId="2" fillId="2" borderId="0" xfId="1" applyFont="1" applyFill="1"/>
    <xf numFmtId="43" fontId="4" fillId="2" borderId="0" xfId="1" applyFont="1" applyFill="1"/>
    <xf numFmtId="0" fontId="4" fillId="0" borderId="0" xfId="0" applyFont="1"/>
    <xf numFmtId="0" fontId="4" fillId="2" borderId="0" xfId="0" applyFont="1" applyFill="1"/>
    <xf numFmtId="43" fontId="2" fillId="0" borderId="0" xfId="1" applyFont="1"/>
    <xf numFmtId="0" fontId="2" fillId="0" borderId="0" xfId="0" applyFont="1"/>
    <xf numFmtId="43" fontId="6" fillId="2" borderId="1" xfId="1" applyFont="1" applyFill="1" applyBorder="1" applyAlignment="1">
      <alignment horizontal="center" wrapText="1"/>
    </xf>
    <xf numFmtId="43" fontId="6" fillId="2" borderId="1" xfId="1" applyFont="1" applyFill="1" applyBorder="1" applyAlignment="1">
      <alignment horizontal="center"/>
    </xf>
    <xf numFmtId="43" fontId="6" fillId="2" borderId="2" xfId="1" applyFont="1" applyFill="1" applyBorder="1" applyAlignment="1">
      <alignment horizontal="center" wrapText="1"/>
    </xf>
    <xf numFmtId="43" fontId="6" fillId="2" borderId="2" xfId="1" applyFont="1" applyFill="1" applyBorder="1" applyAlignment="1">
      <alignment horizontal="center"/>
    </xf>
    <xf numFmtId="43" fontId="5" fillId="0" borderId="0" xfId="1" applyFont="1"/>
    <xf numFmtId="0" fontId="5" fillId="0" borderId="0" xfId="0" applyFont="1"/>
    <xf numFmtId="43" fontId="5" fillId="2" borderId="1" xfId="1" applyFont="1" applyFill="1" applyBorder="1" applyAlignment="1">
      <alignment horizontal="center"/>
    </xf>
    <xf numFmtId="43" fontId="6" fillId="2" borderId="8" xfId="1" applyFont="1" applyFill="1" applyBorder="1" applyAlignment="1">
      <alignment horizontal="center" wrapText="1"/>
    </xf>
    <xf numFmtId="43" fontId="6" fillId="2" borderId="9" xfId="1" applyFont="1" applyFill="1" applyBorder="1" applyAlignment="1">
      <alignment horizontal="center"/>
    </xf>
    <xf numFmtId="43" fontId="6" fillId="2" borderId="11" xfId="1" applyFont="1" applyFill="1" applyBorder="1" applyAlignment="1">
      <alignment horizontal="center"/>
    </xf>
    <xf numFmtId="43" fontId="6" fillId="2" borderId="8" xfId="1" applyFont="1" applyFill="1" applyBorder="1" applyAlignment="1">
      <alignment horizontal="center"/>
    </xf>
    <xf numFmtId="43" fontId="6" fillId="2" borderId="12" xfId="1" applyFont="1" applyFill="1" applyBorder="1" applyAlignment="1">
      <alignment horizontal="center" wrapText="1"/>
    </xf>
    <xf numFmtId="43" fontId="5" fillId="2" borderId="1" xfId="1" applyFont="1" applyFill="1" applyBorder="1" applyAlignment="1"/>
    <xf numFmtId="43" fontId="6" fillId="2" borderId="5" xfId="1" applyFont="1" applyFill="1" applyBorder="1" applyAlignment="1">
      <alignment horizontal="center" wrapText="1"/>
    </xf>
    <xf numFmtId="43" fontId="6" fillId="2" borderId="12" xfId="1" applyFont="1" applyFill="1" applyBorder="1" applyAlignment="1">
      <alignment horizontal="center"/>
    </xf>
    <xf numFmtId="14" fontId="5" fillId="0" borderId="0" xfId="1" applyNumberFormat="1" applyFont="1"/>
    <xf numFmtId="43" fontId="5" fillId="2" borderId="12" xfId="1" applyFont="1" applyFill="1" applyBorder="1"/>
    <xf numFmtId="43" fontId="6" fillId="2" borderId="12" xfId="1" applyFont="1" applyFill="1" applyBorder="1"/>
    <xf numFmtId="43" fontId="6" fillId="2" borderId="1" xfId="1" applyFont="1" applyFill="1" applyBorder="1"/>
    <xf numFmtId="43" fontId="8" fillId="2" borderId="12" xfId="1" applyFont="1" applyFill="1" applyBorder="1"/>
    <xf numFmtId="43" fontId="6" fillId="2" borderId="9" xfId="1" applyFont="1" applyFill="1" applyBorder="1"/>
    <xf numFmtId="43" fontId="6" fillId="2" borderId="5" xfId="1" applyFont="1" applyFill="1" applyBorder="1"/>
    <xf numFmtId="43" fontId="6" fillId="2" borderId="6" xfId="1" applyFont="1" applyFill="1" applyBorder="1"/>
    <xf numFmtId="164" fontId="5" fillId="0" borderId="0" xfId="0" applyNumberFormat="1" applyFont="1"/>
    <xf numFmtId="43" fontId="9" fillId="2" borderId="12" xfId="1" applyFont="1" applyFill="1" applyBorder="1"/>
    <xf numFmtId="43" fontId="5" fillId="2" borderId="1" xfId="1" applyFont="1" applyFill="1" applyBorder="1"/>
    <xf numFmtId="0" fontId="10" fillId="0" borderId="0" xfId="0" applyFont="1"/>
    <xf numFmtId="43" fontId="5" fillId="2" borderId="0" xfId="1" applyFont="1" applyFill="1"/>
    <xf numFmtId="164" fontId="5" fillId="2" borderId="0" xfId="0" applyNumberFormat="1" applyFont="1" applyFill="1"/>
    <xf numFmtId="0" fontId="5" fillId="2" borderId="0" xfId="0" applyFont="1" applyFill="1"/>
    <xf numFmtId="0" fontId="0" fillId="2" borderId="0" xfId="0" applyFill="1"/>
    <xf numFmtId="43" fontId="9" fillId="2" borderId="12" xfId="1" applyFont="1" applyFill="1" applyBorder="1" applyAlignment="1">
      <alignment horizontal="center"/>
    </xf>
    <xf numFmtId="43" fontId="5" fillId="2" borderId="1" xfId="1" applyFont="1" applyFill="1" applyBorder="1" applyAlignment="1">
      <alignment wrapText="1"/>
    </xf>
    <xf numFmtId="43" fontId="11" fillId="0" borderId="0" xfId="1" applyFont="1"/>
    <xf numFmtId="43" fontId="9" fillId="2" borderId="5" xfId="1" applyFont="1" applyFill="1" applyBorder="1"/>
    <xf numFmtId="0" fontId="12" fillId="2" borderId="0" xfId="0" applyFont="1" applyFill="1"/>
    <xf numFmtId="43" fontId="5" fillId="2" borderId="0" xfId="0" applyNumberFormat="1" applyFont="1" applyFill="1"/>
    <xf numFmtId="43" fontId="12" fillId="2" borderId="0" xfId="1" applyFont="1" applyFill="1"/>
    <xf numFmtId="43" fontId="12" fillId="2" borderId="0" xfId="1" applyFont="1" applyFill="1" applyBorder="1"/>
    <xf numFmtId="43" fontId="12" fillId="2" borderId="11" xfId="1" applyFont="1" applyFill="1" applyBorder="1"/>
    <xf numFmtId="43" fontId="13" fillId="2" borderId="0" xfId="1" applyFont="1" applyFill="1" applyBorder="1"/>
    <xf numFmtId="43" fontId="5" fillId="2" borderId="12" xfId="1" applyFont="1" applyFill="1" applyBorder="1" applyAlignment="1">
      <alignment horizontal="center"/>
    </xf>
    <xf numFmtId="43" fontId="5" fillId="0" borderId="0" xfId="0" applyNumberFormat="1" applyFont="1"/>
    <xf numFmtId="43" fontId="5" fillId="2" borderId="0" xfId="1" applyFont="1" applyFill="1" applyAlignment="1">
      <alignment horizontal="center"/>
    </xf>
    <xf numFmtId="43" fontId="6" fillId="2" borderId="13" xfId="1" applyFont="1" applyFill="1" applyBorder="1"/>
    <xf numFmtId="43" fontId="6" fillId="2" borderId="14" xfId="1" applyFont="1" applyFill="1" applyBorder="1"/>
    <xf numFmtId="43" fontId="6" fillId="2" borderId="15" xfId="1" applyFont="1" applyFill="1" applyBorder="1"/>
    <xf numFmtId="43" fontId="6" fillId="2" borderId="0" xfId="1" applyFont="1" applyFill="1"/>
    <xf numFmtId="43" fontId="3" fillId="0" borderId="0" xfId="1" applyFont="1"/>
    <xf numFmtId="43" fontId="6" fillId="0" borderId="0" xfId="1" applyFont="1"/>
    <xf numFmtId="43" fontId="14" fillId="2" borderId="0" xfId="1" applyFont="1" applyFill="1"/>
    <xf numFmtId="43" fontId="15" fillId="0" borderId="0" xfId="0" applyNumberFormat="1" applyFont="1"/>
    <xf numFmtId="0" fontId="3" fillId="0" borderId="0" xfId="0" applyFont="1"/>
    <xf numFmtId="43" fontId="6" fillId="2" borderId="11" xfId="1" applyFont="1" applyFill="1" applyBorder="1"/>
    <xf numFmtId="43" fontId="16" fillId="2" borderId="0" xfId="1" applyFont="1" applyFill="1"/>
    <xf numFmtId="43" fontId="17" fillId="2" borderId="0" xfId="1" applyFont="1" applyFill="1"/>
    <xf numFmtId="43" fontId="13" fillId="2" borderId="0" xfId="1" applyFont="1" applyFill="1"/>
    <xf numFmtId="43" fontId="5" fillId="2" borderId="0" xfId="1" applyFont="1" applyFill="1" applyAlignment="1">
      <alignment horizontal="right"/>
    </xf>
    <xf numFmtId="43" fontId="5" fillId="2" borderId="13" xfId="1" applyFont="1" applyFill="1" applyBorder="1"/>
    <xf numFmtId="43" fontId="10" fillId="0" borderId="0" xfId="1" applyFont="1"/>
    <xf numFmtId="43" fontId="18" fillId="2" borderId="0" xfId="1" applyFont="1" applyFill="1"/>
    <xf numFmtId="43" fontId="5" fillId="0" borderId="1" xfId="1" applyFont="1" applyBorder="1"/>
    <xf numFmtId="43" fontId="6" fillId="2" borderId="1" xfId="1" applyFont="1" applyFill="1" applyBorder="1" applyAlignment="1">
      <alignment horizontal="center" vertical="center" wrapText="1"/>
    </xf>
    <xf numFmtId="43" fontId="6" fillId="2" borderId="12" xfId="1" applyFont="1" applyFill="1" applyBorder="1" applyAlignment="1">
      <alignment horizontal="left"/>
    </xf>
    <xf numFmtId="43" fontId="5" fillId="0" borderId="12" xfId="1" applyFont="1" applyBorder="1"/>
    <xf numFmtId="0" fontId="6" fillId="0" borderId="0" xfId="0" applyFont="1"/>
    <xf numFmtId="43" fontId="5" fillId="2" borderId="0" xfId="1" applyFont="1" applyFill="1" applyBorder="1"/>
    <xf numFmtId="0" fontId="8" fillId="0" borderId="0" xfId="0" applyFont="1"/>
    <xf numFmtId="43" fontId="5" fillId="2" borderId="2" xfId="1" applyFont="1" applyFill="1" applyBorder="1"/>
    <xf numFmtId="43" fontId="5" fillId="2" borderId="8" xfId="1" applyFont="1" applyFill="1" applyBorder="1"/>
    <xf numFmtId="0" fontId="6" fillId="0" borderId="1" xfId="0" applyFont="1" applyBorder="1"/>
    <xf numFmtId="43" fontId="6" fillId="0" borderId="12" xfId="1" applyFont="1" applyBorder="1"/>
    <xf numFmtId="43" fontId="6" fillId="0" borderId="1" xfId="1" applyFont="1" applyBorder="1"/>
    <xf numFmtId="43" fontId="6" fillId="0" borderId="5" xfId="1" applyFont="1" applyBorder="1"/>
    <xf numFmtId="43" fontId="5" fillId="2" borderId="5" xfId="1" applyFont="1" applyFill="1" applyBorder="1"/>
    <xf numFmtId="43" fontId="14" fillId="0" borderId="0" xfId="1" applyFont="1"/>
    <xf numFmtId="43" fontId="5" fillId="2" borderId="4" xfId="1" applyFont="1" applyFill="1" applyBorder="1"/>
    <xf numFmtId="43" fontId="5" fillId="2" borderId="16" xfId="1" applyFont="1" applyFill="1" applyBorder="1"/>
    <xf numFmtId="43" fontId="5" fillId="2" borderId="10" xfId="1" applyFont="1" applyFill="1" applyBorder="1" applyAlignment="1">
      <alignment horizontal="center"/>
    </xf>
    <xf numFmtId="43" fontId="5" fillId="0" borderId="13" xfId="1" applyFont="1" applyBorder="1"/>
    <xf numFmtId="43" fontId="5" fillId="2" borderId="4" xfId="1" applyFont="1" applyFill="1" applyBorder="1" applyAlignment="1">
      <alignment wrapText="1"/>
    </xf>
    <xf numFmtId="43" fontId="5" fillId="2" borderId="16" xfId="1" applyFont="1" applyFill="1" applyBorder="1" applyAlignment="1">
      <alignment wrapText="1"/>
    </xf>
    <xf numFmtId="43" fontId="5" fillId="2" borderId="10" xfId="1" applyFont="1" applyFill="1" applyBorder="1" applyAlignment="1">
      <alignment horizontal="center" wrapText="1"/>
    </xf>
    <xf numFmtId="43" fontId="4" fillId="2" borderId="17" xfId="1" applyFont="1" applyFill="1" applyBorder="1"/>
    <xf numFmtId="43" fontId="19" fillId="2" borderId="0" xfId="1" applyFont="1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43" fontId="5" fillId="2" borderId="11" xfId="1" applyFont="1" applyFill="1" applyBorder="1"/>
    <xf numFmtId="43" fontId="2" fillId="2" borderId="0" xfId="0" applyNumberFormat="1" applyFont="1" applyFill="1"/>
    <xf numFmtId="43" fontId="2" fillId="2" borderId="0" xfId="1" applyFont="1" applyFill="1" applyBorder="1"/>
    <xf numFmtId="43" fontId="2" fillId="2" borderId="11" xfId="1" applyFont="1" applyFill="1" applyBorder="1"/>
    <xf numFmtId="0" fontId="11" fillId="2" borderId="0" xfId="0" applyFont="1" applyFill="1"/>
    <xf numFmtId="43" fontId="9" fillId="2" borderId="0" xfId="1" applyFont="1" applyFill="1" applyBorder="1" applyAlignment="1"/>
    <xf numFmtId="43" fontId="11" fillId="2" borderId="0" xfId="1" applyFont="1" applyFill="1" applyBorder="1"/>
    <xf numFmtId="0" fontId="9" fillId="2" borderId="0" xfId="0" applyFont="1" applyFill="1"/>
    <xf numFmtId="43" fontId="22" fillId="2" borderId="12" xfId="1" applyFont="1" applyFill="1" applyBorder="1"/>
    <xf numFmtId="43" fontId="11" fillId="0" borderId="1" xfId="1" applyFont="1" applyBorder="1"/>
    <xf numFmtId="43" fontId="4" fillId="2" borderId="0" xfId="0" applyNumberFormat="1" applyFont="1" applyFill="1"/>
    <xf numFmtId="0" fontId="9" fillId="2" borderId="0" xfId="0" applyFont="1" applyFill="1" applyAlignment="1">
      <alignment horizontal="right"/>
    </xf>
    <xf numFmtId="43" fontId="9" fillId="2" borderId="0" xfId="0" applyNumberFormat="1" applyFont="1" applyFill="1"/>
    <xf numFmtId="0" fontId="23" fillId="2" borderId="0" xfId="0" applyFont="1" applyFill="1"/>
    <xf numFmtId="43" fontId="0" fillId="0" borderId="0" xfId="1" applyFont="1"/>
    <xf numFmtId="0" fontId="6" fillId="0" borderId="8" xfId="0" applyFont="1" applyBorder="1"/>
    <xf numFmtId="43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  <xf numFmtId="0" fontId="0" fillId="0" borderId="0" xfId="1" applyNumberFormat="1" applyFont="1"/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vertical="center"/>
    </xf>
    <xf numFmtId="43" fontId="6" fillId="2" borderId="1" xfId="1" applyFont="1" applyFill="1" applyBorder="1" applyAlignment="1">
      <alignment horizontal="center" wrapText="1"/>
    </xf>
    <xf numFmtId="43" fontId="6" fillId="2" borderId="1" xfId="1" applyFont="1" applyFill="1" applyBorder="1" applyAlignment="1">
      <alignment horizontal="center"/>
    </xf>
    <xf numFmtId="43" fontId="6" fillId="2" borderId="6" xfId="1" applyFont="1" applyFill="1" applyBorder="1" applyAlignment="1">
      <alignment horizontal="center" wrapText="1"/>
    </xf>
    <xf numFmtId="43" fontId="5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43" fontId="5" fillId="2" borderId="2" xfId="1" applyFont="1" applyFill="1" applyBorder="1" applyAlignment="1">
      <alignment horizontal="center" wrapText="1"/>
    </xf>
    <xf numFmtId="43" fontId="5" fillId="2" borderId="8" xfId="1" applyFont="1" applyFill="1" applyBorder="1" applyAlignment="1">
      <alignment horizontal="center" wrapText="1"/>
    </xf>
    <xf numFmtId="43" fontId="5" fillId="2" borderId="12" xfId="1" applyFont="1" applyFill="1" applyBorder="1" applyAlignment="1">
      <alignment horizontal="center" wrapText="1"/>
    </xf>
    <xf numFmtId="43" fontId="6" fillId="2" borderId="2" xfId="1" applyFont="1" applyFill="1" applyBorder="1" applyAlignment="1">
      <alignment horizontal="center"/>
    </xf>
    <xf numFmtId="43" fontId="6" fillId="2" borderId="8" xfId="1" applyFont="1" applyFill="1" applyBorder="1" applyAlignment="1">
      <alignment horizontal="center"/>
    </xf>
    <xf numFmtId="43" fontId="6" fillId="2" borderId="12" xfId="1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 wrapText="1"/>
    </xf>
    <xf numFmtId="43" fontId="6" fillId="2" borderId="2" xfId="1" applyFont="1" applyFill="1" applyBorder="1" applyAlignment="1">
      <alignment horizontal="center" wrapText="1"/>
    </xf>
    <xf numFmtId="43" fontId="6" fillId="2" borderId="8" xfId="1" applyFont="1" applyFill="1" applyBorder="1" applyAlignment="1">
      <alignment horizontal="center" wrapText="1"/>
    </xf>
    <xf numFmtId="43" fontId="6" fillId="2" borderId="12" xfId="1" applyFont="1" applyFill="1" applyBorder="1" applyAlignment="1">
      <alignment horizontal="center" wrapText="1"/>
    </xf>
    <xf numFmtId="43" fontId="6" fillId="2" borderId="5" xfId="1" quotePrefix="1" applyFont="1" applyFill="1" applyBorder="1" applyAlignment="1">
      <alignment horizontal="center" wrapText="1"/>
    </xf>
    <xf numFmtId="43" fontId="6" fillId="2" borderId="3" xfId="1" applyFont="1" applyFill="1" applyBorder="1" applyAlignment="1">
      <alignment horizontal="center"/>
    </xf>
    <xf numFmtId="43" fontId="6" fillId="2" borderId="7" xfId="1" applyFont="1" applyFill="1" applyBorder="1" applyAlignment="1">
      <alignment horizontal="center"/>
    </xf>
    <xf numFmtId="43" fontId="6" fillId="2" borderId="4" xfId="1" applyFont="1" applyFill="1" applyBorder="1" applyAlignment="1">
      <alignment horizontal="center"/>
    </xf>
    <xf numFmtId="43" fontId="6" fillId="2" borderId="3" xfId="1" applyFont="1" applyFill="1" applyBorder="1" applyAlignment="1">
      <alignment horizontal="center" wrapText="1"/>
    </xf>
    <xf numFmtId="43" fontId="6" fillId="2" borderId="4" xfId="1" applyFont="1" applyFill="1" applyBorder="1" applyAlignment="1">
      <alignment horizontal="center" wrapText="1"/>
    </xf>
    <xf numFmtId="43" fontId="6" fillId="2" borderId="9" xfId="1" applyFont="1" applyFill="1" applyBorder="1" applyAlignment="1">
      <alignment horizontal="center" wrapText="1"/>
    </xf>
    <xf numFmtId="43" fontId="6" fillId="2" borderId="10" xfId="1" applyFont="1" applyFill="1" applyBorder="1" applyAlignment="1">
      <alignment horizontal="center" wrapText="1"/>
    </xf>
    <xf numFmtId="43" fontId="6" fillId="2" borderId="9" xfId="1" applyFont="1" applyFill="1" applyBorder="1" applyAlignment="1">
      <alignment horizontal="center"/>
    </xf>
    <xf numFmtId="43" fontId="6" fillId="2" borderId="11" xfId="1" applyFont="1" applyFill="1" applyBorder="1" applyAlignment="1">
      <alignment horizontal="center"/>
    </xf>
    <xf numFmtId="43" fontId="6" fillId="2" borderId="10" xfId="1" applyFont="1" applyFill="1" applyBorder="1" applyAlignment="1">
      <alignment horizontal="center"/>
    </xf>
    <xf numFmtId="43" fontId="6" fillId="2" borderId="6" xfId="1" quotePrefix="1" applyFont="1" applyFill="1" applyBorder="1" applyAlignment="1">
      <alignment horizontal="center" wrapText="1"/>
    </xf>
    <xf numFmtId="43" fontId="6" fillId="2" borderId="5" xfId="1" applyFont="1" applyFill="1" applyBorder="1" applyAlignment="1">
      <alignment horizontal="center"/>
    </xf>
    <xf numFmtId="43" fontId="6" fillId="2" borderId="6" xfId="1" applyFont="1" applyFill="1" applyBorder="1" applyAlignment="1">
      <alignment horizontal="center"/>
    </xf>
    <xf numFmtId="0" fontId="9" fillId="2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31"/>
  <sheetViews>
    <sheetView workbookViewId="0">
      <selection activeCell="G5" sqref="G5:G6"/>
    </sheetView>
  </sheetViews>
  <sheetFormatPr defaultRowHeight="15" x14ac:dyDescent="0.25"/>
  <cols>
    <col min="1" max="2" width="13.7109375" customWidth="1"/>
    <col min="6" max="6" width="12.28515625" customWidth="1"/>
    <col min="8" max="8" width="10.28515625" customWidth="1"/>
    <col min="9" max="9" width="11.140625" customWidth="1"/>
    <col min="19" max="19" width="11.85546875" customWidth="1"/>
    <col min="29" max="30" width="10.85546875" customWidth="1"/>
    <col min="36" max="36" width="13.7109375" customWidth="1"/>
    <col min="37" max="39" width="11.5703125" customWidth="1"/>
    <col min="40" max="40" width="16" customWidth="1"/>
  </cols>
  <sheetData>
    <row r="1" spans="1:134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3"/>
      <c r="V1" s="3"/>
      <c r="W1" s="3"/>
      <c r="X1" s="4"/>
      <c r="Y1" s="5"/>
      <c r="Z1" s="4"/>
      <c r="AA1" s="4"/>
      <c r="AB1" s="4"/>
      <c r="AC1" s="5"/>
      <c r="AD1" s="4"/>
      <c r="AE1" s="4"/>
      <c r="AF1" s="6"/>
      <c r="AG1" s="6"/>
      <c r="AH1" s="7"/>
      <c r="AI1" s="7"/>
      <c r="AJ1" s="7"/>
      <c r="AK1" s="7"/>
      <c r="AL1" s="6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</row>
    <row r="2" spans="1:134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  <c r="U2" s="3"/>
      <c r="V2" s="3"/>
      <c r="W2" s="3"/>
      <c r="X2" s="4"/>
      <c r="Y2" s="5"/>
      <c r="Z2" s="4"/>
      <c r="AA2" s="4"/>
      <c r="AB2" s="4"/>
      <c r="AC2" s="5"/>
      <c r="AD2" s="4"/>
      <c r="AE2" s="4"/>
      <c r="AF2" s="6"/>
      <c r="AG2" s="6"/>
      <c r="AH2" s="7"/>
      <c r="AI2" s="7"/>
      <c r="AJ2" s="7"/>
      <c r="AK2" s="7"/>
      <c r="AL2" s="6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 x14ac:dyDescent="0.25">
      <c r="A3" s="1" t="s">
        <v>2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3"/>
      <c r="V3" s="3"/>
      <c r="W3" s="3"/>
      <c r="X3" s="4"/>
      <c r="Y3" s="5"/>
      <c r="Z3" s="4"/>
      <c r="AA3" s="4"/>
      <c r="AB3" s="4"/>
      <c r="AC3" s="5"/>
      <c r="AD3" s="4"/>
      <c r="AE3" s="4"/>
      <c r="AF3" s="6"/>
      <c r="AG3" s="6"/>
      <c r="AH3" s="7"/>
      <c r="AI3" s="7"/>
      <c r="AJ3" s="7"/>
      <c r="AK3" s="7"/>
      <c r="AL3" s="6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 ht="13.9" customHeight="1" x14ac:dyDescent="0.25">
      <c r="A4" s="130" t="s">
        <v>4</v>
      </c>
      <c r="B4" s="130" t="s">
        <v>5</v>
      </c>
      <c r="C4" s="119" t="s">
        <v>6</v>
      </c>
      <c r="D4" s="119" t="s">
        <v>7</v>
      </c>
      <c r="E4" s="119" t="s">
        <v>8</v>
      </c>
      <c r="F4" s="119" t="s">
        <v>9</v>
      </c>
      <c r="G4" s="120" t="s">
        <v>10</v>
      </c>
      <c r="H4" s="120"/>
      <c r="I4" s="120"/>
      <c r="J4" s="120"/>
      <c r="K4" s="119" t="s">
        <v>11</v>
      </c>
      <c r="L4" s="119" t="s">
        <v>12</v>
      </c>
      <c r="M4" s="120" t="s">
        <v>13</v>
      </c>
      <c r="N4" s="120"/>
      <c r="O4" s="120"/>
      <c r="P4" s="120"/>
      <c r="Q4" s="120"/>
      <c r="R4" s="120"/>
      <c r="S4" s="131" t="s">
        <v>14</v>
      </c>
      <c r="T4" s="138" t="s">
        <v>15</v>
      </c>
      <c r="U4" s="139"/>
      <c r="V4" s="124" t="s">
        <v>16</v>
      </c>
      <c r="W4" s="131" t="s">
        <v>17</v>
      </c>
      <c r="X4" s="131" t="s">
        <v>18</v>
      </c>
      <c r="Y4" s="131" t="s">
        <v>19</v>
      </c>
      <c r="Z4" s="131" t="s">
        <v>20</v>
      </c>
      <c r="AA4" s="134" t="s">
        <v>21</v>
      </c>
      <c r="AB4" s="121"/>
      <c r="AC4" s="131" t="s">
        <v>22</v>
      </c>
      <c r="AD4" s="135" t="s">
        <v>23</v>
      </c>
      <c r="AE4" s="136"/>
      <c r="AF4" s="136"/>
      <c r="AG4" s="137"/>
      <c r="AH4" s="131" t="s">
        <v>24</v>
      </c>
      <c r="AI4" s="124" t="s">
        <v>25</v>
      </c>
      <c r="AJ4" s="127" t="s">
        <v>26</v>
      </c>
      <c r="AK4" s="12"/>
      <c r="AL4" s="12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</row>
    <row r="5" spans="1:134" ht="12.75" customHeight="1" x14ac:dyDescent="0.25">
      <c r="A5" s="130"/>
      <c r="B5" s="130"/>
      <c r="C5" s="119"/>
      <c r="D5" s="119"/>
      <c r="E5" s="119"/>
      <c r="F5" s="119"/>
      <c r="G5" s="120" t="s">
        <v>27</v>
      </c>
      <c r="H5" s="120" t="s">
        <v>28</v>
      </c>
      <c r="I5" s="120" t="s">
        <v>29</v>
      </c>
      <c r="J5" s="131" t="s">
        <v>30</v>
      </c>
      <c r="K5" s="119"/>
      <c r="L5" s="119"/>
      <c r="M5" s="122" t="s">
        <v>27</v>
      </c>
      <c r="N5" s="122" t="s">
        <v>28</v>
      </c>
      <c r="O5" s="122" t="s">
        <v>31</v>
      </c>
      <c r="P5" s="123" t="s">
        <v>32</v>
      </c>
      <c r="Q5" s="123" t="s">
        <v>33</v>
      </c>
      <c r="R5" s="123" t="s">
        <v>34</v>
      </c>
      <c r="S5" s="132"/>
      <c r="T5" s="140"/>
      <c r="U5" s="141"/>
      <c r="V5" s="125"/>
      <c r="W5" s="132"/>
      <c r="X5" s="132"/>
      <c r="Y5" s="132"/>
      <c r="Z5" s="132"/>
      <c r="AA5" s="131" t="s">
        <v>35</v>
      </c>
      <c r="AB5" s="131" t="s">
        <v>36</v>
      </c>
      <c r="AC5" s="132"/>
      <c r="AD5" s="142" t="s">
        <v>37</v>
      </c>
      <c r="AE5" s="143"/>
      <c r="AF5" s="143"/>
      <c r="AG5" s="144"/>
      <c r="AH5" s="132"/>
      <c r="AI5" s="125"/>
      <c r="AJ5" s="128"/>
      <c r="AK5" s="12"/>
      <c r="AL5" s="12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</row>
    <row r="6" spans="1:134" ht="23.25" customHeight="1" x14ac:dyDescent="0.25">
      <c r="A6" s="130"/>
      <c r="B6" s="130"/>
      <c r="C6" s="119"/>
      <c r="D6" s="119"/>
      <c r="E6" s="119"/>
      <c r="F6" s="119"/>
      <c r="G6" s="120"/>
      <c r="H6" s="120"/>
      <c r="I6" s="120"/>
      <c r="J6" s="133"/>
      <c r="K6" s="119"/>
      <c r="L6" s="119"/>
      <c r="M6" s="122"/>
      <c r="N6" s="122"/>
      <c r="O6" s="122"/>
      <c r="P6" s="123"/>
      <c r="Q6" s="123"/>
      <c r="R6" s="123"/>
      <c r="S6" s="133"/>
      <c r="T6" s="20" t="s">
        <v>27</v>
      </c>
      <c r="U6" s="20" t="s">
        <v>28</v>
      </c>
      <c r="V6" s="126"/>
      <c r="W6" s="133"/>
      <c r="X6" s="133"/>
      <c r="Y6" s="133"/>
      <c r="Z6" s="133"/>
      <c r="AA6" s="133"/>
      <c r="AB6" s="133"/>
      <c r="AC6" s="133"/>
      <c r="AD6" s="21" t="s">
        <v>38</v>
      </c>
      <c r="AE6" s="8" t="s">
        <v>39</v>
      </c>
      <c r="AF6" s="8" t="s">
        <v>40</v>
      </c>
      <c r="AG6" s="21" t="s">
        <v>41</v>
      </c>
      <c r="AH6" s="133"/>
      <c r="AI6" s="126"/>
      <c r="AJ6" s="129"/>
      <c r="AK6" s="23"/>
      <c r="AL6" s="12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</row>
    <row r="7" spans="1:134" x14ac:dyDescent="0.25">
      <c r="A7" s="24">
        <f>17550+17550</f>
        <v>35100</v>
      </c>
      <c r="B7" s="24">
        <f>17550-14.02+17550-288.76</f>
        <v>34797.219999999994</v>
      </c>
      <c r="C7" s="25">
        <v>0</v>
      </c>
      <c r="D7" s="25">
        <v>0</v>
      </c>
      <c r="E7" s="25">
        <v>0</v>
      </c>
      <c r="F7" s="25">
        <f t="shared" ref="F7:F16" si="0">B7+C7+D7+E7</f>
        <v>34797.219999999994</v>
      </c>
      <c r="G7" s="25">
        <v>1350</v>
      </c>
      <c r="H7" s="26">
        <f>1900+950</f>
        <v>2850</v>
      </c>
      <c r="I7" s="25">
        <f>G7+H7</f>
        <v>4200</v>
      </c>
      <c r="J7" s="25">
        <v>30</v>
      </c>
      <c r="K7" s="25">
        <f>1845.8</f>
        <v>1845.8</v>
      </c>
      <c r="L7" s="25">
        <v>0</v>
      </c>
      <c r="M7" s="25">
        <f>A7*5%/2</f>
        <v>877.5</v>
      </c>
      <c r="N7" s="25">
        <f>M7</f>
        <v>877.5</v>
      </c>
      <c r="O7" s="25">
        <f>M7+N7</f>
        <v>1755</v>
      </c>
      <c r="P7" s="25">
        <v>0</v>
      </c>
      <c r="Q7" s="25">
        <v>0</v>
      </c>
      <c r="R7" s="25">
        <v>0</v>
      </c>
      <c r="S7" s="27">
        <f>(F7-G7-M7-P7-T7-20833)*15%</f>
        <v>1745.5079999999991</v>
      </c>
      <c r="T7" s="25">
        <v>100</v>
      </c>
      <c r="U7" s="25">
        <f>T7</f>
        <v>100</v>
      </c>
      <c r="V7" s="24">
        <v>0</v>
      </c>
      <c r="W7" s="25">
        <v>0</v>
      </c>
      <c r="X7" s="25">
        <v>0</v>
      </c>
      <c r="Y7" s="25">
        <v>0</v>
      </c>
      <c r="Z7" s="25">
        <v>0</v>
      </c>
      <c r="AA7" s="25">
        <v>136.69</v>
      </c>
      <c r="AB7" s="25">
        <v>0</v>
      </c>
      <c r="AC7" s="25">
        <f>F7-G7-K7-L7-M7-S7-T7-V7-W7-X7-Y7-Z7+AA7-AB7</f>
        <v>29015.101999999995</v>
      </c>
      <c r="AD7" s="25">
        <f>5200+5200</f>
        <v>10400</v>
      </c>
      <c r="AE7" s="25">
        <v>0</v>
      </c>
      <c r="AF7" s="28">
        <f>1000+1000</f>
        <v>2000</v>
      </c>
      <c r="AG7" s="29">
        <v>0</v>
      </c>
      <c r="AH7" s="28">
        <v>0</v>
      </c>
      <c r="AI7" s="26">
        <v>0</v>
      </c>
      <c r="AJ7" s="30">
        <f>AC7+AD7+AE7+AF7</f>
        <v>41415.101999999999</v>
      </c>
      <c r="AK7" s="12"/>
      <c r="AL7" s="12"/>
      <c r="AM7" s="31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</row>
    <row r="8" spans="1:134" x14ac:dyDescent="0.25">
      <c r="A8" s="24">
        <f>8364.5+8364.5</f>
        <v>16729</v>
      </c>
      <c r="B8" s="24">
        <f>8364.5-160.34+8364.5-5.34-2244.8</f>
        <v>14318.52</v>
      </c>
      <c r="C8" s="25">
        <v>0</v>
      </c>
      <c r="D8" s="25">
        <v>0</v>
      </c>
      <c r="E8" s="25">
        <v>0</v>
      </c>
      <c r="F8" s="25">
        <f t="shared" si="0"/>
        <v>14318.52</v>
      </c>
      <c r="G8" s="25">
        <v>742.5</v>
      </c>
      <c r="H8" s="26">
        <v>1567.5</v>
      </c>
      <c r="I8" s="25">
        <f>G8+H8</f>
        <v>2310</v>
      </c>
      <c r="J8" s="25">
        <v>30</v>
      </c>
      <c r="K8" s="25">
        <v>1430.49</v>
      </c>
      <c r="L8" s="25">
        <v>0</v>
      </c>
      <c r="M8" s="25">
        <f t="shared" ref="M8:M24" si="1">A8*5%/2</f>
        <v>418.22500000000002</v>
      </c>
      <c r="N8" s="25">
        <f>M8</f>
        <v>418.22500000000002</v>
      </c>
      <c r="O8" s="25">
        <f>M8+N8+0.01</f>
        <v>836.46</v>
      </c>
      <c r="P8" s="25">
        <v>0</v>
      </c>
      <c r="Q8" s="25">
        <v>0</v>
      </c>
      <c r="R8" s="25">
        <v>0</v>
      </c>
      <c r="S8" s="25">
        <v>0</v>
      </c>
      <c r="T8" s="25">
        <v>100</v>
      </c>
      <c r="U8" s="25">
        <f>T8</f>
        <v>100</v>
      </c>
      <c r="V8" s="24">
        <v>950</v>
      </c>
      <c r="W8" s="25">
        <v>0</v>
      </c>
      <c r="X8" s="32">
        <f>500+500</f>
        <v>1000</v>
      </c>
      <c r="Y8" s="25">
        <v>0</v>
      </c>
      <c r="Z8" s="25">
        <v>0</v>
      </c>
      <c r="AA8" s="25"/>
      <c r="AB8" s="25">
        <v>0</v>
      </c>
      <c r="AC8" s="25">
        <f t="shared" ref="AC8:AC42" si="2">F8-G8-K8-L8-M8-S8-T8-V8-W8-X8-Y8-Z8+AA8-AB8</f>
        <v>9677.3050000000003</v>
      </c>
      <c r="AD8" s="25">
        <v>0</v>
      </c>
      <c r="AE8" s="25">
        <v>0</v>
      </c>
      <c r="AF8" s="28">
        <v>0</v>
      </c>
      <c r="AG8" s="25">
        <v>0</v>
      </c>
      <c r="AH8" s="25">
        <v>0</v>
      </c>
      <c r="AI8" s="25">
        <v>0</v>
      </c>
      <c r="AJ8" s="30">
        <f t="shared" ref="AJ8:AJ42" si="3">AC8+AD8+AE8+AF8</f>
        <v>9677.3050000000003</v>
      </c>
      <c r="AK8" s="12"/>
      <c r="AL8" s="12"/>
      <c r="AM8" s="31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</row>
    <row r="9" spans="1:134" s="34" customFormat="1" ht="12.75" x14ac:dyDescent="0.2">
      <c r="A9" s="33">
        <f>16000</f>
        <v>16000</v>
      </c>
      <c r="B9" s="24">
        <f>8000-306.72+8000-150.8-306.71</f>
        <v>15235.77</v>
      </c>
      <c r="C9" s="25">
        <v>0</v>
      </c>
      <c r="D9" s="25">
        <v>0</v>
      </c>
      <c r="E9" s="25">
        <v>95.85</v>
      </c>
      <c r="F9" s="25">
        <f t="shared" si="0"/>
        <v>15331.62</v>
      </c>
      <c r="G9" s="25">
        <v>720</v>
      </c>
      <c r="H9" s="26">
        <v>1520</v>
      </c>
      <c r="I9" s="25">
        <f>G9+H9</f>
        <v>2240</v>
      </c>
      <c r="J9" s="26">
        <v>30</v>
      </c>
      <c r="K9" s="25">
        <v>0</v>
      </c>
      <c r="L9" s="25">
        <v>0</v>
      </c>
      <c r="M9" s="25">
        <f t="shared" si="1"/>
        <v>400</v>
      </c>
      <c r="N9" s="25">
        <f>M9</f>
        <v>400</v>
      </c>
      <c r="O9" s="26">
        <f>M9+N9</f>
        <v>800</v>
      </c>
      <c r="P9" s="25">
        <v>0</v>
      </c>
      <c r="Q9" s="25">
        <v>0</v>
      </c>
      <c r="R9" s="25">
        <v>0</v>
      </c>
      <c r="S9" s="25">
        <v>0</v>
      </c>
      <c r="T9" s="25">
        <v>100</v>
      </c>
      <c r="U9" s="25">
        <f>T9</f>
        <v>100</v>
      </c>
      <c r="V9" s="24">
        <v>0</v>
      </c>
      <c r="W9" s="25">
        <v>0</v>
      </c>
      <c r="X9" s="25">
        <v>0</v>
      </c>
      <c r="Y9" s="25">
        <v>0</v>
      </c>
      <c r="Z9" s="25">
        <v>0</v>
      </c>
      <c r="AA9" s="25"/>
      <c r="AB9" s="25">
        <v>0</v>
      </c>
      <c r="AC9" s="25">
        <f t="shared" si="2"/>
        <v>14111.62</v>
      </c>
      <c r="AD9" s="25">
        <v>0</v>
      </c>
      <c r="AE9" s="25">
        <v>0</v>
      </c>
      <c r="AF9" s="28">
        <v>0</v>
      </c>
      <c r="AG9" s="29">
        <v>0</v>
      </c>
      <c r="AH9" s="28">
        <v>0</v>
      </c>
      <c r="AI9" s="26">
        <v>0</v>
      </c>
      <c r="AJ9" s="30">
        <f t="shared" si="3"/>
        <v>14111.62</v>
      </c>
      <c r="AK9" s="12"/>
      <c r="AL9" s="12"/>
      <c r="AM9" s="31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</row>
    <row r="10" spans="1:134" s="34" customFormat="1" ht="12.75" x14ac:dyDescent="0.2">
      <c r="A10" s="33">
        <f>12500+12500</f>
        <v>25000</v>
      </c>
      <c r="B10" s="24">
        <f>12500-405.36+12500-613.03-1916.94</f>
        <v>22064.670000000002</v>
      </c>
      <c r="C10" s="25">
        <v>0</v>
      </c>
      <c r="D10" s="25">
        <v>0</v>
      </c>
      <c r="E10" s="25">
        <v>0</v>
      </c>
      <c r="F10" s="25">
        <f t="shared" si="0"/>
        <v>22064.670000000002</v>
      </c>
      <c r="G10" s="25">
        <f>900+225</f>
        <v>1125</v>
      </c>
      <c r="H10" s="26">
        <f>1900+475</f>
        <v>2375</v>
      </c>
      <c r="I10" s="25">
        <f t="shared" ref="I10:I39" si="4">G10+H10</f>
        <v>3500</v>
      </c>
      <c r="J10" s="26">
        <v>30</v>
      </c>
      <c r="K10" s="25">
        <v>0</v>
      </c>
      <c r="L10" s="25">
        <v>0</v>
      </c>
      <c r="M10" s="25">
        <f t="shared" si="1"/>
        <v>625</v>
      </c>
      <c r="N10" s="25">
        <f>M10</f>
        <v>625</v>
      </c>
      <c r="O10" s="26">
        <f t="shared" ref="O10:O39" si="5">M10+N10</f>
        <v>1250</v>
      </c>
      <c r="P10" s="25">
        <v>0</v>
      </c>
      <c r="Q10" s="25">
        <v>0</v>
      </c>
      <c r="R10" s="25">
        <v>0</v>
      </c>
      <c r="S10" s="25">
        <v>0</v>
      </c>
      <c r="T10" s="25">
        <v>100</v>
      </c>
      <c r="U10" s="25">
        <f t="shared" ref="U10:U39" si="6">T10</f>
        <v>100</v>
      </c>
      <c r="V10" s="24"/>
      <c r="W10" s="25"/>
      <c r="X10" s="25"/>
      <c r="Y10" s="25">
        <v>0</v>
      </c>
      <c r="Z10" s="25">
        <v>0</v>
      </c>
      <c r="AA10" s="25">
        <v>1621.86</v>
      </c>
      <c r="AB10" s="25">
        <v>0</v>
      </c>
      <c r="AC10" s="25">
        <f t="shared" si="2"/>
        <v>21836.530000000002</v>
      </c>
      <c r="AD10" s="25">
        <v>0</v>
      </c>
      <c r="AE10" s="25">
        <v>0</v>
      </c>
      <c r="AF10" s="28">
        <v>0</v>
      </c>
      <c r="AG10" s="29"/>
      <c r="AH10" s="28"/>
      <c r="AI10" s="26"/>
      <c r="AJ10" s="30">
        <f t="shared" si="3"/>
        <v>21836.530000000002</v>
      </c>
      <c r="AK10" s="12"/>
      <c r="AL10" s="12"/>
      <c r="AM10" s="31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spans="1:134" x14ac:dyDescent="0.25">
      <c r="A11" s="33">
        <f>9083.75+9083.75</f>
        <v>18167.5</v>
      </c>
      <c r="B11" s="24">
        <f>9083.75-348.26+9083.75</f>
        <v>17819.239999999998</v>
      </c>
      <c r="C11" s="25">
        <v>0</v>
      </c>
      <c r="D11" s="25">
        <v>0</v>
      </c>
      <c r="E11" s="25">
        <v>0</v>
      </c>
      <c r="F11" s="25">
        <f t="shared" si="0"/>
        <v>17819.239999999998</v>
      </c>
      <c r="G11" s="25">
        <v>810</v>
      </c>
      <c r="H11" s="26">
        <v>1710</v>
      </c>
      <c r="I11" s="25">
        <f t="shared" si="4"/>
        <v>2520</v>
      </c>
      <c r="J11" s="26">
        <v>30</v>
      </c>
      <c r="K11" s="25">
        <v>784.46</v>
      </c>
      <c r="L11" s="25">
        <v>0</v>
      </c>
      <c r="M11" s="25">
        <f t="shared" si="1"/>
        <v>454.1875</v>
      </c>
      <c r="N11" s="25">
        <f t="shared" ref="N11:N39" si="7">M11</f>
        <v>454.1875</v>
      </c>
      <c r="O11" s="26">
        <f t="shared" si="5"/>
        <v>908.375</v>
      </c>
      <c r="P11" s="25">
        <v>0</v>
      </c>
      <c r="Q11" s="25">
        <v>0</v>
      </c>
      <c r="R11" s="25">
        <v>0</v>
      </c>
      <c r="S11" s="25">
        <v>0</v>
      </c>
      <c r="T11" s="25">
        <v>100</v>
      </c>
      <c r="U11" s="25">
        <f t="shared" si="6"/>
        <v>100</v>
      </c>
      <c r="V11" s="24">
        <v>0</v>
      </c>
      <c r="W11" s="25">
        <v>0</v>
      </c>
      <c r="X11" s="25">
        <v>0</v>
      </c>
      <c r="Y11" s="25">
        <v>0</v>
      </c>
      <c r="Z11" s="25">
        <v>0</v>
      </c>
      <c r="AA11" s="25"/>
      <c r="AB11" s="25">
        <v>0</v>
      </c>
      <c r="AC11" s="25">
        <f t="shared" si="2"/>
        <v>15670.592499999999</v>
      </c>
      <c r="AD11" s="25">
        <v>0</v>
      </c>
      <c r="AE11" s="25">
        <v>0</v>
      </c>
      <c r="AF11" s="28">
        <v>0</v>
      </c>
      <c r="AG11" s="29">
        <v>0</v>
      </c>
      <c r="AH11" s="28">
        <v>0</v>
      </c>
      <c r="AI11" s="26">
        <v>0</v>
      </c>
      <c r="AJ11" s="30">
        <f t="shared" si="3"/>
        <v>15670.592499999999</v>
      </c>
      <c r="AK11" s="12" t="s">
        <v>23</v>
      </c>
      <c r="AL11" s="12"/>
      <c r="AM11" s="31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</row>
    <row r="12" spans="1:134" s="38" customFormat="1" ht="9" customHeight="1" x14ac:dyDescent="0.25">
      <c r="A12" s="33">
        <f>150000+30000</f>
        <v>180000</v>
      </c>
      <c r="B12" s="24">
        <f>A12</f>
        <v>180000</v>
      </c>
      <c r="C12" s="25">
        <v>0</v>
      </c>
      <c r="D12" s="25">
        <v>0</v>
      </c>
      <c r="E12" s="25">
        <v>0</v>
      </c>
      <c r="F12" s="25">
        <f t="shared" si="0"/>
        <v>180000</v>
      </c>
      <c r="G12" s="25">
        <f>900+450</f>
        <v>1350</v>
      </c>
      <c r="H12" s="26">
        <f>1900+950</f>
        <v>2850</v>
      </c>
      <c r="I12" s="25">
        <f t="shared" si="4"/>
        <v>4200</v>
      </c>
      <c r="J12" s="26">
        <v>30</v>
      </c>
      <c r="K12" s="25">
        <v>0</v>
      </c>
      <c r="L12" s="25">
        <v>0</v>
      </c>
      <c r="M12" s="25">
        <v>2500</v>
      </c>
      <c r="N12" s="25">
        <f t="shared" si="7"/>
        <v>2500</v>
      </c>
      <c r="O12" s="26">
        <f t="shared" si="5"/>
        <v>5000</v>
      </c>
      <c r="P12" s="25">
        <v>0</v>
      </c>
      <c r="Q12" s="25">
        <v>0</v>
      </c>
      <c r="R12" s="25">
        <f>P12+Q12</f>
        <v>0</v>
      </c>
      <c r="S12" s="25">
        <f>(F12-G12-M12-T12-166667)*30%+33541.8</f>
        <v>36356.700000000004</v>
      </c>
      <c r="T12" s="25">
        <v>100</v>
      </c>
      <c r="U12" s="25">
        <f t="shared" si="6"/>
        <v>100</v>
      </c>
      <c r="V12" s="24">
        <v>0</v>
      </c>
      <c r="W12" s="25">
        <v>0</v>
      </c>
      <c r="X12" s="25">
        <v>0</v>
      </c>
      <c r="Y12" s="25">
        <v>0</v>
      </c>
      <c r="Z12" s="25">
        <v>0</v>
      </c>
      <c r="AA12" s="25"/>
      <c r="AB12" s="25">
        <v>0</v>
      </c>
      <c r="AC12" s="25">
        <f t="shared" si="2"/>
        <v>139693.29999999999</v>
      </c>
      <c r="AD12" s="25">
        <v>0</v>
      </c>
      <c r="AE12" s="25">
        <v>0</v>
      </c>
      <c r="AF12" s="28">
        <v>0</v>
      </c>
      <c r="AG12" s="29">
        <v>0</v>
      </c>
      <c r="AH12" s="28">
        <v>0</v>
      </c>
      <c r="AI12" s="26">
        <v>0</v>
      </c>
      <c r="AJ12" s="30">
        <f t="shared" si="3"/>
        <v>139693.29999999999</v>
      </c>
      <c r="AK12" s="35">
        <v>90000</v>
      </c>
      <c r="AL12" s="35">
        <f>90000-G12-M12-S12-T12</f>
        <v>49693.299999999996</v>
      </c>
      <c r="AM12" s="36">
        <f>AK12+AL12</f>
        <v>139693.29999999999</v>
      </c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</row>
    <row r="13" spans="1:134" x14ac:dyDescent="0.25">
      <c r="A13" s="33">
        <f>10706+10706</f>
        <v>21412</v>
      </c>
      <c r="B13" s="24">
        <f>10706+10706-75.25</f>
        <v>21336.75</v>
      </c>
      <c r="C13" s="25">
        <v>0</v>
      </c>
      <c r="D13" s="25">
        <v>0</v>
      </c>
      <c r="E13" s="25">
        <f>1539.15+513.05</f>
        <v>2052.1999999999998</v>
      </c>
      <c r="F13" s="25">
        <f t="shared" si="0"/>
        <v>23388.95</v>
      </c>
      <c r="G13" s="25">
        <v>967.5</v>
      </c>
      <c r="H13" s="26">
        <f>1900+142.5</f>
        <v>2042.5</v>
      </c>
      <c r="I13" s="25">
        <f t="shared" si="4"/>
        <v>3010</v>
      </c>
      <c r="J13" s="26">
        <v>30</v>
      </c>
      <c r="K13" s="25">
        <v>0</v>
      </c>
      <c r="L13" s="25">
        <v>0</v>
      </c>
      <c r="M13" s="25">
        <f t="shared" si="1"/>
        <v>535.30000000000007</v>
      </c>
      <c r="N13" s="25">
        <f t="shared" si="7"/>
        <v>535.30000000000007</v>
      </c>
      <c r="O13" s="26">
        <f t="shared" si="5"/>
        <v>1070.6000000000001</v>
      </c>
      <c r="P13" s="25">
        <v>0</v>
      </c>
      <c r="Q13" s="25">
        <v>0</v>
      </c>
      <c r="R13" s="25">
        <v>0</v>
      </c>
      <c r="S13" s="27">
        <f>(F13-G13-M13-P13-T13-20833)*15%</f>
        <v>142.97250000000022</v>
      </c>
      <c r="T13" s="25">
        <v>100</v>
      </c>
      <c r="U13" s="25">
        <f t="shared" si="6"/>
        <v>100</v>
      </c>
      <c r="V13" s="24">
        <v>3680.46</v>
      </c>
      <c r="W13" s="25">
        <v>0</v>
      </c>
      <c r="X13" s="32">
        <f>1500+1500</f>
        <v>3000</v>
      </c>
      <c r="Y13" s="25">
        <v>0</v>
      </c>
      <c r="Z13" s="25">
        <v>0</v>
      </c>
      <c r="AA13" s="25">
        <v>0.61</v>
      </c>
      <c r="AB13" s="25">
        <v>0</v>
      </c>
      <c r="AC13" s="25">
        <f t="shared" si="2"/>
        <v>14963.327500000003</v>
      </c>
      <c r="AD13" s="25">
        <f>2550+2550</f>
        <v>5100</v>
      </c>
      <c r="AE13" s="25">
        <v>0</v>
      </c>
      <c r="AF13" s="28">
        <v>0</v>
      </c>
      <c r="AG13" s="29">
        <v>0</v>
      </c>
      <c r="AH13" s="28">
        <v>0</v>
      </c>
      <c r="AI13" s="26">
        <v>0</v>
      </c>
      <c r="AJ13" s="30">
        <f t="shared" si="3"/>
        <v>20063.327500000003</v>
      </c>
      <c r="AK13" s="12"/>
      <c r="AL13" s="12"/>
      <c r="AM13" s="31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</row>
    <row r="14" spans="1:134" x14ac:dyDescent="0.25">
      <c r="A14" s="33">
        <f>8000+8000</f>
        <v>16000</v>
      </c>
      <c r="B14" s="24">
        <f>8000-5.11+8000-2.56</f>
        <v>15992.33</v>
      </c>
      <c r="C14" s="25">
        <v>0</v>
      </c>
      <c r="D14" s="25">
        <v>0</v>
      </c>
      <c r="E14" s="25">
        <f>670.95+670.95</f>
        <v>1341.9</v>
      </c>
      <c r="F14" s="25">
        <f t="shared" si="0"/>
        <v>17334.23</v>
      </c>
      <c r="G14" s="25">
        <v>720</v>
      </c>
      <c r="H14" s="26">
        <v>1520</v>
      </c>
      <c r="I14" s="25">
        <f t="shared" si="4"/>
        <v>2240</v>
      </c>
      <c r="J14" s="26">
        <v>30</v>
      </c>
      <c r="K14" s="25">
        <v>0</v>
      </c>
      <c r="L14" s="25">
        <v>0</v>
      </c>
      <c r="M14" s="25">
        <f t="shared" si="1"/>
        <v>400</v>
      </c>
      <c r="N14" s="25">
        <f t="shared" si="7"/>
        <v>400</v>
      </c>
      <c r="O14" s="26">
        <f t="shared" si="5"/>
        <v>800</v>
      </c>
      <c r="P14" s="25">
        <v>0</v>
      </c>
      <c r="Q14" s="25">
        <v>0</v>
      </c>
      <c r="R14" s="25">
        <v>0</v>
      </c>
      <c r="S14" s="25">
        <v>0</v>
      </c>
      <c r="T14" s="25">
        <v>100</v>
      </c>
      <c r="U14" s="25">
        <f t="shared" si="6"/>
        <v>100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/>
      <c r="AB14" s="25">
        <v>0</v>
      </c>
      <c r="AC14" s="25">
        <f t="shared" si="2"/>
        <v>16114.23</v>
      </c>
      <c r="AD14" s="25">
        <v>0</v>
      </c>
      <c r="AE14" s="25">
        <v>0</v>
      </c>
      <c r="AF14" s="28">
        <v>0</v>
      </c>
      <c r="AG14" s="29">
        <v>0</v>
      </c>
      <c r="AH14" s="28">
        <v>0</v>
      </c>
      <c r="AI14" s="26">
        <v>0</v>
      </c>
      <c r="AJ14" s="30">
        <f t="shared" si="3"/>
        <v>16114.23</v>
      </c>
      <c r="AK14" s="12"/>
      <c r="AL14" s="12"/>
      <c r="AM14" s="31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</row>
    <row r="15" spans="1:134" ht="14.25" customHeight="1" x14ac:dyDescent="0.25">
      <c r="A15" s="33">
        <f>9500+9500</f>
        <v>19000</v>
      </c>
      <c r="B15" s="24">
        <f>9500-42.49+9500-42.49</f>
        <v>18915.02</v>
      </c>
      <c r="C15" s="25">
        <v>0</v>
      </c>
      <c r="D15" s="25">
        <v>0</v>
      </c>
      <c r="E15" s="25">
        <v>0</v>
      </c>
      <c r="F15" s="25">
        <f t="shared" si="0"/>
        <v>18915.02</v>
      </c>
      <c r="G15" s="25">
        <v>855</v>
      </c>
      <c r="H15" s="26">
        <v>1805</v>
      </c>
      <c r="I15" s="25">
        <f t="shared" si="4"/>
        <v>2660</v>
      </c>
      <c r="J15" s="25">
        <v>30</v>
      </c>
      <c r="K15" s="25">
        <v>1753.51</v>
      </c>
      <c r="L15" s="25">
        <v>0</v>
      </c>
      <c r="M15" s="25">
        <f t="shared" si="1"/>
        <v>475</v>
      </c>
      <c r="N15" s="25">
        <f t="shared" si="7"/>
        <v>475</v>
      </c>
      <c r="O15" s="26">
        <f t="shared" si="5"/>
        <v>950</v>
      </c>
      <c r="P15" s="25">
        <v>0</v>
      </c>
      <c r="Q15" s="25">
        <v>0</v>
      </c>
      <c r="R15" s="25">
        <v>0</v>
      </c>
      <c r="S15" s="25">
        <v>0</v>
      </c>
      <c r="T15" s="25">
        <v>100</v>
      </c>
      <c r="U15" s="25">
        <f t="shared" si="6"/>
        <v>100</v>
      </c>
      <c r="V15" s="24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f t="shared" si="2"/>
        <v>15731.51</v>
      </c>
      <c r="AD15" s="25">
        <f>3100+3100</f>
        <v>6200</v>
      </c>
      <c r="AE15" s="25">
        <v>0</v>
      </c>
      <c r="AF15" s="28">
        <v>0</v>
      </c>
      <c r="AG15" s="29">
        <v>0</v>
      </c>
      <c r="AH15" s="28">
        <v>0</v>
      </c>
      <c r="AI15" s="26">
        <v>0</v>
      </c>
      <c r="AJ15" s="30">
        <f t="shared" si="3"/>
        <v>21931.510000000002</v>
      </c>
      <c r="AK15" s="12"/>
      <c r="AL15" s="12"/>
      <c r="AM15" s="31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</row>
    <row r="16" spans="1:134" ht="14.25" customHeight="1" x14ac:dyDescent="0.25">
      <c r="A16" s="33">
        <f>7585+7585</f>
        <v>15170</v>
      </c>
      <c r="B16" s="24">
        <f>7585-47.26-1454+7585-16.96-581.6</f>
        <v>13070.18</v>
      </c>
      <c r="C16" s="25">
        <v>0</v>
      </c>
      <c r="D16" s="25">
        <v>1163.2</v>
      </c>
      <c r="E16" s="25">
        <v>0</v>
      </c>
      <c r="F16" s="25">
        <f t="shared" si="0"/>
        <v>14233.380000000001</v>
      </c>
      <c r="G16" s="25">
        <v>675</v>
      </c>
      <c r="H16" s="26">
        <v>1425</v>
      </c>
      <c r="I16" s="25">
        <f t="shared" si="4"/>
        <v>2100</v>
      </c>
      <c r="J16" s="26">
        <v>30</v>
      </c>
      <c r="K16" s="25">
        <v>1384.35</v>
      </c>
      <c r="L16" s="25">
        <v>0</v>
      </c>
      <c r="M16" s="25">
        <f t="shared" si="1"/>
        <v>379.25</v>
      </c>
      <c r="N16" s="25">
        <f t="shared" si="7"/>
        <v>379.25</v>
      </c>
      <c r="O16" s="26">
        <f t="shared" si="5"/>
        <v>758.5</v>
      </c>
      <c r="P16" s="25">
        <v>0</v>
      </c>
      <c r="Q16" s="25">
        <v>0</v>
      </c>
      <c r="R16" s="25">
        <v>0</v>
      </c>
      <c r="S16" s="25">
        <v>0</v>
      </c>
      <c r="T16" s="25">
        <v>100</v>
      </c>
      <c r="U16" s="25">
        <f t="shared" si="6"/>
        <v>100</v>
      </c>
      <c r="V16" s="24">
        <v>398.91</v>
      </c>
      <c r="W16" s="25">
        <v>0</v>
      </c>
      <c r="X16" s="39">
        <f>1000+1000</f>
        <v>2000</v>
      </c>
      <c r="Y16" s="25">
        <v>0</v>
      </c>
      <c r="Z16" s="25">
        <v>0</v>
      </c>
      <c r="AA16" s="25"/>
      <c r="AB16" s="25">
        <v>0</v>
      </c>
      <c r="AC16" s="25">
        <f t="shared" si="2"/>
        <v>9295.8700000000008</v>
      </c>
      <c r="AD16" s="25">
        <v>0</v>
      </c>
      <c r="AE16" s="25">
        <v>0</v>
      </c>
      <c r="AF16" s="28">
        <v>0</v>
      </c>
      <c r="AG16" s="29">
        <v>0</v>
      </c>
      <c r="AH16" s="28">
        <v>0</v>
      </c>
      <c r="AI16" s="26">
        <v>0</v>
      </c>
      <c r="AJ16" s="30">
        <f t="shared" si="3"/>
        <v>9295.8700000000008</v>
      </c>
      <c r="AK16" s="12"/>
      <c r="AL16" s="12"/>
      <c r="AM16" s="31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</row>
    <row r="17" spans="1:134" ht="14.25" customHeight="1" x14ac:dyDescent="0.25">
      <c r="A17" s="33">
        <v>17000</v>
      </c>
      <c r="B17" s="24">
        <f>8500-165.66+8500-36.66-977.64</f>
        <v>15820.04</v>
      </c>
      <c r="C17" s="25">
        <v>0</v>
      </c>
      <c r="D17" s="25">
        <v>0</v>
      </c>
      <c r="E17" s="25">
        <v>0</v>
      </c>
      <c r="F17" s="25">
        <f>B17+C17+D17+E17</f>
        <v>15820.04</v>
      </c>
      <c r="G17" s="25">
        <v>765</v>
      </c>
      <c r="H17" s="26">
        <v>1615</v>
      </c>
      <c r="I17" s="25">
        <f t="shared" si="4"/>
        <v>2380</v>
      </c>
      <c r="J17" s="25">
        <v>30</v>
      </c>
      <c r="K17" s="25">
        <v>0</v>
      </c>
      <c r="L17" s="25">
        <v>0</v>
      </c>
      <c r="M17" s="25">
        <f t="shared" si="1"/>
        <v>425</v>
      </c>
      <c r="N17" s="25">
        <f t="shared" si="7"/>
        <v>425</v>
      </c>
      <c r="O17" s="26">
        <f t="shared" si="5"/>
        <v>850</v>
      </c>
      <c r="P17" s="25">
        <v>0</v>
      </c>
      <c r="Q17" s="25">
        <v>0</v>
      </c>
      <c r="R17" s="25">
        <v>0</v>
      </c>
      <c r="S17" s="25">
        <v>0</v>
      </c>
      <c r="T17" s="25">
        <v>100</v>
      </c>
      <c r="U17" s="25">
        <f t="shared" si="6"/>
        <v>100</v>
      </c>
      <c r="V17" s="24">
        <v>0</v>
      </c>
      <c r="W17" s="25">
        <v>0</v>
      </c>
      <c r="X17" s="22"/>
      <c r="Y17" s="25">
        <v>0</v>
      </c>
      <c r="Z17" s="25">
        <v>0</v>
      </c>
      <c r="AA17" s="25"/>
      <c r="AB17" s="25">
        <v>0</v>
      </c>
      <c r="AC17" s="25">
        <f t="shared" si="2"/>
        <v>14530.04</v>
      </c>
      <c r="AD17" s="25">
        <v>0</v>
      </c>
      <c r="AE17" s="25">
        <v>0</v>
      </c>
      <c r="AF17" s="28">
        <v>0</v>
      </c>
      <c r="AG17" s="29"/>
      <c r="AH17" s="28"/>
      <c r="AI17" s="26"/>
      <c r="AJ17" s="30">
        <f t="shared" si="3"/>
        <v>14530.04</v>
      </c>
      <c r="AK17" s="12"/>
      <c r="AL17" s="12"/>
      <c r="AM17" s="31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</row>
    <row r="18" spans="1:134" x14ac:dyDescent="0.25">
      <c r="A18" s="40">
        <f>12568.5+12568.5</f>
        <v>25137</v>
      </c>
      <c r="B18" s="24">
        <f>12568.5-122.47+12568.5-58.22</f>
        <v>24956.309999999998</v>
      </c>
      <c r="C18" s="25">
        <v>0</v>
      </c>
      <c r="D18" s="25">
        <v>0</v>
      </c>
      <c r="E18" s="25">
        <v>0</v>
      </c>
      <c r="F18" s="25">
        <f t="shared" ref="F18:F35" si="8">B18+C18+D18+E18</f>
        <v>24956.309999999998</v>
      </c>
      <c r="G18" s="25">
        <v>1125</v>
      </c>
      <c r="H18" s="26">
        <f>1900+475</f>
        <v>2375</v>
      </c>
      <c r="I18" s="25">
        <f t="shared" si="4"/>
        <v>3500</v>
      </c>
      <c r="J18" s="25">
        <v>30</v>
      </c>
      <c r="K18" s="25">
        <v>1845.8</v>
      </c>
      <c r="L18" s="25">
        <v>0</v>
      </c>
      <c r="M18" s="25">
        <f t="shared" si="1"/>
        <v>628.42500000000007</v>
      </c>
      <c r="N18" s="25">
        <f t="shared" si="7"/>
        <v>628.42500000000007</v>
      </c>
      <c r="O18" s="26">
        <f>M18+N18+0.01</f>
        <v>1256.8600000000001</v>
      </c>
      <c r="P18" s="25">
        <v>0</v>
      </c>
      <c r="Q18" s="25">
        <v>0</v>
      </c>
      <c r="R18" s="25">
        <v>0</v>
      </c>
      <c r="S18" s="27">
        <f>(F18-G18-M18-P18-T18-20833)*15%</f>
        <v>340.48274999999973</v>
      </c>
      <c r="T18" s="25">
        <v>100</v>
      </c>
      <c r="U18" s="25">
        <f t="shared" si="6"/>
        <v>100</v>
      </c>
      <c r="V18" s="24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f t="shared" si="2"/>
        <v>20916.60225</v>
      </c>
      <c r="AD18" s="25">
        <v>0</v>
      </c>
      <c r="AE18" s="25">
        <v>0</v>
      </c>
      <c r="AF18" s="28">
        <v>0</v>
      </c>
      <c r="AG18" s="29">
        <v>0</v>
      </c>
      <c r="AH18" s="28">
        <v>0</v>
      </c>
      <c r="AI18" s="26">
        <v>0</v>
      </c>
      <c r="AJ18" s="30">
        <f t="shared" si="3"/>
        <v>20916.60225</v>
      </c>
      <c r="AK18" s="41"/>
      <c r="AL18" s="12"/>
      <c r="AM18" s="31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</row>
    <row r="19" spans="1:134" x14ac:dyDescent="0.25">
      <c r="A19" s="33">
        <f>9646+9646</f>
        <v>19292</v>
      </c>
      <c r="B19" s="24">
        <f>9646-254.24-2218.89+9646-257.32-369.8</f>
        <v>16191.750000000004</v>
      </c>
      <c r="C19" s="25">
        <v>0</v>
      </c>
      <c r="D19" s="25">
        <v>0</v>
      </c>
      <c r="E19" s="25">
        <v>577.80999999999995</v>
      </c>
      <c r="F19" s="25">
        <f t="shared" si="8"/>
        <v>16769.560000000005</v>
      </c>
      <c r="G19" s="26">
        <v>877.5</v>
      </c>
      <c r="H19" s="26">
        <v>1852.5</v>
      </c>
      <c r="I19" s="25">
        <f t="shared" si="4"/>
        <v>2730</v>
      </c>
      <c r="J19" s="26">
        <v>30</v>
      </c>
      <c r="K19" s="25">
        <v>1799.65</v>
      </c>
      <c r="L19" s="25">
        <v>0</v>
      </c>
      <c r="M19" s="25">
        <f t="shared" si="1"/>
        <v>482.3</v>
      </c>
      <c r="N19" s="25">
        <f t="shared" si="7"/>
        <v>482.3</v>
      </c>
      <c r="O19" s="26">
        <f t="shared" si="5"/>
        <v>964.6</v>
      </c>
      <c r="P19" s="25">
        <v>0</v>
      </c>
      <c r="Q19" s="25">
        <v>0</v>
      </c>
      <c r="R19" s="25">
        <f>P19+Q19</f>
        <v>0</v>
      </c>
      <c r="S19" s="25">
        <v>0</v>
      </c>
      <c r="T19" s="25">
        <v>100</v>
      </c>
      <c r="U19" s="25">
        <f t="shared" si="6"/>
        <v>100</v>
      </c>
      <c r="V19" s="24">
        <f>1717.05</f>
        <v>1717.05</v>
      </c>
      <c r="W19" s="25">
        <v>0</v>
      </c>
      <c r="X19" s="25">
        <v>0</v>
      </c>
      <c r="Y19" s="25">
        <v>0</v>
      </c>
      <c r="Z19" s="25">
        <v>0</v>
      </c>
      <c r="AA19" s="25">
        <v>2733.57</v>
      </c>
      <c r="AB19" s="25">
        <v>0</v>
      </c>
      <c r="AC19" s="25">
        <f t="shared" si="2"/>
        <v>14526.630000000006</v>
      </c>
      <c r="AD19" s="25">
        <f>2300-529.08+2300</f>
        <v>4070.92</v>
      </c>
      <c r="AE19" s="25">
        <v>0</v>
      </c>
      <c r="AF19" s="28">
        <v>0</v>
      </c>
      <c r="AG19" s="29">
        <v>0</v>
      </c>
      <c r="AH19" s="28">
        <v>0</v>
      </c>
      <c r="AI19" s="26">
        <v>0</v>
      </c>
      <c r="AJ19" s="30">
        <f t="shared" si="3"/>
        <v>18597.550000000007</v>
      </c>
      <c r="AK19" s="12"/>
      <c r="AL19" s="12"/>
      <c r="AM19" s="31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</row>
    <row r="20" spans="1:134" x14ac:dyDescent="0.25">
      <c r="A20" s="33">
        <f>35000+35000</f>
        <v>70000</v>
      </c>
      <c r="B20" s="24">
        <f>35000-995.2+35000-732.42</f>
        <v>68272.38</v>
      </c>
      <c r="C20" s="25">
        <v>0</v>
      </c>
      <c r="D20" s="25">
        <v>0</v>
      </c>
      <c r="E20" s="25">
        <v>0</v>
      </c>
      <c r="F20" s="25">
        <f t="shared" si="8"/>
        <v>68272.38</v>
      </c>
      <c r="G20" s="25">
        <v>1350</v>
      </c>
      <c r="H20" s="26">
        <v>2850</v>
      </c>
      <c r="I20" s="25">
        <f t="shared" si="4"/>
        <v>4200</v>
      </c>
      <c r="J20" s="26">
        <v>30</v>
      </c>
      <c r="K20" s="25">
        <v>1845.8</v>
      </c>
      <c r="L20" s="25">
        <v>0</v>
      </c>
      <c r="M20" s="25">
        <f t="shared" si="1"/>
        <v>1750</v>
      </c>
      <c r="N20" s="25">
        <f t="shared" si="7"/>
        <v>1750</v>
      </c>
      <c r="O20" s="26">
        <f t="shared" si="5"/>
        <v>3500</v>
      </c>
      <c r="P20" s="25">
        <v>0</v>
      </c>
      <c r="Q20" s="25">
        <v>0</v>
      </c>
      <c r="R20" s="25">
        <v>0</v>
      </c>
      <c r="S20" s="25">
        <f>(F20-G20-M20-P20-T20-33333)*20%+1875</f>
        <v>8222.8760000000002</v>
      </c>
      <c r="T20" s="25">
        <v>100</v>
      </c>
      <c r="U20" s="25">
        <f t="shared" si="6"/>
        <v>100</v>
      </c>
      <c r="V20" s="25">
        <v>3826.05</v>
      </c>
      <c r="W20" s="25">
        <v>0</v>
      </c>
      <c r="X20" s="25">
        <v>0</v>
      </c>
      <c r="Y20" s="25">
        <f>10000+8157.16</f>
        <v>18157.16</v>
      </c>
      <c r="Z20" s="25">
        <v>0</v>
      </c>
      <c r="AA20" s="25">
        <v>305.57</v>
      </c>
      <c r="AB20" s="25">
        <v>0</v>
      </c>
      <c r="AC20" s="25">
        <f t="shared" si="2"/>
        <v>33326.063999999991</v>
      </c>
      <c r="AD20" s="25">
        <v>0</v>
      </c>
      <c r="AE20" s="25">
        <v>0</v>
      </c>
      <c r="AF20" s="28">
        <f>1000+1000</f>
        <v>2000</v>
      </c>
      <c r="AG20" s="29">
        <v>0</v>
      </c>
      <c r="AH20" s="28">
        <v>0</v>
      </c>
      <c r="AI20" s="26">
        <v>0</v>
      </c>
      <c r="AJ20" s="30">
        <f t="shared" si="3"/>
        <v>35326.063999999991</v>
      </c>
      <c r="AK20" s="12"/>
      <c r="AL20" s="12"/>
      <c r="AM20" s="31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</row>
    <row r="21" spans="1:134" x14ac:dyDescent="0.25">
      <c r="A21" s="33">
        <f>7040+7040</f>
        <v>14080</v>
      </c>
      <c r="B21" s="24">
        <f>7040-132.71-404.88-809.72+7040-23.62-1619.43</f>
        <v>11089.639999999998</v>
      </c>
      <c r="C21" s="25">
        <v>0</v>
      </c>
      <c r="D21" s="25">
        <v>35</v>
      </c>
      <c r="E21" s="25">
        <f>590.45+674.8</f>
        <v>1265.25</v>
      </c>
      <c r="F21" s="25">
        <f t="shared" si="8"/>
        <v>12389.889999999998</v>
      </c>
      <c r="G21" s="25">
        <v>630</v>
      </c>
      <c r="H21" s="26">
        <v>1330</v>
      </c>
      <c r="I21" s="25">
        <f t="shared" si="4"/>
        <v>1960</v>
      </c>
      <c r="J21" s="26">
        <v>10</v>
      </c>
      <c r="K21" s="25">
        <v>1292.06</v>
      </c>
      <c r="L21" s="25">
        <v>0</v>
      </c>
      <c r="M21" s="25">
        <f t="shared" si="1"/>
        <v>352</v>
      </c>
      <c r="N21" s="25">
        <f t="shared" si="7"/>
        <v>352</v>
      </c>
      <c r="O21" s="26">
        <f t="shared" si="5"/>
        <v>704</v>
      </c>
      <c r="P21" s="25">
        <v>0</v>
      </c>
      <c r="Q21" s="25">
        <v>0</v>
      </c>
      <c r="R21" s="25">
        <v>0</v>
      </c>
      <c r="S21" s="25">
        <v>0</v>
      </c>
      <c r="T21" s="25">
        <v>100</v>
      </c>
      <c r="U21" s="25">
        <f t="shared" si="6"/>
        <v>100</v>
      </c>
      <c r="V21" s="24">
        <v>0</v>
      </c>
      <c r="W21" s="25">
        <v>0</v>
      </c>
      <c r="X21" s="25">
        <v>0</v>
      </c>
      <c r="Y21" s="25">
        <v>0</v>
      </c>
      <c r="Z21" s="25">
        <v>0</v>
      </c>
      <c r="AA21" s="25"/>
      <c r="AB21" s="25">
        <v>0</v>
      </c>
      <c r="AC21" s="25">
        <f t="shared" si="2"/>
        <v>10015.829999999998</v>
      </c>
      <c r="AD21" s="25">
        <v>0</v>
      </c>
      <c r="AE21" s="25">
        <v>0</v>
      </c>
      <c r="AF21" s="28">
        <v>0</v>
      </c>
      <c r="AG21" s="29">
        <v>0</v>
      </c>
      <c r="AH21" s="28">
        <v>0</v>
      </c>
      <c r="AI21" s="26">
        <v>0</v>
      </c>
      <c r="AJ21" s="30">
        <f t="shared" si="3"/>
        <v>10015.829999999998</v>
      </c>
      <c r="AK21" s="41" t="s">
        <v>23</v>
      </c>
      <c r="AL21" s="12"/>
      <c r="AM21" s="31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</row>
    <row r="22" spans="1:134" x14ac:dyDescent="0.25">
      <c r="A22" s="33">
        <f>10570+10570</f>
        <v>21140</v>
      </c>
      <c r="B22" s="24">
        <f>10570-236.39+10570-103-405.24</f>
        <v>20395.37</v>
      </c>
      <c r="C22" s="25">
        <v>0</v>
      </c>
      <c r="D22" s="25">
        <v>0</v>
      </c>
      <c r="E22" s="25">
        <v>0</v>
      </c>
      <c r="F22" s="25">
        <f t="shared" si="8"/>
        <v>20395.37</v>
      </c>
      <c r="G22" s="25">
        <v>945</v>
      </c>
      <c r="H22" s="26">
        <f>1900+95</f>
        <v>1995</v>
      </c>
      <c r="I22" s="25">
        <f t="shared" si="4"/>
        <v>2940</v>
      </c>
      <c r="J22" s="26">
        <v>30</v>
      </c>
      <c r="K22" s="25">
        <v>1845.8</v>
      </c>
      <c r="L22" s="25">
        <f>0</f>
        <v>0</v>
      </c>
      <c r="M22" s="25">
        <f t="shared" si="1"/>
        <v>528.5</v>
      </c>
      <c r="N22" s="25">
        <f t="shared" si="7"/>
        <v>528.5</v>
      </c>
      <c r="O22" s="26">
        <f t="shared" si="5"/>
        <v>1057</v>
      </c>
      <c r="P22" s="25">
        <v>0</v>
      </c>
      <c r="Q22" s="25">
        <v>0</v>
      </c>
      <c r="R22" s="25">
        <v>0</v>
      </c>
      <c r="S22" s="26">
        <v>0</v>
      </c>
      <c r="T22" s="25">
        <v>100</v>
      </c>
      <c r="U22" s="25">
        <f t="shared" si="6"/>
        <v>100</v>
      </c>
      <c r="V22" s="24">
        <v>1611.71</v>
      </c>
      <c r="W22" s="25">
        <v>0</v>
      </c>
      <c r="X22" s="32">
        <f>1800+1800</f>
        <v>3600</v>
      </c>
      <c r="Y22" s="25">
        <v>0</v>
      </c>
      <c r="Z22" s="25">
        <v>0</v>
      </c>
      <c r="AA22" s="25">
        <v>0</v>
      </c>
      <c r="AB22" s="25">
        <v>0</v>
      </c>
      <c r="AC22" s="25">
        <f t="shared" si="2"/>
        <v>11764.36</v>
      </c>
      <c r="AD22" s="25">
        <v>0</v>
      </c>
      <c r="AE22" s="25">
        <v>0</v>
      </c>
      <c r="AF22" s="28">
        <v>0</v>
      </c>
      <c r="AG22" s="29">
        <v>0</v>
      </c>
      <c r="AH22" s="28">
        <v>0</v>
      </c>
      <c r="AI22" s="26">
        <v>0</v>
      </c>
      <c r="AJ22" s="30">
        <f t="shared" si="3"/>
        <v>11764.36</v>
      </c>
      <c r="AK22" s="12"/>
      <c r="AL22" s="12"/>
      <c r="AM22" s="31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</row>
    <row r="23" spans="1:134" s="43" customFormat="1" ht="13.15" customHeight="1" x14ac:dyDescent="0.2">
      <c r="A23" s="33">
        <f>8382+8382</f>
        <v>16764</v>
      </c>
      <c r="B23" s="24">
        <f>8382-45.53+8382-6.69</f>
        <v>16711.780000000002</v>
      </c>
      <c r="C23" s="25">
        <v>0</v>
      </c>
      <c r="D23" s="25">
        <v>0</v>
      </c>
      <c r="E23" s="25">
        <f>1305.52+1355.74</f>
        <v>2661.26</v>
      </c>
      <c r="F23" s="26">
        <f t="shared" si="8"/>
        <v>19373.04</v>
      </c>
      <c r="G23" s="25">
        <v>765</v>
      </c>
      <c r="H23" s="26">
        <v>1615</v>
      </c>
      <c r="I23" s="25">
        <f t="shared" si="4"/>
        <v>2380</v>
      </c>
      <c r="J23" s="26">
        <v>30</v>
      </c>
      <c r="K23" s="25">
        <v>1522.78</v>
      </c>
      <c r="L23" s="25">
        <v>0</v>
      </c>
      <c r="M23" s="25">
        <f t="shared" si="1"/>
        <v>419.1</v>
      </c>
      <c r="N23" s="25">
        <f t="shared" si="7"/>
        <v>419.1</v>
      </c>
      <c r="O23" s="26">
        <f t="shared" si="5"/>
        <v>838.2</v>
      </c>
      <c r="P23" s="25">
        <v>0</v>
      </c>
      <c r="Q23" s="25">
        <v>0</v>
      </c>
      <c r="R23" s="25">
        <v>0</v>
      </c>
      <c r="S23" s="25">
        <v>0</v>
      </c>
      <c r="T23" s="26">
        <v>100</v>
      </c>
      <c r="U23" s="26">
        <f t="shared" si="6"/>
        <v>100</v>
      </c>
      <c r="V23" s="29">
        <v>0</v>
      </c>
      <c r="W23" s="29">
        <v>0</v>
      </c>
      <c r="X23" s="42">
        <f>1000+1000</f>
        <v>2000</v>
      </c>
      <c r="Y23" s="25">
        <v>0</v>
      </c>
      <c r="Z23" s="25">
        <v>0</v>
      </c>
      <c r="AA23" s="25"/>
      <c r="AB23" s="25">
        <v>0</v>
      </c>
      <c r="AC23" s="25">
        <f t="shared" si="2"/>
        <v>14566.160000000003</v>
      </c>
      <c r="AD23" s="25">
        <v>0</v>
      </c>
      <c r="AE23" s="25">
        <v>0</v>
      </c>
      <c r="AF23" s="28">
        <v>0</v>
      </c>
      <c r="AG23" s="29">
        <v>0</v>
      </c>
      <c r="AH23" s="28">
        <v>0</v>
      </c>
      <c r="AI23" s="26">
        <v>0</v>
      </c>
      <c r="AJ23" s="30">
        <f t="shared" si="3"/>
        <v>14566.160000000003</v>
      </c>
      <c r="AK23" s="12"/>
      <c r="AL23" s="12"/>
      <c r="AM23" s="31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</row>
    <row r="24" spans="1:134" x14ac:dyDescent="0.25">
      <c r="A24" s="33">
        <f>11260+11260</f>
        <v>22520</v>
      </c>
      <c r="B24" s="24">
        <f>11260-61.15+11260-25.18</f>
        <v>22433.67</v>
      </c>
      <c r="C24" s="25">
        <v>0</v>
      </c>
      <c r="D24" s="25">
        <v>0</v>
      </c>
      <c r="E24" s="25">
        <f>1146.65+539.6</f>
        <v>1686.25</v>
      </c>
      <c r="F24" s="25">
        <f t="shared" si="8"/>
        <v>24119.919999999998</v>
      </c>
      <c r="G24" s="25">
        <f>900+112.5</f>
        <v>1012.5</v>
      </c>
      <c r="H24" s="26">
        <f>1900+237.5</f>
        <v>2137.5</v>
      </c>
      <c r="I24" s="25">
        <f t="shared" si="4"/>
        <v>3150</v>
      </c>
      <c r="J24" s="26">
        <v>30</v>
      </c>
      <c r="K24" s="25">
        <v>1845.8</v>
      </c>
      <c r="L24" s="25">
        <v>0</v>
      </c>
      <c r="M24" s="25">
        <f t="shared" si="1"/>
        <v>563</v>
      </c>
      <c r="N24" s="25">
        <f t="shared" si="7"/>
        <v>563</v>
      </c>
      <c r="O24" s="26">
        <f t="shared" si="5"/>
        <v>1126</v>
      </c>
      <c r="P24" s="25">
        <v>0</v>
      </c>
      <c r="Q24" s="25">
        <v>0</v>
      </c>
      <c r="R24" s="25">
        <v>0</v>
      </c>
      <c r="S24" s="25">
        <f>(F24-G24-M24-T24-20833)*15%</f>
        <v>241.71299999999974</v>
      </c>
      <c r="T24" s="25">
        <v>100</v>
      </c>
      <c r="U24" s="25">
        <f t="shared" si="6"/>
        <v>100</v>
      </c>
      <c r="V24" s="24">
        <v>1417</v>
      </c>
      <c r="W24" s="25">
        <v>0</v>
      </c>
      <c r="X24" s="25">
        <v>0</v>
      </c>
      <c r="Y24" s="25">
        <v>0</v>
      </c>
      <c r="Z24" s="25">
        <v>0</v>
      </c>
      <c r="AA24" s="25">
        <v>0.63</v>
      </c>
      <c r="AB24" s="25">
        <v>0</v>
      </c>
      <c r="AC24" s="25">
        <f t="shared" si="2"/>
        <v>18940.537</v>
      </c>
      <c r="AD24" s="25">
        <f>1900+1900</f>
        <v>3800</v>
      </c>
      <c r="AE24" s="25">
        <v>0</v>
      </c>
      <c r="AF24" s="28">
        <v>0</v>
      </c>
      <c r="AG24" s="29">
        <v>0</v>
      </c>
      <c r="AH24" s="28">
        <v>0</v>
      </c>
      <c r="AI24" s="26">
        <v>0</v>
      </c>
      <c r="AJ24" s="30">
        <f t="shared" si="3"/>
        <v>22740.537</v>
      </c>
      <c r="AK24" s="12" t="s">
        <v>23</v>
      </c>
      <c r="AL24" s="12"/>
      <c r="AM24" s="31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</row>
    <row r="25" spans="1:134" s="38" customFormat="1" x14ac:dyDescent="0.25">
      <c r="A25" s="33">
        <f>62500+62500</f>
        <v>125000</v>
      </c>
      <c r="B25" s="24">
        <f>A25</f>
        <v>125000</v>
      </c>
      <c r="C25" s="25">
        <v>0</v>
      </c>
      <c r="D25" s="25">
        <v>0</v>
      </c>
      <c r="E25" s="25">
        <v>0</v>
      </c>
      <c r="F25" s="25">
        <f t="shared" si="8"/>
        <v>125000</v>
      </c>
      <c r="G25" s="25">
        <f>900+450</f>
        <v>1350</v>
      </c>
      <c r="H25" s="26">
        <f>1900+950</f>
        <v>2850</v>
      </c>
      <c r="I25" s="25">
        <f t="shared" si="4"/>
        <v>4200</v>
      </c>
      <c r="J25" s="26">
        <v>30</v>
      </c>
      <c r="K25" s="25">
        <v>0</v>
      </c>
      <c r="L25" s="25">
        <v>0</v>
      </c>
      <c r="M25" s="25">
        <f>5000/2</f>
        <v>2500</v>
      </c>
      <c r="N25" s="25">
        <f t="shared" si="7"/>
        <v>2500</v>
      </c>
      <c r="O25" s="26">
        <f t="shared" si="5"/>
        <v>5000</v>
      </c>
      <c r="P25" s="25">
        <v>0</v>
      </c>
      <c r="Q25" s="25">
        <v>0</v>
      </c>
      <c r="R25" s="25">
        <v>0</v>
      </c>
      <c r="S25" s="25">
        <f>(F25-G25-M25-T25-66667)*25%+8541.8</f>
        <v>22137.55</v>
      </c>
      <c r="T25" s="25">
        <v>100</v>
      </c>
      <c r="U25" s="25">
        <f t="shared" si="6"/>
        <v>100</v>
      </c>
      <c r="V25" s="24">
        <v>0</v>
      </c>
      <c r="W25" s="25">
        <v>0</v>
      </c>
      <c r="X25" s="25">
        <v>0</v>
      </c>
      <c r="Y25" s="25">
        <v>0</v>
      </c>
      <c r="Z25" s="25">
        <v>0</v>
      </c>
      <c r="AA25" s="25"/>
      <c r="AB25" s="25">
        <v>0</v>
      </c>
      <c r="AC25" s="25">
        <f t="shared" si="2"/>
        <v>98912.45</v>
      </c>
      <c r="AD25" s="25">
        <v>0</v>
      </c>
      <c r="AE25" s="25">
        <v>0</v>
      </c>
      <c r="AF25" s="28">
        <v>0</v>
      </c>
      <c r="AG25" s="29">
        <v>0</v>
      </c>
      <c r="AH25" s="28">
        <v>0</v>
      </c>
      <c r="AI25" s="26">
        <v>0</v>
      </c>
      <c r="AJ25" s="30">
        <f t="shared" si="3"/>
        <v>98912.45</v>
      </c>
      <c r="AK25" s="35">
        <v>62500</v>
      </c>
      <c r="AL25" s="35">
        <f>62500-G25-M25-S25-T25</f>
        <v>36412.449999999997</v>
      </c>
      <c r="AM25" s="36">
        <f>AK25+AL25</f>
        <v>98912.45</v>
      </c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</row>
    <row r="26" spans="1:134" s="38" customFormat="1" x14ac:dyDescent="0.25">
      <c r="A26" s="33">
        <f>150000+30000</f>
        <v>180000</v>
      </c>
      <c r="B26" s="24">
        <f>A26</f>
        <v>180000</v>
      </c>
      <c r="C26" s="25">
        <v>0</v>
      </c>
      <c r="D26" s="25">
        <v>0</v>
      </c>
      <c r="E26" s="25">
        <v>0</v>
      </c>
      <c r="F26" s="25">
        <f t="shared" si="8"/>
        <v>180000</v>
      </c>
      <c r="G26" s="25">
        <f>900+450</f>
        <v>1350</v>
      </c>
      <c r="H26" s="26">
        <f>1900+950</f>
        <v>2850</v>
      </c>
      <c r="I26" s="25">
        <f t="shared" si="4"/>
        <v>4200</v>
      </c>
      <c r="J26" s="26">
        <v>30</v>
      </c>
      <c r="K26" s="25">
        <v>0</v>
      </c>
      <c r="L26" s="25">
        <v>0</v>
      </c>
      <c r="M26" s="25">
        <f>5000/2</f>
        <v>2500</v>
      </c>
      <c r="N26" s="25">
        <f t="shared" si="7"/>
        <v>2500</v>
      </c>
      <c r="O26" s="26">
        <f t="shared" si="5"/>
        <v>5000</v>
      </c>
      <c r="P26" s="25">
        <v>0</v>
      </c>
      <c r="Q26" s="25">
        <v>0</v>
      </c>
      <c r="R26" s="25">
        <v>0</v>
      </c>
      <c r="S26" s="25">
        <f>(F26-G26-M26-T26-166667)*30%+33541.8</f>
        <v>36356.700000000004</v>
      </c>
      <c r="T26" s="25">
        <v>100</v>
      </c>
      <c r="U26" s="25">
        <f t="shared" si="6"/>
        <v>100</v>
      </c>
      <c r="V26" s="24">
        <v>0</v>
      </c>
      <c r="W26" s="25">
        <v>0</v>
      </c>
      <c r="X26" s="25">
        <v>0</v>
      </c>
      <c r="Y26" s="25">
        <v>0</v>
      </c>
      <c r="Z26" s="25">
        <v>0</v>
      </c>
      <c r="AA26" s="25"/>
      <c r="AB26" s="25">
        <v>0</v>
      </c>
      <c r="AC26" s="25">
        <f t="shared" si="2"/>
        <v>139693.29999999999</v>
      </c>
      <c r="AD26" s="25">
        <v>0</v>
      </c>
      <c r="AE26" s="25">
        <v>0</v>
      </c>
      <c r="AF26" s="28">
        <v>0</v>
      </c>
      <c r="AG26" s="29">
        <v>0</v>
      </c>
      <c r="AH26" s="28">
        <v>0</v>
      </c>
      <c r="AI26" s="26">
        <v>0</v>
      </c>
      <c r="AJ26" s="30">
        <f t="shared" si="3"/>
        <v>139693.29999999999</v>
      </c>
      <c r="AK26" s="35">
        <v>90000</v>
      </c>
      <c r="AL26" s="35">
        <f>90000-G26-M26-S26-T26</f>
        <v>49693.299999999996</v>
      </c>
      <c r="AM26" s="36">
        <f>AK26+AL26</f>
        <v>139693.29999999999</v>
      </c>
      <c r="AN26" s="44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</row>
    <row r="27" spans="1:134" s="38" customFormat="1" x14ac:dyDescent="0.25">
      <c r="A27" s="33">
        <f>8750+8750</f>
        <v>17500</v>
      </c>
      <c r="B27" s="24">
        <f>8750+8750</f>
        <v>17500</v>
      </c>
      <c r="C27" s="25">
        <v>0</v>
      </c>
      <c r="D27" s="25">
        <v>0</v>
      </c>
      <c r="E27" s="25">
        <f>838.7+733.86</f>
        <v>1572.56</v>
      </c>
      <c r="F27" s="25">
        <f t="shared" si="8"/>
        <v>19072.560000000001</v>
      </c>
      <c r="G27" s="25">
        <v>787.5</v>
      </c>
      <c r="H27" s="26">
        <v>1662.5</v>
      </c>
      <c r="I27" s="25">
        <f t="shared" si="4"/>
        <v>2450</v>
      </c>
      <c r="J27" s="25">
        <v>30</v>
      </c>
      <c r="K27" s="25">
        <v>0</v>
      </c>
      <c r="L27" s="25">
        <v>0</v>
      </c>
      <c r="M27" s="25">
        <f t="shared" ref="M27:M42" si="9">A27*5%/2</f>
        <v>437.5</v>
      </c>
      <c r="N27" s="25">
        <f t="shared" si="7"/>
        <v>437.5</v>
      </c>
      <c r="O27" s="26">
        <f t="shared" si="5"/>
        <v>875</v>
      </c>
      <c r="P27" s="25">
        <v>0</v>
      </c>
      <c r="Q27" s="25">
        <v>0</v>
      </c>
      <c r="R27" s="25">
        <v>0</v>
      </c>
      <c r="S27" s="22">
        <v>0</v>
      </c>
      <c r="T27" s="25">
        <v>100</v>
      </c>
      <c r="U27" s="25">
        <f t="shared" si="6"/>
        <v>100</v>
      </c>
      <c r="V27" s="24">
        <v>0</v>
      </c>
      <c r="W27" s="25">
        <v>0</v>
      </c>
      <c r="X27" s="25">
        <v>0</v>
      </c>
      <c r="Y27" s="25">
        <v>0</v>
      </c>
      <c r="Z27" s="25">
        <v>0</v>
      </c>
      <c r="AA27" s="25"/>
      <c r="AB27" s="25">
        <v>0</v>
      </c>
      <c r="AC27" s="25">
        <f t="shared" si="2"/>
        <v>17747.560000000001</v>
      </c>
      <c r="AD27" s="25">
        <v>0</v>
      </c>
      <c r="AE27" s="25">
        <v>0</v>
      </c>
      <c r="AF27" s="28">
        <v>0</v>
      </c>
      <c r="AG27" s="29">
        <v>0</v>
      </c>
      <c r="AH27" s="28">
        <v>0</v>
      </c>
      <c r="AI27" s="26">
        <v>0</v>
      </c>
      <c r="AJ27" s="30">
        <f t="shared" si="3"/>
        <v>17747.560000000001</v>
      </c>
      <c r="AK27" s="35"/>
      <c r="AL27" s="35"/>
      <c r="AM27" s="36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</row>
    <row r="28" spans="1:134" x14ac:dyDescent="0.25">
      <c r="A28" s="33">
        <f>12355+12355</f>
        <v>24710</v>
      </c>
      <c r="B28" s="24">
        <f>12355-13.82+12355</f>
        <v>24696.18</v>
      </c>
      <c r="C28" s="25">
        <v>0</v>
      </c>
      <c r="D28" s="25">
        <v>0</v>
      </c>
      <c r="E28" s="25">
        <v>296.05</v>
      </c>
      <c r="F28" s="25">
        <f t="shared" si="8"/>
        <v>24992.23</v>
      </c>
      <c r="G28" s="25">
        <f>900+202.5</f>
        <v>1102.5</v>
      </c>
      <c r="H28" s="26">
        <f>1900+427.5</f>
        <v>2327.5</v>
      </c>
      <c r="I28" s="25">
        <f t="shared" si="4"/>
        <v>3430</v>
      </c>
      <c r="J28" s="25">
        <v>30</v>
      </c>
      <c r="K28" s="25">
        <v>0</v>
      </c>
      <c r="L28" s="25">
        <v>0</v>
      </c>
      <c r="M28" s="25">
        <f t="shared" si="9"/>
        <v>617.75</v>
      </c>
      <c r="N28" s="25">
        <f t="shared" si="7"/>
        <v>617.75</v>
      </c>
      <c r="O28" s="26">
        <f t="shared" si="5"/>
        <v>1235.5</v>
      </c>
      <c r="P28" s="25">
        <v>0</v>
      </c>
      <c r="Q28" s="25">
        <v>0</v>
      </c>
      <c r="R28" s="25">
        <v>0</v>
      </c>
      <c r="S28" s="22">
        <f>(F28-G28-M28-P28-T28-20833)*15%</f>
        <v>350.84699999999992</v>
      </c>
      <c r="T28" s="25">
        <v>100</v>
      </c>
      <c r="U28" s="25">
        <f t="shared" si="6"/>
        <v>100</v>
      </c>
      <c r="V28" s="24">
        <v>2412.8200000000002</v>
      </c>
      <c r="W28" s="25">
        <v>0</v>
      </c>
      <c r="X28" s="25">
        <v>0</v>
      </c>
      <c r="Y28" s="25">
        <v>0</v>
      </c>
      <c r="Z28" s="25">
        <v>0</v>
      </c>
      <c r="AA28" s="25">
        <v>0.61</v>
      </c>
      <c r="AB28" s="25">
        <v>0</v>
      </c>
      <c r="AC28" s="25">
        <f t="shared" si="2"/>
        <v>20408.922999999999</v>
      </c>
      <c r="AD28" s="25">
        <f>1400+1400</f>
        <v>2800</v>
      </c>
      <c r="AE28" s="25">
        <v>0</v>
      </c>
      <c r="AF28" s="28">
        <f>1000+1000</f>
        <v>2000</v>
      </c>
      <c r="AG28" s="29">
        <v>0</v>
      </c>
      <c r="AH28" s="28">
        <v>0</v>
      </c>
      <c r="AI28" s="26">
        <v>0</v>
      </c>
      <c r="AJ28" s="30">
        <f t="shared" si="3"/>
        <v>25208.922999999999</v>
      </c>
      <c r="AK28" s="12"/>
      <c r="AL28" s="35"/>
      <c r="AM28" s="37" t="s">
        <v>23</v>
      </c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</row>
    <row r="29" spans="1:134" x14ac:dyDescent="0.25">
      <c r="A29" s="33">
        <f>10000+10000</f>
        <v>20000</v>
      </c>
      <c r="B29" s="24">
        <f>10000-12.78+10000-1.6</f>
        <v>19985.620000000003</v>
      </c>
      <c r="C29" s="25">
        <v>0</v>
      </c>
      <c r="D29" s="25">
        <v>0</v>
      </c>
      <c r="E29" s="25">
        <f>838.69+1258.03</f>
        <v>2096.7200000000003</v>
      </c>
      <c r="F29" s="25">
        <f t="shared" si="8"/>
        <v>22082.340000000004</v>
      </c>
      <c r="G29" s="25">
        <v>900</v>
      </c>
      <c r="H29" s="26">
        <v>1900</v>
      </c>
      <c r="I29" s="25">
        <f t="shared" si="4"/>
        <v>2800</v>
      </c>
      <c r="J29" s="25">
        <v>30</v>
      </c>
      <c r="K29" s="25">
        <v>0</v>
      </c>
      <c r="L29" s="25">
        <v>0</v>
      </c>
      <c r="M29" s="25">
        <f t="shared" si="9"/>
        <v>500</v>
      </c>
      <c r="N29" s="25">
        <f t="shared" si="7"/>
        <v>500</v>
      </c>
      <c r="O29" s="26">
        <f t="shared" si="5"/>
        <v>1000</v>
      </c>
      <c r="P29" s="25">
        <v>0</v>
      </c>
      <c r="Q29" s="25">
        <v>0</v>
      </c>
      <c r="R29" s="25">
        <v>0</v>
      </c>
      <c r="S29" s="22">
        <v>0</v>
      </c>
      <c r="T29" s="25">
        <v>100</v>
      </c>
      <c r="U29" s="25">
        <f t="shared" si="6"/>
        <v>100</v>
      </c>
      <c r="V29" s="24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254.96</v>
      </c>
      <c r="AB29" s="25">
        <v>0</v>
      </c>
      <c r="AC29" s="25">
        <f t="shared" si="2"/>
        <v>20837.300000000003</v>
      </c>
      <c r="AD29" s="25">
        <v>0</v>
      </c>
      <c r="AE29" s="25">
        <v>0</v>
      </c>
      <c r="AF29" s="28">
        <v>0</v>
      </c>
      <c r="AG29" s="29">
        <v>0</v>
      </c>
      <c r="AH29" s="28">
        <v>0</v>
      </c>
      <c r="AI29" s="26">
        <v>0</v>
      </c>
      <c r="AJ29" s="30">
        <f t="shared" si="3"/>
        <v>20837.300000000003</v>
      </c>
      <c r="AK29" s="12"/>
      <c r="AL29" s="35"/>
      <c r="AM29" s="37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</row>
    <row r="30" spans="1:134" x14ac:dyDescent="0.25">
      <c r="A30" s="33">
        <f>9500+9500</f>
        <v>19000</v>
      </c>
      <c r="B30" s="24">
        <f>9500-80.43-364.22+9500-42.49</f>
        <v>18512.859999999997</v>
      </c>
      <c r="C30" s="25">
        <v>0</v>
      </c>
      <c r="D30" s="25">
        <v>0</v>
      </c>
      <c r="E30" s="25">
        <f>512.16+682.88</f>
        <v>1195.04</v>
      </c>
      <c r="F30" s="25">
        <f t="shared" si="8"/>
        <v>19707.899999999998</v>
      </c>
      <c r="G30" s="25">
        <v>855</v>
      </c>
      <c r="H30" s="26">
        <v>1805</v>
      </c>
      <c r="I30" s="25">
        <f t="shared" si="4"/>
        <v>2660</v>
      </c>
      <c r="J30" s="25">
        <v>30</v>
      </c>
      <c r="K30" s="25">
        <v>0</v>
      </c>
      <c r="L30" s="25">
        <v>0</v>
      </c>
      <c r="M30" s="25">
        <f t="shared" si="9"/>
        <v>475</v>
      </c>
      <c r="N30" s="25">
        <f t="shared" si="7"/>
        <v>475</v>
      </c>
      <c r="O30" s="26">
        <f t="shared" si="5"/>
        <v>950</v>
      </c>
      <c r="P30" s="25">
        <v>0</v>
      </c>
      <c r="Q30" s="25">
        <v>0</v>
      </c>
      <c r="R30" s="25">
        <v>0</v>
      </c>
      <c r="S30" s="22">
        <v>0</v>
      </c>
      <c r="T30" s="25">
        <v>100</v>
      </c>
      <c r="U30" s="25">
        <f t="shared" si="6"/>
        <v>100</v>
      </c>
      <c r="V30" s="24">
        <v>0</v>
      </c>
      <c r="W30" s="25">
        <v>0</v>
      </c>
      <c r="X30" s="25">
        <v>0</v>
      </c>
      <c r="Y30" s="25">
        <v>0</v>
      </c>
      <c r="Z30" s="25">
        <v>0</v>
      </c>
      <c r="AA30" s="25"/>
      <c r="AB30" s="25">
        <v>0</v>
      </c>
      <c r="AC30" s="25">
        <f t="shared" si="2"/>
        <v>18277.899999999998</v>
      </c>
      <c r="AD30" s="25">
        <v>0</v>
      </c>
      <c r="AE30" s="25">
        <v>0</v>
      </c>
      <c r="AF30" s="28">
        <v>0</v>
      </c>
      <c r="AG30" s="29">
        <v>0</v>
      </c>
      <c r="AH30" s="28">
        <v>0</v>
      </c>
      <c r="AI30" s="26">
        <v>0</v>
      </c>
      <c r="AJ30" s="30">
        <f t="shared" si="3"/>
        <v>18277.899999999998</v>
      </c>
      <c r="AK30" s="12"/>
      <c r="AL30" s="35"/>
      <c r="AM30" s="37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</row>
    <row r="31" spans="1:134" x14ac:dyDescent="0.25">
      <c r="A31" s="33">
        <f>8658+8658</f>
        <v>17316</v>
      </c>
      <c r="B31" s="24">
        <f>8658+8658-24.89</f>
        <v>17291.11</v>
      </c>
      <c r="C31" s="25">
        <v>0</v>
      </c>
      <c r="D31" s="25">
        <v>0</v>
      </c>
      <c r="E31" s="25">
        <v>0</v>
      </c>
      <c r="F31" s="25">
        <f t="shared" si="8"/>
        <v>17291.11</v>
      </c>
      <c r="G31" s="25">
        <v>787.5</v>
      </c>
      <c r="H31" s="26">
        <v>1662.5</v>
      </c>
      <c r="I31" s="25">
        <f t="shared" si="4"/>
        <v>2450</v>
      </c>
      <c r="J31" s="25">
        <v>30</v>
      </c>
      <c r="K31" s="25">
        <v>0</v>
      </c>
      <c r="L31" s="25">
        <v>0</v>
      </c>
      <c r="M31" s="25">
        <f t="shared" si="9"/>
        <v>432.90000000000003</v>
      </c>
      <c r="N31" s="25">
        <f t="shared" si="7"/>
        <v>432.90000000000003</v>
      </c>
      <c r="O31" s="26">
        <f t="shared" si="5"/>
        <v>865.80000000000007</v>
      </c>
      <c r="P31" s="25">
        <v>0</v>
      </c>
      <c r="Q31" s="25">
        <v>0</v>
      </c>
      <c r="R31" s="25">
        <v>0</v>
      </c>
      <c r="S31" s="22">
        <v>0</v>
      </c>
      <c r="T31" s="25">
        <v>100</v>
      </c>
      <c r="U31" s="25">
        <f t="shared" si="6"/>
        <v>100</v>
      </c>
      <c r="V31" s="24">
        <v>0</v>
      </c>
      <c r="W31" s="25">
        <v>0</v>
      </c>
      <c r="X31" s="25">
        <v>0</v>
      </c>
      <c r="Y31" s="25">
        <v>0</v>
      </c>
      <c r="Z31" s="25">
        <v>0</v>
      </c>
      <c r="AA31" s="25"/>
      <c r="AB31" s="25">
        <v>0</v>
      </c>
      <c r="AC31" s="25">
        <f t="shared" si="2"/>
        <v>15970.710000000001</v>
      </c>
      <c r="AD31" s="25">
        <v>0</v>
      </c>
      <c r="AE31" s="25">
        <v>0</v>
      </c>
      <c r="AF31" s="28">
        <v>0</v>
      </c>
      <c r="AG31" s="29">
        <v>0</v>
      </c>
      <c r="AH31" s="28">
        <v>0</v>
      </c>
      <c r="AI31" s="26">
        <v>0</v>
      </c>
      <c r="AJ31" s="30">
        <f t="shared" si="3"/>
        <v>15970.710000000001</v>
      </c>
      <c r="AK31" s="12"/>
      <c r="AL31" s="35"/>
      <c r="AM31" s="37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</row>
    <row r="32" spans="1:134" x14ac:dyDescent="0.25">
      <c r="A32" s="33">
        <f>10911+10911</f>
        <v>21822</v>
      </c>
      <c r="B32" s="24">
        <f>10911+10911-1.74</f>
        <v>21820.26</v>
      </c>
      <c r="C32" s="25">
        <v>0</v>
      </c>
      <c r="D32" s="25">
        <v>0</v>
      </c>
      <c r="E32" s="25">
        <v>0</v>
      </c>
      <c r="F32" s="25">
        <f t="shared" si="8"/>
        <v>21820.26</v>
      </c>
      <c r="G32" s="25">
        <v>990</v>
      </c>
      <c r="H32" s="25">
        <f>1900+190</f>
        <v>2090</v>
      </c>
      <c r="I32" s="25">
        <f t="shared" si="4"/>
        <v>3080</v>
      </c>
      <c r="J32" s="25">
        <v>30</v>
      </c>
      <c r="K32" s="25">
        <v>1799.65</v>
      </c>
      <c r="L32" s="25">
        <v>0</v>
      </c>
      <c r="M32" s="25">
        <f t="shared" si="9"/>
        <v>545.55000000000007</v>
      </c>
      <c r="N32" s="25">
        <f t="shared" si="7"/>
        <v>545.55000000000007</v>
      </c>
      <c r="O32" s="26">
        <f t="shared" si="5"/>
        <v>1091.1000000000001</v>
      </c>
      <c r="P32" s="25">
        <v>0</v>
      </c>
      <c r="Q32" s="25">
        <v>0</v>
      </c>
      <c r="R32" s="25">
        <v>0</v>
      </c>
      <c r="S32" s="22">
        <v>0</v>
      </c>
      <c r="T32" s="25">
        <v>100</v>
      </c>
      <c r="U32" s="25">
        <f t="shared" si="6"/>
        <v>100</v>
      </c>
      <c r="V32" s="25">
        <v>1293.73</v>
      </c>
      <c r="W32" s="25">
        <v>0</v>
      </c>
      <c r="X32" s="25">
        <v>0</v>
      </c>
      <c r="Y32" s="25">
        <v>0</v>
      </c>
      <c r="Z32" s="25">
        <v>0</v>
      </c>
      <c r="AA32" s="25">
        <v>202.7</v>
      </c>
      <c r="AB32" s="25">
        <v>0</v>
      </c>
      <c r="AC32" s="25">
        <f t="shared" si="2"/>
        <v>17294.03</v>
      </c>
      <c r="AD32" s="25">
        <f>3150+3150</f>
        <v>6300</v>
      </c>
      <c r="AE32" s="25">
        <v>0</v>
      </c>
      <c r="AF32" s="28">
        <v>0</v>
      </c>
      <c r="AG32" s="29">
        <v>0</v>
      </c>
      <c r="AH32" s="29">
        <v>0</v>
      </c>
      <c r="AI32" s="26">
        <v>0</v>
      </c>
      <c r="AJ32" s="30">
        <f t="shared" si="3"/>
        <v>23594.03</v>
      </c>
      <c r="AK32" s="12"/>
      <c r="AL32" s="45" t="s">
        <v>42</v>
      </c>
      <c r="AM32" s="45">
        <f>288033.3-4910.43</f>
        <v>283122.87</v>
      </c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</row>
    <row r="33" spans="1:134" x14ac:dyDescent="0.25">
      <c r="A33" s="33">
        <f>20000+20000</f>
        <v>40000</v>
      </c>
      <c r="B33" s="24">
        <f>20000+20000-143.77</f>
        <v>39856.230000000003</v>
      </c>
      <c r="C33" s="25">
        <v>0</v>
      </c>
      <c r="D33" s="25">
        <v>0</v>
      </c>
      <c r="E33" s="25">
        <v>0</v>
      </c>
      <c r="F33" s="25">
        <f t="shared" si="8"/>
        <v>39856.230000000003</v>
      </c>
      <c r="G33" s="25">
        <f>900+450</f>
        <v>1350</v>
      </c>
      <c r="H33" s="26">
        <f>1900+950</f>
        <v>2850</v>
      </c>
      <c r="I33" s="25">
        <f t="shared" si="4"/>
        <v>4200</v>
      </c>
      <c r="J33" s="26">
        <v>30</v>
      </c>
      <c r="K33" s="25">
        <v>0</v>
      </c>
      <c r="L33" s="25">
        <v>0</v>
      </c>
      <c r="M33" s="25">
        <f t="shared" si="9"/>
        <v>1000</v>
      </c>
      <c r="N33" s="25">
        <f t="shared" si="7"/>
        <v>1000</v>
      </c>
      <c r="O33" s="26">
        <f t="shared" si="5"/>
        <v>2000</v>
      </c>
      <c r="P33" s="25">
        <v>0</v>
      </c>
      <c r="Q33" s="25">
        <v>0</v>
      </c>
      <c r="R33" s="25">
        <v>0</v>
      </c>
      <c r="S33" s="27">
        <f>(F33-G33-M33-P33-T33-33333)*20%+1875</f>
        <v>2689.6460000000006</v>
      </c>
      <c r="T33" s="25">
        <v>100</v>
      </c>
      <c r="U33" s="25">
        <f t="shared" si="6"/>
        <v>100</v>
      </c>
      <c r="V33" s="24">
        <v>0</v>
      </c>
      <c r="W33" s="25">
        <v>0</v>
      </c>
      <c r="X33" s="32">
        <f>2300+2300</f>
        <v>4600</v>
      </c>
      <c r="Y33" s="25">
        <v>0</v>
      </c>
      <c r="Z33" s="25">
        <v>0</v>
      </c>
      <c r="AA33" s="25">
        <v>0.83</v>
      </c>
      <c r="AB33" s="25">
        <v>0</v>
      </c>
      <c r="AC33" s="25">
        <f t="shared" si="2"/>
        <v>30117.414000000004</v>
      </c>
      <c r="AD33" s="25">
        <f>10000+10000</f>
        <v>20000</v>
      </c>
      <c r="AE33" s="25">
        <v>0</v>
      </c>
      <c r="AF33" s="28">
        <v>0</v>
      </c>
      <c r="AG33" s="29">
        <v>0</v>
      </c>
      <c r="AH33" s="29">
        <v>0</v>
      </c>
      <c r="AI33" s="26">
        <v>0</v>
      </c>
      <c r="AJ33" s="30">
        <f t="shared" si="3"/>
        <v>50117.414000000004</v>
      </c>
      <c r="AK33" s="12"/>
      <c r="AL33" s="45" t="s">
        <v>43</v>
      </c>
      <c r="AM33" s="46">
        <v>32570.92</v>
      </c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</row>
    <row r="34" spans="1:134" x14ac:dyDescent="0.25">
      <c r="A34" s="33">
        <f>10500+10500</f>
        <v>21000</v>
      </c>
      <c r="B34" s="24">
        <f>10500+10500-301.92</f>
        <v>20698.080000000002</v>
      </c>
      <c r="C34" s="25">
        <v>0</v>
      </c>
      <c r="D34" s="25">
        <v>0</v>
      </c>
      <c r="E34" s="25">
        <f>125.8+251.6</f>
        <v>377.4</v>
      </c>
      <c r="F34" s="25">
        <f t="shared" si="8"/>
        <v>21075.480000000003</v>
      </c>
      <c r="G34" s="25">
        <v>945</v>
      </c>
      <c r="H34" s="26">
        <f>1900+95</f>
        <v>1995</v>
      </c>
      <c r="I34" s="25">
        <f t="shared" si="4"/>
        <v>2940</v>
      </c>
      <c r="J34" s="25">
        <v>30</v>
      </c>
      <c r="K34" s="25">
        <v>0</v>
      </c>
      <c r="L34" s="22">
        <v>0</v>
      </c>
      <c r="M34" s="25">
        <f t="shared" si="9"/>
        <v>525</v>
      </c>
      <c r="N34" s="25">
        <f t="shared" si="7"/>
        <v>525</v>
      </c>
      <c r="O34" s="26">
        <f t="shared" si="5"/>
        <v>1050</v>
      </c>
      <c r="P34" s="25">
        <v>0</v>
      </c>
      <c r="Q34" s="25">
        <v>0</v>
      </c>
      <c r="R34" s="25">
        <v>0</v>
      </c>
      <c r="S34" s="25">
        <v>0</v>
      </c>
      <c r="T34" s="25">
        <v>100</v>
      </c>
      <c r="U34" s="25">
        <f t="shared" si="6"/>
        <v>100</v>
      </c>
      <c r="V34" s="24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73.25</v>
      </c>
      <c r="AB34" s="25">
        <v>0</v>
      </c>
      <c r="AC34" s="25">
        <f t="shared" si="2"/>
        <v>19578.730000000003</v>
      </c>
      <c r="AD34" s="25">
        <v>0</v>
      </c>
      <c r="AE34" s="25">
        <v>0</v>
      </c>
      <c r="AF34" s="28">
        <v>0</v>
      </c>
      <c r="AG34" s="29">
        <f>500+500</f>
        <v>1000</v>
      </c>
      <c r="AH34" s="29">
        <v>0</v>
      </c>
      <c r="AI34" s="26">
        <v>0</v>
      </c>
      <c r="AJ34" s="30">
        <f>AC34+AD34+AE34+AF34+AG34</f>
        <v>20578.730000000003</v>
      </c>
      <c r="AK34" s="12"/>
      <c r="AL34" s="45" t="s">
        <v>44</v>
      </c>
      <c r="AM34" s="47">
        <v>4910.43</v>
      </c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</row>
    <row r="35" spans="1:134" x14ac:dyDescent="0.25">
      <c r="A35" s="33">
        <f>9066.5+9066.5</f>
        <v>18133</v>
      </c>
      <c r="B35" s="24">
        <f>9066.5-69.52+9066.5-78.21-173.8</f>
        <v>17811.47</v>
      </c>
      <c r="C35" s="25">
        <v>0</v>
      </c>
      <c r="D35" s="25">
        <v>0</v>
      </c>
      <c r="E35" s="25">
        <v>0</v>
      </c>
      <c r="F35" s="25">
        <f t="shared" si="8"/>
        <v>17811.47</v>
      </c>
      <c r="G35" s="25">
        <v>810</v>
      </c>
      <c r="H35" s="26">
        <v>1710</v>
      </c>
      <c r="I35" s="25">
        <f t="shared" si="4"/>
        <v>2520</v>
      </c>
      <c r="J35" s="26">
        <v>30</v>
      </c>
      <c r="K35" s="25">
        <v>1661.22</v>
      </c>
      <c r="L35" s="22">
        <v>0</v>
      </c>
      <c r="M35" s="25">
        <f t="shared" si="9"/>
        <v>453.32500000000005</v>
      </c>
      <c r="N35" s="25">
        <f t="shared" si="7"/>
        <v>453.32500000000005</v>
      </c>
      <c r="O35" s="26">
        <f>M35+N35+0.01</f>
        <v>906.66000000000008</v>
      </c>
      <c r="P35" s="25">
        <v>0</v>
      </c>
      <c r="Q35" s="25">
        <v>0</v>
      </c>
      <c r="R35" s="25">
        <v>0</v>
      </c>
      <c r="S35" s="25">
        <v>0</v>
      </c>
      <c r="T35" s="25">
        <v>100</v>
      </c>
      <c r="U35" s="25">
        <f t="shared" si="6"/>
        <v>100</v>
      </c>
      <c r="V35" s="24">
        <v>0</v>
      </c>
      <c r="W35" s="25">
        <v>0</v>
      </c>
      <c r="X35" s="32">
        <f>1500+1500</f>
        <v>3000</v>
      </c>
      <c r="Y35" s="25">
        <v>0</v>
      </c>
      <c r="Z35" s="25">
        <v>0</v>
      </c>
      <c r="AA35" s="25"/>
      <c r="AB35" s="25">
        <v>0</v>
      </c>
      <c r="AC35" s="25">
        <f t="shared" si="2"/>
        <v>11786.925000000001</v>
      </c>
      <c r="AD35" s="25">
        <v>0</v>
      </c>
      <c r="AE35" s="25">
        <v>0</v>
      </c>
      <c r="AF35" s="28">
        <v>0</v>
      </c>
      <c r="AG35" s="29">
        <v>0</v>
      </c>
      <c r="AH35" s="29">
        <v>0</v>
      </c>
      <c r="AI35" s="26">
        <v>0</v>
      </c>
      <c r="AJ35" s="30">
        <f t="shared" si="3"/>
        <v>11786.925000000001</v>
      </c>
      <c r="AK35" s="12"/>
      <c r="AL35" s="45" t="s">
        <v>45</v>
      </c>
      <c r="AM35" s="48">
        <f>AM32+AM33+AM34</f>
        <v>320604.21999999997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</row>
    <row r="36" spans="1:134" x14ac:dyDescent="0.25">
      <c r="A36" s="14">
        <f>8000+8000</f>
        <v>16000</v>
      </c>
      <c r="B36" s="24">
        <f>8000-306.71+8000-19.17-613.42</f>
        <v>15060.7</v>
      </c>
      <c r="C36" s="25">
        <v>0</v>
      </c>
      <c r="D36" s="25">
        <v>0</v>
      </c>
      <c r="E36" s="25">
        <v>0</v>
      </c>
      <c r="F36" s="22">
        <f>B36+D36+E36+C36</f>
        <v>15060.7</v>
      </c>
      <c r="G36" s="25">
        <v>720</v>
      </c>
      <c r="H36" s="26">
        <v>1520</v>
      </c>
      <c r="I36" s="25">
        <f t="shared" si="4"/>
        <v>2240</v>
      </c>
      <c r="J36" s="26">
        <v>30</v>
      </c>
      <c r="K36" s="25">
        <v>738.32</v>
      </c>
      <c r="L36" s="22">
        <v>0</v>
      </c>
      <c r="M36" s="25">
        <f t="shared" si="9"/>
        <v>400</v>
      </c>
      <c r="N36" s="25">
        <f t="shared" si="7"/>
        <v>400</v>
      </c>
      <c r="O36" s="9">
        <f t="shared" si="5"/>
        <v>800</v>
      </c>
      <c r="P36" s="25">
        <v>0</v>
      </c>
      <c r="Q36" s="25">
        <v>0</v>
      </c>
      <c r="R36" s="25">
        <v>0</v>
      </c>
      <c r="S36" s="22">
        <v>0</v>
      </c>
      <c r="T36" s="22">
        <v>100</v>
      </c>
      <c r="U36" s="22">
        <f t="shared" si="6"/>
        <v>100</v>
      </c>
      <c r="V36" s="49">
        <v>0</v>
      </c>
      <c r="W36" s="25">
        <v>0</v>
      </c>
      <c r="X36" s="25">
        <v>0</v>
      </c>
      <c r="Y36" s="25">
        <v>0</v>
      </c>
      <c r="Z36" s="25">
        <v>0</v>
      </c>
      <c r="AA36" s="25"/>
      <c r="AB36" s="25">
        <v>0</v>
      </c>
      <c r="AC36" s="25">
        <f t="shared" si="2"/>
        <v>13102.380000000001</v>
      </c>
      <c r="AD36" s="25">
        <v>0</v>
      </c>
      <c r="AE36" s="25">
        <v>0</v>
      </c>
      <c r="AF36" s="28">
        <v>0</v>
      </c>
      <c r="AG36" s="29">
        <v>0</v>
      </c>
      <c r="AH36" s="29">
        <v>0</v>
      </c>
      <c r="AI36" s="26">
        <v>0</v>
      </c>
      <c r="AJ36" s="30">
        <f t="shared" si="3"/>
        <v>13102.380000000001</v>
      </c>
      <c r="AK36" s="41" t="s">
        <v>23</v>
      </c>
      <c r="AL36" s="43" t="s">
        <v>23</v>
      </c>
      <c r="AM36" s="46" t="s">
        <v>23</v>
      </c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</row>
    <row r="37" spans="1:134" x14ac:dyDescent="0.25">
      <c r="A37" s="33">
        <f>15000+15000</f>
        <v>30000</v>
      </c>
      <c r="B37" s="24">
        <f>15000-225.24+15000-59.9</f>
        <v>29714.86</v>
      </c>
      <c r="C37" s="25">
        <v>0</v>
      </c>
      <c r="D37" s="25">
        <v>0</v>
      </c>
      <c r="E37" s="25">
        <v>0</v>
      </c>
      <c r="F37" s="25">
        <f t="shared" ref="F37:F42" si="10">B37+C37+D37+E37</f>
        <v>29714.86</v>
      </c>
      <c r="G37" s="22">
        <v>1350</v>
      </c>
      <c r="H37" s="22">
        <v>2850</v>
      </c>
      <c r="I37" s="22">
        <f t="shared" si="4"/>
        <v>4200</v>
      </c>
      <c r="J37" s="22">
        <v>30</v>
      </c>
      <c r="K37" s="22">
        <v>1523.08</v>
      </c>
      <c r="L37" s="22">
        <v>0</v>
      </c>
      <c r="M37" s="25">
        <f t="shared" si="9"/>
        <v>750</v>
      </c>
      <c r="N37" s="22">
        <f t="shared" si="7"/>
        <v>750</v>
      </c>
      <c r="O37" s="9">
        <f t="shared" si="5"/>
        <v>1500</v>
      </c>
      <c r="P37" s="25">
        <v>0</v>
      </c>
      <c r="Q37" s="25">
        <v>0</v>
      </c>
      <c r="R37" s="25">
        <v>0</v>
      </c>
      <c r="S37" s="25">
        <f>(F37-G37-M37-P37-T37-20833)*15%</f>
        <v>1002.279</v>
      </c>
      <c r="T37" s="22">
        <v>100</v>
      </c>
      <c r="U37" s="22">
        <f t="shared" si="6"/>
        <v>100</v>
      </c>
      <c r="V37" s="22">
        <v>0</v>
      </c>
      <c r="W37" s="22">
        <v>0</v>
      </c>
      <c r="X37" s="39">
        <f>1000+1000</f>
        <v>2000</v>
      </c>
      <c r="Y37" s="22">
        <v>0</v>
      </c>
      <c r="Z37" s="22">
        <v>0</v>
      </c>
      <c r="AA37" s="22">
        <v>2178.59</v>
      </c>
      <c r="AB37" s="22">
        <v>0</v>
      </c>
      <c r="AC37" s="25">
        <f t="shared" si="2"/>
        <v>25168.091</v>
      </c>
      <c r="AD37" s="25">
        <v>0</v>
      </c>
      <c r="AE37" s="25">
        <v>0</v>
      </c>
      <c r="AF37" s="28">
        <v>0</v>
      </c>
      <c r="AG37" s="22">
        <v>0</v>
      </c>
      <c r="AH37" s="22">
        <v>0</v>
      </c>
      <c r="AI37" s="26">
        <v>0</v>
      </c>
      <c r="AJ37" s="30">
        <f t="shared" si="3"/>
        <v>25168.091</v>
      </c>
      <c r="AK37" s="41"/>
      <c r="AL37" s="43" t="s">
        <v>46</v>
      </c>
      <c r="AM37" s="46">
        <v>277843.25</v>
      </c>
      <c r="AN37" s="43" t="s">
        <v>23</v>
      </c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</row>
    <row r="38" spans="1:134" x14ac:dyDescent="0.25">
      <c r="A38" s="33">
        <f>7196+7196</f>
        <v>14392</v>
      </c>
      <c r="B38" s="24">
        <f>7196-82.76-275.88+7196-139.09-275.88</f>
        <v>13618.390000000001</v>
      </c>
      <c r="C38" s="25">
        <v>0</v>
      </c>
      <c r="D38" s="25">
        <v>0</v>
      </c>
      <c r="E38" s="25">
        <v>0</v>
      </c>
      <c r="F38" s="25">
        <f t="shared" si="10"/>
        <v>13618.390000000001</v>
      </c>
      <c r="G38" s="25">
        <v>652.5</v>
      </c>
      <c r="H38" s="26">
        <v>1377.5</v>
      </c>
      <c r="I38" s="25">
        <f t="shared" si="4"/>
        <v>2030</v>
      </c>
      <c r="J38" s="26">
        <v>10</v>
      </c>
      <c r="K38" s="25">
        <v>1338.2</v>
      </c>
      <c r="L38" s="26">
        <v>0</v>
      </c>
      <c r="M38" s="25">
        <f t="shared" si="9"/>
        <v>359.8</v>
      </c>
      <c r="N38" s="25">
        <f t="shared" si="7"/>
        <v>359.8</v>
      </c>
      <c r="O38" s="26">
        <f t="shared" si="5"/>
        <v>719.6</v>
      </c>
      <c r="P38" s="25">
        <v>0</v>
      </c>
      <c r="Q38" s="25">
        <v>0</v>
      </c>
      <c r="R38" s="25">
        <v>0</v>
      </c>
      <c r="S38" s="25">
        <v>0</v>
      </c>
      <c r="T38" s="25">
        <v>100</v>
      </c>
      <c r="U38" s="25">
        <f t="shared" si="6"/>
        <v>100</v>
      </c>
      <c r="V38" s="24">
        <v>396.58</v>
      </c>
      <c r="W38" s="25">
        <v>0</v>
      </c>
      <c r="X38" s="25">
        <v>0</v>
      </c>
      <c r="Y38" s="25">
        <v>0</v>
      </c>
      <c r="Z38" s="25">
        <v>0</v>
      </c>
      <c r="AA38" s="25"/>
      <c r="AB38" s="25">
        <v>0</v>
      </c>
      <c r="AC38" s="25">
        <f t="shared" si="2"/>
        <v>10771.310000000001</v>
      </c>
      <c r="AD38" s="25">
        <v>0</v>
      </c>
      <c r="AE38" s="25">
        <v>0</v>
      </c>
      <c r="AF38" s="28">
        <v>0</v>
      </c>
      <c r="AG38" s="29">
        <v>0</v>
      </c>
      <c r="AH38" s="33">
        <v>0</v>
      </c>
      <c r="AI38" s="26">
        <v>0</v>
      </c>
      <c r="AJ38" s="30">
        <f t="shared" si="3"/>
        <v>10771.310000000001</v>
      </c>
      <c r="AK38" s="12"/>
      <c r="AL38" s="45" t="s">
        <v>37</v>
      </c>
      <c r="AM38" s="46">
        <v>34600</v>
      </c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</row>
    <row r="39" spans="1:134" s="38" customFormat="1" x14ac:dyDescent="0.25">
      <c r="A39" s="33">
        <f>11570+11570</f>
        <v>23140</v>
      </c>
      <c r="B39" s="24">
        <f>11570-83.17+11570-48.05-332.67</f>
        <v>22676.110000000004</v>
      </c>
      <c r="C39" s="25">
        <v>0</v>
      </c>
      <c r="D39" s="25">
        <v>0</v>
      </c>
      <c r="E39" s="25">
        <f>554.45</f>
        <v>554.45000000000005</v>
      </c>
      <c r="F39" s="25">
        <f t="shared" si="10"/>
        <v>23230.560000000005</v>
      </c>
      <c r="G39" s="25">
        <f>900+135</f>
        <v>1035</v>
      </c>
      <c r="H39" s="26">
        <f>1900+285</f>
        <v>2185</v>
      </c>
      <c r="I39" s="25">
        <f t="shared" si="4"/>
        <v>3220</v>
      </c>
      <c r="J39" s="26">
        <v>30</v>
      </c>
      <c r="K39" s="25">
        <v>0</v>
      </c>
      <c r="L39" s="25">
        <v>0</v>
      </c>
      <c r="M39" s="25">
        <f t="shared" si="9"/>
        <v>578.5</v>
      </c>
      <c r="N39" s="25">
        <f t="shared" si="7"/>
        <v>578.5</v>
      </c>
      <c r="O39" s="26">
        <f t="shared" si="5"/>
        <v>1157</v>
      </c>
      <c r="P39" s="25">
        <v>0</v>
      </c>
      <c r="Q39" s="25">
        <v>0</v>
      </c>
      <c r="R39" s="25">
        <v>0</v>
      </c>
      <c r="S39" s="25">
        <f>(F39-G39-M39-P39-T39-20833)*15%</f>
        <v>102.60900000000073</v>
      </c>
      <c r="T39" s="25">
        <v>100</v>
      </c>
      <c r="U39" s="25">
        <f t="shared" si="6"/>
        <v>100</v>
      </c>
      <c r="V39" s="24">
        <v>309.3</v>
      </c>
      <c r="W39" s="25">
        <v>0</v>
      </c>
      <c r="X39" s="25">
        <v>0</v>
      </c>
      <c r="Y39" s="32">
        <f>4750+4750</f>
        <v>9500</v>
      </c>
      <c r="Z39" s="25">
        <v>0</v>
      </c>
      <c r="AA39" s="25">
        <v>0.61</v>
      </c>
      <c r="AB39" s="25">
        <v>0</v>
      </c>
      <c r="AC39" s="25">
        <f t="shared" si="2"/>
        <v>11605.761000000006</v>
      </c>
      <c r="AD39" s="25">
        <f>500+500</f>
        <v>1000</v>
      </c>
      <c r="AE39" s="25">
        <v>0</v>
      </c>
      <c r="AF39" s="28">
        <v>0</v>
      </c>
      <c r="AG39" s="29">
        <v>500</v>
      </c>
      <c r="AH39" s="29">
        <v>0</v>
      </c>
      <c r="AI39" s="26">
        <v>0</v>
      </c>
      <c r="AJ39" s="30">
        <f>AC39+AD39+AE39+AF39+AG39</f>
        <v>13105.761000000006</v>
      </c>
      <c r="AK39" s="35"/>
      <c r="AL39" s="45" t="s">
        <v>44</v>
      </c>
      <c r="AM39" s="47">
        <v>0</v>
      </c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</row>
    <row r="40" spans="1:134" s="38" customFormat="1" x14ac:dyDescent="0.25">
      <c r="A40" s="33">
        <f>7500+7500</f>
        <v>15000</v>
      </c>
      <c r="B40" s="24">
        <f>7500-22.76-575.08+7500</f>
        <v>14402.16</v>
      </c>
      <c r="C40" s="25">
        <v>172.51</v>
      </c>
      <c r="D40" s="25">
        <v>0</v>
      </c>
      <c r="E40" s="25">
        <v>0</v>
      </c>
      <c r="F40" s="25">
        <f t="shared" si="10"/>
        <v>14574.67</v>
      </c>
      <c r="G40" s="25">
        <v>675</v>
      </c>
      <c r="H40" s="26">
        <v>1425</v>
      </c>
      <c r="I40" s="25">
        <f>G40+H40</f>
        <v>2100</v>
      </c>
      <c r="J40" s="26">
        <v>30</v>
      </c>
      <c r="K40" s="25">
        <v>1845.8</v>
      </c>
      <c r="L40" s="25">
        <v>0</v>
      </c>
      <c r="M40" s="25">
        <f t="shared" si="9"/>
        <v>375</v>
      </c>
      <c r="N40" s="25">
        <f>M40</f>
        <v>375</v>
      </c>
      <c r="O40" s="26">
        <f>M40+N40</f>
        <v>750</v>
      </c>
      <c r="P40" s="25">
        <v>0</v>
      </c>
      <c r="Q40" s="25">
        <v>0</v>
      </c>
      <c r="R40" s="25">
        <v>0</v>
      </c>
      <c r="S40" s="25">
        <v>0</v>
      </c>
      <c r="T40" s="25">
        <v>100</v>
      </c>
      <c r="U40" s="25">
        <f>T40</f>
        <v>100</v>
      </c>
      <c r="V40" s="24">
        <v>318.44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f t="shared" si="2"/>
        <v>11260.43</v>
      </c>
      <c r="AD40" s="25"/>
      <c r="AE40" s="25"/>
      <c r="AF40" s="28"/>
      <c r="AG40" s="29"/>
      <c r="AH40" s="29"/>
      <c r="AI40" s="26"/>
      <c r="AJ40" s="30">
        <f t="shared" si="3"/>
        <v>11260.43</v>
      </c>
      <c r="AK40" s="35" t="s">
        <v>47</v>
      </c>
      <c r="AL40" s="45"/>
      <c r="AM40" s="46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</row>
    <row r="41" spans="1:134" x14ac:dyDescent="0.25">
      <c r="A41" s="33">
        <f>11880+11880</f>
        <v>23760</v>
      </c>
      <c r="B41" s="24">
        <f>11880-1821.86+11880-20.88</f>
        <v>21917.26</v>
      </c>
      <c r="C41" s="25">
        <v>0</v>
      </c>
      <c r="D41" s="25">
        <v>0</v>
      </c>
      <c r="E41" s="25">
        <v>0</v>
      </c>
      <c r="F41" s="25">
        <f t="shared" si="10"/>
        <v>21917.26</v>
      </c>
      <c r="G41" s="25">
        <v>1080</v>
      </c>
      <c r="H41" s="26">
        <f>1900+380</f>
        <v>2280</v>
      </c>
      <c r="I41" s="25">
        <f>G41+H41</f>
        <v>3360</v>
      </c>
      <c r="J41" s="26">
        <v>30</v>
      </c>
      <c r="K41" s="25">
        <v>1845.8</v>
      </c>
      <c r="L41" s="25">
        <v>0</v>
      </c>
      <c r="M41" s="25">
        <f t="shared" si="9"/>
        <v>594</v>
      </c>
      <c r="N41" s="25">
        <f>M41</f>
        <v>594</v>
      </c>
      <c r="O41" s="26">
        <f>M41+N41</f>
        <v>1188</v>
      </c>
      <c r="P41" s="25">
        <v>0</v>
      </c>
      <c r="Q41" s="25">
        <v>0</v>
      </c>
      <c r="R41" s="25">
        <v>0</v>
      </c>
      <c r="S41" s="25">
        <v>0</v>
      </c>
      <c r="T41" s="25">
        <v>100</v>
      </c>
      <c r="U41" s="25">
        <f>T41</f>
        <v>100</v>
      </c>
      <c r="V41" s="24">
        <v>0</v>
      </c>
      <c r="W41" s="25">
        <v>0</v>
      </c>
      <c r="X41" s="32">
        <f>1500+1500</f>
        <v>3000</v>
      </c>
      <c r="Y41" s="25">
        <v>0</v>
      </c>
      <c r="Z41" s="25">
        <v>0</v>
      </c>
      <c r="AA41" s="25">
        <v>0.65</v>
      </c>
      <c r="AB41" s="25">
        <v>0</v>
      </c>
      <c r="AC41" s="25">
        <f t="shared" si="2"/>
        <v>15298.109999999999</v>
      </c>
      <c r="AD41" s="25">
        <v>0</v>
      </c>
      <c r="AE41" s="25">
        <v>0</v>
      </c>
      <c r="AF41" s="28">
        <v>0</v>
      </c>
      <c r="AG41" s="29">
        <v>0</v>
      </c>
      <c r="AH41" s="29">
        <v>0</v>
      </c>
      <c r="AI41" s="33">
        <v>0</v>
      </c>
      <c r="AJ41" s="30">
        <f t="shared" si="3"/>
        <v>15298.109999999999</v>
      </c>
      <c r="AK41" s="12"/>
      <c r="AL41" s="45" t="s">
        <v>48</v>
      </c>
      <c r="AM41" s="48">
        <f>AM37+AM38+AM39</f>
        <v>312443.25</v>
      </c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</row>
    <row r="42" spans="1:134" x14ac:dyDescent="0.25">
      <c r="A42" s="33">
        <f>12568.5+12568.5</f>
        <v>25137</v>
      </c>
      <c r="B42" s="24">
        <f>12568.5-230.88+12568.5-365.4-963.72</f>
        <v>23577</v>
      </c>
      <c r="C42" s="25">
        <v>0</v>
      </c>
      <c r="D42" s="25">
        <v>0</v>
      </c>
      <c r="E42" s="25">
        <v>12.05</v>
      </c>
      <c r="F42" s="25">
        <f t="shared" si="10"/>
        <v>23589.05</v>
      </c>
      <c r="G42" s="25">
        <v>1125</v>
      </c>
      <c r="H42" s="26">
        <f>1900+475</f>
        <v>2375</v>
      </c>
      <c r="I42" s="25">
        <f>G42+H42</f>
        <v>3500</v>
      </c>
      <c r="J42" s="26">
        <v>30</v>
      </c>
      <c r="K42" s="25">
        <v>0</v>
      </c>
      <c r="L42" s="25">
        <v>0</v>
      </c>
      <c r="M42" s="25">
        <f t="shared" si="9"/>
        <v>628.42500000000007</v>
      </c>
      <c r="N42" s="25">
        <f>M42</f>
        <v>628.42500000000007</v>
      </c>
      <c r="O42" s="26">
        <f>M42+N42+0.01</f>
        <v>1256.8600000000001</v>
      </c>
      <c r="P42" s="25">
        <v>0</v>
      </c>
      <c r="Q42" s="25">
        <v>0</v>
      </c>
      <c r="R42" s="25">
        <v>0</v>
      </c>
      <c r="S42" s="25">
        <f>(F42-G42-M42-P42-T42-20833)*15%</f>
        <v>135.39374999999998</v>
      </c>
      <c r="T42" s="25">
        <v>100</v>
      </c>
      <c r="U42" s="25">
        <f>T42</f>
        <v>100</v>
      </c>
      <c r="V42" s="24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48.45</v>
      </c>
      <c r="AB42" s="25">
        <v>0</v>
      </c>
      <c r="AC42" s="25">
        <f t="shared" si="2"/>
        <v>21648.681250000001</v>
      </c>
      <c r="AD42" s="25">
        <v>0</v>
      </c>
      <c r="AE42" s="25">
        <v>0</v>
      </c>
      <c r="AF42" s="28">
        <v>0</v>
      </c>
      <c r="AG42" s="29">
        <v>0</v>
      </c>
      <c r="AH42" s="29">
        <v>0</v>
      </c>
      <c r="AI42" s="26">
        <v>0</v>
      </c>
      <c r="AJ42" s="30">
        <f t="shared" si="3"/>
        <v>21648.681250000001</v>
      </c>
      <c r="AK42" s="12"/>
      <c r="AL42" s="45" t="s">
        <v>49</v>
      </c>
      <c r="AM42" s="47">
        <f>AJ45</f>
        <v>378299.05</v>
      </c>
      <c r="AN42" s="50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</row>
    <row r="43" spans="1:134" ht="15.75" thickBot="1" x14ac:dyDescent="0.3">
      <c r="A43" s="51"/>
      <c r="B43" s="52">
        <f>SUM(B7:B42)</f>
        <v>1193558.93</v>
      </c>
      <c r="C43" s="52">
        <f t="shared" ref="C43:R43" si="11">SUM(C7:C42)</f>
        <v>172.51</v>
      </c>
      <c r="D43" s="52">
        <f t="shared" si="11"/>
        <v>1198.2</v>
      </c>
      <c r="E43" s="52">
        <f t="shared" si="11"/>
        <v>15784.789999999999</v>
      </c>
      <c r="F43" s="52">
        <f t="shared" si="11"/>
        <v>1210714.4300000002</v>
      </c>
      <c r="G43" s="52">
        <f t="shared" si="11"/>
        <v>34650</v>
      </c>
      <c r="H43" s="52">
        <f t="shared" si="11"/>
        <v>73150</v>
      </c>
      <c r="I43" s="52">
        <f t="shared" si="11"/>
        <v>107800</v>
      </c>
      <c r="J43" s="52">
        <f t="shared" si="11"/>
        <v>1040</v>
      </c>
      <c r="K43" s="52">
        <f>SUM(K7:K42)</f>
        <v>29948.37</v>
      </c>
      <c r="L43" s="52">
        <f t="shared" si="11"/>
        <v>0</v>
      </c>
      <c r="M43" s="52">
        <f>SUM(M7:M42)+0.01</f>
        <v>25885.547499999997</v>
      </c>
      <c r="N43" s="52">
        <f>SUM(N7:N42)+0.01</f>
        <v>25885.547499999997</v>
      </c>
      <c r="O43" s="52">
        <f>SUM(O7:O42)-0.02</f>
        <v>51771.095000000008</v>
      </c>
      <c r="P43" s="52">
        <f t="shared" si="11"/>
        <v>0</v>
      </c>
      <c r="Q43" s="52">
        <f t="shared" si="11"/>
        <v>0</v>
      </c>
      <c r="R43" s="52">
        <f t="shared" si="11"/>
        <v>0</v>
      </c>
      <c r="S43" s="52">
        <f>SUM(S7:S42)+0.01</f>
        <v>109825.287</v>
      </c>
      <c r="T43" s="52">
        <f t="shared" ref="T43:AB43" si="12">SUM(T7:T42)</f>
        <v>3600</v>
      </c>
      <c r="U43" s="52">
        <f t="shared" si="12"/>
        <v>3600</v>
      </c>
      <c r="V43" s="52">
        <f t="shared" si="12"/>
        <v>18332.05</v>
      </c>
      <c r="W43" s="52">
        <f t="shared" si="12"/>
        <v>0</v>
      </c>
      <c r="X43" s="52">
        <f t="shared" si="12"/>
        <v>24200</v>
      </c>
      <c r="Y43" s="52">
        <f t="shared" si="12"/>
        <v>27657.16</v>
      </c>
      <c r="Z43" s="52">
        <f t="shared" si="12"/>
        <v>0</v>
      </c>
      <c r="AA43" s="52">
        <f t="shared" si="12"/>
        <v>7559.5799999999981</v>
      </c>
      <c r="AB43" s="52">
        <f t="shared" si="12"/>
        <v>0</v>
      </c>
      <c r="AC43" s="53">
        <f>SUM(AC7:AC42)-0.02</f>
        <v>944175.59550000029</v>
      </c>
      <c r="AD43" s="52">
        <f t="shared" ref="AD43:AI43" si="13">SUM(AD7:AD42)</f>
        <v>59670.92</v>
      </c>
      <c r="AE43" s="52">
        <f t="shared" si="13"/>
        <v>0</v>
      </c>
      <c r="AF43" s="52">
        <f t="shared" si="13"/>
        <v>6000</v>
      </c>
      <c r="AG43" s="52">
        <f t="shared" si="13"/>
        <v>1500</v>
      </c>
      <c r="AH43" s="54">
        <f t="shared" si="13"/>
        <v>0</v>
      </c>
      <c r="AI43" s="54">
        <f t="shared" si="13"/>
        <v>0</v>
      </c>
      <c r="AJ43" s="54">
        <f>SUM(AJ7:AJ42)-0.02</f>
        <v>1011346.5155000001</v>
      </c>
      <c r="AK43" s="50"/>
      <c r="AL43" s="45" t="s">
        <v>45</v>
      </c>
      <c r="AM43" s="48">
        <f>AM41+AM35</f>
        <v>633047.47</v>
      </c>
      <c r="AN43" s="50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</row>
    <row r="44" spans="1:134" s="60" customFormat="1" ht="13.5" thickTop="1" x14ac:dyDescent="0.2">
      <c r="A44" s="35" t="s">
        <v>27</v>
      </c>
      <c r="B44" s="35"/>
      <c r="C44" s="55"/>
      <c r="D44" s="55"/>
      <c r="E44" s="55"/>
      <c r="F44" s="55">
        <f>363163.72+370110.29-7559.58</f>
        <v>725714.43</v>
      </c>
      <c r="G44" s="55">
        <f>G43-G26-G25-G12</f>
        <v>30600</v>
      </c>
      <c r="H44" s="55"/>
      <c r="I44" s="55"/>
      <c r="J44" s="55"/>
      <c r="K44" s="55">
        <f>K43-29948.37</f>
        <v>0</v>
      </c>
      <c r="L44" s="55"/>
      <c r="M44" s="55">
        <f>M43-M26-M25-M12</f>
        <v>18385.547499999997</v>
      </c>
      <c r="N44" s="55"/>
      <c r="O44" s="55"/>
      <c r="P44" s="55">
        <v>0</v>
      </c>
      <c r="Q44" s="55">
        <v>0</v>
      </c>
      <c r="R44" s="55">
        <v>0</v>
      </c>
      <c r="S44" s="55">
        <f>S43-S26-S25-S12</f>
        <v>14974.336999999992</v>
      </c>
      <c r="T44" s="55">
        <f>T43-T26-T25-T12</f>
        <v>3300</v>
      </c>
      <c r="U44" s="55" t="s">
        <v>23</v>
      </c>
      <c r="V44" s="55"/>
      <c r="W44" s="55"/>
      <c r="X44" s="55"/>
      <c r="Y44" s="55"/>
      <c r="Z44" s="3"/>
      <c r="AA44" s="3"/>
      <c r="AB44" s="3"/>
      <c r="AC44" s="55">
        <f>288033.3+277843.25</f>
        <v>565876.55000000005</v>
      </c>
      <c r="AD44" s="55"/>
      <c r="AE44" s="55"/>
      <c r="AF44" s="55"/>
      <c r="AG44" s="55"/>
      <c r="AH44" s="55"/>
      <c r="AI44" s="56"/>
      <c r="AJ44" s="55">
        <f>288033.3+32570.92+277843.25+34600</f>
        <v>633047.47</v>
      </c>
      <c r="AK44" s="57"/>
      <c r="AL44" s="58" t="s">
        <v>50</v>
      </c>
      <c r="AM44" s="59">
        <f>AM42+AM41+AM35</f>
        <v>1011346.52</v>
      </c>
      <c r="AN44" s="50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</row>
    <row r="45" spans="1:134" x14ac:dyDescent="0.25">
      <c r="A45" s="35"/>
      <c r="B45" s="2"/>
      <c r="C45" s="3"/>
      <c r="D45" s="3"/>
      <c r="E45" s="3"/>
      <c r="F45" s="61">
        <f>F43-363163.72</f>
        <v>847550.7100000002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55"/>
      <c r="R45" s="55"/>
      <c r="S45" s="3"/>
      <c r="T45" s="3" t="s">
        <v>23</v>
      </c>
      <c r="U45" s="3"/>
      <c r="V45" s="2"/>
      <c r="W45" s="3"/>
      <c r="X45" s="3">
        <f>15850+1000+15850+1000</f>
        <v>33700</v>
      </c>
      <c r="Y45" s="3"/>
      <c r="Z45" s="3"/>
      <c r="AA45" s="3"/>
      <c r="AB45" s="3"/>
      <c r="AC45" s="61">
        <f>AC12+AC25+AC26</f>
        <v>378299.05</v>
      </c>
      <c r="AD45" s="3"/>
      <c r="AE45" s="3"/>
      <c r="AF45" s="3"/>
      <c r="AG45" s="3"/>
      <c r="AH45" s="3"/>
      <c r="AI45" s="35"/>
      <c r="AJ45" s="61">
        <f>AJ26+AJ25+AJ12</f>
        <v>378299.05</v>
      </c>
      <c r="AK45" s="12"/>
      <c r="AL45" s="35"/>
      <c r="AM45" s="44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</row>
    <row r="46" spans="1:134" x14ac:dyDescent="0.25">
      <c r="A46" s="35"/>
      <c r="B46" s="2"/>
      <c r="C46" s="3"/>
      <c r="D46" s="3"/>
      <c r="E46" s="3"/>
      <c r="F46" s="55">
        <f>F44+F45</f>
        <v>1573265.1400000001</v>
      </c>
      <c r="G46" s="3"/>
      <c r="H46" s="3"/>
      <c r="I46" s="3"/>
      <c r="J46" s="3"/>
      <c r="K46" s="3"/>
      <c r="L46" s="3"/>
      <c r="M46" s="62" t="s">
        <v>23</v>
      </c>
      <c r="N46" s="62"/>
      <c r="O46" s="62"/>
      <c r="P46" s="62"/>
      <c r="Q46" s="55"/>
      <c r="R46" s="55"/>
      <c r="S46" s="62"/>
      <c r="T46" s="63"/>
      <c r="U46" s="62"/>
      <c r="V46" s="2"/>
      <c r="W46" s="3"/>
      <c r="X46" s="3"/>
      <c r="Y46" s="3"/>
      <c r="Z46" s="3"/>
      <c r="AA46" s="3"/>
      <c r="AB46" s="3"/>
      <c r="AC46" s="3">
        <f>AC44+AC45-AH43</f>
        <v>944175.60000000009</v>
      </c>
      <c r="AD46" s="3"/>
      <c r="AE46" s="3"/>
      <c r="AF46" s="3"/>
      <c r="AG46" s="3"/>
      <c r="AH46" s="3"/>
      <c r="AI46" s="35"/>
      <c r="AJ46" s="3">
        <f>AJ44+AJ45</f>
        <v>1011346.52</v>
      </c>
      <c r="AK46" s="12" t="s">
        <v>23</v>
      </c>
      <c r="AL46" s="35"/>
      <c r="AM46" s="44" t="s">
        <v>23</v>
      </c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</row>
    <row r="47" spans="1:134" x14ac:dyDescent="0.25">
      <c r="A47" s="35"/>
      <c r="B47" s="2" t="s">
        <v>23</v>
      </c>
      <c r="C47" s="3"/>
      <c r="D47" s="3"/>
      <c r="E47" s="3"/>
      <c r="F47" s="55"/>
      <c r="G47" s="3"/>
      <c r="H47" s="3"/>
      <c r="I47" s="3"/>
      <c r="J47" s="3"/>
      <c r="K47" s="3"/>
      <c r="L47" s="3"/>
      <c r="M47" s="62"/>
      <c r="N47" s="62"/>
      <c r="O47" s="62"/>
      <c r="P47" s="62"/>
      <c r="Q47" s="55"/>
      <c r="R47" s="55"/>
      <c r="S47" s="62" t="s">
        <v>23</v>
      </c>
      <c r="T47" s="63"/>
      <c r="U47" s="62"/>
      <c r="V47" s="2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5"/>
      <c r="AJ47" s="12" t="s">
        <v>23</v>
      </c>
      <c r="AK47" s="43"/>
      <c r="AL47" s="35"/>
      <c r="AM47" s="37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</row>
    <row r="48" spans="1:134" x14ac:dyDescent="0.25">
      <c r="A48" s="1" t="s">
        <v>51</v>
      </c>
      <c r="B48" s="35"/>
      <c r="C48" s="55"/>
      <c r="D48" s="55"/>
      <c r="E48" s="55"/>
      <c r="F48" s="3" t="s">
        <v>23</v>
      </c>
      <c r="G48" s="3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35"/>
      <c r="W48" s="55"/>
      <c r="X48" s="55"/>
      <c r="Y48" s="55"/>
      <c r="Z48" s="55"/>
      <c r="AA48" s="55"/>
      <c r="AB48" s="55"/>
      <c r="AC48" s="55" t="s">
        <v>23</v>
      </c>
      <c r="AD48" s="55"/>
      <c r="AE48" s="55"/>
      <c r="AF48" s="55"/>
      <c r="AG48" s="55"/>
      <c r="AH48" s="55"/>
      <c r="AI48" s="35"/>
      <c r="AJ48" s="55"/>
      <c r="AK48" s="43" t="s">
        <v>42</v>
      </c>
      <c r="AL48" s="45">
        <v>21340</v>
      </c>
      <c r="AM48" s="31" t="s">
        <v>52</v>
      </c>
      <c r="AN48" s="13">
        <f>5140.61+280+5990</f>
        <v>11410.61</v>
      </c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</row>
    <row r="49" spans="1:134" ht="10.5" customHeight="1" x14ac:dyDescent="0.25">
      <c r="A49" s="130" t="s">
        <v>4</v>
      </c>
      <c r="B49" s="130" t="s">
        <v>5</v>
      </c>
      <c r="C49" s="119" t="s">
        <v>53</v>
      </c>
      <c r="D49" s="119" t="s">
        <v>54</v>
      </c>
      <c r="E49" s="119" t="s">
        <v>8</v>
      </c>
      <c r="F49" s="119" t="s">
        <v>9</v>
      </c>
      <c r="G49" s="120" t="s">
        <v>10</v>
      </c>
      <c r="H49" s="120"/>
      <c r="I49" s="120"/>
      <c r="J49" s="120"/>
      <c r="K49" s="119" t="s">
        <v>11</v>
      </c>
      <c r="L49" s="119" t="s">
        <v>12</v>
      </c>
      <c r="M49" s="120" t="s">
        <v>13</v>
      </c>
      <c r="N49" s="120"/>
      <c r="O49" s="120"/>
      <c r="P49" s="120"/>
      <c r="Q49" s="120"/>
      <c r="R49" s="120"/>
      <c r="S49" s="131" t="s">
        <v>14</v>
      </c>
      <c r="T49" s="138" t="s">
        <v>15</v>
      </c>
      <c r="U49" s="139"/>
      <c r="V49" s="124" t="s">
        <v>16</v>
      </c>
      <c r="W49" s="131" t="s">
        <v>17</v>
      </c>
      <c r="X49" s="131" t="s">
        <v>18</v>
      </c>
      <c r="Y49" s="131" t="s">
        <v>19</v>
      </c>
      <c r="Z49" s="131" t="s">
        <v>20</v>
      </c>
      <c r="AA49" s="134" t="s">
        <v>21</v>
      </c>
      <c r="AB49" s="121"/>
      <c r="AC49" s="131" t="s">
        <v>22</v>
      </c>
      <c r="AD49" s="135" t="s">
        <v>37</v>
      </c>
      <c r="AE49" s="136"/>
      <c r="AF49" s="136"/>
      <c r="AG49" s="137"/>
      <c r="AH49" s="131" t="s">
        <v>55</v>
      </c>
      <c r="AI49" s="124" t="s">
        <v>25</v>
      </c>
      <c r="AJ49" s="127" t="s">
        <v>26</v>
      </c>
      <c r="AK49" s="43" t="s">
        <v>43</v>
      </c>
      <c r="AL49" s="47">
        <v>7300</v>
      </c>
      <c r="AM49" s="31" t="s">
        <v>52</v>
      </c>
      <c r="AN49" s="13">
        <f>6816.78+8148.31</f>
        <v>14965.09</v>
      </c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</row>
    <row r="50" spans="1:134" ht="14.25" customHeight="1" x14ac:dyDescent="0.25">
      <c r="A50" s="130"/>
      <c r="B50" s="130"/>
      <c r="C50" s="119"/>
      <c r="D50" s="119"/>
      <c r="E50" s="119"/>
      <c r="F50" s="119"/>
      <c r="G50" s="120" t="s">
        <v>27</v>
      </c>
      <c r="H50" s="120" t="s">
        <v>28</v>
      </c>
      <c r="I50" s="120">
        <f>SUM(O52:O53)</f>
        <v>2134</v>
      </c>
      <c r="J50" s="131" t="s">
        <v>30</v>
      </c>
      <c r="K50" s="119"/>
      <c r="L50" s="119"/>
      <c r="M50" s="122" t="s">
        <v>27</v>
      </c>
      <c r="N50" s="122" t="s">
        <v>28</v>
      </c>
      <c r="O50" s="122" t="s">
        <v>31</v>
      </c>
      <c r="P50" s="123" t="s">
        <v>32</v>
      </c>
      <c r="Q50" s="123" t="s">
        <v>33</v>
      </c>
      <c r="R50" s="123" t="s">
        <v>34</v>
      </c>
      <c r="S50" s="132"/>
      <c r="T50" s="140"/>
      <c r="U50" s="141"/>
      <c r="V50" s="125"/>
      <c r="W50" s="132"/>
      <c r="X50" s="132"/>
      <c r="Y50" s="132"/>
      <c r="Z50" s="132"/>
      <c r="AA50" s="131" t="s">
        <v>35</v>
      </c>
      <c r="AB50" s="131" t="s">
        <v>36</v>
      </c>
      <c r="AC50" s="132"/>
      <c r="AD50" s="16"/>
      <c r="AE50" s="17"/>
      <c r="AF50" s="17"/>
      <c r="AG50" s="17"/>
      <c r="AH50" s="132"/>
      <c r="AI50" s="125"/>
      <c r="AJ50" s="128"/>
      <c r="AK50" s="43" t="s">
        <v>48</v>
      </c>
      <c r="AL50" s="64">
        <f>AL48+AL49</f>
        <v>28640</v>
      </c>
      <c r="AM50" s="31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</row>
    <row r="51" spans="1:134" ht="25.5" customHeight="1" x14ac:dyDescent="0.25">
      <c r="A51" s="130"/>
      <c r="B51" s="130"/>
      <c r="C51" s="119"/>
      <c r="D51" s="119"/>
      <c r="E51" s="119"/>
      <c r="F51" s="119"/>
      <c r="G51" s="120"/>
      <c r="H51" s="120"/>
      <c r="I51" s="120"/>
      <c r="J51" s="133"/>
      <c r="K51" s="119"/>
      <c r="L51" s="119"/>
      <c r="M51" s="122"/>
      <c r="N51" s="122"/>
      <c r="O51" s="122"/>
      <c r="P51" s="123"/>
      <c r="Q51" s="123"/>
      <c r="R51" s="123"/>
      <c r="S51" s="133"/>
      <c r="T51" s="20" t="s">
        <v>27</v>
      </c>
      <c r="U51" s="20" t="s">
        <v>28</v>
      </c>
      <c r="V51" s="126"/>
      <c r="W51" s="133"/>
      <c r="X51" s="133"/>
      <c r="Y51" s="133"/>
      <c r="Z51" s="133"/>
      <c r="AA51" s="133"/>
      <c r="AB51" s="133"/>
      <c r="AC51" s="133"/>
      <c r="AD51" s="21" t="s">
        <v>38</v>
      </c>
      <c r="AE51" s="8" t="s">
        <v>39</v>
      </c>
      <c r="AF51" s="8" t="s">
        <v>40</v>
      </c>
      <c r="AG51" s="21" t="s">
        <v>41</v>
      </c>
      <c r="AH51" s="133"/>
      <c r="AI51" s="126"/>
      <c r="AJ51" s="129"/>
      <c r="AK51" s="43"/>
      <c r="AL51" s="45"/>
      <c r="AM51" s="31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</row>
    <row r="52" spans="1:134" x14ac:dyDescent="0.25">
      <c r="A52" s="33">
        <f>11000+11000</f>
        <v>22000</v>
      </c>
      <c r="B52" s="33">
        <f>11000+11000-421.72</f>
        <v>21578.28</v>
      </c>
      <c r="C52" s="33">
        <v>0</v>
      </c>
      <c r="D52" s="33">
        <v>0</v>
      </c>
      <c r="E52" s="26">
        <v>0</v>
      </c>
      <c r="F52" s="25">
        <f>B52+C52+D52+E52</f>
        <v>21578.28</v>
      </c>
      <c r="G52" s="26">
        <v>990</v>
      </c>
      <c r="H52" s="26">
        <f>1900+190</f>
        <v>2090</v>
      </c>
      <c r="I52" s="25">
        <f>G52+H52</f>
        <v>3080</v>
      </c>
      <c r="J52" s="26">
        <v>30</v>
      </c>
      <c r="K52" s="25">
        <v>0</v>
      </c>
      <c r="L52" s="25">
        <v>0</v>
      </c>
      <c r="M52" s="25">
        <f>A52*5%/2</f>
        <v>550</v>
      </c>
      <c r="N52" s="26">
        <f>M52</f>
        <v>550</v>
      </c>
      <c r="O52" s="26">
        <f>M52+N52</f>
        <v>1100</v>
      </c>
      <c r="P52" s="26">
        <v>0</v>
      </c>
      <c r="Q52" s="26">
        <v>0</v>
      </c>
      <c r="R52" s="26">
        <f>P52+Q52</f>
        <v>0</v>
      </c>
      <c r="S52" s="26">
        <f>Q52+R52</f>
        <v>0</v>
      </c>
      <c r="T52" s="26">
        <v>100</v>
      </c>
      <c r="U52" s="26">
        <f>T52</f>
        <v>100</v>
      </c>
      <c r="V52" s="24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357.75</v>
      </c>
      <c r="AB52" s="25"/>
      <c r="AC52" s="25">
        <f>F52-G52-K52-L52-M52-S52-T52-V52-W52-X52-Y52-Z52+AA52-AB52</f>
        <v>20296.03</v>
      </c>
      <c r="AD52" s="25">
        <f>5000+5000-191.7</f>
        <v>9808.2999999999993</v>
      </c>
      <c r="AE52" s="25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f>AC52+AD52+AE52+AF52+AG52+AI52</f>
        <v>30104.329999999998</v>
      </c>
      <c r="AK52" s="43" t="s">
        <v>46</v>
      </c>
      <c r="AL52" s="45">
        <v>18137.64</v>
      </c>
      <c r="AM52" s="31" t="s">
        <v>52</v>
      </c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</row>
    <row r="53" spans="1:134" x14ac:dyDescent="0.25">
      <c r="A53" s="33">
        <f>10340+10340</f>
        <v>20680</v>
      </c>
      <c r="B53" s="33">
        <f>10340+10340</f>
        <v>20680</v>
      </c>
      <c r="C53" s="33">
        <v>0</v>
      </c>
      <c r="D53" s="33">
        <v>0</v>
      </c>
      <c r="E53" s="26">
        <v>0</v>
      </c>
      <c r="F53" s="25">
        <f>B53+C53+D53+E53</f>
        <v>20680</v>
      </c>
      <c r="G53" s="26">
        <v>922.5</v>
      </c>
      <c r="H53" s="26">
        <f>1900+47.5</f>
        <v>1947.5</v>
      </c>
      <c r="I53" s="26">
        <f>G53+H53</f>
        <v>2870</v>
      </c>
      <c r="J53" s="26">
        <v>30</v>
      </c>
      <c r="K53" s="25">
        <v>0</v>
      </c>
      <c r="L53" s="25">
        <v>0</v>
      </c>
      <c r="M53" s="25">
        <f>A53*5%/2</f>
        <v>517</v>
      </c>
      <c r="N53" s="26">
        <f>M53</f>
        <v>517</v>
      </c>
      <c r="O53" s="26">
        <f>M53+N53</f>
        <v>1034</v>
      </c>
      <c r="P53" s="26">
        <v>0</v>
      </c>
      <c r="Q53" s="26">
        <v>0</v>
      </c>
      <c r="R53" s="26">
        <f>P53+Q53</f>
        <v>0</v>
      </c>
      <c r="S53" s="26">
        <v>0</v>
      </c>
      <c r="T53" s="26">
        <v>100</v>
      </c>
      <c r="U53" s="26">
        <f>T53</f>
        <v>100</v>
      </c>
      <c r="V53" s="24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41.11</v>
      </c>
      <c r="AB53" s="25"/>
      <c r="AC53" s="25">
        <f>F53-G53-K53-L53-M53-S53-T53-V53-W53-X53-Y53-Z53+AA53-AB53</f>
        <v>19181.61</v>
      </c>
      <c r="AD53" s="25">
        <f>2300+2300</f>
        <v>4600</v>
      </c>
      <c r="AE53" s="25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f>AC53+AD53+AE53+AF53+AG53+AI53</f>
        <v>23781.61</v>
      </c>
      <c r="AK53" s="43" t="s">
        <v>43</v>
      </c>
      <c r="AL53" s="47">
        <v>7108.3</v>
      </c>
      <c r="AM53" s="31" t="s">
        <v>52</v>
      </c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</row>
    <row r="54" spans="1:134" ht="15.75" thickBot="1" x14ac:dyDescent="0.3">
      <c r="A54" s="65" t="s">
        <v>56</v>
      </c>
      <c r="B54" s="66">
        <f>B52+B53</f>
        <v>42258.28</v>
      </c>
      <c r="C54" s="52">
        <f t="shared" ref="C54:AB54" si="14">SUM(C52:C53)</f>
        <v>0</v>
      </c>
      <c r="D54" s="52">
        <f t="shared" si="14"/>
        <v>0</v>
      </c>
      <c r="E54" s="52">
        <f t="shared" si="14"/>
        <v>0</v>
      </c>
      <c r="F54" s="52">
        <f t="shared" si="14"/>
        <v>42258.28</v>
      </c>
      <c r="G54" s="52">
        <f t="shared" si="14"/>
        <v>1912.5</v>
      </c>
      <c r="H54" s="52">
        <f t="shared" si="14"/>
        <v>4037.5</v>
      </c>
      <c r="I54" s="52">
        <f t="shared" si="14"/>
        <v>5950</v>
      </c>
      <c r="J54" s="52">
        <f t="shared" si="14"/>
        <v>60</v>
      </c>
      <c r="K54" s="52">
        <f t="shared" si="14"/>
        <v>0</v>
      </c>
      <c r="L54" s="52">
        <f t="shared" si="14"/>
        <v>0</v>
      </c>
      <c r="M54" s="52">
        <f t="shared" si="14"/>
        <v>1067</v>
      </c>
      <c r="N54" s="52">
        <f t="shared" si="14"/>
        <v>1067</v>
      </c>
      <c r="O54" s="52">
        <f t="shared" si="14"/>
        <v>2134</v>
      </c>
      <c r="P54" s="52">
        <f t="shared" si="14"/>
        <v>0</v>
      </c>
      <c r="Q54" s="52">
        <f t="shared" si="14"/>
        <v>0</v>
      </c>
      <c r="R54" s="52">
        <f t="shared" si="14"/>
        <v>0</v>
      </c>
      <c r="S54" s="52">
        <f t="shared" si="14"/>
        <v>0</v>
      </c>
      <c r="T54" s="52">
        <f t="shared" si="14"/>
        <v>200</v>
      </c>
      <c r="U54" s="52">
        <f t="shared" si="14"/>
        <v>200</v>
      </c>
      <c r="V54" s="52">
        <f t="shared" si="14"/>
        <v>0</v>
      </c>
      <c r="W54" s="52">
        <f t="shared" si="14"/>
        <v>0</v>
      </c>
      <c r="X54" s="52">
        <f t="shared" si="14"/>
        <v>0</v>
      </c>
      <c r="Y54" s="52">
        <f t="shared" si="14"/>
        <v>0</v>
      </c>
      <c r="Z54" s="52">
        <f t="shared" si="14"/>
        <v>0</v>
      </c>
      <c r="AA54" s="52">
        <f t="shared" si="14"/>
        <v>398.86</v>
      </c>
      <c r="AB54" s="52">
        <f t="shared" si="14"/>
        <v>0</v>
      </c>
      <c r="AC54" s="52">
        <f>AC52+AC53</f>
        <v>39477.64</v>
      </c>
      <c r="AD54" s="52">
        <f t="shared" ref="AD54:AI54" si="15">SUM(AD52:AD53)</f>
        <v>14408.3</v>
      </c>
      <c r="AE54" s="52">
        <f t="shared" si="15"/>
        <v>0</v>
      </c>
      <c r="AF54" s="52">
        <f t="shared" si="15"/>
        <v>0</v>
      </c>
      <c r="AG54" s="52">
        <f t="shared" si="15"/>
        <v>0</v>
      </c>
      <c r="AH54" s="52">
        <f t="shared" si="15"/>
        <v>0</v>
      </c>
      <c r="AI54" s="52">
        <f t="shared" si="15"/>
        <v>0</v>
      </c>
      <c r="AJ54" s="52">
        <f>SUM(AJ52:AJ53)</f>
        <v>53885.94</v>
      </c>
      <c r="AK54" s="43" t="s">
        <v>48</v>
      </c>
      <c r="AL54" s="64">
        <f>AL52+AL53</f>
        <v>25245.94</v>
      </c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</row>
    <row r="55" spans="1:134" ht="15.75" thickTop="1" x14ac:dyDescent="0.25">
      <c r="A55" s="35"/>
      <c r="B55" s="35"/>
      <c r="C55" s="55"/>
      <c r="D55" s="55"/>
      <c r="E55" s="55">
        <v>0</v>
      </c>
      <c r="F55" s="3">
        <f>21340+21317.14-398.86</f>
        <v>42258.28</v>
      </c>
      <c r="G55" s="3"/>
      <c r="H55" s="55"/>
      <c r="I55" s="55"/>
      <c r="J55" s="55"/>
      <c r="K55" s="55"/>
      <c r="L55" s="55"/>
      <c r="M55" s="55">
        <v>0</v>
      </c>
      <c r="N55" s="55"/>
      <c r="O55" s="55"/>
      <c r="P55" s="55"/>
      <c r="Q55" s="55"/>
      <c r="R55" s="55"/>
      <c r="S55" s="55"/>
      <c r="T55" s="55"/>
      <c r="U55" s="55"/>
      <c r="V55" s="35"/>
      <c r="W55" s="55"/>
      <c r="X55" s="55">
        <v>0</v>
      </c>
      <c r="Y55" s="55"/>
      <c r="Z55" s="55"/>
      <c r="AA55" s="55"/>
      <c r="AB55" s="55"/>
      <c r="AC55" s="55">
        <f>21340+18137.64</f>
        <v>39477.64</v>
      </c>
      <c r="AD55" s="55"/>
      <c r="AE55" s="55"/>
      <c r="AF55" s="55"/>
      <c r="AG55" s="55"/>
      <c r="AH55" s="55"/>
      <c r="AI55" s="35"/>
      <c r="AJ55" s="55">
        <f>21340+7300+18137.64+7108.3</f>
        <v>53885.94</v>
      </c>
      <c r="AL55" s="67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</row>
    <row r="56" spans="1:134" x14ac:dyDescent="0.25">
      <c r="A56" s="1" t="s">
        <v>57</v>
      </c>
      <c r="B56" s="35"/>
      <c r="C56" s="55"/>
      <c r="D56" s="55"/>
      <c r="E56" s="55"/>
      <c r="F56" s="3" t="s">
        <v>23</v>
      </c>
      <c r="G56" s="3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3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35"/>
      <c r="AJ56" s="12"/>
      <c r="AK56" s="43" t="s">
        <v>45</v>
      </c>
      <c r="AL56" s="68">
        <f>AL54+AL50</f>
        <v>53885.94</v>
      </c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</row>
    <row r="57" spans="1:134" ht="13.15" customHeight="1" x14ac:dyDescent="0.25">
      <c r="A57" s="130" t="s">
        <v>4</v>
      </c>
      <c r="B57" s="130" t="s">
        <v>5</v>
      </c>
      <c r="C57" s="119" t="s">
        <v>58</v>
      </c>
      <c r="D57" s="119" t="s">
        <v>7</v>
      </c>
      <c r="E57" s="119" t="s">
        <v>8</v>
      </c>
      <c r="F57" s="119" t="s">
        <v>9</v>
      </c>
      <c r="G57" s="120" t="s">
        <v>10</v>
      </c>
      <c r="H57" s="120"/>
      <c r="I57" s="120"/>
      <c r="J57" s="120"/>
      <c r="K57" s="119" t="s">
        <v>11</v>
      </c>
      <c r="L57" s="119" t="s">
        <v>12</v>
      </c>
      <c r="M57" s="120" t="s">
        <v>13</v>
      </c>
      <c r="N57" s="120"/>
      <c r="O57" s="120"/>
      <c r="P57" s="120"/>
      <c r="Q57" s="120"/>
      <c r="R57" s="120"/>
      <c r="S57" s="131" t="s">
        <v>14</v>
      </c>
      <c r="T57" s="138" t="s">
        <v>15</v>
      </c>
      <c r="U57" s="139"/>
      <c r="V57" s="124" t="s">
        <v>16</v>
      </c>
      <c r="W57" s="131" t="s">
        <v>17</v>
      </c>
      <c r="X57" s="131" t="s">
        <v>18</v>
      </c>
      <c r="Y57" s="131" t="s">
        <v>19</v>
      </c>
      <c r="Z57" s="131" t="s">
        <v>59</v>
      </c>
      <c r="AA57" s="134" t="s">
        <v>21</v>
      </c>
      <c r="AB57" s="145"/>
      <c r="AC57" s="131" t="s">
        <v>22</v>
      </c>
      <c r="AD57" s="135" t="s">
        <v>37</v>
      </c>
      <c r="AE57" s="136"/>
      <c r="AF57" s="136"/>
      <c r="AG57" s="137"/>
      <c r="AH57" s="131" t="s">
        <v>55</v>
      </c>
      <c r="AI57" s="124" t="s">
        <v>25</v>
      </c>
      <c r="AJ57" s="127" t="s">
        <v>26</v>
      </c>
      <c r="AK57" s="37"/>
      <c r="AL57" s="35"/>
      <c r="AM57" s="37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</row>
    <row r="58" spans="1:134" ht="12.75" customHeight="1" x14ac:dyDescent="0.25">
      <c r="A58" s="130"/>
      <c r="B58" s="130"/>
      <c r="C58" s="119"/>
      <c r="D58" s="119"/>
      <c r="E58" s="119"/>
      <c r="F58" s="119"/>
      <c r="G58" s="120" t="s">
        <v>27</v>
      </c>
      <c r="H58" s="120" t="s">
        <v>28</v>
      </c>
      <c r="I58" s="120" t="s">
        <v>29</v>
      </c>
      <c r="J58" s="131" t="s">
        <v>30</v>
      </c>
      <c r="K58" s="119"/>
      <c r="L58" s="119"/>
      <c r="M58" s="122" t="s">
        <v>27</v>
      </c>
      <c r="N58" s="122" t="s">
        <v>28</v>
      </c>
      <c r="O58" s="122" t="s">
        <v>31</v>
      </c>
      <c r="P58" s="123" t="s">
        <v>32</v>
      </c>
      <c r="Q58" s="123" t="s">
        <v>33</v>
      </c>
      <c r="R58" s="123" t="s">
        <v>34</v>
      </c>
      <c r="S58" s="132"/>
      <c r="T58" s="140"/>
      <c r="U58" s="141"/>
      <c r="V58" s="125"/>
      <c r="W58" s="132"/>
      <c r="X58" s="132"/>
      <c r="Y58" s="132"/>
      <c r="Z58" s="132"/>
      <c r="AA58" s="131" t="s">
        <v>35</v>
      </c>
      <c r="AB58" s="131" t="s">
        <v>36</v>
      </c>
      <c r="AC58" s="132"/>
      <c r="AD58" s="16"/>
      <c r="AE58" s="17"/>
      <c r="AF58" s="17"/>
      <c r="AG58" s="17"/>
      <c r="AH58" s="132"/>
      <c r="AI58" s="125"/>
      <c r="AJ58" s="128"/>
      <c r="AK58" s="13"/>
      <c r="AL58" s="12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</row>
    <row r="59" spans="1:134" ht="21.75" customHeight="1" x14ac:dyDescent="0.25">
      <c r="A59" s="130"/>
      <c r="B59" s="130"/>
      <c r="C59" s="119"/>
      <c r="D59" s="119"/>
      <c r="E59" s="119"/>
      <c r="F59" s="119"/>
      <c r="G59" s="120"/>
      <c r="H59" s="120"/>
      <c r="I59" s="120"/>
      <c r="J59" s="133"/>
      <c r="K59" s="119"/>
      <c r="L59" s="119"/>
      <c r="M59" s="122"/>
      <c r="N59" s="122"/>
      <c r="O59" s="122"/>
      <c r="P59" s="123"/>
      <c r="Q59" s="123"/>
      <c r="R59" s="123"/>
      <c r="S59" s="133"/>
      <c r="T59" s="20" t="s">
        <v>27</v>
      </c>
      <c r="U59" s="20" t="s">
        <v>28</v>
      </c>
      <c r="V59" s="126"/>
      <c r="W59" s="133"/>
      <c r="X59" s="133"/>
      <c r="Y59" s="133"/>
      <c r="Z59" s="133"/>
      <c r="AA59" s="133"/>
      <c r="AB59" s="133"/>
      <c r="AC59" s="133"/>
      <c r="AD59" s="21" t="s">
        <v>38</v>
      </c>
      <c r="AE59" s="8" t="s">
        <v>39</v>
      </c>
      <c r="AF59" s="8" t="s">
        <v>40</v>
      </c>
      <c r="AG59" s="21" t="s">
        <v>41</v>
      </c>
      <c r="AH59" s="133"/>
      <c r="AI59" s="126"/>
      <c r="AJ59" s="129"/>
      <c r="AK59" s="13"/>
      <c r="AL59" s="12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</row>
    <row r="60" spans="1:134" x14ac:dyDescent="0.25">
      <c r="A60" s="69">
        <f>7500+7500</f>
        <v>15000</v>
      </c>
      <c r="B60" s="33">
        <f>7500+7500</f>
        <v>15000</v>
      </c>
      <c r="C60" s="33"/>
      <c r="D60" s="26"/>
      <c r="E60" s="26">
        <f>134.78+224.62</f>
        <v>359.4</v>
      </c>
      <c r="F60" s="25">
        <f t="shared" ref="F60:F74" si="16">B60+C60+D60+E60</f>
        <v>15359.4</v>
      </c>
      <c r="G60" s="25">
        <v>675</v>
      </c>
      <c r="H60" s="26">
        <v>1425</v>
      </c>
      <c r="I60" s="25">
        <f>G60+H60</f>
        <v>2100</v>
      </c>
      <c r="J60" s="26">
        <v>30</v>
      </c>
      <c r="K60" s="25">
        <v>0</v>
      </c>
      <c r="L60" s="25">
        <v>0</v>
      </c>
      <c r="M60" s="25">
        <f>A60*5%/2</f>
        <v>375</v>
      </c>
      <c r="N60" s="25">
        <f t="shared" ref="N60:N74" si="17">M60</f>
        <v>375</v>
      </c>
      <c r="O60" s="26">
        <f t="shared" ref="O60:O74" si="18">M60+N60</f>
        <v>750</v>
      </c>
      <c r="P60" s="26">
        <v>0</v>
      </c>
      <c r="Q60" s="26">
        <v>0</v>
      </c>
      <c r="R60" s="25">
        <v>0</v>
      </c>
      <c r="S60" s="25">
        <v>0</v>
      </c>
      <c r="T60" s="26">
        <v>100</v>
      </c>
      <c r="U60" s="26">
        <f t="shared" ref="U60:U66" si="19">T60</f>
        <v>100</v>
      </c>
      <c r="V60" s="33">
        <v>0</v>
      </c>
      <c r="W60" s="26">
        <v>0</v>
      </c>
      <c r="X60" s="26">
        <v>0</v>
      </c>
      <c r="Y60" s="29">
        <v>0</v>
      </c>
      <c r="Z60" s="25">
        <v>0</v>
      </c>
      <c r="AA60" s="25"/>
      <c r="AB60" s="25"/>
      <c r="AC60" s="25">
        <f>F60-G60-K60-L60-M60-S60-T60-V60-W60-X60-Y60-Z60+AA60-AB60</f>
        <v>14209.4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69">
        <f t="shared" ref="AJ60:AJ74" si="20">AC60+AD60+AE60+AF60+AG60+AH60</f>
        <v>14209.4</v>
      </c>
      <c r="AK60" s="13"/>
      <c r="AL60" s="12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</row>
    <row r="61" spans="1:134" x14ac:dyDescent="0.25">
      <c r="A61" s="69">
        <f>8893+8893</f>
        <v>17786</v>
      </c>
      <c r="B61" s="33">
        <f>8893+8893-2045.67</f>
        <v>15740.33</v>
      </c>
      <c r="C61" s="33"/>
      <c r="D61" s="26"/>
      <c r="E61" s="26"/>
      <c r="F61" s="25">
        <f t="shared" si="16"/>
        <v>15740.33</v>
      </c>
      <c r="G61" s="25">
        <v>810</v>
      </c>
      <c r="H61" s="25">
        <v>1710</v>
      </c>
      <c r="I61" s="25">
        <f t="shared" ref="I61:I74" si="21">G61+H61</f>
        <v>2520</v>
      </c>
      <c r="J61" s="25">
        <v>30</v>
      </c>
      <c r="K61" s="25">
        <v>0</v>
      </c>
      <c r="L61" s="25">
        <v>0</v>
      </c>
      <c r="M61" s="25">
        <f t="shared" ref="M61:M69" si="22">A61*5%/2</f>
        <v>444.65000000000003</v>
      </c>
      <c r="N61" s="25">
        <f t="shared" si="17"/>
        <v>444.65000000000003</v>
      </c>
      <c r="O61" s="26">
        <f t="shared" si="18"/>
        <v>889.30000000000007</v>
      </c>
      <c r="P61" s="26">
        <v>0</v>
      </c>
      <c r="Q61" s="26">
        <v>0</v>
      </c>
      <c r="R61" s="25">
        <v>0</v>
      </c>
      <c r="S61" s="25">
        <v>0</v>
      </c>
      <c r="T61" s="26">
        <v>100</v>
      </c>
      <c r="U61" s="26">
        <f t="shared" si="19"/>
        <v>100</v>
      </c>
      <c r="V61" s="33">
        <v>941.46</v>
      </c>
      <c r="W61" s="26">
        <v>0</v>
      </c>
      <c r="X61" s="26">
        <v>0</v>
      </c>
      <c r="Y61" s="29">
        <v>0</v>
      </c>
      <c r="Z61" s="25">
        <v>0</v>
      </c>
      <c r="AA61" s="25"/>
      <c r="AB61" s="25"/>
      <c r="AC61" s="25">
        <f t="shared" ref="AC61:AC74" si="23">F61-G61-K61-L61-M61-S61-T61-V61-W61-X61-Y61-Z61+AA61-AB61</f>
        <v>13444.220000000001</v>
      </c>
      <c r="AD61" s="25">
        <v>0</v>
      </c>
      <c r="AE61" s="25">
        <v>0</v>
      </c>
      <c r="AF61" s="25">
        <v>0</v>
      </c>
      <c r="AG61" s="26">
        <v>0</v>
      </c>
      <c r="AH61" s="25">
        <v>0</v>
      </c>
      <c r="AI61" s="25">
        <v>0</v>
      </c>
      <c r="AJ61" s="69">
        <f t="shared" si="20"/>
        <v>13444.220000000001</v>
      </c>
      <c r="AK61" s="13"/>
      <c r="AL61" s="12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</row>
    <row r="62" spans="1:134" x14ac:dyDescent="0.25">
      <c r="A62" s="69">
        <f>9000+9000</f>
        <v>18000</v>
      </c>
      <c r="B62" s="33">
        <f>9000+9000</f>
        <v>18000</v>
      </c>
      <c r="C62" s="33"/>
      <c r="D62" s="26"/>
      <c r="E62" s="26">
        <f>539.12</f>
        <v>539.12</v>
      </c>
      <c r="F62" s="25">
        <f t="shared" si="16"/>
        <v>18539.12</v>
      </c>
      <c r="G62" s="25">
        <v>810</v>
      </c>
      <c r="H62" s="25">
        <v>1710</v>
      </c>
      <c r="I62" s="25">
        <f t="shared" si="21"/>
        <v>2520</v>
      </c>
      <c r="J62" s="25">
        <v>30</v>
      </c>
      <c r="K62" s="25">
        <f>1661.22</f>
        <v>1661.22</v>
      </c>
      <c r="L62" s="25">
        <v>0</v>
      </c>
      <c r="M62" s="25">
        <f t="shared" si="22"/>
        <v>450</v>
      </c>
      <c r="N62" s="25">
        <f t="shared" si="17"/>
        <v>450</v>
      </c>
      <c r="O62" s="26">
        <f t="shared" si="18"/>
        <v>900</v>
      </c>
      <c r="P62" s="26">
        <v>0</v>
      </c>
      <c r="Q62" s="26">
        <v>0</v>
      </c>
      <c r="R62" s="25">
        <v>0</v>
      </c>
      <c r="S62" s="25">
        <v>0</v>
      </c>
      <c r="T62" s="26">
        <v>100</v>
      </c>
      <c r="U62" s="26">
        <f t="shared" si="19"/>
        <v>100</v>
      </c>
      <c r="V62" s="26">
        <v>0</v>
      </c>
      <c r="W62" s="70">
        <v>0</v>
      </c>
      <c r="X62" s="29">
        <f>500+500</f>
        <v>1000</v>
      </c>
      <c r="Y62" s="29">
        <v>0</v>
      </c>
      <c r="Z62" s="25">
        <v>0</v>
      </c>
      <c r="AA62" s="25"/>
      <c r="AB62" s="25"/>
      <c r="AC62" s="25">
        <f t="shared" si="23"/>
        <v>14517.9</v>
      </c>
      <c r="AD62" s="25">
        <v>0</v>
      </c>
      <c r="AE62" s="25">
        <v>0</v>
      </c>
      <c r="AF62" s="25">
        <v>0</v>
      </c>
      <c r="AG62" s="26">
        <v>0</v>
      </c>
      <c r="AH62" s="25">
        <v>0</v>
      </c>
      <c r="AI62" s="25">
        <v>0</v>
      </c>
      <c r="AJ62" s="69">
        <f t="shared" si="20"/>
        <v>14517.9</v>
      </c>
      <c r="AK62" s="43"/>
      <c r="AL62" s="45"/>
      <c r="AM62" s="31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</row>
    <row r="63" spans="1:134" x14ac:dyDescent="0.25">
      <c r="A63" s="69">
        <f>11000+11000</f>
        <v>22000</v>
      </c>
      <c r="B63" s="33">
        <f>11000-38.66+11000-843.45-119.49</f>
        <v>20998.399999999998</v>
      </c>
      <c r="C63" s="33"/>
      <c r="D63" s="26"/>
      <c r="E63" s="26">
        <f>1186.09</f>
        <v>1186.0899999999999</v>
      </c>
      <c r="F63" s="25">
        <f t="shared" si="16"/>
        <v>22184.489999999998</v>
      </c>
      <c r="G63" s="25">
        <v>990</v>
      </c>
      <c r="H63" s="25">
        <f>1900+190</f>
        <v>2090</v>
      </c>
      <c r="I63" s="25">
        <f t="shared" si="21"/>
        <v>3080</v>
      </c>
      <c r="J63" s="25">
        <v>30</v>
      </c>
      <c r="K63" s="25">
        <v>0</v>
      </c>
      <c r="L63" s="25">
        <v>0</v>
      </c>
      <c r="M63" s="25">
        <f t="shared" si="22"/>
        <v>550</v>
      </c>
      <c r="N63" s="25">
        <f t="shared" si="17"/>
        <v>550</v>
      </c>
      <c r="O63" s="26">
        <f t="shared" si="18"/>
        <v>1100</v>
      </c>
      <c r="P63" s="26">
        <v>0</v>
      </c>
      <c r="Q63" s="26">
        <v>0</v>
      </c>
      <c r="R63" s="25">
        <v>0</v>
      </c>
      <c r="S63" s="25">
        <v>0</v>
      </c>
      <c r="T63" s="26">
        <v>100</v>
      </c>
      <c r="U63" s="26">
        <f t="shared" si="19"/>
        <v>100</v>
      </c>
      <c r="V63" s="26">
        <v>0</v>
      </c>
      <c r="W63" s="70">
        <v>0</v>
      </c>
      <c r="X63" s="29">
        <v>0</v>
      </c>
      <c r="Y63" s="29">
        <v>0</v>
      </c>
      <c r="Z63" s="25">
        <v>0</v>
      </c>
      <c r="AA63" s="25">
        <v>20.8</v>
      </c>
      <c r="AB63" s="25"/>
      <c r="AC63" s="25">
        <f t="shared" si="23"/>
        <v>20565.289999999997</v>
      </c>
      <c r="AD63" s="25">
        <v>0</v>
      </c>
      <c r="AE63" s="25">
        <v>0</v>
      </c>
      <c r="AF63" s="25">
        <v>0</v>
      </c>
      <c r="AG63" s="26">
        <v>0</v>
      </c>
      <c r="AH63" s="25">
        <v>0</v>
      </c>
      <c r="AI63" s="25">
        <v>0</v>
      </c>
      <c r="AJ63" s="69">
        <f t="shared" si="20"/>
        <v>20565.289999999997</v>
      </c>
      <c r="AK63" s="43"/>
      <c r="AL63" s="46"/>
      <c r="AM63" s="31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</row>
    <row r="64" spans="1:134" x14ac:dyDescent="0.25">
      <c r="A64" s="33">
        <v>14000</v>
      </c>
      <c r="B64" s="33">
        <f>7000+7000-268.37-1.12</f>
        <v>13730.509999999998</v>
      </c>
      <c r="C64" s="33"/>
      <c r="D64" s="26"/>
      <c r="E64" s="26"/>
      <c r="F64" s="25">
        <f t="shared" si="16"/>
        <v>13730.509999999998</v>
      </c>
      <c r="G64" s="25">
        <v>630</v>
      </c>
      <c r="H64" s="25">
        <v>1330</v>
      </c>
      <c r="I64" s="25">
        <f t="shared" si="21"/>
        <v>1960</v>
      </c>
      <c r="J64" s="25">
        <v>10</v>
      </c>
      <c r="K64" s="25">
        <v>0</v>
      </c>
      <c r="L64" s="25">
        <v>0</v>
      </c>
      <c r="M64" s="25">
        <f t="shared" si="22"/>
        <v>350</v>
      </c>
      <c r="N64" s="25">
        <f t="shared" si="17"/>
        <v>350</v>
      </c>
      <c r="O64" s="26">
        <f t="shared" si="18"/>
        <v>700</v>
      </c>
      <c r="P64" s="26"/>
      <c r="Q64" s="26"/>
      <c r="R64" s="25"/>
      <c r="S64" s="71"/>
      <c r="T64" s="26">
        <v>100</v>
      </c>
      <c r="U64" s="26">
        <f t="shared" si="19"/>
        <v>100</v>
      </c>
      <c r="V64" s="26"/>
      <c r="W64" s="70"/>
      <c r="X64" s="29"/>
      <c r="Y64" s="29"/>
      <c r="Z64" s="25"/>
      <c r="AA64" s="25"/>
      <c r="AB64" s="25"/>
      <c r="AC64" s="25">
        <f t="shared" si="23"/>
        <v>12650.509999999998</v>
      </c>
      <c r="AD64" s="25"/>
      <c r="AE64" s="25"/>
      <c r="AF64" s="25"/>
      <c r="AG64" s="26"/>
      <c r="AH64" s="25"/>
      <c r="AI64" s="25"/>
      <c r="AJ64" s="69">
        <f t="shared" si="20"/>
        <v>12650.509999999998</v>
      </c>
      <c r="AK64" s="13"/>
      <c r="AL64" s="12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</row>
    <row r="65" spans="1:134" x14ac:dyDescent="0.25">
      <c r="A65" s="33">
        <f>14000+14000</f>
        <v>28000</v>
      </c>
      <c r="B65" s="33">
        <f>14000+14000</f>
        <v>28000</v>
      </c>
      <c r="C65" s="33"/>
      <c r="D65" s="26"/>
      <c r="E65" s="26"/>
      <c r="F65" s="25">
        <f t="shared" si="16"/>
        <v>28000</v>
      </c>
      <c r="G65" s="25">
        <v>1260</v>
      </c>
      <c r="H65" s="25">
        <f>1900+760</f>
        <v>2660</v>
      </c>
      <c r="I65" s="25">
        <f t="shared" si="21"/>
        <v>3920</v>
      </c>
      <c r="J65" s="25">
        <v>30</v>
      </c>
      <c r="K65" s="25">
        <v>0</v>
      </c>
      <c r="L65" s="25">
        <v>0</v>
      </c>
      <c r="M65" s="25">
        <f t="shared" si="22"/>
        <v>700</v>
      </c>
      <c r="N65" s="25">
        <f t="shared" si="17"/>
        <v>700</v>
      </c>
      <c r="O65" s="26">
        <f t="shared" si="18"/>
        <v>1400</v>
      </c>
      <c r="P65" s="26">
        <v>0</v>
      </c>
      <c r="Q65" s="26">
        <v>0</v>
      </c>
      <c r="R65" s="25">
        <v>0</v>
      </c>
      <c r="S65" s="26">
        <f>(F65-G65-M65-T65-20833)*15%</f>
        <v>766.05</v>
      </c>
      <c r="T65" s="26">
        <v>100</v>
      </c>
      <c r="U65" s="26">
        <f t="shared" si="19"/>
        <v>100</v>
      </c>
      <c r="V65" s="33">
        <v>0</v>
      </c>
      <c r="W65" s="26">
        <v>0</v>
      </c>
      <c r="X65" s="29">
        <v>0</v>
      </c>
      <c r="Y65" s="29">
        <v>0</v>
      </c>
      <c r="Z65" s="25">
        <v>0</v>
      </c>
      <c r="AA65" s="25">
        <v>80.819999999999993</v>
      </c>
      <c r="AB65" s="25"/>
      <c r="AC65" s="25">
        <f t="shared" si="23"/>
        <v>25254.77</v>
      </c>
      <c r="AD65" s="25">
        <v>0</v>
      </c>
      <c r="AE65" s="25">
        <v>0</v>
      </c>
      <c r="AF65" s="25">
        <v>0</v>
      </c>
      <c r="AG65" s="26">
        <v>0</v>
      </c>
      <c r="AH65" s="25">
        <v>0</v>
      </c>
      <c r="AI65" s="25">
        <v>0</v>
      </c>
      <c r="AJ65" s="69">
        <f t="shared" si="20"/>
        <v>25254.77</v>
      </c>
      <c r="AK65" s="43"/>
      <c r="AL65" s="45"/>
      <c r="AM65" s="31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</row>
    <row r="66" spans="1:134" x14ac:dyDescent="0.25">
      <c r="A66" s="33">
        <f>12500+12500</f>
        <v>25000</v>
      </c>
      <c r="B66" s="33">
        <f>12500+12500</f>
        <v>25000</v>
      </c>
      <c r="C66" s="33"/>
      <c r="D66" s="26"/>
      <c r="E66" s="26"/>
      <c r="F66" s="25">
        <f t="shared" si="16"/>
        <v>25000</v>
      </c>
      <c r="G66" s="25">
        <f>900+225</f>
        <v>1125</v>
      </c>
      <c r="H66" s="26">
        <f>1900+475</f>
        <v>2375</v>
      </c>
      <c r="I66" s="25">
        <f t="shared" si="21"/>
        <v>3500</v>
      </c>
      <c r="J66" s="26">
        <v>30</v>
      </c>
      <c r="K66" s="25">
        <v>0</v>
      </c>
      <c r="L66" s="25">
        <v>0</v>
      </c>
      <c r="M66" s="25">
        <f t="shared" si="22"/>
        <v>625</v>
      </c>
      <c r="N66" s="25">
        <f t="shared" si="17"/>
        <v>625</v>
      </c>
      <c r="O66" s="26">
        <f t="shared" si="18"/>
        <v>1250</v>
      </c>
      <c r="P66" s="26">
        <v>0</v>
      </c>
      <c r="Q66" s="26">
        <v>0</v>
      </c>
      <c r="R66" s="25">
        <v>0</v>
      </c>
      <c r="S66" s="26">
        <f>(F66-G66-M66-T66-20833)*15%</f>
        <v>347.55</v>
      </c>
      <c r="T66" s="26">
        <v>100</v>
      </c>
      <c r="U66" s="26">
        <f t="shared" si="19"/>
        <v>100</v>
      </c>
      <c r="V66" s="33">
        <v>0</v>
      </c>
      <c r="W66" s="26">
        <v>0</v>
      </c>
      <c r="X66" s="26">
        <v>0</v>
      </c>
      <c r="Y66" s="29">
        <f>0</f>
        <v>0</v>
      </c>
      <c r="Z66" s="25">
        <v>0</v>
      </c>
      <c r="AA66" s="25">
        <v>107.76</v>
      </c>
      <c r="AB66" s="25"/>
      <c r="AC66" s="25">
        <f t="shared" si="23"/>
        <v>22910.21</v>
      </c>
      <c r="AD66" s="25">
        <v>0</v>
      </c>
      <c r="AE66" s="25">
        <v>0</v>
      </c>
      <c r="AF66" s="25">
        <v>0</v>
      </c>
      <c r="AG66" s="26">
        <v>0</v>
      </c>
      <c r="AH66" s="25">
        <v>0</v>
      </c>
      <c r="AI66" s="25">
        <v>0</v>
      </c>
      <c r="AJ66" s="69">
        <f t="shared" si="20"/>
        <v>22910.21</v>
      </c>
      <c r="AK66" s="43" t="s">
        <v>42</v>
      </c>
      <c r="AL66" s="45">
        <f>125493.76-14000</f>
        <v>111493.75999999999</v>
      </c>
      <c r="AM66" s="31" t="s">
        <v>52</v>
      </c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</row>
    <row r="67" spans="1:134" x14ac:dyDescent="0.25">
      <c r="A67" s="33">
        <f>14000</f>
        <v>14000</v>
      </c>
      <c r="B67" s="33">
        <f>7000+7000-35.78</f>
        <v>13964.22</v>
      </c>
      <c r="C67" s="33"/>
      <c r="D67" s="26"/>
      <c r="E67" s="26"/>
      <c r="F67" s="25">
        <f t="shared" si="16"/>
        <v>13964.22</v>
      </c>
      <c r="G67" s="25">
        <v>630</v>
      </c>
      <c r="H67" s="26">
        <v>1330</v>
      </c>
      <c r="I67" s="25">
        <f t="shared" si="21"/>
        <v>1960</v>
      </c>
      <c r="J67" s="26">
        <v>10</v>
      </c>
      <c r="K67" s="25">
        <v>0</v>
      </c>
      <c r="L67" s="25">
        <v>0</v>
      </c>
      <c r="M67" s="25">
        <f t="shared" si="22"/>
        <v>350</v>
      </c>
      <c r="N67" s="25">
        <f t="shared" si="17"/>
        <v>350</v>
      </c>
      <c r="O67" s="26">
        <f t="shared" si="18"/>
        <v>700</v>
      </c>
      <c r="P67" s="26">
        <v>0</v>
      </c>
      <c r="Q67" s="26">
        <v>0</v>
      </c>
      <c r="R67" s="25">
        <v>0</v>
      </c>
      <c r="S67" s="25">
        <v>0</v>
      </c>
      <c r="T67" s="26">
        <v>100</v>
      </c>
      <c r="U67" s="26">
        <f>T67</f>
        <v>100</v>
      </c>
      <c r="V67" s="33">
        <v>0</v>
      </c>
      <c r="W67" s="26">
        <v>0</v>
      </c>
      <c r="X67" s="26">
        <v>0</v>
      </c>
      <c r="Y67" s="29">
        <v>0</v>
      </c>
      <c r="Z67" s="25">
        <v>0</v>
      </c>
      <c r="AA67" s="25"/>
      <c r="AB67" s="25"/>
      <c r="AC67" s="25">
        <f t="shared" si="23"/>
        <v>12884.22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69">
        <f t="shared" si="20"/>
        <v>12884.22</v>
      </c>
      <c r="AK67" s="43" t="s">
        <v>43</v>
      </c>
      <c r="AL67" s="46">
        <f>7900+7200</f>
        <v>15100</v>
      </c>
      <c r="AM67" s="31" t="s">
        <v>52</v>
      </c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</row>
    <row r="68" spans="1:134" x14ac:dyDescent="0.25">
      <c r="A68" s="33">
        <v>14000</v>
      </c>
      <c r="B68" s="33">
        <f>7000+7000-805.11-6.71</f>
        <v>13188.18</v>
      </c>
      <c r="C68" s="33"/>
      <c r="D68" s="26"/>
      <c r="E68" s="26">
        <v>419.31</v>
      </c>
      <c r="F68" s="25">
        <f t="shared" si="16"/>
        <v>13607.49</v>
      </c>
      <c r="G68" s="25">
        <v>630</v>
      </c>
      <c r="H68" s="25">
        <v>1330</v>
      </c>
      <c r="I68" s="25">
        <f t="shared" si="21"/>
        <v>1960</v>
      </c>
      <c r="J68" s="25">
        <v>10</v>
      </c>
      <c r="K68" s="25">
        <v>0</v>
      </c>
      <c r="L68" s="25">
        <v>0</v>
      </c>
      <c r="M68" s="25">
        <f t="shared" si="22"/>
        <v>350</v>
      </c>
      <c r="N68" s="25">
        <f t="shared" si="17"/>
        <v>350</v>
      </c>
      <c r="O68" s="26">
        <f t="shared" si="18"/>
        <v>700</v>
      </c>
      <c r="P68" s="26"/>
      <c r="Q68" s="26"/>
      <c r="R68" s="25"/>
      <c r="S68" s="71"/>
      <c r="T68" s="26">
        <v>100</v>
      </c>
      <c r="U68" s="26">
        <f>T68</f>
        <v>100</v>
      </c>
      <c r="V68" s="26"/>
      <c r="W68" s="70"/>
      <c r="X68" s="29"/>
      <c r="Y68" s="29"/>
      <c r="Z68" s="25"/>
      <c r="AA68" s="25"/>
      <c r="AB68" s="25"/>
      <c r="AC68" s="25">
        <f t="shared" si="23"/>
        <v>12527.49</v>
      </c>
      <c r="AD68" s="25"/>
      <c r="AE68" s="25"/>
      <c r="AF68" s="25"/>
      <c r="AG68" s="26"/>
      <c r="AH68" s="25"/>
      <c r="AI68" s="25"/>
      <c r="AJ68" s="69">
        <f t="shared" si="20"/>
        <v>12527.49</v>
      </c>
      <c r="AK68" s="43" t="s">
        <v>60</v>
      </c>
      <c r="AL68" s="47">
        <v>14000</v>
      </c>
      <c r="AM68" s="31" t="s">
        <v>60</v>
      </c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</row>
    <row r="69" spans="1:134" x14ac:dyDescent="0.25">
      <c r="A69" s="33">
        <f>14600+14600</f>
        <v>29200</v>
      </c>
      <c r="B69" s="33">
        <f>14600+14600</f>
        <v>29200</v>
      </c>
      <c r="C69" s="33"/>
      <c r="D69" s="26"/>
      <c r="E69" s="26"/>
      <c r="F69" s="25">
        <f t="shared" si="16"/>
        <v>29200</v>
      </c>
      <c r="G69" s="25">
        <v>1305</v>
      </c>
      <c r="H69" s="25">
        <f>1900+855</f>
        <v>2755</v>
      </c>
      <c r="I69" s="25">
        <f t="shared" si="21"/>
        <v>4060</v>
      </c>
      <c r="J69" s="25">
        <v>30</v>
      </c>
      <c r="K69" s="25">
        <v>0</v>
      </c>
      <c r="L69" s="25">
        <v>0</v>
      </c>
      <c r="M69" s="25">
        <f t="shared" si="22"/>
        <v>730</v>
      </c>
      <c r="N69" s="25">
        <f t="shared" si="17"/>
        <v>730</v>
      </c>
      <c r="O69" s="26">
        <f t="shared" si="18"/>
        <v>1460</v>
      </c>
      <c r="P69" s="26">
        <v>0</v>
      </c>
      <c r="Q69" s="26">
        <v>0</v>
      </c>
      <c r="R69" s="25">
        <v>0</v>
      </c>
      <c r="S69" s="26">
        <f>(F69-G69-M69-T69-20833)*15%</f>
        <v>934.8</v>
      </c>
      <c r="T69" s="26">
        <v>100</v>
      </c>
      <c r="U69" s="26">
        <v>100</v>
      </c>
      <c r="V69" s="33">
        <v>0</v>
      </c>
      <c r="W69" s="26">
        <v>0</v>
      </c>
      <c r="X69" s="26">
        <v>0</v>
      </c>
      <c r="Y69" s="29">
        <f>2915.91+2915.91</f>
        <v>5831.82</v>
      </c>
      <c r="Z69" s="25">
        <v>0</v>
      </c>
      <c r="AA69" s="25">
        <v>51.61</v>
      </c>
      <c r="AB69" s="25"/>
      <c r="AC69" s="25">
        <f>F69-G69-K69-L69-M69-S69-T69-V69-W69-X69-Y69-Z69+AA69-AB69</f>
        <v>20349.990000000002</v>
      </c>
      <c r="AD69" s="25">
        <f>7900+7900</f>
        <v>15800</v>
      </c>
      <c r="AE69" s="25">
        <v>0</v>
      </c>
      <c r="AF69" s="25">
        <v>0</v>
      </c>
      <c r="AG69" s="26">
        <v>0</v>
      </c>
      <c r="AH69" s="25">
        <v>0</v>
      </c>
      <c r="AI69" s="25">
        <v>0</v>
      </c>
      <c r="AJ69" s="69">
        <f t="shared" si="20"/>
        <v>36149.990000000005</v>
      </c>
      <c r="AK69" s="43" t="s">
        <v>23</v>
      </c>
      <c r="AL69" s="2">
        <f>AL66+AL67+AL68</f>
        <v>140593.76</v>
      </c>
      <c r="AM69" s="31" t="s">
        <v>23</v>
      </c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</row>
    <row r="70" spans="1:134" x14ac:dyDescent="0.25">
      <c r="A70" s="103">
        <f>17500+17500</f>
        <v>35000</v>
      </c>
      <c r="B70" s="33">
        <v>0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9587.67</v>
      </c>
      <c r="AB70" s="33">
        <v>0</v>
      </c>
      <c r="AC70" s="25">
        <f>F70-G70-K70-L70-M70-S70-T70-V70-W70-X70-Y70-Z70+AA70-AB70</f>
        <v>9587.67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104">
        <f t="shared" si="20"/>
        <v>9587.67</v>
      </c>
      <c r="AK70" s="43"/>
      <c r="AL70" s="2"/>
      <c r="AM70" s="31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</row>
    <row r="71" spans="1:134" s="73" customFormat="1" ht="12.75" customHeight="1" x14ac:dyDescent="0.2">
      <c r="A71" s="72">
        <f>8827.5+8827.5</f>
        <v>17655</v>
      </c>
      <c r="B71" s="33">
        <f>8827.5-2.82-2030.61+8827.5-676.87-8.46-126.92</f>
        <v>14809.32</v>
      </c>
      <c r="C71" s="33"/>
      <c r="D71" s="26"/>
      <c r="E71" s="26"/>
      <c r="F71" s="25">
        <f t="shared" si="16"/>
        <v>14809.32</v>
      </c>
      <c r="G71" s="25">
        <v>787.5</v>
      </c>
      <c r="H71" s="25">
        <v>1662.5</v>
      </c>
      <c r="I71" s="25">
        <f t="shared" si="21"/>
        <v>2450</v>
      </c>
      <c r="J71" s="25">
        <v>30</v>
      </c>
      <c r="K71" s="25">
        <v>1615.07</v>
      </c>
      <c r="L71" s="25">
        <v>0</v>
      </c>
      <c r="M71" s="25">
        <f>A71*5%/2</f>
        <v>441.375</v>
      </c>
      <c r="N71" s="25">
        <f t="shared" si="17"/>
        <v>441.375</v>
      </c>
      <c r="O71" s="25">
        <f>M71+N71+0.01</f>
        <v>882.76</v>
      </c>
      <c r="P71" s="26">
        <v>0</v>
      </c>
      <c r="Q71" s="26">
        <v>0</v>
      </c>
      <c r="R71" s="25">
        <v>0</v>
      </c>
      <c r="S71" s="25">
        <v>0</v>
      </c>
      <c r="T71" s="25">
        <v>100</v>
      </c>
      <c r="U71" s="25">
        <f>T71</f>
        <v>100</v>
      </c>
      <c r="V71" s="24">
        <v>0</v>
      </c>
      <c r="W71" s="70">
        <v>0</v>
      </c>
      <c r="X71" s="25">
        <v>0</v>
      </c>
      <c r="Y71" s="25">
        <f>1701.7</f>
        <v>1701.7</v>
      </c>
      <c r="Z71" s="25">
        <v>0</v>
      </c>
      <c r="AA71" s="25"/>
      <c r="AB71" s="25"/>
      <c r="AC71" s="25">
        <f t="shared" si="23"/>
        <v>10163.674999999999</v>
      </c>
      <c r="AD71" s="25">
        <v>0</v>
      </c>
      <c r="AE71" s="25">
        <v>0</v>
      </c>
      <c r="AF71" s="25">
        <v>0</v>
      </c>
      <c r="AG71" s="26">
        <v>0</v>
      </c>
      <c r="AH71" s="25">
        <v>0</v>
      </c>
      <c r="AI71" s="25">
        <v>0</v>
      </c>
      <c r="AJ71" s="69">
        <f t="shared" si="20"/>
        <v>10163.674999999999</v>
      </c>
      <c r="AK71" s="43" t="s">
        <v>46</v>
      </c>
      <c r="AL71" s="35">
        <v>106773.54</v>
      </c>
      <c r="AM71" s="31" t="s">
        <v>52</v>
      </c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</row>
    <row r="72" spans="1:134" s="75" customFormat="1" ht="12.75" customHeight="1" x14ac:dyDescent="0.2">
      <c r="A72" s="72">
        <f>8054+8054</f>
        <v>16108</v>
      </c>
      <c r="B72" s="33">
        <f>8054-2.57+8054-38.6</f>
        <v>16066.83</v>
      </c>
      <c r="C72" s="33"/>
      <c r="D72" s="26"/>
      <c r="E72" s="26"/>
      <c r="F72" s="25">
        <f t="shared" si="16"/>
        <v>16066.83</v>
      </c>
      <c r="G72" s="25">
        <v>720</v>
      </c>
      <c r="H72" s="25">
        <v>1520</v>
      </c>
      <c r="I72" s="25">
        <f t="shared" si="21"/>
        <v>2240</v>
      </c>
      <c r="J72" s="25">
        <v>30</v>
      </c>
      <c r="K72" s="25">
        <v>0</v>
      </c>
      <c r="L72" s="25">
        <v>0</v>
      </c>
      <c r="M72" s="25">
        <f>A72*5%/2</f>
        <v>402.70000000000005</v>
      </c>
      <c r="N72" s="25">
        <f t="shared" si="17"/>
        <v>402.70000000000005</v>
      </c>
      <c r="O72" s="25">
        <f t="shared" si="18"/>
        <v>805.40000000000009</v>
      </c>
      <c r="P72" s="25">
        <v>0</v>
      </c>
      <c r="Q72" s="25">
        <v>0</v>
      </c>
      <c r="R72" s="25">
        <v>0</v>
      </c>
      <c r="S72" s="25">
        <v>0</v>
      </c>
      <c r="T72" s="25">
        <v>100</v>
      </c>
      <c r="U72" s="26">
        <f>T72</f>
        <v>100</v>
      </c>
      <c r="V72" s="24">
        <v>0</v>
      </c>
      <c r="W72" s="25">
        <v>0</v>
      </c>
      <c r="X72" s="25">
        <v>0</v>
      </c>
      <c r="Y72" s="25">
        <v>0</v>
      </c>
      <c r="Z72" s="25">
        <v>0</v>
      </c>
      <c r="AA72" s="25"/>
      <c r="AB72" s="25"/>
      <c r="AC72" s="25">
        <f t="shared" si="23"/>
        <v>14844.13</v>
      </c>
      <c r="AD72" s="25">
        <v>0</v>
      </c>
      <c r="AE72" s="25">
        <v>0</v>
      </c>
      <c r="AF72" s="25">
        <v>0</v>
      </c>
      <c r="AG72" s="26">
        <v>0</v>
      </c>
      <c r="AH72" s="25">
        <v>0</v>
      </c>
      <c r="AI72" s="25">
        <v>0</v>
      </c>
      <c r="AJ72" s="69">
        <f t="shared" si="20"/>
        <v>14844.13</v>
      </c>
      <c r="AK72" s="37" t="s">
        <v>43</v>
      </c>
      <c r="AL72" s="74">
        <v>15100</v>
      </c>
      <c r="AM72" s="31" t="s">
        <v>52</v>
      </c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</row>
    <row r="73" spans="1:134" s="75" customFormat="1" ht="12.75" customHeight="1" x14ac:dyDescent="0.2">
      <c r="A73" s="72">
        <f>14800+14800</f>
        <v>29600</v>
      </c>
      <c r="B73" s="33">
        <f>14800+14800-567.41</f>
        <v>29032.59</v>
      </c>
      <c r="C73" s="33"/>
      <c r="D73" s="26"/>
      <c r="E73" s="26"/>
      <c r="F73" s="25">
        <f t="shared" si="16"/>
        <v>29032.59</v>
      </c>
      <c r="G73" s="25">
        <v>1327.5</v>
      </c>
      <c r="H73" s="25">
        <f>1900+902.5</f>
        <v>2802.5</v>
      </c>
      <c r="I73" s="25">
        <f t="shared" si="21"/>
        <v>4130</v>
      </c>
      <c r="J73" s="25">
        <v>30</v>
      </c>
      <c r="K73" s="25">
        <v>0</v>
      </c>
      <c r="L73" s="25">
        <v>0</v>
      </c>
      <c r="M73" s="25">
        <f>A73*5%/2</f>
        <v>740</v>
      </c>
      <c r="N73" s="25">
        <f t="shared" si="17"/>
        <v>740</v>
      </c>
      <c r="O73" s="25">
        <f t="shared" si="18"/>
        <v>1480</v>
      </c>
      <c r="P73" s="26">
        <v>0</v>
      </c>
      <c r="Q73" s="26">
        <v>0</v>
      </c>
      <c r="R73" s="25">
        <v>0</v>
      </c>
      <c r="S73" s="26">
        <f>(F73-G73-M73-T73-20833)*15%</f>
        <v>904.81349999999998</v>
      </c>
      <c r="T73" s="26">
        <v>100</v>
      </c>
      <c r="U73" s="26">
        <v>100</v>
      </c>
      <c r="V73" s="33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46.74</v>
      </c>
      <c r="AB73" s="25"/>
      <c r="AC73" s="25">
        <f t="shared" si="23"/>
        <v>26007.016500000002</v>
      </c>
      <c r="AD73" s="25">
        <f>7200+7200</f>
        <v>14400</v>
      </c>
      <c r="AE73" s="25">
        <v>0</v>
      </c>
      <c r="AF73" s="25">
        <v>0</v>
      </c>
      <c r="AG73" s="26">
        <v>0</v>
      </c>
      <c r="AH73" s="25">
        <v>0</v>
      </c>
      <c r="AI73" s="25">
        <v>0</v>
      </c>
      <c r="AJ73" s="69">
        <f t="shared" si="20"/>
        <v>40407.016499999998</v>
      </c>
      <c r="AK73" s="43" t="s">
        <v>60</v>
      </c>
      <c r="AL73" s="47">
        <v>9587.67</v>
      </c>
      <c r="AM73" s="31" t="s">
        <v>80</v>
      </c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</row>
    <row r="74" spans="1:134" s="38" customFormat="1" x14ac:dyDescent="0.25">
      <c r="A74" s="33">
        <f>7000+7000</f>
        <v>14000</v>
      </c>
      <c r="B74" s="33">
        <f>7000-15.65-536.74+7000-36.9</f>
        <v>13410.710000000001</v>
      </c>
      <c r="C74" s="33"/>
      <c r="D74" s="26"/>
      <c r="E74" s="26"/>
      <c r="F74" s="25">
        <f t="shared" si="16"/>
        <v>13410.710000000001</v>
      </c>
      <c r="G74" s="25">
        <v>630</v>
      </c>
      <c r="H74" s="25">
        <v>1330</v>
      </c>
      <c r="I74" s="25">
        <f t="shared" si="21"/>
        <v>1960</v>
      </c>
      <c r="J74" s="25">
        <v>10</v>
      </c>
      <c r="K74" s="25">
        <v>392.23</v>
      </c>
      <c r="L74" s="25"/>
      <c r="M74" s="25">
        <f>A74*5%/2</f>
        <v>350</v>
      </c>
      <c r="N74" s="25">
        <f t="shared" si="17"/>
        <v>350</v>
      </c>
      <c r="O74" s="26">
        <f t="shared" si="18"/>
        <v>700</v>
      </c>
      <c r="P74" s="26">
        <v>0</v>
      </c>
      <c r="Q74" s="26">
        <v>0</v>
      </c>
      <c r="R74" s="25">
        <v>0</v>
      </c>
      <c r="S74" s="25"/>
      <c r="T74" s="25">
        <v>100</v>
      </c>
      <c r="U74" s="25">
        <f>T74</f>
        <v>100</v>
      </c>
      <c r="V74" s="24"/>
      <c r="W74" s="25"/>
      <c r="X74" s="25"/>
      <c r="Y74" s="25"/>
      <c r="Z74" s="25">
        <v>0</v>
      </c>
      <c r="AA74" s="25"/>
      <c r="AB74" s="25"/>
      <c r="AC74" s="25">
        <f t="shared" si="23"/>
        <v>11938.480000000001</v>
      </c>
      <c r="AD74" s="25">
        <v>0</v>
      </c>
      <c r="AE74" s="25">
        <v>0</v>
      </c>
      <c r="AF74" s="25">
        <v>0</v>
      </c>
      <c r="AG74" s="26">
        <v>0</v>
      </c>
      <c r="AH74" s="25">
        <v>0</v>
      </c>
      <c r="AI74" s="25">
        <v>0</v>
      </c>
      <c r="AJ74" s="30">
        <f t="shared" si="20"/>
        <v>11938.480000000001</v>
      </c>
      <c r="AK74" s="43" t="s">
        <v>48</v>
      </c>
      <c r="AL74" s="64">
        <f>AL71+AL72+AL73</f>
        <v>131461.21</v>
      </c>
      <c r="AM74" s="13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</row>
    <row r="75" spans="1:134" ht="15.75" thickBot="1" x14ac:dyDescent="0.3">
      <c r="A75" s="65" t="s">
        <v>56</v>
      </c>
      <c r="B75" s="52">
        <f>SUM(B60:B74)</f>
        <v>266141.08999999997</v>
      </c>
      <c r="C75" s="52">
        <f t="shared" ref="C75:AJ75" si="24">SUM(C60:C74)</f>
        <v>0</v>
      </c>
      <c r="D75" s="52">
        <f t="shared" si="24"/>
        <v>0</v>
      </c>
      <c r="E75" s="52">
        <f t="shared" si="24"/>
        <v>2503.9199999999996</v>
      </c>
      <c r="F75" s="52">
        <f t="shared" si="24"/>
        <v>268645.00999999995</v>
      </c>
      <c r="G75" s="52">
        <f t="shared" si="24"/>
        <v>12330</v>
      </c>
      <c r="H75" s="52">
        <f t="shared" si="24"/>
        <v>26030</v>
      </c>
      <c r="I75" s="52">
        <f t="shared" si="24"/>
        <v>38360</v>
      </c>
      <c r="J75" s="52">
        <f t="shared" si="24"/>
        <v>340</v>
      </c>
      <c r="K75" s="52">
        <f t="shared" si="24"/>
        <v>3668.52</v>
      </c>
      <c r="L75" s="52">
        <f t="shared" si="24"/>
        <v>0</v>
      </c>
      <c r="M75" s="52">
        <f t="shared" si="24"/>
        <v>6858.7249999999995</v>
      </c>
      <c r="N75" s="52">
        <f t="shared" si="24"/>
        <v>6858.7249999999995</v>
      </c>
      <c r="O75" s="52">
        <f t="shared" si="24"/>
        <v>13717.46</v>
      </c>
      <c r="P75" s="52">
        <f t="shared" si="24"/>
        <v>0</v>
      </c>
      <c r="Q75" s="52">
        <f t="shared" si="24"/>
        <v>0</v>
      </c>
      <c r="R75" s="52">
        <f t="shared" si="24"/>
        <v>0</v>
      </c>
      <c r="S75" s="52">
        <f t="shared" si="24"/>
        <v>2953.2134999999998</v>
      </c>
      <c r="T75" s="52">
        <f t="shared" si="24"/>
        <v>1400</v>
      </c>
      <c r="U75" s="52">
        <f t="shared" si="24"/>
        <v>1400</v>
      </c>
      <c r="V75" s="52">
        <f t="shared" si="24"/>
        <v>941.46</v>
      </c>
      <c r="W75" s="52">
        <f t="shared" si="24"/>
        <v>0</v>
      </c>
      <c r="X75" s="52">
        <f t="shared" si="24"/>
        <v>1000</v>
      </c>
      <c r="Y75" s="52">
        <f t="shared" si="24"/>
        <v>7533.5199999999995</v>
      </c>
      <c r="Z75" s="52">
        <f t="shared" si="24"/>
        <v>0</v>
      </c>
      <c r="AA75" s="52">
        <f t="shared" si="24"/>
        <v>9895.4</v>
      </c>
      <c r="AB75" s="52">
        <f t="shared" si="24"/>
        <v>0</v>
      </c>
      <c r="AC75" s="52">
        <f t="shared" si="24"/>
        <v>241854.97149999999</v>
      </c>
      <c r="AD75" s="52">
        <f t="shared" si="24"/>
        <v>30200</v>
      </c>
      <c r="AE75" s="52">
        <f t="shared" si="24"/>
        <v>0</v>
      </c>
      <c r="AF75" s="52">
        <f t="shared" si="24"/>
        <v>0</v>
      </c>
      <c r="AG75" s="52">
        <f t="shared" si="24"/>
        <v>0</v>
      </c>
      <c r="AH75" s="52">
        <f t="shared" si="24"/>
        <v>0</v>
      </c>
      <c r="AI75" s="52">
        <f t="shared" si="24"/>
        <v>0</v>
      </c>
      <c r="AJ75" s="52">
        <f t="shared" si="24"/>
        <v>272054.97149999999</v>
      </c>
      <c r="AK75" s="37" t="s">
        <v>45</v>
      </c>
      <c r="AL75" s="68">
        <f>AL74+AL69</f>
        <v>272054.96999999997</v>
      </c>
      <c r="AM75" s="36" t="s">
        <v>61</v>
      </c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</row>
    <row r="76" spans="1:134" ht="15.75" thickTop="1" x14ac:dyDescent="0.25">
      <c r="A76" s="35"/>
      <c r="B76" s="35" t="s">
        <v>23</v>
      </c>
      <c r="C76" s="55"/>
      <c r="D76" s="55"/>
      <c r="E76" s="55"/>
      <c r="F76" s="3">
        <f>135221.35+133731.39-307.73</f>
        <v>268645.01</v>
      </c>
      <c r="G76" s="3"/>
      <c r="H76" s="55"/>
      <c r="I76" s="55"/>
      <c r="J76" s="55"/>
      <c r="K76" s="55"/>
      <c r="L76" s="55"/>
      <c r="M76" s="3"/>
      <c r="N76" s="55"/>
      <c r="O76" s="55"/>
      <c r="P76" s="55"/>
      <c r="Q76" s="55"/>
      <c r="R76" s="55"/>
      <c r="S76" s="55"/>
      <c r="T76" s="3"/>
      <c r="U76" s="55"/>
      <c r="V76" s="35"/>
      <c r="W76" s="55"/>
      <c r="X76" s="55"/>
      <c r="Y76" s="55"/>
      <c r="Z76" s="55"/>
      <c r="AA76" s="55"/>
      <c r="AB76" s="55"/>
      <c r="AC76" s="55">
        <f>125493.76+106773.54+9587.67</f>
        <v>241854.97</v>
      </c>
      <c r="AD76" s="55"/>
      <c r="AE76" s="55"/>
      <c r="AF76" s="55"/>
      <c r="AG76" s="55"/>
      <c r="AH76" s="55"/>
      <c r="AI76" s="35"/>
      <c r="AJ76" s="12">
        <f>125493.76+15100+106773.54+15100+9587.67</f>
        <v>272054.96999999997</v>
      </c>
      <c r="AK76" s="50"/>
      <c r="AL76" s="12" t="s">
        <v>23</v>
      </c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</row>
    <row r="77" spans="1:134" x14ac:dyDescent="0.25">
      <c r="A77" s="1" t="s">
        <v>62</v>
      </c>
      <c r="B77" s="35" t="s">
        <v>23</v>
      </c>
      <c r="C77" s="55"/>
      <c r="D77" s="55"/>
      <c r="E77" s="55"/>
      <c r="F77" s="3" t="s">
        <v>23</v>
      </c>
      <c r="G77" s="3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 t="s">
        <v>23</v>
      </c>
      <c r="T77" s="55"/>
      <c r="U77" s="55"/>
      <c r="V77" s="35"/>
      <c r="W77" s="55"/>
      <c r="X77" s="55"/>
      <c r="Y77" s="55"/>
      <c r="Z77" s="55"/>
      <c r="AA77" s="55"/>
      <c r="AB77" s="55" t="s">
        <v>23</v>
      </c>
      <c r="AC77" s="3"/>
      <c r="AD77" s="55"/>
      <c r="AE77" s="55"/>
      <c r="AF77" s="55"/>
      <c r="AG77" s="55"/>
      <c r="AH77" s="55"/>
      <c r="AI77" s="35"/>
      <c r="AJ77" s="12" t="s">
        <v>23</v>
      </c>
      <c r="AK77" s="43" t="s">
        <v>42</v>
      </c>
      <c r="AL77" s="45">
        <v>22804.73</v>
      </c>
      <c r="AM77" s="31" t="s">
        <v>52</v>
      </c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</row>
    <row r="78" spans="1:134" ht="17.25" customHeight="1" x14ac:dyDescent="0.25">
      <c r="A78" s="130" t="s">
        <v>4</v>
      </c>
      <c r="B78" s="130" t="s">
        <v>5</v>
      </c>
      <c r="C78" s="119" t="s">
        <v>53</v>
      </c>
      <c r="D78" s="119" t="s">
        <v>63</v>
      </c>
      <c r="E78" s="119" t="s">
        <v>8</v>
      </c>
      <c r="F78" s="119" t="s">
        <v>9</v>
      </c>
      <c r="G78" s="120" t="s">
        <v>23</v>
      </c>
      <c r="H78" s="120"/>
      <c r="I78" s="120"/>
      <c r="J78" s="120"/>
      <c r="K78" s="119" t="s">
        <v>11</v>
      </c>
      <c r="L78" s="119" t="s">
        <v>12</v>
      </c>
      <c r="M78" s="120" t="s">
        <v>13</v>
      </c>
      <c r="N78" s="120"/>
      <c r="O78" s="120"/>
      <c r="P78" s="120"/>
      <c r="Q78" s="120"/>
      <c r="R78" s="120"/>
      <c r="S78" s="119" t="s">
        <v>64</v>
      </c>
      <c r="T78" s="138" t="s">
        <v>15</v>
      </c>
      <c r="U78" s="139"/>
      <c r="V78" s="124" t="s">
        <v>16</v>
      </c>
      <c r="W78" s="131" t="s">
        <v>17</v>
      </c>
      <c r="X78" s="131" t="s">
        <v>18</v>
      </c>
      <c r="Y78" s="131" t="s">
        <v>19</v>
      </c>
      <c r="Z78" s="131" t="s">
        <v>65</v>
      </c>
      <c r="AA78" s="134" t="s">
        <v>66</v>
      </c>
      <c r="AB78" s="121"/>
      <c r="AC78" s="131" t="s">
        <v>22</v>
      </c>
      <c r="AD78" s="135" t="s">
        <v>37</v>
      </c>
      <c r="AE78" s="136"/>
      <c r="AF78" s="136"/>
      <c r="AG78" s="137"/>
      <c r="AH78" s="131" t="s">
        <v>24</v>
      </c>
      <c r="AI78" s="76"/>
      <c r="AJ78" s="127" t="s">
        <v>26</v>
      </c>
      <c r="AK78" s="43" t="s">
        <v>42</v>
      </c>
      <c r="AL78" s="45">
        <v>0</v>
      </c>
      <c r="AM78" s="31" t="s">
        <v>60</v>
      </c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</row>
    <row r="79" spans="1:134" ht="13.5" customHeight="1" x14ac:dyDescent="0.25">
      <c r="A79" s="130"/>
      <c r="B79" s="130"/>
      <c r="C79" s="119"/>
      <c r="D79" s="119"/>
      <c r="E79" s="119"/>
      <c r="F79" s="119"/>
      <c r="G79" s="120" t="s">
        <v>27</v>
      </c>
      <c r="H79" s="120" t="s">
        <v>28</v>
      </c>
      <c r="I79" s="120" t="s">
        <v>29</v>
      </c>
      <c r="J79" s="131" t="s">
        <v>30</v>
      </c>
      <c r="K79" s="119"/>
      <c r="L79" s="119"/>
      <c r="M79" s="122" t="s">
        <v>27</v>
      </c>
      <c r="N79" s="122" t="s">
        <v>28</v>
      </c>
      <c r="O79" s="122" t="s">
        <v>31</v>
      </c>
      <c r="P79" s="123" t="s">
        <v>32</v>
      </c>
      <c r="Q79" s="123" t="s">
        <v>33</v>
      </c>
      <c r="R79" s="123" t="s">
        <v>34</v>
      </c>
      <c r="S79" s="121"/>
      <c r="T79" s="140"/>
      <c r="U79" s="141"/>
      <c r="V79" s="125"/>
      <c r="W79" s="132"/>
      <c r="X79" s="132"/>
      <c r="Y79" s="132"/>
      <c r="Z79" s="132"/>
      <c r="AA79" s="131" t="s">
        <v>35</v>
      </c>
      <c r="AB79" s="131" t="s">
        <v>36</v>
      </c>
      <c r="AC79" s="132"/>
      <c r="AD79" s="142"/>
      <c r="AE79" s="143"/>
      <c r="AF79" s="143"/>
      <c r="AG79" s="144"/>
      <c r="AH79" s="132"/>
      <c r="AI79" s="77"/>
      <c r="AJ79" s="128"/>
      <c r="AK79" s="43" t="s">
        <v>43</v>
      </c>
      <c r="AL79" s="47">
        <v>0</v>
      </c>
      <c r="AM79" s="31" t="s">
        <v>52</v>
      </c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</row>
    <row r="80" spans="1:134" ht="24.75" customHeight="1" x14ac:dyDescent="0.25">
      <c r="A80" s="130"/>
      <c r="B80" s="130"/>
      <c r="C80" s="119"/>
      <c r="D80" s="119"/>
      <c r="E80" s="119"/>
      <c r="F80" s="119"/>
      <c r="G80" s="120"/>
      <c r="H80" s="120"/>
      <c r="I80" s="120"/>
      <c r="J80" s="133"/>
      <c r="K80" s="119"/>
      <c r="L80" s="119"/>
      <c r="M80" s="122"/>
      <c r="N80" s="122"/>
      <c r="O80" s="122"/>
      <c r="P80" s="123"/>
      <c r="Q80" s="123"/>
      <c r="R80" s="123"/>
      <c r="S80" s="121"/>
      <c r="T80" s="20" t="s">
        <v>27</v>
      </c>
      <c r="U80" s="20" t="s">
        <v>28</v>
      </c>
      <c r="V80" s="126"/>
      <c r="W80" s="133"/>
      <c r="X80" s="133"/>
      <c r="Y80" s="133"/>
      <c r="Z80" s="133"/>
      <c r="AA80" s="133"/>
      <c r="AB80" s="133"/>
      <c r="AC80" s="133"/>
      <c r="AD80" s="21" t="s">
        <v>38</v>
      </c>
      <c r="AE80" s="8" t="s">
        <v>39</v>
      </c>
      <c r="AF80" s="8" t="s">
        <v>40</v>
      </c>
      <c r="AG80" s="21" t="s">
        <v>41</v>
      </c>
      <c r="AH80" s="133"/>
      <c r="AI80" s="49" t="s">
        <v>67</v>
      </c>
      <c r="AJ80" s="129"/>
      <c r="AK80" s="43" t="s">
        <v>48</v>
      </c>
      <c r="AL80" s="64">
        <f>AL77+AL78+AL79</f>
        <v>22804.73</v>
      </c>
      <c r="AM80" s="31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</row>
    <row r="81" spans="1:134" x14ac:dyDescent="0.25">
      <c r="A81" s="69">
        <f>7500+7500</f>
        <v>15000</v>
      </c>
      <c r="B81" s="33">
        <f>7500-27.55+7500-58.7</f>
        <v>14913.75</v>
      </c>
      <c r="C81" s="33"/>
      <c r="D81" s="33"/>
      <c r="E81" s="26"/>
      <c r="F81" s="25">
        <f>C81+B81+D81+E81</f>
        <v>14913.75</v>
      </c>
      <c r="G81" s="25">
        <v>675</v>
      </c>
      <c r="H81" s="26">
        <v>1425</v>
      </c>
      <c r="I81" s="25">
        <f>G81+H81</f>
        <v>2100</v>
      </c>
      <c r="J81" s="26">
        <v>30</v>
      </c>
      <c r="K81" s="79">
        <v>1568.93</v>
      </c>
      <c r="L81" s="79">
        <v>0</v>
      </c>
      <c r="M81" s="25">
        <f>A81*5%/2</f>
        <v>375</v>
      </c>
      <c r="N81" s="79">
        <f>M81</f>
        <v>375</v>
      </c>
      <c r="O81" s="26">
        <f>M81+N81</f>
        <v>750</v>
      </c>
      <c r="P81" s="79">
        <v>0</v>
      </c>
      <c r="Q81" s="79">
        <v>0</v>
      </c>
      <c r="R81" s="79">
        <f>P81+Q81</f>
        <v>0</v>
      </c>
      <c r="S81" s="79">
        <v>0</v>
      </c>
      <c r="T81" s="80">
        <v>100</v>
      </c>
      <c r="U81" s="80">
        <f>T81</f>
        <v>100</v>
      </c>
      <c r="V81" s="81">
        <v>0</v>
      </c>
      <c r="W81" s="81">
        <v>0</v>
      </c>
      <c r="X81" s="81">
        <v>0</v>
      </c>
      <c r="Y81" s="29">
        <v>0</v>
      </c>
      <c r="Z81" s="25"/>
      <c r="AA81" s="25"/>
      <c r="AB81" s="25"/>
      <c r="AC81" s="25">
        <f>F81-G81-K81-L81-M81-S81-T81-V81-W81-X81-Y81-Z81-AA81-AB81</f>
        <v>12194.82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  <c r="AJ81" s="69">
        <f>AC81+AD81+AE81+AF81+AG81+AH81</f>
        <v>12194.82</v>
      </c>
      <c r="AK81" s="43"/>
      <c r="AL81" s="46"/>
      <c r="AM81" s="31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</row>
    <row r="82" spans="1:134" x14ac:dyDescent="0.25">
      <c r="A82" s="69">
        <f>8000+8000</f>
        <v>16000</v>
      </c>
      <c r="B82" s="33">
        <f>8000-42.17-1226.84+8000-3067.1</f>
        <v>11663.89</v>
      </c>
      <c r="C82" s="33">
        <v>1150.2</v>
      </c>
      <c r="D82" s="33"/>
      <c r="E82" s="26">
        <f>805.14+623.02+1341.9</f>
        <v>2770.06</v>
      </c>
      <c r="F82" s="25">
        <f>C82+B82+D82+E82</f>
        <v>15584.15</v>
      </c>
      <c r="G82" s="25">
        <v>720</v>
      </c>
      <c r="H82" s="25">
        <v>1520</v>
      </c>
      <c r="I82" s="25">
        <f>G82+H82</f>
        <v>2240</v>
      </c>
      <c r="J82" s="25">
        <v>30</v>
      </c>
      <c r="K82" s="79">
        <v>0</v>
      </c>
      <c r="L82" s="79">
        <v>0</v>
      </c>
      <c r="M82" s="25">
        <f>A82*5%/2</f>
        <v>400</v>
      </c>
      <c r="N82" s="79">
        <f>M82</f>
        <v>400</v>
      </c>
      <c r="O82" s="26">
        <f>M82+N82</f>
        <v>800</v>
      </c>
      <c r="P82" s="79">
        <v>0</v>
      </c>
      <c r="Q82" s="79">
        <v>0</v>
      </c>
      <c r="R82" s="79">
        <f>P82+Q82</f>
        <v>0</v>
      </c>
      <c r="S82" s="79">
        <v>0</v>
      </c>
      <c r="T82" s="80">
        <v>100</v>
      </c>
      <c r="U82" s="80">
        <f>T82</f>
        <v>100</v>
      </c>
      <c r="V82" s="82">
        <v>0</v>
      </c>
      <c r="W82" s="81">
        <v>0</v>
      </c>
      <c r="X82" s="81">
        <f>500+500</f>
        <v>1000</v>
      </c>
      <c r="Y82" s="29">
        <v>0</v>
      </c>
      <c r="Z82" s="26">
        <v>0</v>
      </c>
      <c r="AA82" s="25"/>
      <c r="AB82" s="25"/>
      <c r="AC82" s="25">
        <f>F82-G82-K82-L82-M82-S82-T82-V82-W82-X82-Y82-Z82-AA82-AB82</f>
        <v>13364.15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 t="s">
        <v>23</v>
      </c>
      <c r="AJ82" s="69">
        <f>AC82+AD82+AE82+AF82+AG82+AH82</f>
        <v>13364.15</v>
      </c>
      <c r="AK82" s="43" t="s">
        <v>46</v>
      </c>
      <c r="AL82" s="45">
        <v>16575.919999999998</v>
      </c>
      <c r="AM82" s="31" t="s">
        <v>52</v>
      </c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</row>
    <row r="83" spans="1:134" x14ac:dyDescent="0.25">
      <c r="A83" s="69">
        <f>8250+8250</f>
        <v>16500</v>
      </c>
      <c r="B83" s="33">
        <f>8250-158.14+8250-1265.18</f>
        <v>15076.68</v>
      </c>
      <c r="C83" s="33"/>
      <c r="D83" s="33"/>
      <c r="E83" s="26"/>
      <c r="F83" s="25">
        <f>C83+B83+D83+E83</f>
        <v>15076.68</v>
      </c>
      <c r="G83" s="25">
        <v>742.5</v>
      </c>
      <c r="H83" s="80">
        <v>1567.5</v>
      </c>
      <c r="I83" s="79">
        <f>G83+H83</f>
        <v>2310</v>
      </c>
      <c r="J83" s="80">
        <v>30</v>
      </c>
      <c r="K83" s="26">
        <v>0</v>
      </c>
      <c r="L83" s="79">
        <v>0</v>
      </c>
      <c r="M83" s="25">
        <f>A83*5%/2</f>
        <v>412.5</v>
      </c>
      <c r="N83" s="79">
        <f>M83</f>
        <v>412.5</v>
      </c>
      <c r="O83" s="26">
        <f>M83+N83</f>
        <v>825</v>
      </c>
      <c r="P83" s="79">
        <v>0</v>
      </c>
      <c r="Q83" s="79">
        <v>0</v>
      </c>
      <c r="R83" s="79">
        <f>P83+Q83</f>
        <v>0</v>
      </c>
      <c r="S83" s="79">
        <v>0</v>
      </c>
      <c r="T83" s="80">
        <v>100</v>
      </c>
      <c r="U83" s="80">
        <f>T83</f>
        <v>100</v>
      </c>
      <c r="V83" s="82">
        <v>0</v>
      </c>
      <c r="W83" s="81">
        <v>0</v>
      </c>
      <c r="X83" s="29">
        <v>0</v>
      </c>
      <c r="Y83" s="29">
        <v>0</v>
      </c>
      <c r="Z83" s="26">
        <v>0</v>
      </c>
      <c r="AA83" s="25"/>
      <c r="AB83" s="25"/>
      <c r="AC83" s="25">
        <f>F83-G83-K83-L83-M83-S83-T83-V83-W83-X83-Y83-Z83-AA83-AB83</f>
        <v>13821.68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  <c r="AJ83" s="69">
        <f>AC83+AD83+AE83+AF83+AG83+AH83</f>
        <v>13821.68</v>
      </c>
      <c r="AK83" s="43" t="s">
        <v>46</v>
      </c>
      <c r="AL83" s="35">
        <v>0</v>
      </c>
      <c r="AM83" s="37" t="s">
        <v>47</v>
      </c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</row>
    <row r="84" spans="1:134" ht="15.75" thickBot="1" x14ac:dyDescent="0.3">
      <c r="A84" s="65" t="s">
        <v>56</v>
      </c>
      <c r="B84" s="66">
        <f>SUM(B81:B83)</f>
        <v>41654.32</v>
      </c>
      <c r="C84" s="66">
        <f>SUM(C82:C83)</f>
        <v>1150.2</v>
      </c>
      <c r="D84" s="66">
        <f>SUM(D82:D83)</f>
        <v>0</v>
      </c>
      <c r="E84" s="66">
        <f>SUM(E82:E83)</f>
        <v>2770.06</v>
      </c>
      <c r="F84" s="66">
        <f t="shared" ref="F84:AJ84" si="25">SUM(F81:F83)</f>
        <v>45574.58</v>
      </c>
      <c r="G84" s="66">
        <f t="shared" si="25"/>
        <v>2137.5</v>
      </c>
      <c r="H84" s="66">
        <f t="shared" si="25"/>
        <v>4512.5</v>
      </c>
      <c r="I84" s="66">
        <f t="shared" si="25"/>
        <v>6650</v>
      </c>
      <c r="J84" s="66">
        <f t="shared" si="25"/>
        <v>90</v>
      </c>
      <c r="K84" s="66">
        <f t="shared" si="25"/>
        <v>1568.93</v>
      </c>
      <c r="L84" s="66">
        <f t="shared" si="25"/>
        <v>0</v>
      </c>
      <c r="M84" s="66">
        <f t="shared" si="25"/>
        <v>1187.5</v>
      </c>
      <c r="N84" s="66">
        <f t="shared" si="25"/>
        <v>1187.5</v>
      </c>
      <c r="O84" s="66">
        <f t="shared" si="25"/>
        <v>2375</v>
      </c>
      <c r="P84" s="66">
        <f t="shared" si="25"/>
        <v>0</v>
      </c>
      <c r="Q84" s="66">
        <f t="shared" si="25"/>
        <v>0</v>
      </c>
      <c r="R84" s="66">
        <f t="shared" si="25"/>
        <v>0</v>
      </c>
      <c r="S84" s="66">
        <f t="shared" si="25"/>
        <v>0</v>
      </c>
      <c r="T84" s="66">
        <f t="shared" si="25"/>
        <v>300</v>
      </c>
      <c r="U84" s="66">
        <f t="shared" si="25"/>
        <v>300</v>
      </c>
      <c r="V84" s="66">
        <f t="shared" si="25"/>
        <v>0</v>
      </c>
      <c r="W84" s="66">
        <f t="shared" si="25"/>
        <v>0</v>
      </c>
      <c r="X84" s="66">
        <f t="shared" si="25"/>
        <v>1000</v>
      </c>
      <c r="Y84" s="66">
        <f t="shared" si="25"/>
        <v>0</v>
      </c>
      <c r="Z84" s="66">
        <f t="shared" si="25"/>
        <v>0</v>
      </c>
      <c r="AA84" s="66">
        <f t="shared" si="25"/>
        <v>0</v>
      </c>
      <c r="AB84" s="66">
        <f t="shared" si="25"/>
        <v>0</v>
      </c>
      <c r="AC84" s="66">
        <f t="shared" si="25"/>
        <v>39380.65</v>
      </c>
      <c r="AD84" s="66">
        <f t="shared" si="25"/>
        <v>0</v>
      </c>
      <c r="AE84" s="66">
        <f t="shared" si="25"/>
        <v>0</v>
      </c>
      <c r="AF84" s="66">
        <f t="shared" si="25"/>
        <v>0</v>
      </c>
      <c r="AG84" s="66">
        <f t="shared" si="25"/>
        <v>0</v>
      </c>
      <c r="AH84" s="66">
        <f t="shared" si="25"/>
        <v>0</v>
      </c>
      <c r="AI84" s="66">
        <f t="shared" si="25"/>
        <v>0</v>
      </c>
      <c r="AJ84" s="66">
        <f t="shared" si="25"/>
        <v>39380.65</v>
      </c>
      <c r="AK84" s="43" t="s">
        <v>45</v>
      </c>
      <c r="AL84" s="2">
        <f>AL82+AL83</f>
        <v>16575.919999999998</v>
      </c>
      <c r="AM84" s="13" t="s">
        <v>23</v>
      </c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</row>
    <row r="85" spans="1:134" ht="15.75" thickTop="1" x14ac:dyDescent="0.25">
      <c r="A85" s="35"/>
      <c r="B85" s="35" t="s">
        <v>23</v>
      </c>
      <c r="C85" s="55"/>
      <c r="D85" s="55"/>
      <c r="E85" s="55"/>
      <c r="F85" s="3">
        <f>24873.66+20700.92</f>
        <v>45574.58</v>
      </c>
      <c r="G85" s="3"/>
      <c r="H85" s="55"/>
      <c r="I85" s="55" t="s">
        <v>68</v>
      </c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35"/>
      <c r="W85" s="55"/>
      <c r="X85" s="55"/>
      <c r="Y85" s="55"/>
      <c r="Z85" s="55"/>
      <c r="AA85" s="55"/>
      <c r="AB85" s="55"/>
      <c r="AC85" s="55">
        <f>22804.73+16575.92</f>
        <v>39380.649999999994</v>
      </c>
      <c r="AD85" s="55"/>
      <c r="AE85" s="55"/>
      <c r="AF85" s="55"/>
      <c r="AG85" s="55"/>
      <c r="AH85" s="55"/>
      <c r="AI85" s="35"/>
      <c r="AJ85" s="12">
        <f>22804.73+16575.92</f>
        <v>39380.649999999994</v>
      </c>
      <c r="AK85" s="43" t="s">
        <v>69</v>
      </c>
      <c r="AL85" s="83">
        <f>AL84+AL80</f>
        <v>39380.649999999994</v>
      </c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</row>
    <row r="86" spans="1:134" x14ac:dyDescent="0.25">
      <c r="A86" s="1" t="s">
        <v>70</v>
      </c>
      <c r="B86" s="35"/>
      <c r="C86" s="55"/>
      <c r="D86" s="55"/>
      <c r="E86" s="55"/>
      <c r="F86" s="3"/>
      <c r="G86" s="3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35"/>
      <c r="W86" s="55"/>
      <c r="X86" s="55"/>
      <c r="Y86" s="55"/>
      <c r="Z86" s="55"/>
      <c r="AA86" s="55"/>
      <c r="AB86" s="55"/>
      <c r="AC86" s="55" t="s">
        <v>23</v>
      </c>
      <c r="AD86" s="55"/>
      <c r="AE86" s="55" t="s">
        <v>23</v>
      </c>
      <c r="AF86" s="55" t="s">
        <v>23</v>
      </c>
      <c r="AG86" s="55" t="s">
        <v>23</v>
      </c>
      <c r="AH86" s="55"/>
      <c r="AI86" s="35"/>
      <c r="AJ86" s="12"/>
      <c r="AK86" s="13"/>
      <c r="AL86" s="12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</row>
    <row r="87" spans="1:134" ht="13.15" customHeight="1" x14ac:dyDescent="0.25">
      <c r="A87" s="130" t="s">
        <v>4</v>
      </c>
      <c r="B87" s="130" t="s">
        <v>5</v>
      </c>
      <c r="C87" s="119" t="s">
        <v>53</v>
      </c>
      <c r="D87" s="119" t="s">
        <v>7</v>
      </c>
      <c r="E87" s="119" t="s">
        <v>8</v>
      </c>
      <c r="F87" s="119" t="s">
        <v>9</v>
      </c>
      <c r="G87" s="120" t="s">
        <v>10</v>
      </c>
      <c r="H87" s="120"/>
      <c r="I87" s="120"/>
      <c r="J87" s="120"/>
      <c r="K87" s="119" t="s">
        <v>11</v>
      </c>
      <c r="L87" s="119" t="s">
        <v>12</v>
      </c>
      <c r="M87" s="120" t="s">
        <v>13</v>
      </c>
      <c r="N87" s="120"/>
      <c r="O87" s="120"/>
      <c r="P87" s="120"/>
      <c r="Q87" s="120"/>
      <c r="R87" s="120"/>
      <c r="S87" s="119" t="s">
        <v>64</v>
      </c>
      <c r="T87" s="146" t="s">
        <v>15</v>
      </c>
      <c r="U87" s="147"/>
      <c r="V87" s="124" t="s">
        <v>16</v>
      </c>
      <c r="W87" s="131" t="s">
        <v>17</v>
      </c>
      <c r="X87" s="131" t="s">
        <v>18</v>
      </c>
      <c r="Y87" s="131" t="s">
        <v>19</v>
      </c>
      <c r="Z87" s="131" t="s">
        <v>20</v>
      </c>
      <c r="AA87" s="134" t="s">
        <v>21</v>
      </c>
      <c r="AB87" s="121"/>
      <c r="AC87" s="131" t="s">
        <v>22</v>
      </c>
      <c r="AD87" s="135" t="s">
        <v>37</v>
      </c>
      <c r="AE87" s="136"/>
      <c r="AF87" s="136"/>
      <c r="AG87" s="136"/>
      <c r="AH87" s="10" t="s">
        <v>71</v>
      </c>
      <c r="AI87" s="84"/>
      <c r="AJ87" s="11" t="s">
        <v>26</v>
      </c>
      <c r="AK87" s="43" t="s">
        <v>42</v>
      </c>
      <c r="AL87" s="45">
        <v>27254.41</v>
      </c>
      <c r="AM87" s="31" t="s">
        <v>52</v>
      </c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</row>
    <row r="88" spans="1:134" ht="12.75" customHeight="1" x14ac:dyDescent="0.25">
      <c r="A88" s="130"/>
      <c r="B88" s="130"/>
      <c r="C88" s="119"/>
      <c r="D88" s="119"/>
      <c r="E88" s="119"/>
      <c r="F88" s="119"/>
      <c r="G88" s="120" t="s">
        <v>27</v>
      </c>
      <c r="H88" s="120" t="s">
        <v>28</v>
      </c>
      <c r="I88" s="120" t="s">
        <v>29</v>
      </c>
      <c r="J88" s="131" t="s">
        <v>30</v>
      </c>
      <c r="K88" s="119"/>
      <c r="L88" s="119"/>
      <c r="M88" s="122" t="s">
        <v>27</v>
      </c>
      <c r="N88" s="122" t="s">
        <v>28</v>
      </c>
      <c r="O88" s="122" t="s">
        <v>31</v>
      </c>
      <c r="P88" s="123" t="s">
        <v>32</v>
      </c>
      <c r="Q88" s="123" t="s">
        <v>33</v>
      </c>
      <c r="R88" s="123" t="s">
        <v>34</v>
      </c>
      <c r="S88" s="121"/>
      <c r="T88" s="127" t="s">
        <v>27</v>
      </c>
      <c r="U88" s="127" t="s">
        <v>28</v>
      </c>
      <c r="V88" s="125"/>
      <c r="W88" s="132"/>
      <c r="X88" s="132"/>
      <c r="Y88" s="132"/>
      <c r="Z88" s="132"/>
      <c r="AA88" s="131" t="s">
        <v>35</v>
      </c>
      <c r="AB88" s="131" t="s">
        <v>36</v>
      </c>
      <c r="AC88" s="132"/>
      <c r="AD88" s="142"/>
      <c r="AE88" s="143"/>
      <c r="AF88" s="143"/>
      <c r="AG88" s="143"/>
      <c r="AH88" s="15"/>
      <c r="AI88" s="85"/>
      <c r="AJ88" s="18"/>
      <c r="AK88" s="43" t="s">
        <v>43</v>
      </c>
      <c r="AL88" s="47">
        <v>2350</v>
      </c>
      <c r="AM88" s="31" t="s">
        <v>52</v>
      </c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</row>
    <row r="89" spans="1:134" ht="24.75" customHeight="1" x14ac:dyDescent="0.25">
      <c r="A89" s="130"/>
      <c r="B89" s="130"/>
      <c r="C89" s="119"/>
      <c r="D89" s="119"/>
      <c r="E89" s="119"/>
      <c r="F89" s="119"/>
      <c r="G89" s="120"/>
      <c r="H89" s="120"/>
      <c r="I89" s="120"/>
      <c r="J89" s="133"/>
      <c r="K89" s="119"/>
      <c r="L89" s="119"/>
      <c r="M89" s="122"/>
      <c r="N89" s="122"/>
      <c r="O89" s="122"/>
      <c r="P89" s="123"/>
      <c r="Q89" s="123"/>
      <c r="R89" s="123"/>
      <c r="S89" s="121"/>
      <c r="T89" s="129"/>
      <c r="U89" s="129"/>
      <c r="V89" s="126"/>
      <c r="W89" s="133"/>
      <c r="X89" s="133"/>
      <c r="Y89" s="133"/>
      <c r="Z89" s="133"/>
      <c r="AA89" s="133"/>
      <c r="AB89" s="133"/>
      <c r="AC89" s="133"/>
      <c r="AD89" s="21" t="s">
        <v>38</v>
      </c>
      <c r="AE89" s="8" t="s">
        <v>39</v>
      </c>
      <c r="AF89" s="8" t="s">
        <v>72</v>
      </c>
      <c r="AG89" s="21" t="s">
        <v>41</v>
      </c>
      <c r="AH89" s="19"/>
      <c r="AI89" s="86" t="s">
        <v>67</v>
      </c>
      <c r="AJ89" s="22"/>
      <c r="AK89" s="43" t="s">
        <v>48</v>
      </c>
      <c r="AL89" s="64">
        <f>AL87+AL88</f>
        <v>29604.41</v>
      </c>
      <c r="AM89" s="31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</row>
    <row r="90" spans="1:134" ht="12.75" customHeight="1" x14ac:dyDescent="0.25">
      <c r="A90" s="69">
        <f>10706+10706</f>
        <v>21412</v>
      </c>
      <c r="B90" s="33">
        <f>10706+10706</f>
        <v>21412</v>
      </c>
      <c r="C90" s="33">
        <v>0</v>
      </c>
      <c r="D90" s="26">
        <v>0</v>
      </c>
      <c r="E90" s="26">
        <v>0</v>
      </c>
      <c r="F90" s="79">
        <f>B90+C90+D90+E90</f>
        <v>21412</v>
      </c>
      <c r="G90" s="79">
        <v>967.5</v>
      </c>
      <c r="H90" s="80">
        <f>1900+142.5</f>
        <v>2042.5</v>
      </c>
      <c r="I90" s="79">
        <f>G90+H90</f>
        <v>3010</v>
      </c>
      <c r="J90" s="79">
        <v>30</v>
      </c>
      <c r="K90" s="79">
        <v>1845.8</v>
      </c>
      <c r="L90" s="79">
        <v>0</v>
      </c>
      <c r="M90" s="25">
        <f>A90*5%/2</f>
        <v>535.30000000000007</v>
      </c>
      <c r="N90" s="79">
        <f>M90</f>
        <v>535.30000000000007</v>
      </c>
      <c r="O90" s="26">
        <f>M90+N90</f>
        <v>1070.6000000000001</v>
      </c>
      <c r="P90" s="80">
        <v>0</v>
      </c>
      <c r="Q90" s="80">
        <v>0</v>
      </c>
      <c r="R90" s="80">
        <f>P90+Q90</f>
        <v>0</v>
      </c>
      <c r="S90" s="80">
        <v>0</v>
      </c>
      <c r="T90" s="80">
        <v>100</v>
      </c>
      <c r="U90" s="80">
        <f>T90</f>
        <v>100</v>
      </c>
      <c r="V90" s="33">
        <v>0</v>
      </c>
      <c r="W90" s="80">
        <v>0</v>
      </c>
      <c r="X90" s="26">
        <v>0</v>
      </c>
      <c r="Y90" s="26">
        <v>0</v>
      </c>
      <c r="Z90" s="26">
        <v>0</v>
      </c>
      <c r="AA90" s="25"/>
      <c r="AB90" s="25"/>
      <c r="AC90" s="25">
        <f>F90-K90-L90-V90-W90-X90-Y90-Z90-G90-M90-S90-T90-AA90-AB90</f>
        <v>17963.400000000001</v>
      </c>
      <c r="AD90" s="26">
        <f>2350+2350</f>
        <v>4700</v>
      </c>
      <c r="AE90" s="26">
        <v>0</v>
      </c>
      <c r="AF90" s="26">
        <v>0</v>
      </c>
      <c r="AG90" s="26">
        <v>0</v>
      </c>
      <c r="AH90" s="26">
        <v>0</v>
      </c>
      <c r="AI90" s="26">
        <v>0</v>
      </c>
      <c r="AJ90" s="69">
        <f>AC90+AD90+AE90+AF90+AG90+AH90</f>
        <v>22663.4</v>
      </c>
      <c r="AK90" s="37"/>
      <c r="AL90" s="35"/>
      <c r="AM90" s="37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</row>
    <row r="91" spans="1:134" ht="12.75" customHeight="1" x14ac:dyDescent="0.25">
      <c r="A91" s="69">
        <v>29000</v>
      </c>
      <c r="B91" s="33"/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0</v>
      </c>
      <c r="AA91" s="33">
        <v>3166.06</v>
      </c>
      <c r="AB91" s="33">
        <v>0</v>
      </c>
      <c r="AC91" s="25">
        <f>AA91</f>
        <v>3166.06</v>
      </c>
      <c r="AD91" s="26"/>
      <c r="AE91" s="26"/>
      <c r="AF91" s="26"/>
      <c r="AG91" s="26"/>
      <c r="AH91" s="26"/>
      <c r="AI91" s="26"/>
      <c r="AJ91" s="104">
        <f>AC91+AD91+AE91+AF91+AG91+AH91</f>
        <v>3166.06</v>
      </c>
      <c r="AK91" s="43" t="s">
        <v>46</v>
      </c>
      <c r="AL91" s="45">
        <v>21177.200000000001</v>
      </c>
      <c r="AM91" s="36" t="s">
        <v>52</v>
      </c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</row>
    <row r="92" spans="1:134" s="38" customFormat="1" ht="12" customHeight="1" x14ac:dyDescent="0.25">
      <c r="A92" s="33">
        <f>7000+7000</f>
        <v>14000</v>
      </c>
      <c r="B92" s="33">
        <f>7000</f>
        <v>7000</v>
      </c>
      <c r="C92" s="33">
        <v>0</v>
      </c>
      <c r="D92" s="26">
        <v>0</v>
      </c>
      <c r="E92" s="26">
        <v>0</v>
      </c>
      <c r="F92" s="25">
        <f>B92+C92+D92+E92</f>
        <v>7000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f>F92-K92-L92-V92-W92-X92-Y92-Z92-G92-M92-S92-T92-AA92-AB92</f>
        <v>7000</v>
      </c>
      <c r="AD92" s="26">
        <v>0</v>
      </c>
      <c r="AE92" s="26">
        <v>0</v>
      </c>
      <c r="AF92" s="26">
        <v>0</v>
      </c>
      <c r="AG92" s="26">
        <v>0</v>
      </c>
      <c r="AH92" s="26">
        <f t="shared" ref="AH92:AI94" si="26">AD92+AE92+AF92</f>
        <v>0</v>
      </c>
      <c r="AI92" s="26">
        <f t="shared" si="26"/>
        <v>0</v>
      </c>
      <c r="AJ92" s="33">
        <f>AC92+AD92+AE92+AF92+AG92+AH92</f>
        <v>7000</v>
      </c>
      <c r="AK92" s="43" t="s">
        <v>46</v>
      </c>
      <c r="AL92" s="45">
        <v>3166.06</v>
      </c>
      <c r="AM92" s="36" t="s">
        <v>81</v>
      </c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</row>
    <row r="93" spans="1:134" x14ac:dyDescent="0.25">
      <c r="A93" s="69">
        <f>7270+7270</f>
        <v>14540</v>
      </c>
      <c r="B93" s="33">
        <f>7270-2229.76+7270</f>
        <v>12310.24</v>
      </c>
      <c r="C93" s="33">
        <v>0</v>
      </c>
      <c r="D93" s="26">
        <v>0</v>
      </c>
      <c r="E93" s="26">
        <v>0</v>
      </c>
      <c r="F93" s="79">
        <f>B93+C93+D93+E93</f>
        <v>12310.24</v>
      </c>
      <c r="G93" s="79">
        <v>652.5</v>
      </c>
      <c r="H93" s="80">
        <v>1377.5</v>
      </c>
      <c r="I93" s="79">
        <f>G93+H93</f>
        <v>2030</v>
      </c>
      <c r="J93" s="79">
        <v>10</v>
      </c>
      <c r="K93" s="79">
        <v>646.03</v>
      </c>
      <c r="L93" s="79">
        <v>0</v>
      </c>
      <c r="M93" s="25">
        <f>A93*5%/2</f>
        <v>363.5</v>
      </c>
      <c r="N93" s="79">
        <f>M93</f>
        <v>363.5</v>
      </c>
      <c r="O93" s="26">
        <f>M93+N93</f>
        <v>727</v>
      </c>
      <c r="P93" s="80">
        <v>0</v>
      </c>
      <c r="Q93" s="80">
        <v>0</v>
      </c>
      <c r="R93" s="80">
        <f>P93+Q93</f>
        <v>0</v>
      </c>
      <c r="S93" s="80">
        <v>0</v>
      </c>
      <c r="T93" s="80">
        <v>100</v>
      </c>
      <c r="U93" s="80">
        <f>T93</f>
        <v>100</v>
      </c>
      <c r="V93" s="33">
        <v>0</v>
      </c>
      <c r="W93" s="80">
        <v>0</v>
      </c>
      <c r="X93" s="26">
        <v>0</v>
      </c>
      <c r="Y93" s="26">
        <v>0</v>
      </c>
      <c r="Z93" s="26">
        <v>0</v>
      </c>
      <c r="AA93" s="25"/>
      <c r="AB93" s="25"/>
      <c r="AC93" s="25">
        <f>F93-K93-L93-V93-W93-X93-Y93-Z93-G93-M93-S93-T93-AA93-AB93</f>
        <v>10548.21</v>
      </c>
      <c r="AD93" s="26">
        <v>0</v>
      </c>
      <c r="AE93" s="26">
        <v>0</v>
      </c>
      <c r="AF93" s="26">
        <v>0</v>
      </c>
      <c r="AG93" s="26">
        <v>0</v>
      </c>
      <c r="AH93" s="26">
        <f t="shared" si="26"/>
        <v>0</v>
      </c>
      <c r="AI93" s="26">
        <f t="shared" si="26"/>
        <v>0</v>
      </c>
      <c r="AJ93" s="69">
        <f>AC93+AD93+AE93+AF93+AG93+AH93</f>
        <v>10548.21</v>
      </c>
      <c r="AK93" s="43" t="s">
        <v>43</v>
      </c>
      <c r="AL93" s="47">
        <v>2350</v>
      </c>
      <c r="AM93" s="31" t="s">
        <v>52</v>
      </c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</row>
    <row r="94" spans="1:134" x14ac:dyDescent="0.25">
      <c r="A94" s="69">
        <f>7000+7000</f>
        <v>14000</v>
      </c>
      <c r="B94" s="33">
        <f>7000+7000</f>
        <v>14000</v>
      </c>
      <c r="C94" s="33">
        <v>0</v>
      </c>
      <c r="D94" s="26">
        <v>0</v>
      </c>
      <c r="E94" s="26">
        <v>0</v>
      </c>
      <c r="F94" s="79">
        <f>B94+C94+D94+E94</f>
        <v>14000</v>
      </c>
      <c r="G94" s="79">
        <v>630</v>
      </c>
      <c r="H94" s="80">
        <v>1330</v>
      </c>
      <c r="I94" s="79">
        <f>G94+H94</f>
        <v>1960</v>
      </c>
      <c r="J94" s="79">
        <v>10</v>
      </c>
      <c r="K94" s="79">
        <v>0</v>
      </c>
      <c r="L94" s="79">
        <v>0</v>
      </c>
      <c r="M94" s="25">
        <f>A94*5%/2</f>
        <v>350</v>
      </c>
      <c r="N94" s="79">
        <f>M94</f>
        <v>350</v>
      </c>
      <c r="O94" s="26">
        <f>M94+N94</f>
        <v>700</v>
      </c>
      <c r="P94" s="80">
        <v>0</v>
      </c>
      <c r="Q94" s="80">
        <v>0</v>
      </c>
      <c r="R94" s="80">
        <f>P94+Q94</f>
        <v>0</v>
      </c>
      <c r="S94" s="80">
        <v>0</v>
      </c>
      <c r="T94" s="80">
        <v>100</v>
      </c>
      <c r="U94" s="80">
        <f>T94</f>
        <v>100</v>
      </c>
      <c r="V94" s="33">
        <v>0</v>
      </c>
      <c r="W94" s="26">
        <v>0</v>
      </c>
      <c r="X94" s="26">
        <v>0</v>
      </c>
      <c r="Y94" s="26">
        <v>0</v>
      </c>
      <c r="Z94" s="26">
        <v>0</v>
      </c>
      <c r="AA94" s="25"/>
      <c r="AB94" s="25"/>
      <c r="AC94" s="25">
        <f>F94-K94-L94-V94-W94-X94-Y94-Z94-G94-M94-S94-T94-AA94-AB94</f>
        <v>12920</v>
      </c>
      <c r="AD94" s="26">
        <v>0</v>
      </c>
      <c r="AE94" s="26">
        <v>0</v>
      </c>
      <c r="AF94" s="26">
        <v>0</v>
      </c>
      <c r="AG94" s="26">
        <v>0</v>
      </c>
      <c r="AH94" s="26">
        <f t="shared" si="26"/>
        <v>0</v>
      </c>
      <c r="AI94" s="26">
        <f t="shared" si="26"/>
        <v>0</v>
      </c>
      <c r="AJ94" s="69">
        <f>AC94+AD94+AE94+AF94+AG94+AH94</f>
        <v>12920</v>
      </c>
      <c r="AK94" s="43" t="s">
        <v>48</v>
      </c>
      <c r="AL94" s="64">
        <f>AL92+AL93+AL91</f>
        <v>26693.260000000002</v>
      </c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</row>
    <row r="95" spans="1:134" ht="15.75" thickBot="1" x14ac:dyDescent="0.3">
      <c r="A95" s="65" t="s">
        <v>56</v>
      </c>
      <c r="B95" s="66">
        <f t="shared" ref="B95:AJ95" si="27">SUM(B90:B94)</f>
        <v>54722.239999999998</v>
      </c>
      <c r="C95" s="52">
        <f t="shared" si="27"/>
        <v>0</v>
      </c>
      <c r="D95" s="52">
        <f t="shared" si="27"/>
        <v>0</v>
      </c>
      <c r="E95" s="52">
        <f t="shared" si="27"/>
        <v>0</v>
      </c>
      <c r="F95" s="52">
        <f t="shared" si="27"/>
        <v>54722.239999999998</v>
      </c>
      <c r="G95" s="52">
        <f t="shared" si="27"/>
        <v>2250</v>
      </c>
      <c r="H95" s="52">
        <f t="shared" si="27"/>
        <v>4750</v>
      </c>
      <c r="I95" s="52">
        <f t="shared" si="27"/>
        <v>7000</v>
      </c>
      <c r="J95" s="52">
        <f t="shared" si="27"/>
        <v>50</v>
      </c>
      <c r="K95" s="52">
        <f t="shared" si="27"/>
        <v>2491.83</v>
      </c>
      <c r="L95" s="52">
        <f t="shared" si="27"/>
        <v>0</v>
      </c>
      <c r="M95" s="52">
        <f t="shared" si="27"/>
        <v>1248.8000000000002</v>
      </c>
      <c r="N95" s="52">
        <f t="shared" si="27"/>
        <v>1248.8000000000002</v>
      </c>
      <c r="O95" s="52">
        <f t="shared" si="27"/>
        <v>2497.6000000000004</v>
      </c>
      <c r="P95" s="52">
        <f t="shared" si="27"/>
        <v>0</v>
      </c>
      <c r="Q95" s="52">
        <f t="shared" si="27"/>
        <v>0</v>
      </c>
      <c r="R95" s="52">
        <f t="shared" si="27"/>
        <v>0</v>
      </c>
      <c r="S95" s="52">
        <f t="shared" si="27"/>
        <v>0</v>
      </c>
      <c r="T95" s="52">
        <f t="shared" si="27"/>
        <v>300</v>
      </c>
      <c r="U95" s="52">
        <f t="shared" si="27"/>
        <v>300</v>
      </c>
      <c r="V95" s="66">
        <f t="shared" si="27"/>
        <v>0</v>
      </c>
      <c r="W95" s="66">
        <f t="shared" si="27"/>
        <v>0</v>
      </c>
      <c r="X95" s="66">
        <f t="shared" si="27"/>
        <v>0</v>
      </c>
      <c r="Y95" s="66">
        <f t="shared" si="27"/>
        <v>0</v>
      </c>
      <c r="Z95" s="66">
        <f t="shared" si="27"/>
        <v>0</v>
      </c>
      <c r="AA95" s="66">
        <f t="shared" si="27"/>
        <v>3166.06</v>
      </c>
      <c r="AB95" s="66">
        <f t="shared" si="27"/>
        <v>0</v>
      </c>
      <c r="AC95" s="52">
        <f t="shared" si="27"/>
        <v>51597.67</v>
      </c>
      <c r="AD95" s="52">
        <f t="shared" si="27"/>
        <v>4700</v>
      </c>
      <c r="AE95" s="52">
        <f t="shared" si="27"/>
        <v>0</v>
      </c>
      <c r="AF95" s="52">
        <f t="shared" si="27"/>
        <v>0</v>
      </c>
      <c r="AG95" s="52">
        <f t="shared" si="27"/>
        <v>0</v>
      </c>
      <c r="AH95" s="52">
        <f t="shared" si="27"/>
        <v>0</v>
      </c>
      <c r="AI95" s="52">
        <f t="shared" si="27"/>
        <v>0</v>
      </c>
      <c r="AJ95" s="87">
        <f t="shared" si="27"/>
        <v>56297.670000000006</v>
      </c>
      <c r="AK95" s="43" t="s">
        <v>45</v>
      </c>
      <c r="AL95" s="68">
        <f>AL89+AL94</f>
        <v>56297.67</v>
      </c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</row>
    <row r="96" spans="1:134" ht="15.75" thickTop="1" x14ac:dyDescent="0.25">
      <c r="A96" s="65"/>
      <c r="B96" s="35"/>
      <c r="C96" s="55"/>
      <c r="D96" s="55"/>
      <c r="E96" s="55"/>
      <c r="F96" s="3">
        <f>29746.24+24976</f>
        <v>54722.240000000005</v>
      </c>
      <c r="G96" s="55">
        <v>0</v>
      </c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 t="s">
        <v>23</v>
      </c>
      <c r="U96" s="55"/>
      <c r="V96" s="35"/>
      <c r="W96" s="55"/>
      <c r="X96" s="55"/>
      <c r="Y96" s="55"/>
      <c r="Z96" s="55"/>
      <c r="AA96" s="55"/>
      <c r="AB96" s="55"/>
      <c r="AC96" s="55">
        <f>27254.41+21177.2+3166.06</f>
        <v>51597.67</v>
      </c>
      <c r="AD96" s="55"/>
      <c r="AE96" s="55"/>
      <c r="AF96" s="55"/>
      <c r="AG96" s="55"/>
      <c r="AH96" s="55"/>
      <c r="AI96" s="35"/>
      <c r="AJ96" s="12">
        <f>27254.41+2350+21177.2+2350+3166.06</f>
        <v>56297.67</v>
      </c>
      <c r="AK96" s="13"/>
      <c r="AL96" s="12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</row>
    <row r="97" spans="1:134" x14ac:dyDescent="0.25">
      <c r="A97" s="1" t="s">
        <v>74</v>
      </c>
      <c r="B97" s="35"/>
      <c r="C97" s="55"/>
      <c r="D97" s="55"/>
      <c r="E97" s="55"/>
      <c r="F97" s="3"/>
      <c r="G97" s="3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3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35"/>
      <c r="AJ97" s="12"/>
      <c r="AK97" s="13"/>
      <c r="AL97" s="12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</row>
    <row r="98" spans="1:134" ht="13.9" customHeight="1" x14ac:dyDescent="0.25">
      <c r="A98" s="130" t="s">
        <v>4</v>
      </c>
      <c r="B98" s="130" t="s">
        <v>5</v>
      </c>
      <c r="C98" s="119" t="s">
        <v>6</v>
      </c>
      <c r="D98" s="119" t="s">
        <v>75</v>
      </c>
      <c r="E98" s="119" t="s">
        <v>8</v>
      </c>
      <c r="F98" s="119" t="s">
        <v>9</v>
      </c>
      <c r="G98" s="120" t="s">
        <v>10</v>
      </c>
      <c r="H98" s="120"/>
      <c r="I98" s="120"/>
      <c r="J98" s="120"/>
      <c r="K98" s="119" t="s">
        <v>11</v>
      </c>
      <c r="L98" s="119" t="s">
        <v>12</v>
      </c>
      <c r="M98" s="120" t="s">
        <v>13</v>
      </c>
      <c r="N98" s="120"/>
      <c r="O98" s="120"/>
      <c r="P98" s="120"/>
      <c r="Q98" s="120"/>
      <c r="R98" s="120"/>
      <c r="S98" s="131" t="s">
        <v>14</v>
      </c>
      <c r="T98" s="138" t="s">
        <v>15</v>
      </c>
      <c r="U98" s="139"/>
      <c r="V98" s="124" t="s">
        <v>16</v>
      </c>
      <c r="W98" s="131" t="s">
        <v>17</v>
      </c>
      <c r="X98" s="131" t="s">
        <v>18</v>
      </c>
      <c r="Y98" s="131" t="s">
        <v>19</v>
      </c>
      <c r="Z98" s="131" t="s">
        <v>20</v>
      </c>
      <c r="AA98" s="134" t="s">
        <v>21</v>
      </c>
      <c r="AB98" s="121"/>
      <c r="AC98" s="131" t="s">
        <v>22</v>
      </c>
      <c r="AD98" s="135" t="s">
        <v>23</v>
      </c>
      <c r="AE98" s="136"/>
      <c r="AF98" s="136"/>
      <c r="AG98" s="137"/>
      <c r="AH98" s="131" t="s">
        <v>71</v>
      </c>
      <c r="AI98" s="88"/>
      <c r="AJ98" s="127" t="s">
        <v>26</v>
      </c>
      <c r="AK98" s="43" t="s">
        <v>42</v>
      </c>
      <c r="AL98" s="45">
        <v>39342.120000000003</v>
      </c>
      <c r="AM98" s="31" t="s">
        <v>52</v>
      </c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</row>
    <row r="99" spans="1:134" ht="12.75" customHeight="1" x14ac:dyDescent="0.25">
      <c r="A99" s="130"/>
      <c r="B99" s="130"/>
      <c r="C99" s="119"/>
      <c r="D99" s="119"/>
      <c r="E99" s="119"/>
      <c r="F99" s="119"/>
      <c r="G99" s="120" t="s">
        <v>27</v>
      </c>
      <c r="H99" s="120" t="s">
        <v>28</v>
      </c>
      <c r="I99" s="120" t="s">
        <v>29</v>
      </c>
      <c r="J99" s="131" t="s">
        <v>30</v>
      </c>
      <c r="K99" s="119"/>
      <c r="L99" s="119"/>
      <c r="M99" s="122" t="s">
        <v>27</v>
      </c>
      <c r="N99" s="122" t="s">
        <v>28</v>
      </c>
      <c r="O99" s="122" t="s">
        <v>31</v>
      </c>
      <c r="P99" s="123" t="s">
        <v>32</v>
      </c>
      <c r="Q99" s="123" t="s">
        <v>33</v>
      </c>
      <c r="R99" s="123" t="s">
        <v>34</v>
      </c>
      <c r="S99" s="132"/>
      <c r="T99" s="140"/>
      <c r="U99" s="141"/>
      <c r="V99" s="125"/>
      <c r="W99" s="132"/>
      <c r="X99" s="132"/>
      <c r="Y99" s="132"/>
      <c r="Z99" s="132"/>
      <c r="AA99" s="131" t="s">
        <v>35</v>
      </c>
      <c r="AB99" s="131" t="s">
        <v>36</v>
      </c>
      <c r="AC99" s="132"/>
      <c r="AD99" s="142" t="s">
        <v>37</v>
      </c>
      <c r="AE99" s="143"/>
      <c r="AF99" s="143"/>
      <c r="AG99" s="144"/>
      <c r="AH99" s="132"/>
      <c r="AI99" s="89"/>
      <c r="AJ99" s="128"/>
      <c r="AK99" s="43" t="s">
        <v>43</v>
      </c>
      <c r="AL99" s="47">
        <v>3050</v>
      </c>
      <c r="AM99" s="31" t="s">
        <v>52</v>
      </c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</row>
    <row r="100" spans="1:134" ht="23.25" customHeight="1" x14ac:dyDescent="0.25">
      <c r="A100" s="130"/>
      <c r="B100" s="130"/>
      <c r="C100" s="119"/>
      <c r="D100" s="119"/>
      <c r="E100" s="119"/>
      <c r="F100" s="119"/>
      <c r="G100" s="120"/>
      <c r="H100" s="120"/>
      <c r="I100" s="120"/>
      <c r="J100" s="133"/>
      <c r="K100" s="119"/>
      <c r="L100" s="119"/>
      <c r="M100" s="122"/>
      <c r="N100" s="122"/>
      <c r="O100" s="122"/>
      <c r="P100" s="123"/>
      <c r="Q100" s="123"/>
      <c r="R100" s="123"/>
      <c r="S100" s="133"/>
      <c r="T100" s="20" t="s">
        <v>27</v>
      </c>
      <c r="U100" s="20" t="s">
        <v>28</v>
      </c>
      <c r="V100" s="126"/>
      <c r="W100" s="133"/>
      <c r="X100" s="133"/>
      <c r="Y100" s="133"/>
      <c r="Z100" s="133"/>
      <c r="AA100" s="133"/>
      <c r="AB100" s="133"/>
      <c r="AC100" s="133"/>
      <c r="AD100" s="21" t="s">
        <v>38</v>
      </c>
      <c r="AE100" s="8" t="s">
        <v>39</v>
      </c>
      <c r="AF100" s="8" t="s">
        <v>40</v>
      </c>
      <c r="AG100" s="21" t="s">
        <v>41</v>
      </c>
      <c r="AH100" s="133"/>
      <c r="AI100" s="90" t="s">
        <v>67</v>
      </c>
      <c r="AJ100" s="129"/>
      <c r="AK100" s="43" t="s">
        <v>48</v>
      </c>
      <c r="AL100" s="64">
        <f>AL98+AL99</f>
        <v>42392.12</v>
      </c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</row>
    <row r="101" spans="1:134" x14ac:dyDescent="0.25">
      <c r="A101" s="33">
        <f>9500+9500</f>
        <v>19000</v>
      </c>
      <c r="B101" s="33">
        <f>9500+9500</f>
        <v>19000</v>
      </c>
      <c r="C101" s="33">
        <f>728.4+218.52</f>
        <v>946.92</v>
      </c>
      <c r="D101" s="26">
        <v>0</v>
      </c>
      <c r="E101" s="26">
        <f>3072.94+473.46+3414.38</f>
        <v>6960.7800000000007</v>
      </c>
      <c r="F101" s="25">
        <f>B101+C101+D101+E101</f>
        <v>26907.699999999997</v>
      </c>
      <c r="G101" s="26">
        <v>855</v>
      </c>
      <c r="H101" s="26">
        <v>1805</v>
      </c>
      <c r="I101" s="25">
        <f>G101+H101</f>
        <v>2660</v>
      </c>
      <c r="J101" s="26">
        <v>30</v>
      </c>
      <c r="K101" s="25">
        <v>0</v>
      </c>
      <c r="L101" s="25">
        <v>0</v>
      </c>
      <c r="M101" s="25">
        <f>A101*5%/2</f>
        <v>475</v>
      </c>
      <c r="N101" s="26">
        <f>M101</f>
        <v>475</v>
      </c>
      <c r="O101" s="26">
        <f>M101+N101</f>
        <v>950</v>
      </c>
      <c r="P101" s="26">
        <v>0</v>
      </c>
      <c r="Q101" s="26">
        <v>0</v>
      </c>
      <c r="R101" s="26">
        <f>P101+Q101</f>
        <v>0</v>
      </c>
      <c r="S101" s="26">
        <f>(F101-G101-M101-T101-20833)*15%</f>
        <v>696.70499999999959</v>
      </c>
      <c r="T101" s="26">
        <v>100</v>
      </c>
      <c r="U101" s="26">
        <f>T101</f>
        <v>100</v>
      </c>
      <c r="V101" s="24">
        <v>0</v>
      </c>
      <c r="W101" s="25">
        <v>0</v>
      </c>
      <c r="X101" s="25">
        <f>1500+1500</f>
        <v>3000</v>
      </c>
      <c r="Y101" s="25">
        <v>0</v>
      </c>
      <c r="Z101" s="25">
        <v>0</v>
      </c>
      <c r="AA101" s="25">
        <v>1113.46</v>
      </c>
      <c r="AB101" s="25">
        <v>0</v>
      </c>
      <c r="AC101" s="25">
        <f>F101-K101-L101-V101-W101-X101-Y101-Z101-G101-M101-S101-T101+AA101-AB101-0.01</f>
        <v>22894.445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69">
        <f>AC101+AD101+AE101+AF101+AG101+AH101</f>
        <v>22894.445</v>
      </c>
      <c r="AL101" s="67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</row>
    <row r="102" spans="1:134" ht="14.25" customHeight="1" x14ac:dyDescent="0.25">
      <c r="A102" s="33">
        <f>13650+13650</f>
        <v>27300</v>
      </c>
      <c r="B102" s="33">
        <f>13650+13650</f>
        <v>27300</v>
      </c>
      <c r="C102" s="33">
        <v>0</v>
      </c>
      <c r="D102" s="26">
        <v>0</v>
      </c>
      <c r="E102" s="26">
        <v>0</v>
      </c>
      <c r="F102" s="25">
        <f>B102+C102+D102+E102</f>
        <v>27300</v>
      </c>
      <c r="G102" s="26">
        <v>1237.5</v>
      </c>
      <c r="H102" s="26">
        <f>1900+712.5</f>
        <v>2612.5</v>
      </c>
      <c r="I102" s="25">
        <f>G102+H102</f>
        <v>3850</v>
      </c>
      <c r="J102" s="26">
        <v>30</v>
      </c>
      <c r="K102" s="25">
        <v>0</v>
      </c>
      <c r="L102" s="25">
        <v>0</v>
      </c>
      <c r="M102" s="25">
        <f>A102*5%/2</f>
        <v>682.5</v>
      </c>
      <c r="N102" s="26">
        <f>M102</f>
        <v>682.5</v>
      </c>
      <c r="O102" s="26">
        <f>M102+N102</f>
        <v>1365</v>
      </c>
      <c r="P102" s="26">
        <v>0</v>
      </c>
      <c r="Q102" s="26">
        <v>0</v>
      </c>
      <c r="R102" s="26">
        <f>P102+Q102</f>
        <v>0</v>
      </c>
      <c r="S102" s="26">
        <f>(F102-G102-M102-T102-20833)*15%</f>
        <v>667.05</v>
      </c>
      <c r="T102" s="26">
        <v>100</v>
      </c>
      <c r="U102" s="26">
        <f>T102</f>
        <v>100</v>
      </c>
      <c r="V102" s="24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46.15</v>
      </c>
      <c r="AB102" s="25">
        <v>0</v>
      </c>
      <c r="AC102" s="25">
        <f>F102-K102-L102-V102-W102-X102-Y102-Z102-G102-M102-S102-T102+AA102-AB102</f>
        <v>24659.100000000002</v>
      </c>
      <c r="AD102" s="25">
        <f>3050+3050</f>
        <v>6100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69">
        <f>AC102+AD102+AE102+AF102+AG102+AH102</f>
        <v>30759.100000000002</v>
      </c>
      <c r="AK102" s="43" t="s">
        <v>46</v>
      </c>
      <c r="AL102" s="45">
        <v>36178.1</v>
      </c>
      <c r="AM102" s="31" t="s">
        <v>52</v>
      </c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</row>
    <row r="103" spans="1:134" ht="14.25" customHeight="1" x14ac:dyDescent="0.25">
      <c r="A103" s="69">
        <f>6825+6825</f>
        <v>13650</v>
      </c>
      <c r="B103" s="33">
        <f>6825-5233.2+6825</f>
        <v>8416.7999999999993</v>
      </c>
      <c r="C103" s="33">
        <v>0</v>
      </c>
      <c r="D103" s="26">
        <v>0</v>
      </c>
      <c r="E103" s="26">
        <v>0</v>
      </c>
      <c r="F103" s="25">
        <f>B103+C103+D103+E103</f>
        <v>8416.7999999999993</v>
      </c>
      <c r="G103" s="26">
        <v>607.5</v>
      </c>
      <c r="H103" s="26">
        <v>1282.5</v>
      </c>
      <c r="I103" s="25">
        <f>G103+H103</f>
        <v>1890</v>
      </c>
      <c r="J103" s="26">
        <v>10</v>
      </c>
      <c r="K103" s="79">
        <v>0</v>
      </c>
      <c r="L103" s="79">
        <v>0</v>
      </c>
      <c r="M103" s="25">
        <f>A103*5%/2</f>
        <v>341.25</v>
      </c>
      <c r="N103" s="79">
        <f>M103</f>
        <v>341.25</v>
      </c>
      <c r="O103" s="26">
        <f>M103+N103</f>
        <v>682.5</v>
      </c>
      <c r="P103" s="26">
        <v>0</v>
      </c>
      <c r="Q103" s="26">
        <v>0</v>
      </c>
      <c r="R103" s="26">
        <f>P103+Q103</f>
        <v>0</v>
      </c>
      <c r="S103" s="79">
        <v>0</v>
      </c>
      <c r="T103" s="79">
        <v>100</v>
      </c>
      <c r="U103" s="79">
        <f>T103</f>
        <v>100</v>
      </c>
      <c r="V103" s="72">
        <v>0</v>
      </c>
      <c r="W103" s="79">
        <f>0</f>
        <v>0</v>
      </c>
      <c r="X103" s="79">
        <f>1000+1000</f>
        <v>2000</v>
      </c>
      <c r="Y103" s="25">
        <v>0</v>
      </c>
      <c r="Z103" s="25">
        <v>0</v>
      </c>
      <c r="AA103" s="25">
        <v>0</v>
      </c>
      <c r="AB103" s="25">
        <v>0</v>
      </c>
      <c r="AC103" s="25">
        <f>F103-K103-L103-V103-W103-X103-Y103-Z103-G103-M103-S103-T103+AA103-AB103</f>
        <v>5368.0499999999993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69">
        <f>AC103+AD103+AE103+AF103+AG103+AH103</f>
        <v>5368.0499999999993</v>
      </c>
      <c r="AK103" s="43" t="s">
        <v>43</v>
      </c>
      <c r="AL103" s="47">
        <v>3050</v>
      </c>
      <c r="AM103" s="31" t="s">
        <v>52</v>
      </c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</row>
    <row r="104" spans="1:134" x14ac:dyDescent="0.25">
      <c r="A104" s="69">
        <f>6825+6825</f>
        <v>13650</v>
      </c>
      <c r="B104" s="33">
        <f>6825+6825</f>
        <v>13650</v>
      </c>
      <c r="C104" s="33">
        <v>0</v>
      </c>
      <c r="D104" s="26">
        <v>0</v>
      </c>
      <c r="E104" s="26">
        <v>0</v>
      </c>
      <c r="F104" s="25">
        <f>B104+C104+D104+E104</f>
        <v>13650</v>
      </c>
      <c r="G104" s="26">
        <v>607.5</v>
      </c>
      <c r="H104" s="26">
        <v>1282.5</v>
      </c>
      <c r="I104" s="25">
        <f>G104+H104</f>
        <v>1890</v>
      </c>
      <c r="J104" s="26">
        <v>10</v>
      </c>
      <c r="K104" s="79">
        <v>0</v>
      </c>
      <c r="L104" s="79">
        <v>0</v>
      </c>
      <c r="M104" s="25">
        <f>A104*5%/2</f>
        <v>341.25</v>
      </c>
      <c r="N104" s="79">
        <f>M104</f>
        <v>341.25</v>
      </c>
      <c r="O104" s="26">
        <f>M104+N104</f>
        <v>682.5</v>
      </c>
      <c r="P104" s="26">
        <v>0</v>
      </c>
      <c r="Q104" s="26">
        <v>0</v>
      </c>
      <c r="R104" s="26">
        <f>P104+Q104</f>
        <v>0</v>
      </c>
      <c r="S104" s="79">
        <v>0</v>
      </c>
      <c r="T104" s="79">
        <v>100</v>
      </c>
      <c r="U104" s="79">
        <f>T104</f>
        <v>100</v>
      </c>
      <c r="V104" s="72">
        <v>0</v>
      </c>
      <c r="W104" s="79">
        <v>0</v>
      </c>
      <c r="X104" s="79">
        <f>1000+1000</f>
        <v>2000</v>
      </c>
      <c r="Y104" s="25">
        <v>0</v>
      </c>
      <c r="Z104" s="25">
        <v>0</v>
      </c>
      <c r="AA104" s="25">
        <v>0</v>
      </c>
      <c r="AB104" s="25">
        <v>0</v>
      </c>
      <c r="AC104" s="25">
        <f>F104-K104-L104-V104-W104-X104-Y104-Z104-G104-M104-S104-T104+AA104-AB104</f>
        <v>10601.25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69">
        <f>AC104+AD104+AE104+AF104+AG104+AH104</f>
        <v>10601.25</v>
      </c>
      <c r="AK104" s="43" t="s">
        <v>48</v>
      </c>
      <c r="AL104" s="64">
        <f>AL102+AL103</f>
        <v>39228.1</v>
      </c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</row>
    <row r="105" spans="1:134" s="37" customFormat="1" x14ac:dyDescent="0.25">
      <c r="A105" s="33">
        <f>6782+6782</f>
        <v>13564</v>
      </c>
      <c r="B105" s="33">
        <f>6782+6782-520.03</f>
        <v>13043.97</v>
      </c>
      <c r="C105" s="33">
        <v>0</v>
      </c>
      <c r="D105" s="26">
        <v>0</v>
      </c>
      <c r="E105" s="26">
        <v>0</v>
      </c>
      <c r="F105" s="25">
        <f>B105+C105+D105+E105</f>
        <v>13043.97</v>
      </c>
      <c r="G105" s="26">
        <v>607.5</v>
      </c>
      <c r="H105" s="26">
        <v>1282.5</v>
      </c>
      <c r="I105" s="25">
        <f>G105+H105</f>
        <v>1890</v>
      </c>
      <c r="J105" s="26">
        <v>10</v>
      </c>
      <c r="K105" s="79">
        <v>0</v>
      </c>
      <c r="L105" s="79">
        <v>0</v>
      </c>
      <c r="M105" s="25">
        <f>A105*5%/2</f>
        <v>339.1</v>
      </c>
      <c r="N105" s="79">
        <f>M105</f>
        <v>339.1</v>
      </c>
      <c r="O105" s="26">
        <f>M105+N105</f>
        <v>678.2</v>
      </c>
      <c r="P105" s="26">
        <v>0</v>
      </c>
      <c r="Q105" s="26">
        <v>0</v>
      </c>
      <c r="R105" s="26">
        <f>P105+Q105</f>
        <v>0</v>
      </c>
      <c r="S105" s="79">
        <v>0</v>
      </c>
      <c r="T105" s="79">
        <v>100</v>
      </c>
      <c r="U105" s="79">
        <f>T105</f>
        <v>100</v>
      </c>
      <c r="V105" s="72">
        <v>0</v>
      </c>
      <c r="W105" s="79">
        <v>0</v>
      </c>
      <c r="X105" s="79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f>F105-K105-L105-V105-W105-X105-Y105-Z105-G105-M105-S105-T105+AA105-AB105</f>
        <v>11997.369999999999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69">
        <f>AC105+AD105+AE105+AF105+AG105+AH105</f>
        <v>11997.369999999999</v>
      </c>
      <c r="AK105"/>
      <c r="AL105" s="67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</row>
    <row r="106" spans="1:134" s="37" customFormat="1" ht="13.5" thickBot="1" x14ac:dyDescent="0.25">
      <c r="A106" s="65" t="s">
        <v>56</v>
      </c>
      <c r="B106" s="66">
        <f t="shared" ref="B106:AB106" si="28">SUM(B101:B105)</f>
        <v>81410.77</v>
      </c>
      <c r="C106" s="52">
        <f t="shared" si="28"/>
        <v>946.92</v>
      </c>
      <c r="D106" s="52">
        <f t="shared" si="28"/>
        <v>0</v>
      </c>
      <c r="E106" s="52">
        <f t="shared" si="28"/>
        <v>6960.7800000000007</v>
      </c>
      <c r="F106" s="52">
        <f t="shared" si="28"/>
        <v>89318.47</v>
      </c>
      <c r="G106" s="52">
        <f t="shared" si="28"/>
        <v>3915</v>
      </c>
      <c r="H106" s="52">
        <f t="shared" si="28"/>
        <v>8265</v>
      </c>
      <c r="I106" s="52">
        <f t="shared" si="28"/>
        <v>12180</v>
      </c>
      <c r="J106" s="52">
        <f t="shared" si="28"/>
        <v>90</v>
      </c>
      <c r="K106" s="52">
        <f t="shared" si="28"/>
        <v>0</v>
      </c>
      <c r="L106" s="52">
        <f t="shared" si="28"/>
        <v>0</v>
      </c>
      <c r="M106" s="52">
        <f t="shared" si="28"/>
        <v>2179.1</v>
      </c>
      <c r="N106" s="52">
        <f t="shared" si="28"/>
        <v>2179.1</v>
      </c>
      <c r="O106" s="52">
        <f t="shared" si="28"/>
        <v>4358.2</v>
      </c>
      <c r="P106" s="52">
        <f t="shared" si="28"/>
        <v>0</v>
      </c>
      <c r="Q106" s="52">
        <f t="shared" si="28"/>
        <v>0</v>
      </c>
      <c r="R106" s="52">
        <f t="shared" si="28"/>
        <v>0</v>
      </c>
      <c r="S106" s="52">
        <f t="shared" si="28"/>
        <v>1363.7549999999997</v>
      </c>
      <c r="T106" s="52">
        <f t="shared" si="28"/>
        <v>500</v>
      </c>
      <c r="U106" s="52">
        <f t="shared" si="28"/>
        <v>500</v>
      </c>
      <c r="V106" s="66">
        <f t="shared" si="28"/>
        <v>0</v>
      </c>
      <c r="W106" s="52">
        <f t="shared" si="28"/>
        <v>0</v>
      </c>
      <c r="X106" s="52">
        <f t="shared" si="28"/>
        <v>7000</v>
      </c>
      <c r="Y106" s="52">
        <f t="shared" si="28"/>
        <v>0</v>
      </c>
      <c r="Z106" s="52">
        <f t="shared" si="28"/>
        <v>0</v>
      </c>
      <c r="AA106" s="52">
        <f t="shared" si="28"/>
        <v>1159.6100000000001</v>
      </c>
      <c r="AB106" s="52">
        <f t="shared" si="28"/>
        <v>0</v>
      </c>
      <c r="AC106" s="52">
        <f>SUM(AC101:AC105)</f>
        <v>75520.214999999997</v>
      </c>
      <c r="AD106" s="52">
        <f t="shared" ref="AD106:AI106" si="29">SUM(AD101:AD105)</f>
        <v>6100</v>
      </c>
      <c r="AE106" s="52">
        <f t="shared" si="29"/>
        <v>0</v>
      </c>
      <c r="AF106" s="52">
        <f t="shared" si="29"/>
        <v>0</v>
      </c>
      <c r="AG106" s="52">
        <f t="shared" si="29"/>
        <v>0</v>
      </c>
      <c r="AH106" s="52">
        <f t="shared" si="29"/>
        <v>0</v>
      </c>
      <c r="AI106" s="52">
        <f t="shared" si="29"/>
        <v>0</v>
      </c>
      <c r="AJ106" s="52">
        <f>SUM(AJ101:AJ105)</f>
        <v>81620.214999999997</v>
      </c>
      <c r="AK106" s="43" t="s">
        <v>45</v>
      </c>
      <c r="AL106" s="68">
        <f>AL104+AL100</f>
        <v>81620.22</v>
      </c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</row>
    <row r="107" spans="1:134" s="37" customFormat="1" ht="12.75" thickTop="1" x14ac:dyDescent="0.2">
      <c r="A107" s="35"/>
      <c r="B107" s="35"/>
      <c r="C107" s="55"/>
      <c r="D107" s="55"/>
      <c r="E107" s="55"/>
      <c r="F107" s="3"/>
      <c r="G107" s="3"/>
      <c r="H107" s="55"/>
      <c r="I107" s="55"/>
      <c r="J107" s="55"/>
      <c r="K107" s="55"/>
      <c r="L107" s="55"/>
      <c r="M107" s="55"/>
      <c r="N107" s="35"/>
      <c r="O107" s="35"/>
      <c r="P107" s="55"/>
      <c r="S107" s="55"/>
      <c r="T107" s="35"/>
      <c r="U107" s="35"/>
      <c r="V107" s="3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35"/>
      <c r="AJ107" s="55" t="s">
        <v>23</v>
      </c>
      <c r="AK107" s="12"/>
      <c r="AL107" s="12"/>
      <c r="AM107" s="50" t="s">
        <v>23</v>
      </c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</row>
    <row r="108" spans="1:134" s="37" customFormat="1" ht="12.75" thickBot="1" x14ac:dyDescent="0.25">
      <c r="A108" s="65" t="s">
        <v>56</v>
      </c>
      <c r="B108" s="91">
        <f t="shared" ref="B108:AI108" si="30">B106+B95+B84+B75+B54+B43</f>
        <v>1679745.63</v>
      </c>
      <c r="C108" s="91">
        <f t="shared" si="30"/>
        <v>2269.63</v>
      </c>
      <c r="D108" s="91">
        <f t="shared" si="30"/>
        <v>1198.2</v>
      </c>
      <c r="E108" s="91">
        <f t="shared" si="30"/>
        <v>28019.55</v>
      </c>
      <c r="F108" s="91">
        <f t="shared" si="30"/>
        <v>1711233.0100000002</v>
      </c>
      <c r="G108" s="91">
        <f t="shared" si="30"/>
        <v>57195</v>
      </c>
      <c r="H108" s="91">
        <f t="shared" si="30"/>
        <v>120745</v>
      </c>
      <c r="I108" s="91">
        <f t="shared" si="30"/>
        <v>177940</v>
      </c>
      <c r="J108" s="91">
        <f t="shared" si="30"/>
        <v>1670</v>
      </c>
      <c r="K108" s="91">
        <f t="shared" si="30"/>
        <v>37677.65</v>
      </c>
      <c r="L108" s="91">
        <f t="shared" si="30"/>
        <v>0</v>
      </c>
      <c r="M108" s="91">
        <f t="shared" si="30"/>
        <v>38426.672500000001</v>
      </c>
      <c r="N108" s="91">
        <f t="shared" si="30"/>
        <v>38426.672500000001</v>
      </c>
      <c r="O108" s="91">
        <f>O106+O95+O84+O75+O54+O43-0.02</f>
        <v>76853.335000000006</v>
      </c>
      <c r="P108" s="91">
        <f t="shared" si="30"/>
        <v>0</v>
      </c>
      <c r="Q108" s="91">
        <f t="shared" si="30"/>
        <v>0</v>
      </c>
      <c r="R108" s="91">
        <f t="shared" si="30"/>
        <v>0</v>
      </c>
      <c r="S108" s="91">
        <f t="shared" si="30"/>
        <v>114142.2555</v>
      </c>
      <c r="T108" s="91">
        <f t="shared" si="30"/>
        <v>6300</v>
      </c>
      <c r="U108" s="91">
        <f t="shared" si="30"/>
        <v>6300</v>
      </c>
      <c r="V108" s="91">
        <f t="shared" si="30"/>
        <v>19273.509999999998</v>
      </c>
      <c r="W108" s="91">
        <f t="shared" si="30"/>
        <v>0</v>
      </c>
      <c r="X108" s="91">
        <f t="shared" si="30"/>
        <v>33200</v>
      </c>
      <c r="Y108" s="91">
        <f t="shared" si="30"/>
        <v>35190.68</v>
      </c>
      <c r="Z108" s="91">
        <f t="shared" si="30"/>
        <v>0</v>
      </c>
      <c r="AA108" s="91">
        <f t="shared" si="30"/>
        <v>22179.51</v>
      </c>
      <c r="AB108" s="91">
        <f t="shared" si="30"/>
        <v>0</v>
      </c>
      <c r="AC108" s="91">
        <f t="shared" si="30"/>
        <v>1392006.7420000003</v>
      </c>
      <c r="AD108" s="91">
        <f t="shared" si="30"/>
        <v>115079.22</v>
      </c>
      <c r="AE108" s="91">
        <f t="shared" si="30"/>
        <v>0</v>
      </c>
      <c r="AF108" s="91">
        <f t="shared" si="30"/>
        <v>6000</v>
      </c>
      <c r="AG108" s="91">
        <f t="shared" si="30"/>
        <v>1500</v>
      </c>
      <c r="AH108" s="91">
        <f t="shared" si="30"/>
        <v>0</v>
      </c>
      <c r="AI108" s="91">
        <f t="shared" si="30"/>
        <v>0</v>
      </c>
      <c r="AJ108" s="91">
        <f>AJ106+AJ95+AJ84+AJ75+AJ54+AJ46</f>
        <v>1514585.9665000001</v>
      </c>
      <c r="AK108" s="35"/>
      <c r="AL108" s="35"/>
    </row>
    <row r="109" spans="1:134" s="37" customFormat="1" ht="12" x14ac:dyDescent="0.2">
      <c r="A109" s="35"/>
      <c r="B109" s="35"/>
      <c r="C109" s="55"/>
      <c r="D109" s="55"/>
      <c r="E109" s="55"/>
      <c r="F109" s="3"/>
      <c r="G109" s="3"/>
      <c r="H109" s="55"/>
      <c r="I109" s="55"/>
      <c r="J109" s="55"/>
      <c r="K109" s="55"/>
      <c r="L109" s="55"/>
      <c r="M109" s="55"/>
      <c r="N109" s="55"/>
      <c r="O109" s="55"/>
      <c r="P109" s="92"/>
      <c r="S109" s="55"/>
      <c r="T109" s="55"/>
      <c r="U109" s="55"/>
      <c r="V109" s="35"/>
      <c r="W109" s="55"/>
      <c r="X109" s="55"/>
      <c r="Y109" s="55"/>
      <c r="Z109" s="55"/>
      <c r="AA109" s="55"/>
      <c r="AB109" s="55"/>
      <c r="AC109" s="55"/>
      <c r="AD109" s="55"/>
      <c r="AE109" s="93"/>
      <c r="AF109" s="93"/>
      <c r="AG109" s="93"/>
      <c r="AH109" s="93"/>
      <c r="AI109" s="35"/>
      <c r="AJ109" s="93"/>
      <c r="AK109" s="35"/>
      <c r="AL109" s="35"/>
    </row>
    <row r="110" spans="1:134" s="37" customFormat="1" ht="12" x14ac:dyDescent="0.2">
      <c r="A110" s="35"/>
      <c r="B110" s="35"/>
      <c r="C110" s="55"/>
      <c r="D110" s="55"/>
      <c r="E110" s="55"/>
      <c r="F110" s="3">
        <f>42842.12+47635.96-1159.61</f>
        <v>89318.47</v>
      </c>
      <c r="G110" s="3"/>
      <c r="H110" s="55"/>
      <c r="I110" s="55"/>
      <c r="J110" s="55"/>
      <c r="K110" s="55"/>
      <c r="L110" s="55"/>
      <c r="M110" s="55"/>
      <c r="N110" s="55"/>
      <c r="O110" s="55"/>
      <c r="P110" s="92"/>
      <c r="S110" s="55" t="s">
        <v>23</v>
      </c>
      <c r="T110" s="55"/>
      <c r="U110" s="55"/>
      <c r="V110" s="35"/>
      <c r="W110" s="55"/>
      <c r="X110" s="55"/>
      <c r="Y110" s="55"/>
      <c r="Z110" s="55"/>
      <c r="AA110" s="55"/>
      <c r="AB110" s="55"/>
      <c r="AC110" s="55">
        <f>39342.12+36178.1</f>
        <v>75520.22</v>
      </c>
      <c r="AD110" s="55"/>
      <c r="AE110" s="93"/>
      <c r="AF110" s="93"/>
      <c r="AG110" s="93"/>
      <c r="AH110" s="93"/>
      <c r="AI110" s="35"/>
      <c r="AJ110" s="105">
        <f>AJ106+AJ95+AJ84+AJ75+AJ54+AJ43+0.01</f>
        <v>1514585.9720000001</v>
      </c>
      <c r="AK110" s="43" t="s">
        <v>42</v>
      </c>
      <c r="AL110" s="74">
        <f>AL98+AL87+AL77+AL66+AL48+AM32</f>
        <v>505357.89</v>
      </c>
      <c r="AM110" s="44" t="s">
        <v>61</v>
      </c>
      <c r="AN110" s="35"/>
    </row>
    <row r="111" spans="1:134" s="37" customFormat="1" ht="12" x14ac:dyDescent="0.2">
      <c r="A111" s="35"/>
      <c r="B111" s="35"/>
      <c r="C111" s="55"/>
      <c r="D111" s="55"/>
      <c r="E111" s="55"/>
      <c r="F111" s="3" t="s">
        <v>23</v>
      </c>
      <c r="G111" s="3"/>
      <c r="H111" s="55"/>
      <c r="I111" s="55"/>
      <c r="J111" s="55"/>
      <c r="K111" s="55"/>
      <c r="L111" s="55"/>
      <c r="M111" s="55"/>
      <c r="N111" s="55"/>
      <c r="O111" s="55"/>
      <c r="P111" s="92"/>
      <c r="S111" s="55"/>
      <c r="T111" s="55"/>
      <c r="U111" s="55"/>
      <c r="V111" s="35"/>
      <c r="W111" s="55"/>
      <c r="X111" s="55"/>
      <c r="Y111" s="55"/>
      <c r="Z111" s="55"/>
      <c r="AA111" s="55"/>
      <c r="AB111" s="55"/>
      <c r="AC111" s="55"/>
      <c r="AD111" s="55"/>
      <c r="AE111" s="94" t="s">
        <v>23</v>
      </c>
      <c r="AF111" s="94"/>
      <c r="AG111" s="102" t="s">
        <v>23</v>
      </c>
      <c r="AH111" s="106"/>
      <c r="AI111" s="106"/>
      <c r="AJ111" s="107" t="s">
        <v>23</v>
      </c>
      <c r="AK111" s="43" t="s">
        <v>42</v>
      </c>
      <c r="AL111" s="74">
        <f>AM34+AL68</f>
        <v>18910.43</v>
      </c>
      <c r="AM111" s="44" t="s">
        <v>60</v>
      </c>
      <c r="AN111" s="35"/>
    </row>
    <row r="112" spans="1:134" s="37" customFormat="1" ht="12" x14ac:dyDescent="0.2">
      <c r="A112" s="35"/>
      <c r="B112" s="35"/>
      <c r="C112" s="55"/>
      <c r="D112" s="55"/>
      <c r="E112" s="55"/>
      <c r="F112" s="3"/>
      <c r="G112" s="3"/>
      <c r="H112" s="55"/>
      <c r="I112" s="55"/>
      <c r="J112" s="55"/>
      <c r="K112" s="55"/>
      <c r="L112" s="55"/>
      <c r="M112" s="55"/>
      <c r="N112" s="55"/>
      <c r="O112" s="55"/>
      <c r="P112" s="92"/>
      <c r="S112" s="55"/>
      <c r="T112" s="55"/>
      <c r="U112" s="55"/>
      <c r="V112" s="35"/>
      <c r="W112" s="55"/>
      <c r="X112" s="55"/>
      <c r="Y112" s="55"/>
      <c r="Z112" s="55"/>
      <c r="AA112" s="55"/>
      <c r="AB112" s="55"/>
      <c r="AC112" s="55" t="s">
        <v>23</v>
      </c>
      <c r="AD112" s="55"/>
      <c r="AE112" s="93"/>
      <c r="AF112" s="93"/>
      <c r="AG112" s="108" t="s">
        <v>23</v>
      </c>
      <c r="AH112" s="93"/>
      <c r="AI112" s="74"/>
      <c r="AJ112" s="107" t="s">
        <v>23</v>
      </c>
      <c r="AK112" s="43" t="s">
        <v>43</v>
      </c>
      <c r="AL112" s="95">
        <f>AL99+AL88+AL79+AL67+AL49+AM33</f>
        <v>60370.92</v>
      </c>
      <c r="AM112" s="44" t="s">
        <v>61</v>
      </c>
      <c r="AN112" s="35"/>
    </row>
    <row r="113" spans="1:40" s="37" customFormat="1" ht="12" x14ac:dyDescent="0.2">
      <c r="A113" s="35"/>
      <c r="B113" s="35"/>
      <c r="C113" s="55"/>
      <c r="D113" s="55"/>
      <c r="E113" s="55"/>
      <c r="F113" s="3"/>
      <c r="G113" s="3"/>
      <c r="H113" s="55"/>
      <c r="I113" s="55"/>
      <c r="J113" s="55"/>
      <c r="K113" s="55"/>
      <c r="L113" s="55"/>
      <c r="M113" s="55"/>
      <c r="N113" s="55"/>
      <c r="O113" s="55"/>
      <c r="P113" s="92"/>
      <c r="S113" s="55"/>
      <c r="T113" s="55"/>
      <c r="U113" s="55"/>
      <c r="V113" s="35"/>
      <c r="W113" s="55"/>
      <c r="X113" s="55"/>
      <c r="Y113" s="55"/>
      <c r="Z113" s="55"/>
      <c r="AA113" s="55"/>
      <c r="AB113" s="55"/>
      <c r="AC113" s="55"/>
      <c r="AD113" s="55"/>
      <c r="AE113" s="93"/>
      <c r="AF113" s="93"/>
      <c r="AG113" s="93"/>
      <c r="AH113" s="93"/>
      <c r="AI113" s="35"/>
      <c r="AJ113" s="107" t="s">
        <v>23</v>
      </c>
      <c r="AK113" s="43" t="s">
        <v>48</v>
      </c>
      <c r="AL113" s="74">
        <f>AL111+AL112+AL110</f>
        <v>584639.24</v>
      </c>
      <c r="AN113" s="35"/>
    </row>
    <row r="114" spans="1:40" s="37" customFormat="1" ht="12" x14ac:dyDescent="0.2">
      <c r="A114" s="35"/>
      <c r="B114" s="35"/>
      <c r="C114" s="55"/>
      <c r="D114" s="55"/>
      <c r="E114" s="55"/>
      <c r="F114" s="3"/>
      <c r="G114" s="3"/>
      <c r="H114" s="55"/>
      <c r="I114" s="55"/>
      <c r="J114" s="55"/>
      <c r="K114" s="55"/>
      <c r="L114" s="55"/>
      <c r="M114" s="55"/>
      <c r="N114" s="55"/>
      <c r="O114" s="55"/>
      <c r="P114" s="92"/>
      <c r="S114" s="55"/>
      <c r="T114" s="55"/>
      <c r="U114" s="55"/>
      <c r="V114" s="35"/>
      <c r="W114" s="55"/>
      <c r="X114" s="55"/>
      <c r="Y114" s="55"/>
      <c r="Z114" s="55"/>
      <c r="AA114" s="55"/>
      <c r="AB114" s="55"/>
      <c r="AC114" s="55"/>
      <c r="AD114" s="55"/>
      <c r="AE114" s="93"/>
      <c r="AF114" s="93"/>
      <c r="AG114" s="93"/>
      <c r="AH114" s="93"/>
      <c r="AI114" s="35"/>
      <c r="AJ114" s="107" t="s">
        <v>23</v>
      </c>
      <c r="AL114" s="74" t="s">
        <v>23</v>
      </c>
      <c r="AN114" s="35"/>
    </row>
    <row r="115" spans="1:40" s="37" customFormat="1" ht="12" x14ac:dyDescent="0.2">
      <c r="A115" s="35"/>
      <c r="B115" s="35"/>
      <c r="C115" s="55"/>
      <c r="D115" s="55"/>
      <c r="E115" s="55"/>
      <c r="F115" s="3"/>
      <c r="G115" s="3"/>
      <c r="H115" s="55"/>
      <c r="I115" s="55"/>
      <c r="J115" s="55"/>
      <c r="K115" s="55"/>
      <c r="L115" s="55"/>
      <c r="M115" s="55"/>
      <c r="N115" s="55"/>
      <c r="O115" s="55"/>
      <c r="P115" s="92"/>
      <c r="S115" s="55"/>
      <c r="T115" s="55"/>
      <c r="U115" s="55"/>
      <c r="V115" s="35"/>
      <c r="W115" s="55"/>
      <c r="X115" s="55"/>
      <c r="Y115" s="55"/>
      <c r="Z115" s="55"/>
      <c r="AA115" s="55"/>
      <c r="AB115" s="55"/>
      <c r="AC115" s="55"/>
      <c r="AD115" s="55"/>
      <c r="AE115" s="93"/>
      <c r="AF115" s="93"/>
      <c r="AG115" s="93"/>
      <c r="AH115" s="93"/>
      <c r="AI115" s="35"/>
      <c r="AJ115" s="107" t="s">
        <v>23</v>
      </c>
      <c r="AK115" s="43" t="s">
        <v>46</v>
      </c>
      <c r="AL115" s="35">
        <f>AL102+AL91+AL82+AL71+AL52+AM37</f>
        <v>476685.65</v>
      </c>
      <c r="AM115" s="44" t="s">
        <v>61</v>
      </c>
      <c r="AN115" s="35"/>
    </row>
    <row r="116" spans="1:40" s="37" customFormat="1" ht="12" x14ac:dyDescent="0.2">
      <c r="A116" s="35"/>
      <c r="B116" s="35"/>
      <c r="C116" s="55"/>
      <c r="D116" s="55"/>
      <c r="E116" s="55"/>
      <c r="F116" s="3"/>
      <c r="G116" s="3"/>
      <c r="H116" s="55"/>
      <c r="I116" s="55"/>
      <c r="J116" s="55"/>
      <c r="K116" s="55"/>
      <c r="L116" s="55"/>
      <c r="M116" s="55"/>
      <c r="N116" s="55"/>
      <c r="O116" s="55"/>
      <c r="P116" s="92"/>
      <c r="S116" s="55"/>
      <c r="T116" s="55"/>
      <c r="U116" s="55"/>
      <c r="V116" s="35"/>
      <c r="W116" s="55"/>
      <c r="X116" s="55"/>
      <c r="Y116" s="55"/>
      <c r="Z116" s="55"/>
      <c r="AA116" s="55"/>
      <c r="AB116" s="55"/>
      <c r="AC116" s="55"/>
      <c r="AD116" s="55"/>
      <c r="AE116" s="93"/>
      <c r="AF116" s="93"/>
      <c r="AG116" s="93"/>
      <c r="AH116" s="93"/>
      <c r="AI116" s="35"/>
      <c r="AJ116" s="107" t="s">
        <v>23</v>
      </c>
      <c r="AK116" s="43" t="s">
        <v>46</v>
      </c>
      <c r="AL116" s="35">
        <f>AL92+AL73</f>
        <v>12753.73</v>
      </c>
      <c r="AM116" s="37" t="s">
        <v>83</v>
      </c>
      <c r="AN116" s="35"/>
    </row>
    <row r="117" spans="1:40" s="37" customFormat="1" ht="12" x14ac:dyDescent="0.2">
      <c r="A117" s="35"/>
      <c r="B117" s="35"/>
      <c r="C117" s="55"/>
      <c r="D117" s="55"/>
      <c r="E117" s="55"/>
      <c r="F117" s="3"/>
      <c r="G117" s="3"/>
      <c r="H117" s="55"/>
      <c r="I117" s="55"/>
      <c r="J117" s="55"/>
      <c r="K117" s="55"/>
      <c r="L117" s="55"/>
      <c r="M117" s="55"/>
      <c r="N117" s="55"/>
      <c r="O117" s="55"/>
      <c r="P117" s="92"/>
      <c r="S117" s="55"/>
      <c r="T117" s="55"/>
      <c r="U117" s="55"/>
      <c r="V117" s="35"/>
      <c r="W117" s="55"/>
      <c r="X117" s="55"/>
      <c r="Y117" s="55"/>
      <c r="Z117" s="55"/>
      <c r="AA117" s="55"/>
      <c r="AB117" s="55"/>
      <c r="AC117" s="55"/>
      <c r="AD117" s="55"/>
      <c r="AE117" s="93"/>
      <c r="AF117" s="93"/>
      <c r="AG117" s="93"/>
      <c r="AH117" s="93"/>
      <c r="AI117" s="35"/>
      <c r="AJ117" s="107" t="s">
        <v>23</v>
      </c>
      <c r="AK117" s="43" t="s">
        <v>43</v>
      </c>
      <c r="AL117" s="95">
        <f>AL103+AL93+AL79+AL72+AL53+AM38</f>
        <v>62208.3</v>
      </c>
      <c r="AM117" s="44" t="s">
        <v>61</v>
      </c>
      <c r="AN117" s="35"/>
    </row>
    <row r="118" spans="1:40" s="37" customFormat="1" ht="12" x14ac:dyDescent="0.2">
      <c r="A118" s="35"/>
      <c r="B118" s="35"/>
      <c r="C118" s="55"/>
      <c r="D118" s="55"/>
      <c r="E118" s="55"/>
      <c r="F118" s="3"/>
      <c r="G118" s="3"/>
      <c r="H118" s="55"/>
      <c r="I118" s="55"/>
      <c r="J118" s="55"/>
      <c r="K118" s="55"/>
      <c r="L118" s="55"/>
      <c r="M118" s="55"/>
      <c r="N118" s="55"/>
      <c r="O118" s="55"/>
      <c r="P118" s="92"/>
      <c r="S118" s="55"/>
      <c r="T118" s="55"/>
      <c r="U118" s="55"/>
      <c r="V118" s="35"/>
      <c r="W118" s="55"/>
      <c r="X118" s="55"/>
      <c r="Y118" s="55"/>
      <c r="Z118" s="55"/>
      <c r="AA118" s="55"/>
      <c r="AB118" s="55"/>
      <c r="AC118" s="55"/>
      <c r="AD118" s="55"/>
      <c r="AE118" s="93"/>
      <c r="AF118" s="93"/>
      <c r="AG118" s="93"/>
      <c r="AH118" s="93"/>
      <c r="AI118" s="35"/>
      <c r="AJ118" s="107" t="s">
        <v>23</v>
      </c>
      <c r="AK118" s="43" t="s">
        <v>48</v>
      </c>
      <c r="AL118" s="74">
        <f>AL115+AL117+AL116</f>
        <v>551647.68000000005</v>
      </c>
      <c r="AN118" s="35"/>
    </row>
    <row r="119" spans="1:40" s="37" customFormat="1" ht="12" x14ac:dyDescent="0.2">
      <c r="A119" s="35"/>
      <c r="B119" s="35"/>
      <c r="C119" s="55"/>
      <c r="D119" s="55"/>
      <c r="E119" s="55"/>
      <c r="F119" s="3"/>
      <c r="G119" s="3"/>
      <c r="H119" s="55"/>
      <c r="I119" s="55"/>
      <c r="J119" s="55"/>
      <c r="K119" s="55"/>
      <c r="L119" s="55"/>
      <c r="M119" s="55"/>
      <c r="N119" s="55"/>
      <c r="O119" s="55"/>
      <c r="P119" s="92"/>
      <c r="S119" s="55"/>
      <c r="T119" s="55"/>
      <c r="U119" s="55"/>
      <c r="V119" s="35"/>
      <c r="W119" s="55"/>
      <c r="X119" s="55"/>
      <c r="Y119" s="55"/>
      <c r="Z119" s="55"/>
      <c r="AA119" s="55"/>
      <c r="AB119" s="55"/>
      <c r="AC119" s="55"/>
      <c r="AD119" s="55"/>
      <c r="AE119" s="93"/>
      <c r="AF119" s="93"/>
      <c r="AG119" s="93"/>
      <c r="AH119" s="93"/>
      <c r="AI119" s="35"/>
      <c r="AJ119" s="107" t="s">
        <v>23</v>
      </c>
      <c r="AL119" s="35" t="s">
        <v>23</v>
      </c>
      <c r="AN119" s="35"/>
    </row>
    <row r="120" spans="1:40" s="37" customFormat="1" ht="12" x14ac:dyDescent="0.2">
      <c r="A120" s="35"/>
      <c r="B120" s="35"/>
      <c r="C120" s="55"/>
      <c r="D120" s="55"/>
      <c r="E120" s="55"/>
      <c r="F120" s="3"/>
      <c r="G120" s="3"/>
      <c r="H120" s="55"/>
      <c r="I120" s="55"/>
      <c r="J120" s="55"/>
      <c r="K120" s="55"/>
      <c r="L120" s="55"/>
      <c r="M120" s="55"/>
      <c r="N120" s="55"/>
      <c r="O120" s="55"/>
      <c r="P120" s="92"/>
      <c r="S120" s="55"/>
      <c r="T120" s="55"/>
      <c r="U120" s="55"/>
      <c r="V120" s="35"/>
      <c r="W120" s="55"/>
      <c r="X120" s="55"/>
      <c r="Y120" s="55"/>
      <c r="Z120" s="55"/>
      <c r="AA120" s="55"/>
      <c r="AB120" s="55"/>
      <c r="AC120" s="55"/>
      <c r="AD120" s="55"/>
      <c r="AE120" s="93"/>
      <c r="AF120" s="93"/>
      <c r="AG120" s="93"/>
      <c r="AH120" s="93"/>
      <c r="AI120" s="35"/>
      <c r="AJ120" s="107" t="s">
        <v>23</v>
      </c>
      <c r="AL120" s="35"/>
      <c r="AN120" s="35"/>
    </row>
    <row r="121" spans="1:40" s="37" customFormat="1" ht="12" x14ac:dyDescent="0.2">
      <c r="A121" s="35"/>
      <c r="B121" s="35"/>
      <c r="C121" s="55"/>
      <c r="D121" s="55"/>
      <c r="E121" s="55"/>
      <c r="F121" s="3"/>
      <c r="G121" s="3"/>
      <c r="H121" s="55"/>
      <c r="I121" s="55"/>
      <c r="J121" s="55"/>
      <c r="K121" s="55"/>
      <c r="L121" s="55"/>
      <c r="M121" s="55"/>
      <c r="N121" s="55"/>
      <c r="O121" s="55"/>
      <c r="P121" s="92"/>
      <c r="S121" s="55"/>
      <c r="T121" s="55"/>
      <c r="U121" s="55"/>
      <c r="V121" s="35"/>
      <c r="W121" s="55"/>
      <c r="X121" s="55"/>
      <c r="Y121" s="55"/>
      <c r="Z121" s="55"/>
      <c r="AA121" s="55"/>
      <c r="AB121" s="55"/>
      <c r="AC121" s="55"/>
      <c r="AD121" s="55"/>
      <c r="AE121" s="93"/>
      <c r="AF121" s="93"/>
      <c r="AG121" s="93"/>
      <c r="AH121" s="93"/>
      <c r="AI121" s="35"/>
      <c r="AJ121" s="107" t="s">
        <v>23</v>
      </c>
      <c r="AK121" s="1" t="s">
        <v>23</v>
      </c>
      <c r="AL121" s="3" t="s">
        <v>23</v>
      </c>
      <c r="AN121" s="35"/>
    </row>
    <row r="122" spans="1:40" s="37" customFormat="1" ht="12" x14ac:dyDescent="0.2">
      <c r="A122" s="35"/>
      <c r="B122" s="35"/>
      <c r="C122" s="55"/>
      <c r="D122" s="55"/>
      <c r="E122" s="55"/>
      <c r="F122" s="3"/>
      <c r="G122" s="3"/>
      <c r="H122" s="55"/>
      <c r="I122" s="55"/>
      <c r="J122" s="55"/>
      <c r="K122" s="55"/>
      <c r="L122" s="55"/>
      <c r="M122" s="55"/>
      <c r="N122" s="55"/>
      <c r="O122" s="55"/>
      <c r="P122" s="92"/>
      <c r="S122" s="55"/>
      <c r="T122" s="55"/>
      <c r="U122" s="55"/>
      <c r="V122" s="35"/>
      <c r="W122" s="55"/>
      <c r="X122" s="55"/>
      <c r="Y122" s="55"/>
      <c r="Z122" s="55"/>
      <c r="AA122" s="55"/>
      <c r="AB122" s="55"/>
      <c r="AC122" s="55"/>
      <c r="AD122" s="55"/>
      <c r="AE122" s="93"/>
      <c r="AF122" s="93"/>
      <c r="AG122" s="93"/>
      <c r="AH122" s="93"/>
      <c r="AI122" s="35"/>
      <c r="AJ122" s="107" t="s">
        <v>23</v>
      </c>
      <c r="AK122" s="1" t="s">
        <v>76</v>
      </c>
      <c r="AL122" s="3">
        <f>AL115+AL117+AL112+AL110+AL116</f>
        <v>1117376.4900000002</v>
      </c>
      <c r="AM122" s="44"/>
      <c r="AN122" s="35"/>
    </row>
    <row r="123" spans="1:40" s="37" customFormat="1" ht="12" x14ac:dyDescent="0.2">
      <c r="A123" s="35"/>
      <c r="B123" s="35"/>
      <c r="C123" s="55"/>
      <c r="D123" s="55"/>
      <c r="E123" s="55"/>
      <c r="F123" s="3"/>
      <c r="G123" s="3"/>
      <c r="H123" s="55"/>
      <c r="I123" s="55"/>
      <c r="J123" s="55"/>
      <c r="K123" s="55"/>
      <c r="L123" s="55"/>
      <c r="M123" s="55"/>
      <c r="N123" s="55"/>
      <c r="O123" s="55"/>
      <c r="P123" s="92"/>
      <c r="S123" s="55"/>
      <c r="T123" s="55"/>
      <c r="U123" s="55"/>
      <c r="V123" s="35"/>
      <c r="W123" s="55"/>
      <c r="X123" s="55"/>
      <c r="Y123" s="55"/>
      <c r="Z123" s="55"/>
      <c r="AA123" s="55"/>
      <c r="AB123" s="55"/>
      <c r="AC123" s="55"/>
      <c r="AD123" s="55"/>
      <c r="AE123" s="93"/>
      <c r="AF123" s="93"/>
      <c r="AG123" s="93"/>
      <c r="AH123" s="93"/>
      <c r="AI123" s="35"/>
      <c r="AJ123" s="35"/>
      <c r="AK123" s="96" t="s">
        <v>60</v>
      </c>
      <c r="AL123" s="97">
        <f>AL111</f>
        <v>18910.43</v>
      </c>
      <c r="AM123" s="44"/>
      <c r="AN123" s="35"/>
    </row>
    <row r="124" spans="1:40" s="37" customFormat="1" ht="12" x14ac:dyDescent="0.2">
      <c r="A124" s="35"/>
      <c r="B124" s="35"/>
      <c r="C124" s="55"/>
      <c r="D124" s="55"/>
      <c r="E124" s="55"/>
      <c r="F124" s="3"/>
      <c r="G124" s="3"/>
      <c r="H124" s="55"/>
      <c r="I124" s="55"/>
      <c r="J124" s="55"/>
      <c r="K124" s="55"/>
      <c r="L124" s="55"/>
      <c r="M124" s="55"/>
      <c r="N124" s="55"/>
      <c r="O124" s="55"/>
      <c r="P124" s="92"/>
      <c r="S124" s="55"/>
      <c r="T124" s="55"/>
      <c r="U124" s="55"/>
      <c r="V124" s="35"/>
      <c r="W124" s="55"/>
      <c r="X124" s="55"/>
      <c r="Y124" s="55"/>
      <c r="Z124" s="55"/>
      <c r="AA124" s="55"/>
      <c r="AB124" s="55"/>
      <c r="AC124" s="55"/>
      <c r="AD124" s="55"/>
      <c r="AE124" s="93"/>
      <c r="AF124" s="93"/>
      <c r="AG124" s="93"/>
      <c r="AH124" s="35"/>
      <c r="AI124" s="35"/>
      <c r="AK124" s="1" t="s">
        <v>77</v>
      </c>
      <c r="AL124" s="98">
        <f>AM42</f>
        <v>378299.05</v>
      </c>
      <c r="AM124" s="44"/>
      <c r="AN124" s="35"/>
    </row>
    <row r="125" spans="1:40" s="37" customFormat="1" ht="12" x14ac:dyDescent="0.2">
      <c r="A125" s="35"/>
      <c r="B125" s="35"/>
      <c r="C125" s="55"/>
      <c r="D125" s="55"/>
      <c r="E125" s="55"/>
      <c r="F125" s="3"/>
      <c r="G125" s="3"/>
      <c r="H125" s="55"/>
      <c r="I125" s="55"/>
      <c r="J125" s="55"/>
      <c r="K125" s="55"/>
      <c r="L125" s="55"/>
      <c r="M125" s="55"/>
      <c r="N125" s="55"/>
      <c r="O125" s="55"/>
      <c r="P125" s="92"/>
      <c r="S125" s="55"/>
      <c r="T125" s="55"/>
      <c r="U125" s="55"/>
      <c r="V125" s="35"/>
      <c r="W125" s="55"/>
      <c r="X125" s="55"/>
      <c r="Y125" s="55"/>
      <c r="Z125" s="55"/>
      <c r="AA125" s="55"/>
      <c r="AB125" s="55"/>
      <c r="AC125" s="55"/>
      <c r="AD125" s="55"/>
      <c r="AE125" s="93"/>
      <c r="AF125" s="93"/>
      <c r="AG125" s="93"/>
      <c r="AH125" s="35"/>
      <c r="AI125" s="35"/>
      <c r="AK125" s="1" t="s">
        <v>50</v>
      </c>
      <c r="AL125" s="3">
        <f>AL122+AL123+AL124</f>
        <v>1514585.9700000002</v>
      </c>
      <c r="AM125" s="37" t="s">
        <v>23</v>
      </c>
      <c r="AN125" s="35"/>
    </row>
    <row r="126" spans="1:40" s="37" customFormat="1" ht="12" x14ac:dyDescent="0.2">
      <c r="A126" s="35"/>
      <c r="B126" s="35"/>
      <c r="C126" s="55"/>
      <c r="D126" s="55"/>
      <c r="E126" s="55"/>
      <c r="F126" s="3"/>
      <c r="G126" s="3"/>
      <c r="H126" s="55"/>
      <c r="I126" s="55"/>
      <c r="J126" s="55"/>
      <c r="K126" s="55"/>
      <c r="L126" s="55"/>
      <c r="M126" s="55"/>
      <c r="N126" s="55"/>
      <c r="O126" s="55"/>
      <c r="P126" s="92"/>
      <c r="Q126" s="55"/>
      <c r="R126" s="55"/>
      <c r="S126" s="55"/>
      <c r="T126" s="35"/>
      <c r="U126" s="55"/>
      <c r="V126" s="55"/>
      <c r="W126" s="55"/>
      <c r="X126" s="55"/>
      <c r="Y126" s="55"/>
      <c r="Z126" s="55"/>
      <c r="AA126" s="55"/>
      <c r="AB126" s="55"/>
      <c r="AC126" s="93"/>
      <c r="AD126" s="93"/>
      <c r="AE126" s="93"/>
      <c r="AF126" s="35"/>
      <c r="AG126" s="35"/>
      <c r="AL126" s="35"/>
      <c r="AN126" s="35"/>
    </row>
    <row r="127" spans="1:40" s="37" customFormat="1" ht="12" x14ac:dyDescent="0.2">
      <c r="A127" s="35"/>
      <c r="B127" s="35"/>
      <c r="C127" s="55"/>
      <c r="D127" s="55"/>
      <c r="E127" s="55"/>
      <c r="F127" s="3"/>
      <c r="G127" s="3"/>
      <c r="H127" s="55"/>
      <c r="I127" s="55"/>
      <c r="J127" s="55"/>
      <c r="K127" s="55"/>
      <c r="L127" s="55"/>
      <c r="M127" s="55"/>
      <c r="N127" s="55"/>
      <c r="O127" s="55"/>
      <c r="P127" s="92"/>
      <c r="Q127" s="55"/>
      <c r="R127" s="55"/>
      <c r="S127" s="55"/>
      <c r="T127" s="35"/>
      <c r="U127" s="55"/>
      <c r="V127" s="55"/>
      <c r="W127" s="55"/>
      <c r="X127" s="55"/>
      <c r="Y127" s="55"/>
      <c r="Z127" s="55"/>
      <c r="AA127" s="55"/>
      <c r="AB127" s="55"/>
      <c r="AC127" s="93"/>
      <c r="AD127" s="93"/>
      <c r="AE127" s="93"/>
      <c r="AF127" s="35"/>
      <c r="AG127" s="35"/>
      <c r="AL127" s="35"/>
      <c r="AM127" s="37" t="s">
        <v>23</v>
      </c>
      <c r="AN127" s="35"/>
    </row>
    <row r="128" spans="1:40" s="37" customFormat="1" ht="12" x14ac:dyDescent="0.2">
      <c r="A128" s="35"/>
      <c r="B128" s="35"/>
      <c r="C128" s="55"/>
      <c r="D128" s="55"/>
      <c r="E128" s="55"/>
      <c r="F128" s="3"/>
      <c r="G128" s="3"/>
      <c r="H128" s="55"/>
      <c r="I128" s="55"/>
      <c r="J128" s="55"/>
      <c r="K128" s="55"/>
      <c r="L128" s="55"/>
      <c r="M128" s="55"/>
      <c r="N128" s="55"/>
      <c r="O128" s="55"/>
      <c r="P128" s="92"/>
      <c r="Q128" s="55"/>
      <c r="R128" s="55"/>
      <c r="S128" s="55"/>
      <c r="T128" s="35"/>
      <c r="U128" s="55"/>
      <c r="V128" s="55"/>
      <c r="W128" s="55"/>
      <c r="X128" s="55"/>
      <c r="Y128" s="55"/>
      <c r="Z128" s="55"/>
      <c r="AA128" s="55"/>
      <c r="AB128" s="55"/>
      <c r="AC128" s="93"/>
      <c r="AD128" s="93"/>
      <c r="AE128" s="93"/>
      <c r="AF128" s="35"/>
      <c r="AG128" s="35"/>
      <c r="AJ128" s="99" t="s">
        <v>82</v>
      </c>
      <c r="AK128" s="100" t="s">
        <v>78</v>
      </c>
      <c r="AL128" s="101"/>
      <c r="AM128" s="99" t="s">
        <v>23</v>
      </c>
    </row>
    <row r="129" spans="1:39" s="37" customFormat="1" ht="15.75" customHeight="1" x14ac:dyDescent="0.2">
      <c r="A129" s="35"/>
      <c r="B129" s="35"/>
      <c r="C129" s="55"/>
      <c r="D129" s="55"/>
      <c r="E129" s="55"/>
      <c r="F129" s="3"/>
      <c r="G129" s="3"/>
      <c r="H129" s="55"/>
      <c r="I129" s="55"/>
      <c r="J129" s="55"/>
      <c r="K129" s="55"/>
      <c r="L129" s="55"/>
      <c r="M129" s="55"/>
      <c r="N129" s="55"/>
      <c r="O129" s="55"/>
      <c r="P129" s="92"/>
      <c r="Q129" s="55"/>
      <c r="R129" s="55"/>
      <c r="S129" s="55"/>
      <c r="T129" s="35"/>
      <c r="U129" s="55"/>
      <c r="V129" s="55"/>
      <c r="W129" s="55"/>
      <c r="X129" s="55"/>
      <c r="Y129" s="55"/>
      <c r="Z129" s="55"/>
      <c r="AA129" s="55"/>
      <c r="AB129" s="55"/>
      <c r="AC129" s="93"/>
      <c r="AD129" s="93"/>
      <c r="AE129" s="93"/>
      <c r="AF129" s="35"/>
      <c r="AG129" s="35"/>
      <c r="AJ129" s="99" t="s">
        <v>79</v>
      </c>
      <c r="AK129" s="148" t="s">
        <v>73</v>
      </c>
      <c r="AL129" s="148"/>
      <c r="AM129" s="148"/>
    </row>
    <row r="130" spans="1:39" s="37" customFormat="1" ht="12" x14ac:dyDescent="0.2">
      <c r="A130" s="35"/>
      <c r="B130" s="35"/>
      <c r="C130" s="55"/>
      <c r="D130" s="55"/>
      <c r="E130" s="55"/>
      <c r="F130" s="3"/>
      <c r="G130" s="3"/>
      <c r="H130" s="55"/>
      <c r="I130" s="55"/>
      <c r="J130" s="55"/>
      <c r="K130" s="55"/>
      <c r="L130" s="55"/>
      <c r="M130" s="55"/>
      <c r="N130" s="55"/>
      <c r="O130" s="55"/>
      <c r="P130" s="92"/>
      <c r="Q130" s="55"/>
      <c r="R130" s="55"/>
      <c r="S130" s="55"/>
      <c r="T130" s="35"/>
      <c r="U130" s="55"/>
      <c r="V130" s="55"/>
      <c r="W130" s="55"/>
      <c r="X130" s="55"/>
      <c r="Y130" s="55"/>
      <c r="Z130" s="55"/>
      <c r="AA130" s="55"/>
      <c r="AB130" s="55"/>
      <c r="AC130" s="93"/>
      <c r="AD130" s="93"/>
      <c r="AE130" s="93"/>
      <c r="AF130" s="35"/>
      <c r="AG130" s="35"/>
      <c r="AL130" s="35"/>
    </row>
    <row r="131" spans="1:39" s="37" customFormat="1" ht="12" x14ac:dyDescent="0.2">
      <c r="A131" s="35"/>
      <c r="B131" s="35"/>
      <c r="C131" s="55"/>
      <c r="D131" s="55"/>
      <c r="E131" s="55"/>
      <c r="F131" s="3"/>
      <c r="G131" s="3"/>
      <c r="H131" s="55"/>
      <c r="I131" s="55"/>
      <c r="J131" s="55"/>
      <c r="K131" s="55"/>
      <c r="L131" s="55"/>
      <c r="M131" s="55"/>
      <c r="N131" s="55"/>
      <c r="O131" s="55"/>
      <c r="P131" s="92"/>
      <c r="Q131" s="55"/>
      <c r="R131" s="55"/>
      <c r="S131" s="55"/>
      <c r="T131" s="35"/>
      <c r="U131" s="55"/>
      <c r="V131" s="55"/>
      <c r="W131" s="55"/>
      <c r="X131" s="55"/>
      <c r="Y131" s="55"/>
      <c r="Z131" s="55"/>
      <c r="AA131" s="55"/>
      <c r="AB131" s="55"/>
      <c r="AC131" s="93"/>
      <c r="AD131" s="93"/>
      <c r="AE131" s="93"/>
      <c r="AF131" s="35"/>
      <c r="AG131" s="35"/>
      <c r="AL131" s="35"/>
    </row>
  </sheetData>
  <mergeCells count="210">
    <mergeCell ref="AK129:AM129"/>
    <mergeCell ref="L98:L100"/>
    <mergeCell ref="M98:R98"/>
    <mergeCell ref="S98:S100"/>
    <mergeCell ref="T98:U99"/>
    <mergeCell ref="V98:V100"/>
    <mergeCell ref="W98:W100"/>
    <mergeCell ref="X98:X100"/>
    <mergeCell ref="Y98:Y100"/>
    <mergeCell ref="Z98:Z100"/>
    <mergeCell ref="M99:M100"/>
    <mergeCell ref="N99:N100"/>
    <mergeCell ref="O99:O100"/>
    <mergeCell ref="P99:P100"/>
    <mergeCell ref="Q99:Q100"/>
    <mergeCell ref="R99:R100"/>
    <mergeCell ref="AA98:AB98"/>
    <mergeCell ref="AC98:AC100"/>
    <mergeCell ref="AD98:AG98"/>
    <mergeCell ref="AH98:AH100"/>
    <mergeCell ref="AJ98:AJ100"/>
    <mergeCell ref="AA99:AA100"/>
    <mergeCell ref="AB99:AB100"/>
    <mergeCell ref="AD99:AG99"/>
    <mergeCell ref="A98:A100"/>
    <mergeCell ref="B98:B100"/>
    <mergeCell ref="C98:C100"/>
    <mergeCell ref="D98:D100"/>
    <mergeCell ref="E98:E100"/>
    <mergeCell ref="F98:F100"/>
    <mergeCell ref="G98:J98"/>
    <mergeCell ref="K98:K100"/>
    <mergeCell ref="G99:G100"/>
    <mergeCell ref="H99:H100"/>
    <mergeCell ref="I99:I100"/>
    <mergeCell ref="J99:J100"/>
    <mergeCell ref="T87:U87"/>
    <mergeCell ref="V87:V89"/>
    <mergeCell ref="W87:W89"/>
    <mergeCell ref="X87:X89"/>
    <mergeCell ref="Y87:Y89"/>
    <mergeCell ref="Z87:Z89"/>
    <mergeCell ref="AA87:AB87"/>
    <mergeCell ref="AC87:AC89"/>
    <mergeCell ref="AD87:AG88"/>
    <mergeCell ref="T88:T89"/>
    <mergeCell ref="U88:U89"/>
    <mergeCell ref="AA88:AA89"/>
    <mergeCell ref="AB88:AB89"/>
    <mergeCell ref="A87:A89"/>
    <mergeCell ref="B87:B89"/>
    <mergeCell ref="C87:C89"/>
    <mergeCell ref="D87:D89"/>
    <mergeCell ref="E87:E89"/>
    <mergeCell ref="F87:F89"/>
    <mergeCell ref="G87:J87"/>
    <mergeCell ref="K87:K89"/>
    <mergeCell ref="G88:G89"/>
    <mergeCell ref="H88:H89"/>
    <mergeCell ref="I88:I89"/>
    <mergeCell ref="J88:J89"/>
    <mergeCell ref="X78:X80"/>
    <mergeCell ref="Y78:Y80"/>
    <mergeCell ref="Z78:Z80"/>
    <mergeCell ref="AA78:AB78"/>
    <mergeCell ref="AC78:AC80"/>
    <mergeCell ref="AD78:AG79"/>
    <mergeCell ref="AH78:AH80"/>
    <mergeCell ref="AJ78:AJ80"/>
    <mergeCell ref="G79:G80"/>
    <mergeCell ref="H79:H80"/>
    <mergeCell ref="I79:I80"/>
    <mergeCell ref="J79:J80"/>
    <mergeCell ref="M79:M80"/>
    <mergeCell ref="N79:N80"/>
    <mergeCell ref="O79:O80"/>
    <mergeCell ref="P79:P80"/>
    <mergeCell ref="Q79:Q80"/>
    <mergeCell ref="R79:R80"/>
    <mergeCell ref="AA79:AA80"/>
    <mergeCell ref="AB79:AB80"/>
    <mergeCell ref="F78:F80"/>
    <mergeCell ref="G78:J78"/>
    <mergeCell ref="K78:K80"/>
    <mergeCell ref="L78:L80"/>
    <mergeCell ref="M78:R78"/>
    <mergeCell ref="S78:S80"/>
    <mergeCell ref="T78:U79"/>
    <mergeCell ref="V78:V80"/>
    <mergeCell ref="W78:W80"/>
    <mergeCell ref="AD57:AG57"/>
    <mergeCell ref="AH57:AH59"/>
    <mergeCell ref="AI57:AI59"/>
    <mergeCell ref="AJ57:AJ59"/>
    <mergeCell ref="G58:G59"/>
    <mergeCell ref="H58:H59"/>
    <mergeCell ref="I58:I59"/>
    <mergeCell ref="J58:J59"/>
    <mergeCell ref="M58:M59"/>
    <mergeCell ref="N58:N59"/>
    <mergeCell ref="O58:O59"/>
    <mergeCell ref="P58:P59"/>
    <mergeCell ref="Q58:Q59"/>
    <mergeCell ref="R58:R59"/>
    <mergeCell ref="AA58:AA59"/>
    <mergeCell ref="AB58:AB59"/>
    <mergeCell ref="L57:L59"/>
    <mergeCell ref="M57:R57"/>
    <mergeCell ref="S57:S59"/>
    <mergeCell ref="T57:U58"/>
    <mergeCell ref="V57:V59"/>
    <mergeCell ref="W57:W59"/>
    <mergeCell ref="B57:B59"/>
    <mergeCell ref="C57:C59"/>
    <mergeCell ref="D57:D59"/>
    <mergeCell ref="E57:E59"/>
    <mergeCell ref="F57:F59"/>
    <mergeCell ref="G57:J57"/>
    <mergeCell ref="K57:K59"/>
    <mergeCell ref="AA57:AB57"/>
    <mergeCell ref="AC57:AC59"/>
    <mergeCell ref="AI4:AI6"/>
    <mergeCell ref="AJ4:AJ6"/>
    <mergeCell ref="AA5:AA6"/>
    <mergeCell ref="AB5:AB6"/>
    <mergeCell ref="AD5:AG5"/>
    <mergeCell ref="A49:A51"/>
    <mergeCell ref="B49:B51"/>
    <mergeCell ref="C49:C51"/>
    <mergeCell ref="D49:D51"/>
    <mergeCell ref="E49:E51"/>
    <mergeCell ref="F49:F51"/>
    <mergeCell ref="G49:J49"/>
    <mergeCell ref="K49:K51"/>
    <mergeCell ref="L49:L51"/>
    <mergeCell ref="G50:G51"/>
    <mergeCell ref="H50:H51"/>
    <mergeCell ref="I50:I51"/>
    <mergeCell ref="J50:J51"/>
    <mergeCell ref="M49:R49"/>
    <mergeCell ref="S49:S51"/>
    <mergeCell ref="T49:U50"/>
    <mergeCell ref="V49:V51"/>
    <mergeCell ref="P5:P6"/>
    <mergeCell ref="AA4:AB4"/>
    <mergeCell ref="AC4:AC6"/>
    <mergeCell ref="AD4:AG4"/>
    <mergeCell ref="A4:A6"/>
    <mergeCell ref="B4:B6"/>
    <mergeCell ref="C4:C6"/>
    <mergeCell ref="D4:D6"/>
    <mergeCell ref="E4:E6"/>
    <mergeCell ref="AH4:AH6"/>
    <mergeCell ref="AC49:AC51"/>
    <mergeCell ref="AD49:AG49"/>
    <mergeCell ref="AH49:AH51"/>
    <mergeCell ref="F4:F6"/>
    <mergeCell ref="G4:J4"/>
    <mergeCell ref="K4:K6"/>
    <mergeCell ref="L4:L6"/>
    <mergeCell ref="M4:R4"/>
    <mergeCell ref="S4:S6"/>
    <mergeCell ref="T4:U5"/>
    <mergeCell ref="V4:V6"/>
    <mergeCell ref="W4:W6"/>
    <mergeCell ref="G5:G6"/>
    <mergeCell ref="H5:H6"/>
    <mergeCell ref="I5:I6"/>
    <mergeCell ref="J5:J6"/>
    <mergeCell ref="M5:M6"/>
    <mergeCell ref="N5:N6"/>
    <mergeCell ref="O5:O6"/>
    <mergeCell ref="Q5:Q6"/>
    <mergeCell ref="R5:R6"/>
    <mergeCell ref="X4:X6"/>
    <mergeCell ref="Y4:Y6"/>
    <mergeCell ref="Z4:Z6"/>
    <mergeCell ref="AI49:AI51"/>
    <mergeCell ref="AJ49:AJ51"/>
    <mergeCell ref="A78:A80"/>
    <mergeCell ref="B78:B80"/>
    <mergeCell ref="C78:C80"/>
    <mergeCell ref="D78:D80"/>
    <mergeCell ref="E78:E80"/>
    <mergeCell ref="W49:W51"/>
    <mergeCell ref="X49:X51"/>
    <mergeCell ref="Y49:Y51"/>
    <mergeCell ref="Z49:Z51"/>
    <mergeCell ref="AA49:AB49"/>
    <mergeCell ref="M50:M51"/>
    <mergeCell ref="N50:N51"/>
    <mergeCell ref="O50:O51"/>
    <mergeCell ref="P50:P51"/>
    <mergeCell ref="Q50:Q51"/>
    <mergeCell ref="R50:R51"/>
    <mergeCell ref="AA50:AA51"/>
    <mergeCell ref="AB50:AB51"/>
    <mergeCell ref="X57:X59"/>
    <mergeCell ref="Y57:Y59"/>
    <mergeCell ref="Z57:Z59"/>
    <mergeCell ref="A57:A59"/>
    <mergeCell ref="L87:L89"/>
    <mergeCell ref="M87:R87"/>
    <mergeCell ref="S87:S89"/>
    <mergeCell ref="M88:M89"/>
    <mergeCell ref="N88:N89"/>
    <mergeCell ref="O88:O89"/>
    <mergeCell ref="P88:P89"/>
    <mergeCell ref="Q88:Q89"/>
    <mergeCell ref="R88:R8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7DA1-BFD1-4758-8CC7-261D9CE9C93A}">
  <dimension ref="A1:C5"/>
  <sheetViews>
    <sheetView workbookViewId="0">
      <selection activeCell="C17" sqref="C17"/>
    </sheetView>
  </sheetViews>
  <sheetFormatPr defaultRowHeight="15" x14ac:dyDescent="0.25"/>
  <cols>
    <col min="1" max="1" width="26.5703125" customWidth="1"/>
    <col min="2" max="2" width="10.5703125" bestFit="1" customWidth="1"/>
    <col min="3" max="3" width="10.42578125" customWidth="1"/>
  </cols>
  <sheetData>
    <row r="1" spans="1:3" ht="15" customHeight="1" x14ac:dyDescent="0.25">
      <c r="A1" s="40" t="s">
        <v>3</v>
      </c>
      <c r="B1" s="40" t="s">
        <v>4</v>
      </c>
      <c r="C1" s="40" t="s">
        <v>5</v>
      </c>
    </row>
    <row r="2" spans="1:3" x14ac:dyDescent="0.25">
      <c r="A2" s="78"/>
      <c r="B2" s="69">
        <f>7500+7500</f>
        <v>15000</v>
      </c>
      <c r="C2" s="33">
        <f>7500-27.55+7500-58.7</f>
        <v>14913.75</v>
      </c>
    </row>
    <row r="3" spans="1:3" x14ac:dyDescent="0.25">
      <c r="A3" s="78"/>
      <c r="B3" s="69">
        <f>8000+8000</f>
        <v>16000</v>
      </c>
      <c r="C3" s="33">
        <f>8000-42.17-1226.84+8000-3067.1</f>
        <v>11663.89</v>
      </c>
    </row>
    <row r="4" spans="1:3" x14ac:dyDescent="0.25">
      <c r="A4" s="78"/>
      <c r="B4" s="69">
        <f>8250+8250</f>
        <v>16500</v>
      </c>
      <c r="C4" s="33">
        <f>8250-158.14+8250-1265.18</f>
        <v>15076.68</v>
      </c>
    </row>
    <row r="5" spans="1:3" x14ac:dyDescent="0.25">
      <c r="A5" s="110"/>
      <c r="B5" s="109">
        <v>21000</v>
      </c>
      <c r="C5" s="109">
        <v>21000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0ECA-2C00-4E09-B2C3-A025A630952C}">
  <dimension ref="A1:J5"/>
  <sheetViews>
    <sheetView tabSelected="1" workbookViewId="0">
      <selection activeCell="J6" sqref="J6"/>
    </sheetView>
  </sheetViews>
  <sheetFormatPr defaultRowHeight="15" x14ac:dyDescent="0.25"/>
  <cols>
    <col min="1" max="1" width="14.42578125" style="114" customWidth="1"/>
    <col min="2" max="2" width="15.85546875" customWidth="1"/>
    <col min="3" max="3" width="15.5703125" style="109" bestFit="1" customWidth="1"/>
    <col min="4" max="4" width="19.85546875" style="109" customWidth="1"/>
    <col min="5" max="5" width="9.140625" style="109"/>
    <col min="6" max="6" width="10.5703125" style="109" bestFit="1" customWidth="1"/>
    <col min="7" max="9" width="9.140625" style="109"/>
  </cols>
  <sheetData>
    <row r="1" spans="1:10" s="112" customFormat="1" ht="45" x14ac:dyDescent="0.25">
      <c r="A1" s="113" t="s">
        <v>91</v>
      </c>
      <c r="B1" s="112" t="s">
        <v>93</v>
      </c>
      <c r="C1" s="111" t="s">
        <v>94</v>
      </c>
      <c r="D1" s="111" t="s">
        <v>95</v>
      </c>
      <c r="E1" s="111" t="s">
        <v>96</v>
      </c>
      <c r="F1" s="111" t="s">
        <v>97</v>
      </c>
      <c r="G1" s="111" t="s">
        <v>98</v>
      </c>
      <c r="H1" s="111" t="s">
        <v>99</v>
      </c>
      <c r="I1" s="111" t="s">
        <v>100</v>
      </c>
      <c r="J1" s="112" t="s">
        <v>101</v>
      </c>
    </row>
    <row r="2" spans="1:10" x14ac:dyDescent="0.25">
      <c r="A2" s="114">
        <v>91512</v>
      </c>
      <c r="B2">
        <v>-2.56</v>
      </c>
      <c r="C2" s="109">
        <v>1006.42</v>
      </c>
      <c r="D2" s="109">
        <v>0</v>
      </c>
      <c r="E2" s="109">
        <v>0</v>
      </c>
      <c r="G2" s="109">
        <v>0</v>
      </c>
      <c r="H2" s="109">
        <v>0</v>
      </c>
    </row>
    <row r="3" spans="1:10" x14ac:dyDescent="0.25">
      <c r="A3" s="114">
        <v>91545</v>
      </c>
      <c r="B3" s="109">
        <v>0</v>
      </c>
      <c r="C3" s="109">
        <v>0</v>
      </c>
      <c r="D3" s="109">
        <v>0</v>
      </c>
      <c r="E3" s="109">
        <v>0</v>
      </c>
      <c r="G3" s="109">
        <v>0</v>
      </c>
      <c r="H3" s="109">
        <v>0</v>
      </c>
    </row>
    <row r="4" spans="1:10" x14ac:dyDescent="0.25">
      <c r="A4" s="114">
        <v>91486</v>
      </c>
      <c r="B4" s="109">
        <v>0</v>
      </c>
      <c r="C4" s="109">
        <v>0</v>
      </c>
      <c r="D4" s="109">
        <v>0</v>
      </c>
      <c r="E4" s="109">
        <v>0</v>
      </c>
      <c r="G4" s="109">
        <v>738.32</v>
      </c>
      <c r="H4" s="109">
        <v>0</v>
      </c>
    </row>
    <row r="5" spans="1:10" x14ac:dyDescent="0.25">
      <c r="A5" s="114">
        <v>91645</v>
      </c>
      <c r="B5" s="109">
        <v>0</v>
      </c>
      <c r="C5" s="109">
        <v>0</v>
      </c>
      <c r="D5" s="109">
        <v>0</v>
      </c>
      <c r="E5" s="109">
        <v>0</v>
      </c>
      <c r="G5" s="109">
        <v>0</v>
      </c>
      <c r="H5" s="10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3186-CB23-4E3C-8D8A-A06DA3DCE061}">
  <dimension ref="A1:J5"/>
  <sheetViews>
    <sheetView workbookViewId="0">
      <selection activeCell="E15" sqref="E15"/>
    </sheetView>
  </sheetViews>
  <sheetFormatPr defaultRowHeight="15" x14ac:dyDescent="0.25"/>
  <cols>
    <col min="1" max="1" width="14.42578125" style="114" customWidth="1"/>
    <col min="2" max="2" width="15.85546875" customWidth="1"/>
    <col min="3" max="3" width="15.5703125" style="109" bestFit="1" customWidth="1"/>
    <col min="4" max="4" width="19.85546875" style="109" customWidth="1"/>
    <col min="5" max="5" width="9.140625" style="109"/>
    <col min="6" max="6" width="10.5703125" style="109" bestFit="1" customWidth="1"/>
    <col min="7" max="9" width="9.140625" style="109"/>
  </cols>
  <sheetData>
    <row r="1" spans="1:10" s="112" customFormat="1" ht="45" x14ac:dyDescent="0.25">
      <c r="A1" s="113" t="s">
        <v>91</v>
      </c>
      <c r="B1" s="112" t="s">
        <v>93</v>
      </c>
      <c r="C1" s="111" t="s">
        <v>94</v>
      </c>
      <c r="D1" s="111" t="s">
        <v>95</v>
      </c>
      <c r="E1" s="111" t="s">
        <v>96</v>
      </c>
      <c r="F1" s="111" t="s">
        <v>97</v>
      </c>
      <c r="G1" s="111" t="s">
        <v>98</v>
      </c>
      <c r="H1" s="111" t="s">
        <v>99</v>
      </c>
      <c r="I1" s="111" t="s">
        <v>100</v>
      </c>
      <c r="J1" s="112" t="s">
        <v>101</v>
      </c>
    </row>
    <row r="2" spans="1:10" x14ac:dyDescent="0.25">
      <c r="A2" s="114">
        <v>91512</v>
      </c>
      <c r="B2">
        <v>2.56</v>
      </c>
      <c r="C2" s="109">
        <v>1006.42</v>
      </c>
      <c r="D2" s="109">
        <v>0</v>
      </c>
      <c r="I2" s="109">
        <f>SUM(G2:H2)</f>
        <v>0</v>
      </c>
    </row>
    <row r="3" spans="1:10" x14ac:dyDescent="0.25">
      <c r="A3" s="114">
        <v>91545</v>
      </c>
      <c r="I3" s="109">
        <f t="shared" ref="I3:I5" si="0">SUM(G3:H3)</f>
        <v>0</v>
      </c>
    </row>
    <row r="4" spans="1:10" x14ac:dyDescent="0.25">
      <c r="A4" s="114">
        <v>91486</v>
      </c>
      <c r="G4" s="109">
        <v>738.32</v>
      </c>
      <c r="I4" s="109">
        <f t="shared" si="0"/>
        <v>738.32</v>
      </c>
    </row>
    <row r="5" spans="1:10" x14ac:dyDescent="0.25">
      <c r="A5" s="114">
        <v>91645</v>
      </c>
      <c r="I5" s="109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7038-8B1B-47AF-A2BD-76A2CA20E9CB}">
  <dimension ref="A1:E5"/>
  <sheetViews>
    <sheetView workbookViewId="0">
      <selection activeCell="D1" sqref="D1"/>
    </sheetView>
  </sheetViews>
  <sheetFormatPr defaultRowHeight="15" x14ac:dyDescent="0.25"/>
  <cols>
    <col min="1" max="1" width="13.42578125" customWidth="1"/>
    <col min="2" max="2" width="39.5703125" customWidth="1"/>
    <col min="3" max="3" width="37.140625" customWidth="1"/>
    <col min="4" max="4" width="23.7109375" style="109" customWidth="1"/>
    <col min="5" max="5" width="21.140625" customWidth="1"/>
  </cols>
  <sheetData>
    <row r="1" spans="1:5" s="115" customFormat="1" ht="33.75" customHeight="1" x14ac:dyDescent="0.25">
      <c r="A1" s="116" t="s">
        <v>91</v>
      </c>
      <c r="B1" s="117" t="s">
        <v>103</v>
      </c>
      <c r="C1" s="117" t="s">
        <v>92</v>
      </c>
      <c r="D1" s="118" t="s">
        <v>104</v>
      </c>
      <c r="E1" s="115" t="s">
        <v>109</v>
      </c>
    </row>
    <row r="2" spans="1:5" x14ac:dyDescent="0.25">
      <c r="A2">
        <v>91512</v>
      </c>
      <c r="B2" t="s">
        <v>105</v>
      </c>
      <c r="C2" t="s">
        <v>102</v>
      </c>
      <c r="D2" s="109">
        <f>8000*2</f>
        <v>16000</v>
      </c>
      <c r="E2" t="s">
        <v>110</v>
      </c>
    </row>
    <row r="3" spans="1:5" x14ac:dyDescent="0.25">
      <c r="A3">
        <v>91545</v>
      </c>
      <c r="B3" t="s">
        <v>106</v>
      </c>
      <c r="C3" t="s">
        <v>102</v>
      </c>
      <c r="D3" s="109">
        <f>7003.5*2</f>
        <v>14007</v>
      </c>
      <c r="E3" t="s">
        <v>110</v>
      </c>
    </row>
    <row r="4" spans="1:5" x14ac:dyDescent="0.25">
      <c r="A4">
        <v>91486</v>
      </c>
      <c r="B4" t="s">
        <v>107</v>
      </c>
      <c r="C4" t="s">
        <v>102</v>
      </c>
      <c r="D4" s="109">
        <f>12500*2</f>
        <v>25000</v>
      </c>
      <c r="E4" t="s">
        <v>110</v>
      </c>
    </row>
    <row r="5" spans="1:5" x14ac:dyDescent="0.25">
      <c r="A5">
        <v>91645</v>
      </c>
      <c r="B5" t="s">
        <v>108</v>
      </c>
      <c r="C5" t="s">
        <v>102</v>
      </c>
      <c r="D5" s="109">
        <f>15000*2</f>
        <v>30000</v>
      </c>
      <c r="E5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A0CE-4B10-4132-A997-1E1371CEB15E}">
  <dimension ref="A1:G14"/>
  <sheetViews>
    <sheetView workbookViewId="0">
      <selection activeCell="K14" sqref="K14"/>
    </sheetView>
  </sheetViews>
  <sheetFormatPr defaultRowHeight="15" x14ac:dyDescent="0.25"/>
  <cols>
    <col min="1" max="1" width="10.5703125" style="109" bestFit="1" customWidth="1"/>
    <col min="2" max="2" width="10.5703125" style="109" customWidth="1"/>
    <col min="3" max="3" width="15.85546875" bestFit="1" customWidth="1"/>
    <col min="4" max="4" width="15.85546875" customWidth="1"/>
    <col min="5" max="5" width="15.5703125" bestFit="1" customWidth="1"/>
    <col min="6" max="6" width="19.85546875" customWidth="1"/>
  </cols>
  <sheetData>
    <row r="1" spans="1:7" x14ac:dyDescent="0.25">
      <c r="A1" s="109" t="s">
        <v>88</v>
      </c>
      <c r="B1" s="109" t="s">
        <v>89</v>
      </c>
      <c r="C1" t="s">
        <v>85</v>
      </c>
      <c r="D1" t="s">
        <v>86</v>
      </c>
      <c r="E1" t="s">
        <v>84</v>
      </c>
      <c r="F1" t="s">
        <v>87</v>
      </c>
      <c r="G1" t="s">
        <v>90</v>
      </c>
    </row>
    <row r="2" spans="1:7" x14ac:dyDescent="0.25">
      <c r="A2" s="109">
        <v>14750</v>
      </c>
      <c r="B2" s="109">
        <v>15249.99</v>
      </c>
      <c r="C2">
        <v>675</v>
      </c>
      <c r="D2">
        <v>0</v>
      </c>
      <c r="E2">
        <v>1425</v>
      </c>
      <c r="F2">
        <v>0</v>
      </c>
      <c r="G2">
        <v>30</v>
      </c>
    </row>
    <row r="3" spans="1:7" x14ac:dyDescent="0.25">
      <c r="A3" s="109">
        <v>15250</v>
      </c>
      <c r="B3" s="109">
        <v>15749.99</v>
      </c>
      <c r="C3">
        <v>697.5</v>
      </c>
      <c r="D3">
        <v>0</v>
      </c>
      <c r="E3">
        <v>1472.5</v>
      </c>
      <c r="F3">
        <v>0</v>
      </c>
      <c r="G3">
        <v>30</v>
      </c>
    </row>
    <row r="4" spans="1:7" x14ac:dyDescent="0.25">
      <c r="A4" s="109">
        <v>15750</v>
      </c>
      <c r="B4" s="109">
        <v>16249.99</v>
      </c>
      <c r="C4">
        <v>720</v>
      </c>
      <c r="D4">
        <v>0</v>
      </c>
      <c r="E4">
        <v>1520</v>
      </c>
      <c r="F4">
        <v>0</v>
      </c>
      <c r="G4">
        <v>30</v>
      </c>
    </row>
    <row r="5" spans="1:7" x14ac:dyDescent="0.25">
      <c r="A5" s="109">
        <v>16250</v>
      </c>
      <c r="B5" s="109">
        <v>16749.990000000002</v>
      </c>
      <c r="C5">
        <v>742.5</v>
      </c>
      <c r="D5">
        <v>0</v>
      </c>
      <c r="E5">
        <v>1567.5</v>
      </c>
      <c r="F5">
        <v>0</v>
      </c>
      <c r="G5">
        <v>30</v>
      </c>
    </row>
    <row r="6" spans="1:7" x14ac:dyDescent="0.25">
      <c r="A6" s="109">
        <v>16750</v>
      </c>
      <c r="B6" s="109">
        <v>17249.990000000002</v>
      </c>
      <c r="C6">
        <v>765</v>
      </c>
      <c r="D6">
        <v>0</v>
      </c>
      <c r="E6">
        <v>1615</v>
      </c>
      <c r="F6">
        <v>0</v>
      </c>
      <c r="G6">
        <v>30</v>
      </c>
    </row>
    <row r="7" spans="1:7" x14ac:dyDescent="0.25">
      <c r="A7" s="109">
        <v>17250</v>
      </c>
      <c r="B7" s="109">
        <v>17749.990000000002</v>
      </c>
      <c r="C7">
        <v>787.5</v>
      </c>
      <c r="D7">
        <v>0</v>
      </c>
      <c r="E7">
        <v>1662.5</v>
      </c>
      <c r="F7">
        <v>0</v>
      </c>
      <c r="G7">
        <v>30</v>
      </c>
    </row>
    <row r="8" spans="1:7" x14ac:dyDescent="0.25">
      <c r="A8" s="109">
        <v>17750</v>
      </c>
      <c r="B8" s="109">
        <v>18249.990000000002</v>
      </c>
      <c r="C8">
        <v>810</v>
      </c>
      <c r="D8">
        <v>0</v>
      </c>
      <c r="E8">
        <v>1710</v>
      </c>
      <c r="F8">
        <v>0</v>
      </c>
      <c r="G8">
        <v>30</v>
      </c>
    </row>
    <row r="9" spans="1:7" x14ac:dyDescent="0.25">
      <c r="A9" s="109">
        <v>18250</v>
      </c>
      <c r="B9" s="109">
        <v>18749.990000000002</v>
      </c>
      <c r="C9">
        <v>832.5</v>
      </c>
      <c r="D9">
        <v>0</v>
      </c>
      <c r="E9">
        <v>1757.5</v>
      </c>
      <c r="F9">
        <v>0</v>
      </c>
      <c r="G9">
        <v>30</v>
      </c>
    </row>
    <row r="10" spans="1:7" x14ac:dyDescent="0.25">
      <c r="A10" s="109">
        <v>18750</v>
      </c>
      <c r="B10" s="109">
        <v>19249.990000000002</v>
      </c>
      <c r="C10">
        <v>855</v>
      </c>
      <c r="D10">
        <v>0</v>
      </c>
      <c r="E10">
        <v>1805</v>
      </c>
      <c r="F10">
        <v>0</v>
      </c>
      <c r="G10">
        <v>30</v>
      </c>
    </row>
    <row r="11" spans="1:7" x14ac:dyDescent="0.25">
      <c r="A11" s="109">
        <v>19250</v>
      </c>
      <c r="B11" s="109">
        <v>19749.990000000002</v>
      </c>
      <c r="C11">
        <v>877.5</v>
      </c>
      <c r="D11">
        <v>0</v>
      </c>
      <c r="E11">
        <v>1852.5</v>
      </c>
      <c r="F11">
        <v>0</v>
      </c>
      <c r="G11">
        <v>30</v>
      </c>
    </row>
    <row r="12" spans="1:7" x14ac:dyDescent="0.25">
      <c r="A12" s="109">
        <v>19750</v>
      </c>
      <c r="B12" s="109">
        <v>20249.990000000002</v>
      </c>
      <c r="C12">
        <v>900</v>
      </c>
      <c r="D12">
        <v>0</v>
      </c>
      <c r="E12">
        <v>1900</v>
      </c>
      <c r="F12">
        <v>0</v>
      </c>
      <c r="G12">
        <v>30</v>
      </c>
    </row>
    <row r="13" spans="1:7" x14ac:dyDescent="0.25">
      <c r="A13" s="109">
        <v>20250</v>
      </c>
      <c r="B13" s="109">
        <v>20749.990000000002</v>
      </c>
      <c r="C13">
        <v>900</v>
      </c>
      <c r="D13">
        <v>22.5</v>
      </c>
      <c r="E13">
        <v>1900</v>
      </c>
      <c r="F13">
        <v>47.5</v>
      </c>
      <c r="G13">
        <v>30</v>
      </c>
    </row>
    <row r="14" spans="1:7" x14ac:dyDescent="0.25">
      <c r="A14" s="109">
        <v>20750</v>
      </c>
      <c r="B14" s="109">
        <v>21249.99</v>
      </c>
      <c r="C14">
        <v>900</v>
      </c>
      <c r="D14">
        <v>45</v>
      </c>
      <c r="E14">
        <v>1900</v>
      </c>
      <c r="F14">
        <v>95</v>
      </c>
      <c r="G1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Payroll</vt:lpstr>
      <vt:lpstr>Payroll-1</vt:lpstr>
      <vt:lpstr>PAYROLL-1ST-BATCH</vt:lpstr>
      <vt:lpstr>PAYROLL-2ND-BATCH</vt:lpstr>
      <vt:lpstr>PAYROLL-MASTER-FILE</vt:lpstr>
      <vt:lpstr>SSS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Eliza Delis Borja</dc:creator>
  <cp:lastModifiedBy>Jerome R. Sabusido</cp:lastModifiedBy>
  <dcterms:created xsi:type="dcterms:W3CDTF">2015-06-05T18:17:20Z</dcterms:created>
  <dcterms:modified xsi:type="dcterms:W3CDTF">2024-02-20T09:52:35Z</dcterms:modified>
</cp:coreProperties>
</file>