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erome\Desktop\avega-list\"/>
    </mc:Choice>
  </mc:AlternateContent>
  <xr:revisionPtr revIDLastSave="0" documentId="13_ncr:1_{CF00BF11-B1DD-4097-9D7A-22E5904CC476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17" i="1" l="1"/>
  <c r="H115" i="1"/>
  <c r="G118" i="1"/>
  <c r="V55" i="2"/>
  <c r="S55" i="2"/>
  <c r="J55" i="2"/>
  <c r="F55" i="2"/>
  <c r="G55" i="2" s="1"/>
  <c r="AD55" i="2" s="1"/>
  <c r="AK55" i="2" s="1"/>
  <c r="D55" i="2"/>
  <c r="C55" i="2"/>
  <c r="B55" i="2"/>
  <c r="N55" i="2" s="1"/>
  <c r="Y54" i="2"/>
  <c r="V54" i="2"/>
  <c r="S54" i="2"/>
  <c r="J54" i="2"/>
  <c r="D54" i="2"/>
  <c r="C54" i="2"/>
  <c r="G54" i="2" s="1"/>
  <c r="AD54" i="2" s="1"/>
  <c r="AK54" i="2" s="1"/>
  <c r="B54" i="2"/>
  <c r="N54" i="2" s="1"/>
  <c r="Y53" i="2"/>
  <c r="X53" i="2"/>
  <c r="V53" i="2"/>
  <c r="S53" i="2"/>
  <c r="O53" i="2"/>
  <c r="P53" i="2" s="1"/>
  <c r="N53" i="2"/>
  <c r="AD53" i="2" s="1"/>
  <c r="AK53" i="2" s="1"/>
  <c r="J53" i="2"/>
  <c r="G53" i="2"/>
  <c r="D53" i="2"/>
  <c r="C53" i="2"/>
  <c r="B53" i="2"/>
  <c r="AF52" i="2"/>
  <c r="AE52" i="2"/>
  <c r="V52" i="2"/>
  <c r="S52" i="2"/>
  <c r="N52" i="2"/>
  <c r="J52" i="2"/>
  <c r="I52" i="2"/>
  <c r="G52" i="2"/>
  <c r="T52" i="2" s="1"/>
  <c r="D52" i="2"/>
  <c r="C52" i="2"/>
  <c r="B52" i="2"/>
  <c r="Y51" i="2"/>
  <c r="V51" i="2"/>
  <c r="S51" i="2"/>
  <c r="N51" i="2"/>
  <c r="J51" i="2"/>
  <c r="G51" i="2"/>
  <c r="F51" i="2"/>
  <c r="D51" i="2"/>
  <c r="C51" i="2"/>
  <c r="B51" i="2"/>
  <c r="AJ50" i="2"/>
  <c r="AI50" i="2"/>
  <c r="V50" i="2"/>
  <c r="S50" i="2"/>
  <c r="J50" i="2"/>
  <c r="G50" i="2"/>
  <c r="D50" i="2"/>
  <c r="C50" i="2"/>
  <c r="B50" i="2"/>
  <c r="N50" i="2" s="1"/>
  <c r="AJ49" i="2"/>
  <c r="AI49" i="2"/>
  <c r="V49" i="2"/>
  <c r="S49" i="2"/>
  <c r="J49" i="2"/>
  <c r="C49" i="2"/>
  <c r="G49" i="2" s="1"/>
  <c r="AD49" i="2" s="1"/>
  <c r="AK49" i="2" s="1"/>
  <c r="B49" i="2"/>
  <c r="N49" i="2" s="1"/>
  <c r="AK48" i="2"/>
  <c r="AD48" i="2"/>
  <c r="S48" i="2"/>
  <c r="G48" i="2"/>
  <c r="C48" i="2"/>
  <c r="B48" i="2"/>
  <c r="AD47" i="2"/>
  <c r="AK47" i="2" s="1"/>
  <c r="V47" i="2"/>
  <c r="S47" i="2"/>
  <c r="G47" i="2"/>
  <c r="C47" i="2"/>
  <c r="B47" i="2"/>
  <c r="AD46" i="2"/>
  <c r="AK46" i="2" s="1"/>
  <c r="V46" i="2"/>
  <c r="J46" i="2"/>
  <c r="D46" i="2"/>
  <c r="C46" i="2"/>
  <c r="G46" i="2" s="1"/>
  <c r="B46" i="2"/>
  <c r="N46" i="2" s="1"/>
  <c r="AF45" i="2"/>
  <c r="AE45" i="2"/>
  <c r="O45" i="2"/>
  <c r="N45" i="2"/>
  <c r="J45" i="2"/>
  <c r="I45" i="2"/>
  <c r="G45" i="2"/>
  <c r="D45" i="2"/>
  <c r="C45" i="2"/>
  <c r="B45" i="2"/>
  <c r="AD44" i="2"/>
  <c r="AK44" i="2" s="1"/>
  <c r="V44" i="2"/>
  <c r="J44" i="2"/>
  <c r="D44" i="2"/>
  <c r="C44" i="2"/>
  <c r="G44" i="2" s="1"/>
  <c r="B44" i="2"/>
  <c r="N44" i="2" s="1"/>
  <c r="AK43" i="2"/>
  <c r="AD43" i="2"/>
  <c r="Z43" i="2"/>
  <c r="G43" i="2"/>
  <c r="C43" i="2"/>
  <c r="B43" i="2"/>
  <c r="V42" i="2"/>
  <c r="P42" i="2"/>
  <c r="O42" i="2"/>
  <c r="N42" i="2"/>
  <c r="J42" i="2"/>
  <c r="G42" i="2"/>
  <c r="AD42" i="2" s="1"/>
  <c r="AK42" i="2" s="1"/>
  <c r="C42" i="2"/>
  <c r="V41" i="2"/>
  <c r="J41" i="2"/>
  <c r="G41" i="2"/>
  <c r="D41" i="2"/>
  <c r="C41" i="2"/>
  <c r="B41" i="2"/>
  <c r="N41" i="2" s="1"/>
  <c r="Z40" i="2"/>
  <c r="V40" i="2"/>
  <c r="J40" i="2"/>
  <c r="I40" i="2"/>
  <c r="H40" i="2"/>
  <c r="C40" i="2"/>
  <c r="G40" i="2" s="1"/>
  <c r="B40" i="2"/>
  <c r="N40" i="2" s="1"/>
  <c r="V39" i="2"/>
  <c r="O39" i="2"/>
  <c r="N39" i="2"/>
  <c r="J39" i="2"/>
  <c r="I39" i="2"/>
  <c r="G39" i="2"/>
  <c r="D39" i="2"/>
  <c r="C39" i="2"/>
  <c r="B39" i="2"/>
  <c r="V38" i="2"/>
  <c r="J38" i="2"/>
  <c r="I38" i="2"/>
  <c r="D38" i="2"/>
  <c r="G38" i="2" s="1"/>
  <c r="AD38" i="2" s="1"/>
  <c r="AK38" i="2" s="1"/>
  <c r="C38" i="2"/>
  <c r="B38" i="2"/>
  <c r="N38" i="2" s="1"/>
  <c r="V37" i="2"/>
  <c r="N37" i="2"/>
  <c r="L37" i="2"/>
  <c r="J37" i="2"/>
  <c r="G37" i="2"/>
  <c r="AD37" i="2" s="1"/>
  <c r="AK37" i="2" s="1"/>
  <c r="C37" i="2"/>
  <c r="B37" i="2"/>
  <c r="AE36" i="2"/>
  <c r="V36" i="2"/>
  <c r="J36" i="2"/>
  <c r="C36" i="2"/>
  <c r="G36" i="2" s="1"/>
  <c r="AD36" i="2" s="1"/>
  <c r="AK36" i="2" s="1"/>
  <c r="B36" i="2"/>
  <c r="N36" i="2" s="1"/>
  <c r="V35" i="2"/>
  <c r="N35" i="2"/>
  <c r="J35" i="2"/>
  <c r="I35" i="2"/>
  <c r="G35" i="2"/>
  <c r="C35" i="2"/>
  <c r="B35" i="2"/>
  <c r="Y34" i="2"/>
  <c r="V34" i="2"/>
  <c r="J34" i="2"/>
  <c r="I34" i="2"/>
  <c r="C34" i="2"/>
  <c r="G34" i="2" s="1"/>
  <c r="B34" i="2"/>
  <c r="N34" i="2" s="1"/>
  <c r="V33" i="2"/>
  <c r="N33" i="2"/>
  <c r="J33" i="2"/>
  <c r="G33" i="2"/>
  <c r="D33" i="2"/>
  <c r="C33" i="2"/>
  <c r="B33" i="2"/>
  <c r="AH32" i="2"/>
  <c r="AE32" i="2"/>
  <c r="AD32" i="2"/>
  <c r="AK32" i="2" s="1"/>
  <c r="Z32" i="2"/>
  <c r="V32" i="2"/>
  <c r="I32" i="2"/>
  <c r="J32" i="2" s="1"/>
  <c r="H32" i="2"/>
  <c r="G32" i="2"/>
  <c r="T32" i="2" s="1"/>
  <c r="D32" i="2"/>
  <c r="C32" i="2"/>
  <c r="B32" i="2"/>
  <c r="N32" i="2" s="1"/>
  <c r="V31" i="2"/>
  <c r="J31" i="2"/>
  <c r="C31" i="2"/>
  <c r="G31" i="2" s="1"/>
  <c r="AD31" i="2" s="1"/>
  <c r="AK31" i="2" s="1"/>
  <c r="B31" i="2"/>
  <c r="N31" i="2" s="1"/>
  <c r="Y30" i="2"/>
  <c r="V30" i="2"/>
  <c r="N30" i="2"/>
  <c r="J30" i="2"/>
  <c r="G30" i="2"/>
  <c r="C30" i="2"/>
  <c r="B30" i="2"/>
  <c r="V29" i="2"/>
  <c r="P29" i="2"/>
  <c r="O29" i="2"/>
  <c r="N29" i="2"/>
  <c r="J29" i="2"/>
  <c r="G29" i="2"/>
  <c r="AD29" i="2" s="1"/>
  <c r="AK29" i="2" s="1"/>
  <c r="C29" i="2"/>
  <c r="B29" i="2"/>
  <c r="AD28" i="2"/>
  <c r="AK28" i="2" s="1"/>
  <c r="V28" i="2"/>
  <c r="J28" i="2"/>
  <c r="D28" i="2"/>
  <c r="C28" i="2"/>
  <c r="G28" i="2" s="1"/>
  <c r="B28" i="2"/>
  <c r="N28" i="2" s="1"/>
  <c r="AH27" i="2"/>
  <c r="V27" i="2"/>
  <c r="N27" i="2"/>
  <c r="J27" i="2"/>
  <c r="I27" i="2"/>
  <c r="G27" i="2"/>
  <c r="F27" i="2"/>
  <c r="D27" i="2"/>
  <c r="C27" i="2"/>
  <c r="B27" i="2"/>
  <c r="AE26" i="2"/>
  <c r="Y26" i="2"/>
  <c r="V26" i="2"/>
  <c r="N26" i="2"/>
  <c r="J26" i="2"/>
  <c r="I26" i="2"/>
  <c r="H26" i="2"/>
  <c r="G26" i="2"/>
  <c r="T26" i="2" s="1"/>
  <c r="C26" i="2"/>
  <c r="B26" i="2"/>
  <c r="AF25" i="2"/>
  <c r="AE25" i="2"/>
  <c r="V25" i="2"/>
  <c r="I25" i="2"/>
  <c r="J25" i="2" s="1"/>
  <c r="G25" i="2"/>
  <c r="C25" i="2"/>
  <c r="B25" i="2"/>
  <c r="N25" i="2" s="1"/>
  <c r="V24" i="2"/>
  <c r="O24" i="2"/>
  <c r="P24" i="2" s="1"/>
  <c r="N24" i="2"/>
  <c r="J24" i="2"/>
  <c r="G24" i="2"/>
  <c r="AD24" i="2" s="1"/>
  <c r="AK24" i="2" s="1"/>
  <c r="D24" i="2"/>
  <c r="C24" i="2"/>
  <c r="B24" i="2"/>
  <c r="V23" i="2"/>
  <c r="J23" i="2"/>
  <c r="F23" i="2"/>
  <c r="C23" i="2"/>
  <c r="G23" i="2" s="1"/>
  <c r="AD23" i="2" s="1"/>
  <c r="AK23" i="2" s="1"/>
  <c r="B23" i="2"/>
  <c r="N23" i="2" s="1"/>
  <c r="V22" i="2"/>
  <c r="N22" i="2"/>
  <c r="J22" i="2"/>
  <c r="G22" i="2"/>
  <c r="AD22" i="2" s="1"/>
  <c r="AK22" i="2" s="1"/>
  <c r="F22" i="2"/>
  <c r="C22" i="2"/>
  <c r="B22" i="2"/>
  <c r="AG21" i="2"/>
  <c r="AE21" i="2"/>
  <c r="V21" i="2"/>
  <c r="I21" i="2"/>
  <c r="H21" i="2"/>
  <c r="G21" i="2"/>
  <c r="T21" i="2" s="1"/>
  <c r="C21" i="2"/>
  <c r="B21" i="2"/>
  <c r="N21" i="2" s="1"/>
  <c r="V20" i="2"/>
  <c r="O20" i="2"/>
  <c r="P20" i="2" s="1"/>
  <c r="N20" i="2"/>
  <c r="J20" i="2"/>
  <c r="G20" i="2"/>
  <c r="AD20" i="2" s="1"/>
  <c r="AK20" i="2" s="1"/>
  <c r="F20" i="2"/>
  <c r="C20" i="2"/>
  <c r="B20" i="2"/>
  <c r="AD19" i="2"/>
  <c r="AK19" i="2" s="1"/>
  <c r="V19" i="2"/>
  <c r="P19" i="2"/>
  <c r="O19" i="2"/>
  <c r="N19" i="2"/>
  <c r="I19" i="2"/>
  <c r="H19" i="2"/>
  <c r="J19" i="2" s="1"/>
  <c r="G19" i="2"/>
  <c r="T19" i="2" s="1"/>
  <c r="C19" i="2"/>
  <c r="B19" i="2"/>
  <c r="V18" i="2"/>
  <c r="P18" i="2"/>
  <c r="O18" i="2"/>
  <c r="N18" i="2"/>
  <c r="J18" i="2"/>
  <c r="I18" i="2"/>
  <c r="H18" i="2"/>
  <c r="B18" i="2"/>
  <c r="C18" i="2" s="1"/>
  <c r="G18" i="2" s="1"/>
  <c r="AE17" i="2"/>
  <c r="V17" i="2"/>
  <c r="N17" i="2"/>
  <c r="J17" i="2"/>
  <c r="I17" i="2"/>
  <c r="H17" i="2"/>
  <c r="G17" i="2"/>
  <c r="T17" i="2" s="1"/>
  <c r="F17" i="2"/>
  <c r="C17" i="2"/>
  <c r="B17" i="2"/>
  <c r="Y16" i="2"/>
  <c r="V16" i="2"/>
  <c r="J16" i="2"/>
  <c r="G16" i="2"/>
  <c r="AD16" i="2" s="1"/>
  <c r="AK16" i="2" s="1"/>
  <c r="F16" i="2"/>
  <c r="D16" i="2"/>
  <c r="C16" i="2"/>
  <c r="B16" i="2"/>
  <c r="N16" i="2" s="1"/>
  <c r="Y15" i="2"/>
  <c r="V15" i="2"/>
  <c r="M15" i="2"/>
  <c r="J15" i="2"/>
  <c r="I15" i="2"/>
  <c r="C15" i="2"/>
  <c r="G15" i="2" s="1"/>
  <c r="AD15" i="2" s="1"/>
  <c r="AK15" i="2" s="1"/>
  <c r="B15" i="2"/>
  <c r="N15" i="2" s="1"/>
  <c r="V14" i="2"/>
  <c r="N14" i="2"/>
  <c r="J14" i="2"/>
  <c r="G14" i="2"/>
  <c r="AD14" i="2" s="1"/>
  <c r="AK14" i="2" s="1"/>
  <c r="F14" i="2"/>
  <c r="C14" i="2"/>
  <c r="B14" i="2"/>
  <c r="AG13" i="2"/>
  <c r="Z13" i="2"/>
  <c r="V13" i="2"/>
  <c r="J13" i="2"/>
  <c r="G13" i="2"/>
  <c r="T13" i="2" s="1"/>
  <c r="C13" i="2"/>
  <c r="B13" i="2"/>
  <c r="N13" i="2" s="1"/>
  <c r="AE12" i="2"/>
  <c r="W12" i="2"/>
  <c r="V12" i="2"/>
  <c r="S12" i="2"/>
  <c r="P12" i="2"/>
  <c r="J12" i="2"/>
  <c r="G12" i="2"/>
  <c r="F12" i="2"/>
  <c r="C12" i="2"/>
  <c r="B12" i="2"/>
  <c r="N12" i="2" s="1"/>
  <c r="O12" i="2" s="1"/>
  <c r="V11" i="2"/>
  <c r="I11" i="2"/>
  <c r="J11" i="2" s="1"/>
  <c r="G11" i="2"/>
  <c r="D11" i="2"/>
  <c r="C11" i="2"/>
  <c r="B11" i="2"/>
  <c r="N11" i="2" s="1"/>
  <c r="Y10" i="2"/>
  <c r="V10" i="2"/>
  <c r="J10" i="2"/>
  <c r="G10" i="2"/>
  <c r="AD10" i="2" s="1"/>
  <c r="AK10" i="2" s="1"/>
  <c r="C10" i="2"/>
  <c r="B10" i="2"/>
  <c r="N10" i="2" s="1"/>
  <c r="AE9" i="2"/>
  <c r="V9" i="2"/>
  <c r="J9" i="2"/>
  <c r="G9" i="2"/>
  <c r="AD9" i="2" s="1"/>
  <c r="AK9" i="2" s="1"/>
  <c r="C9" i="2"/>
  <c r="B9" i="2"/>
  <c r="N9" i="2" s="1"/>
  <c r="AE8" i="2"/>
  <c r="Y8" i="2"/>
  <c r="V8" i="2"/>
  <c r="J8" i="2"/>
  <c r="I8" i="2"/>
  <c r="F8" i="2"/>
  <c r="C8" i="2"/>
  <c r="B8" i="2"/>
  <c r="N8" i="2" s="1"/>
  <c r="V7" i="2"/>
  <c r="S7" i="2"/>
  <c r="O7" i="2"/>
  <c r="P7" i="2" s="1"/>
  <c r="J7" i="2"/>
  <c r="I7" i="2"/>
  <c r="H7" i="2"/>
  <c r="B7" i="2"/>
  <c r="C7" i="2" s="1"/>
  <c r="G7" i="2" s="1"/>
  <c r="V6" i="2"/>
  <c r="J6" i="2"/>
  <c r="C6" i="2"/>
  <c r="G6" i="2" s="1"/>
  <c r="AD6" i="2" s="1"/>
  <c r="AK6" i="2" s="1"/>
  <c r="B6" i="2"/>
  <c r="N6" i="2" s="1"/>
  <c r="V5" i="2"/>
  <c r="I5" i="2"/>
  <c r="H5" i="2"/>
  <c r="J5" i="2" s="1"/>
  <c r="G5" i="2"/>
  <c r="C5" i="2"/>
  <c r="B5" i="2"/>
  <c r="N5" i="2" s="1"/>
  <c r="V4" i="2"/>
  <c r="O4" i="2"/>
  <c r="P4" i="2" s="1"/>
  <c r="N4" i="2"/>
  <c r="J4" i="2"/>
  <c r="G4" i="2"/>
  <c r="AD4" i="2" s="1"/>
  <c r="AK4" i="2" s="1"/>
  <c r="C4" i="2"/>
  <c r="B4" i="2"/>
  <c r="Y3" i="2"/>
  <c r="V3" i="2"/>
  <c r="J3" i="2"/>
  <c r="D3" i="2"/>
  <c r="C3" i="2"/>
  <c r="G3" i="2" s="1"/>
  <c r="AD3" i="2" s="1"/>
  <c r="AK3" i="2" s="1"/>
  <c r="B3" i="2"/>
  <c r="N3" i="2" s="1"/>
  <c r="AG2" i="2"/>
  <c r="AF2" i="2"/>
  <c r="AE2" i="2"/>
  <c r="V2" i="2"/>
  <c r="L2" i="2"/>
  <c r="I2" i="2"/>
  <c r="J2" i="2" s="1"/>
  <c r="D2" i="2"/>
  <c r="G2" i="2" s="1"/>
  <c r="C2" i="2"/>
  <c r="B2" i="2"/>
  <c r="N2" i="2" s="1"/>
  <c r="AM115" i="1"/>
  <c r="AM114" i="1"/>
  <c r="AM116" i="1" s="1"/>
  <c r="AM113" i="1"/>
  <c r="Q113" i="1"/>
  <c r="P113" i="1"/>
  <c r="M113" i="1"/>
  <c r="Q112" i="1"/>
  <c r="P112" i="1"/>
  <c r="M112" i="1"/>
  <c r="AM111" i="1"/>
  <c r="Q111" i="1"/>
  <c r="P111" i="1"/>
  <c r="M111" i="1"/>
  <c r="AM110" i="1"/>
  <c r="Q110" i="1"/>
  <c r="P110" i="1"/>
  <c r="M110" i="1"/>
  <c r="AD109" i="1"/>
  <c r="AM108" i="1"/>
  <c r="AK108" i="1"/>
  <c r="AD108" i="1"/>
  <c r="G108" i="1"/>
  <c r="R106" i="1"/>
  <c r="Q106" i="1"/>
  <c r="AM104" i="1"/>
  <c r="AJ104" i="1"/>
  <c r="AI104" i="1"/>
  <c r="AH104" i="1"/>
  <c r="AG104" i="1"/>
  <c r="AF104" i="1"/>
  <c r="AE104" i="1"/>
  <c r="AC104" i="1"/>
  <c r="AC106" i="1" s="1"/>
  <c r="AB104" i="1"/>
  <c r="AA104" i="1"/>
  <c r="Z104" i="1"/>
  <c r="Y104" i="1"/>
  <c r="X104" i="1"/>
  <c r="X106" i="1" s="1"/>
  <c r="W104" i="1"/>
  <c r="U104" i="1"/>
  <c r="U106" i="1" s="1"/>
  <c r="R104" i="1"/>
  <c r="Q104" i="1"/>
  <c r="M104" i="1"/>
  <c r="L104" i="1"/>
  <c r="K104" i="1"/>
  <c r="I104" i="1"/>
  <c r="H104" i="1"/>
  <c r="E104" i="1"/>
  <c r="V103" i="1"/>
  <c r="S103" i="1"/>
  <c r="J103" i="1"/>
  <c r="F103" i="1"/>
  <c r="D103" i="1"/>
  <c r="C103" i="1"/>
  <c r="G103" i="1" s="1"/>
  <c r="B103" i="1"/>
  <c r="N103" i="1" s="1"/>
  <c r="AM102" i="1"/>
  <c r="Y102" i="1"/>
  <c r="V102" i="1"/>
  <c r="S102" i="1"/>
  <c r="J102" i="1"/>
  <c r="D102" i="1"/>
  <c r="C102" i="1"/>
  <c r="G102" i="1" s="1"/>
  <c r="B102" i="1"/>
  <c r="N102" i="1" s="1"/>
  <c r="Y101" i="1"/>
  <c r="X101" i="1"/>
  <c r="V101" i="1"/>
  <c r="S101" i="1"/>
  <c r="P101" i="1"/>
  <c r="J101" i="1"/>
  <c r="D101" i="1"/>
  <c r="C101" i="1"/>
  <c r="B101" i="1"/>
  <c r="N101" i="1" s="1"/>
  <c r="O101" i="1" s="1"/>
  <c r="AF100" i="1"/>
  <c r="AE100" i="1"/>
  <c r="V100" i="1"/>
  <c r="S100" i="1"/>
  <c r="I100" i="1"/>
  <c r="J100" i="1" s="1"/>
  <c r="J104" i="1" s="1"/>
  <c r="D100" i="1"/>
  <c r="C100" i="1"/>
  <c r="G100" i="1" s="1"/>
  <c r="B100" i="1"/>
  <c r="N100" i="1" s="1"/>
  <c r="O100" i="1" s="1"/>
  <c r="Y99" i="1"/>
  <c r="V99" i="1"/>
  <c r="V104" i="1" s="1"/>
  <c r="S99" i="1"/>
  <c r="J99" i="1"/>
  <c r="F99" i="1"/>
  <c r="F104" i="1" s="1"/>
  <c r="D99" i="1"/>
  <c r="C99" i="1"/>
  <c r="B99" i="1"/>
  <c r="N99" i="1" s="1"/>
  <c r="O99" i="1" s="1"/>
  <c r="AM98" i="1"/>
  <c r="AK90" i="1"/>
  <c r="AD90" i="1"/>
  <c r="G90" i="1"/>
  <c r="AJ89" i="1"/>
  <c r="AJ106" i="1" s="1"/>
  <c r="AH89" i="1"/>
  <c r="AG89" i="1"/>
  <c r="AF89" i="1"/>
  <c r="AE89" i="1"/>
  <c r="AC89" i="1"/>
  <c r="AB89" i="1"/>
  <c r="AB106" i="1" s="1"/>
  <c r="AA89" i="1"/>
  <c r="Z89" i="1"/>
  <c r="Y89" i="1"/>
  <c r="X89" i="1"/>
  <c r="W89" i="1"/>
  <c r="U89" i="1"/>
  <c r="T89" i="1"/>
  <c r="R89" i="1"/>
  <c r="Q89" i="1"/>
  <c r="M89" i="1"/>
  <c r="L89" i="1"/>
  <c r="K89" i="1"/>
  <c r="I89" i="1"/>
  <c r="H89" i="1"/>
  <c r="F89" i="1"/>
  <c r="E89" i="1"/>
  <c r="AJ88" i="1"/>
  <c r="AI88" i="1"/>
  <c r="V88" i="1"/>
  <c r="V89" i="1" s="1"/>
  <c r="S88" i="1"/>
  <c r="J88" i="1"/>
  <c r="D88" i="1"/>
  <c r="D89" i="1" s="1"/>
  <c r="C88" i="1"/>
  <c r="G88" i="1" s="1"/>
  <c r="B88" i="1"/>
  <c r="N88" i="1" s="1"/>
  <c r="AM87" i="1"/>
  <c r="AM90" i="1" s="1"/>
  <c r="AJ87" i="1"/>
  <c r="AI87" i="1"/>
  <c r="AI89" i="1" s="1"/>
  <c r="AI106" i="1" s="1"/>
  <c r="V87" i="1"/>
  <c r="S87" i="1"/>
  <c r="J87" i="1"/>
  <c r="J89" i="1" s="1"/>
  <c r="C87" i="1"/>
  <c r="C89" i="1" s="1"/>
  <c r="B87" i="1"/>
  <c r="N87" i="1" s="1"/>
  <c r="AM80" i="1"/>
  <c r="AK80" i="1"/>
  <c r="AD80" i="1"/>
  <c r="G80" i="1"/>
  <c r="AM79" i="1"/>
  <c r="AJ79" i="1"/>
  <c r="AI79" i="1"/>
  <c r="AH79" i="1"/>
  <c r="AG79" i="1"/>
  <c r="AF79" i="1"/>
  <c r="AE79" i="1"/>
  <c r="AC79" i="1"/>
  <c r="AB79" i="1"/>
  <c r="AA79" i="1"/>
  <c r="AA106" i="1" s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K106" i="1" s="1"/>
  <c r="J79" i="1"/>
  <c r="I79" i="1"/>
  <c r="H79" i="1"/>
  <c r="F79" i="1"/>
  <c r="E79" i="1"/>
  <c r="D79" i="1"/>
  <c r="S78" i="1"/>
  <c r="G78" i="1"/>
  <c r="C78" i="1"/>
  <c r="B78" i="1"/>
  <c r="V77" i="1"/>
  <c r="S77" i="1"/>
  <c r="C77" i="1"/>
  <c r="C79" i="1" s="1"/>
  <c r="B77" i="1"/>
  <c r="AM76" i="1"/>
  <c r="AM69" i="1"/>
  <c r="AD69" i="1"/>
  <c r="AJ68" i="1"/>
  <c r="AI68" i="1"/>
  <c r="AH68" i="1"/>
  <c r="AG68" i="1"/>
  <c r="AF68" i="1"/>
  <c r="AE68" i="1"/>
  <c r="AC68" i="1"/>
  <c r="AB68" i="1"/>
  <c r="AA68" i="1"/>
  <c r="Z68" i="1"/>
  <c r="Y68" i="1"/>
  <c r="X68" i="1"/>
  <c r="W68" i="1"/>
  <c r="U68" i="1"/>
  <c r="T68" i="1"/>
  <c r="S68" i="1"/>
  <c r="R68" i="1"/>
  <c r="Q68" i="1"/>
  <c r="M68" i="1"/>
  <c r="L68" i="1"/>
  <c r="K68" i="1"/>
  <c r="I68" i="1"/>
  <c r="H68" i="1"/>
  <c r="F68" i="1"/>
  <c r="E68" i="1"/>
  <c r="D68" i="1"/>
  <c r="C68" i="1"/>
  <c r="V67" i="1"/>
  <c r="V68" i="1" s="1"/>
  <c r="S67" i="1"/>
  <c r="J67" i="1"/>
  <c r="J68" i="1" s="1"/>
  <c r="C67" i="1"/>
  <c r="G67" i="1" s="1"/>
  <c r="B67" i="1"/>
  <c r="N67" i="1" s="1"/>
  <c r="AK62" i="1"/>
  <c r="AD62" i="1"/>
  <c r="G62" i="1"/>
  <c r="AJ61" i="1"/>
  <c r="AI61" i="1"/>
  <c r="AH61" i="1"/>
  <c r="AG61" i="1"/>
  <c r="AF61" i="1"/>
  <c r="AE61" i="1"/>
  <c r="AC61" i="1"/>
  <c r="AB61" i="1"/>
  <c r="AA61" i="1"/>
  <c r="Y61" i="1"/>
  <c r="X61" i="1"/>
  <c r="W61" i="1"/>
  <c r="U61" i="1"/>
  <c r="S61" i="1"/>
  <c r="R61" i="1"/>
  <c r="Q61" i="1"/>
  <c r="M61" i="1"/>
  <c r="L61" i="1"/>
  <c r="K61" i="1"/>
  <c r="F61" i="1"/>
  <c r="E61" i="1"/>
  <c r="AM60" i="1"/>
  <c r="AD60" i="1"/>
  <c r="AK60" i="1" s="1"/>
  <c r="V60" i="1"/>
  <c r="O60" i="1"/>
  <c r="P60" i="1" s="1"/>
  <c r="J60" i="1"/>
  <c r="D60" i="1"/>
  <c r="C60" i="1"/>
  <c r="G60" i="1" s="1"/>
  <c r="B60" i="1"/>
  <c r="N60" i="1" s="1"/>
  <c r="AF59" i="1"/>
  <c r="AE59" i="1"/>
  <c r="J59" i="1"/>
  <c r="I59" i="1"/>
  <c r="D59" i="1"/>
  <c r="C59" i="1"/>
  <c r="G59" i="1" s="1"/>
  <c r="B59" i="1"/>
  <c r="N59" i="1" s="1"/>
  <c r="V58" i="1"/>
  <c r="N58" i="1"/>
  <c r="J58" i="1"/>
  <c r="D58" i="1"/>
  <c r="C58" i="1"/>
  <c r="G58" i="1" s="1"/>
  <c r="B58" i="1"/>
  <c r="Z57" i="1"/>
  <c r="C57" i="1"/>
  <c r="G57" i="1" s="1"/>
  <c r="B57" i="1"/>
  <c r="V56" i="1"/>
  <c r="O56" i="1"/>
  <c r="P56" i="1" s="1"/>
  <c r="N56" i="1"/>
  <c r="J56" i="1"/>
  <c r="C56" i="1"/>
  <c r="G56" i="1" s="1"/>
  <c r="AM55" i="1"/>
  <c r="AM61" i="1" s="1"/>
  <c r="V55" i="1"/>
  <c r="J55" i="1"/>
  <c r="D55" i="1"/>
  <c r="D61" i="1" s="1"/>
  <c r="C55" i="1"/>
  <c r="G55" i="1" s="1"/>
  <c r="B55" i="1"/>
  <c r="N55" i="1" s="1"/>
  <c r="Z54" i="1"/>
  <c r="Z61" i="1" s="1"/>
  <c r="Z106" i="1" s="1"/>
  <c r="V54" i="1"/>
  <c r="T54" i="1"/>
  <c r="I54" i="1"/>
  <c r="H54" i="1"/>
  <c r="J54" i="1" s="1"/>
  <c r="G54" i="1"/>
  <c r="C54" i="1"/>
  <c r="B54" i="1"/>
  <c r="N54" i="1" s="1"/>
  <c r="O54" i="1" s="1"/>
  <c r="P54" i="1" s="1"/>
  <c r="V53" i="1"/>
  <c r="J53" i="1"/>
  <c r="I53" i="1"/>
  <c r="D53" i="1"/>
  <c r="C53" i="1"/>
  <c r="G53" i="1" s="1"/>
  <c r="B53" i="1"/>
  <c r="N53" i="1" s="1"/>
  <c r="V52" i="1"/>
  <c r="N52" i="1"/>
  <c r="I52" i="1"/>
  <c r="I61" i="1" s="1"/>
  <c r="I106" i="1" s="1"/>
  <c r="G52" i="1"/>
  <c r="AO52" i="1" s="1"/>
  <c r="D52" i="1"/>
  <c r="C52" i="1"/>
  <c r="B52" i="1"/>
  <c r="V51" i="1"/>
  <c r="V61" i="1" s="1"/>
  <c r="O51" i="1"/>
  <c r="P51" i="1" s="1"/>
  <c r="L51" i="1"/>
  <c r="J51" i="1"/>
  <c r="C51" i="1"/>
  <c r="G51" i="1" s="1"/>
  <c r="B51" i="1"/>
  <c r="N51" i="1" s="1"/>
  <c r="AK50" i="1"/>
  <c r="AE50" i="1"/>
  <c r="V50" i="1"/>
  <c r="N50" i="1"/>
  <c r="J50" i="1"/>
  <c r="G50" i="1"/>
  <c r="AD50" i="1" s="1"/>
  <c r="C50" i="1"/>
  <c r="B50" i="1"/>
  <c r="AK42" i="1"/>
  <c r="AD42" i="1"/>
  <c r="T42" i="1"/>
  <c r="G42" i="1"/>
  <c r="AJ41" i="1"/>
  <c r="AI41" i="1"/>
  <c r="AC41" i="1"/>
  <c r="AB41" i="1"/>
  <c r="AA41" i="1"/>
  <c r="X41" i="1"/>
  <c r="U41" i="1"/>
  <c r="U42" i="1" s="1"/>
  <c r="R41" i="1"/>
  <c r="Q41" i="1"/>
  <c r="K41" i="1"/>
  <c r="E41" i="1"/>
  <c r="V40" i="1"/>
  <c r="I40" i="1"/>
  <c r="J40" i="1" s="1"/>
  <c r="C40" i="1"/>
  <c r="G40" i="1" s="1"/>
  <c r="B40" i="1"/>
  <c r="N40" i="1" s="1"/>
  <c r="AM39" i="1"/>
  <c r="Y39" i="1"/>
  <c r="V39" i="1"/>
  <c r="N39" i="1"/>
  <c r="T39" i="1" s="1"/>
  <c r="J39" i="1"/>
  <c r="I39" i="1"/>
  <c r="G39" i="1"/>
  <c r="C39" i="1"/>
  <c r="B39" i="1"/>
  <c r="V38" i="1"/>
  <c r="J38" i="1"/>
  <c r="D38" i="1"/>
  <c r="C38" i="1"/>
  <c r="G38" i="1" s="1"/>
  <c r="B38" i="1"/>
  <c r="N38" i="1" s="1"/>
  <c r="AH37" i="1"/>
  <c r="AE37" i="1"/>
  <c r="Z37" i="1"/>
  <c r="V37" i="1"/>
  <c r="I37" i="1"/>
  <c r="H37" i="1"/>
  <c r="J37" i="1" s="1"/>
  <c r="D37" i="1"/>
  <c r="C37" i="1"/>
  <c r="G37" i="1" s="1"/>
  <c r="B37" i="1"/>
  <c r="N37" i="1" s="1"/>
  <c r="O37" i="1" s="1"/>
  <c r="V36" i="1"/>
  <c r="N36" i="1"/>
  <c r="J36" i="1"/>
  <c r="C36" i="1"/>
  <c r="G36" i="1" s="1"/>
  <c r="AO36" i="1" s="1"/>
  <c r="B36" i="1"/>
  <c r="Y35" i="1"/>
  <c r="V35" i="1"/>
  <c r="J35" i="1"/>
  <c r="C35" i="1"/>
  <c r="G35" i="1" s="1"/>
  <c r="B35" i="1"/>
  <c r="N35" i="1" s="1"/>
  <c r="AM34" i="1"/>
  <c r="V34" i="1"/>
  <c r="O34" i="1"/>
  <c r="N34" i="1"/>
  <c r="P34" i="1" s="1"/>
  <c r="J34" i="1"/>
  <c r="C34" i="1"/>
  <c r="G34" i="1" s="1"/>
  <c r="B34" i="1"/>
  <c r="V33" i="1"/>
  <c r="N33" i="1"/>
  <c r="J33" i="1"/>
  <c r="D33" i="1"/>
  <c r="C33" i="1"/>
  <c r="G33" i="1" s="1"/>
  <c r="B33" i="1"/>
  <c r="AH32" i="1"/>
  <c r="AH41" i="1" s="1"/>
  <c r="AH106" i="1" s="1"/>
  <c r="V32" i="1"/>
  <c r="I32" i="1"/>
  <c r="J32" i="1" s="1"/>
  <c r="G32" i="1"/>
  <c r="F32" i="1"/>
  <c r="D32" i="1"/>
  <c r="C32" i="1"/>
  <c r="B32" i="1"/>
  <c r="N32" i="1" s="1"/>
  <c r="AE31" i="1"/>
  <c r="Y31" i="1"/>
  <c r="V31" i="1"/>
  <c r="N31" i="1"/>
  <c r="I31" i="1"/>
  <c r="J31" i="1" s="1"/>
  <c r="H31" i="1"/>
  <c r="C31" i="1"/>
  <c r="G31" i="1" s="1"/>
  <c r="B31" i="1"/>
  <c r="AF30" i="1"/>
  <c r="AE30" i="1"/>
  <c r="V30" i="1"/>
  <c r="N30" i="1"/>
  <c r="J30" i="1"/>
  <c r="I30" i="1"/>
  <c r="C30" i="1"/>
  <c r="G30" i="1" s="1"/>
  <c r="B30" i="1"/>
  <c r="V29" i="1"/>
  <c r="J29" i="1"/>
  <c r="D29" i="1"/>
  <c r="C29" i="1"/>
  <c r="G29" i="1" s="1"/>
  <c r="B29" i="1"/>
  <c r="N29" i="1" s="1"/>
  <c r="V28" i="1"/>
  <c r="N28" i="1"/>
  <c r="J28" i="1"/>
  <c r="F28" i="1"/>
  <c r="C28" i="1"/>
  <c r="G28" i="1" s="1"/>
  <c r="B28" i="1"/>
  <c r="V27" i="1"/>
  <c r="J27" i="1"/>
  <c r="F27" i="1"/>
  <c r="C27" i="1"/>
  <c r="G27" i="1" s="1"/>
  <c r="B27" i="1"/>
  <c r="N27" i="1" s="1"/>
  <c r="AG26" i="1"/>
  <c r="AE26" i="1"/>
  <c r="V26" i="1"/>
  <c r="I26" i="1"/>
  <c r="H26" i="1"/>
  <c r="J26" i="1" s="1"/>
  <c r="C26" i="1"/>
  <c r="G26" i="1" s="1"/>
  <c r="B26" i="1"/>
  <c r="N26" i="1" s="1"/>
  <c r="V25" i="1"/>
  <c r="N25" i="1"/>
  <c r="J25" i="1"/>
  <c r="F25" i="1"/>
  <c r="C25" i="1"/>
  <c r="G25" i="1" s="1"/>
  <c r="B25" i="1"/>
  <c r="AL24" i="1"/>
  <c r="V24" i="1"/>
  <c r="N24" i="1"/>
  <c r="J24" i="1"/>
  <c r="I24" i="1"/>
  <c r="H24" i="1"/>
  <c r="C24" i="1"/>
  <c r="G24" i="1" s="1"/>
  <c r="B24" i="1"/>
  <c r="V23" i="1"/>
  <c r="N23" i="1"/>
  <c r="J23" i="1"/>
  <c r="I23" i="1"/>
  <c r="H23" i="1"/>
  <c r="C23" i="1"/>
  <c r="G23" i="1" s="1"/>
  <c r="B23" i="1"/>
  <c r="AE22" i="1"/>
  <c r="V22" i="1"/>
  <c r="N22" i="1"/>
  <c r="I22" i="1"/>
  <c r="J22" i="1" s="1"/>
  <c r="H22" i="1"/>
  <c r="F22" i="1"/>
  <c r="C22" i="1"/>
  <c r="G22" i="1" s="1"/>
  <c r="B22" i="1"/>
  <c r="Y21" i="1"/>
  <c r="V21" i="1"/>
  <c r="O21" i="1"/>
  <c r="N21" i="1"/>
  <c r="P21" i="1" s="1"/>
  <c r="J21" i="1"/>
  <c r="F21" i="1"/>
  <c r="G21" i="1" s="1"/>
  <c r="D21" i="1"/>
  <c r="C21" i="1"/>
  <c r="B21" i="1"/>
  <c r="Y20" i="1"/>
  <c r="V20" i="1"/>
  <c r="N20" i="1"/>
  <c r="M20" i="1"/>
  <c r="M41" i="1" s="1"/>
  <c r="I20" i="1"/>
  <c r="J20" i="1" s="1"/>
  <c r="C20" i="1"/>
  <c r="G20" i="1" s="1"/>
  <c r="B20" i="1"/>
  <c r="V19" i="1"/>
  <c r="N19" i="1"/>
  <c r="O19" i="1" s="1"/>
  <c r="J19" i="1"/>
  <c r="F19" i="1"/>
  <c r="C19" i="1"/>
  <c r="G19" i="1" s="1"/>
  <c r="B19" i="1"/>
  <c r="AG18" i="1"/>
  <c r="Z18" i="1"/>
  <c r="Z41" i="1" s="1"/>
  <c r="V18" i="1"/>
  <c r="N18" i="1"/>
  <c r="J18" i="1"/>
  <c r="C18" i="1"/>
  <c r="G18" i="1" s="1"/>
  <c r="B18" i="1"/>
  <c r="AE17" i="1"/>
  <c r="W17" i="1"/>
  <c r="W41" i="1" s="1"/>
  <c r="W42" i="1" s="1"/>
  <c r="V17" i="1"/>
  <c r="S17" i="1"/>
  <c r="O17" i="1"/>
  <c r="N17" i="1"/>
  <c r="P17" i="1" s="1"/>
  <c r="J17" i="1"/>
  <c r="F17" i="1"/>
  <c r="G17" i="1" s="1"/>
  <c r="C17" i="1"/>
  <c r="B17" i="1"/>
  <c r="V16" i="1"/>
  <c r="I16" i="1"/>
  <c r="J16" i="1" s="1"/>
  <c r="D16" i="1"/>
  <c r="C16" i="1"/>
  <c r="G16" i="1" s="1"/>
  <c r="B16" i="1"/>
  <c r="N16" i="1" s="1"/>
  <c r="Y15" i="1"/>
  <c r="V15" i="1"/>
  <c r="N15" i="1"/>
  <c r="O15" i="1" s="1"/>
  <c r="J15" i="1"/>
  <c r="C15" i="1"/>
  <c r="G15" i="1" s="1"/>
  <c r="B15" i="1"/>
  <c r="AE14" i="1"/>
  <c r="V14" i="1"/>
  <c r="J14" i="1"/>
  <c r="C14" i="1"/>
  <c r="G14" i="1" s="1"/>
  <c r="B14" i="1"/>
  <c r="N14" i="1" s="1"/>
  <c r="AE13" i="1"/>
  <c r="Y13" i="1"/>
  <c r="V13" i="1"/>
  <c r="I13" i="1"/>
  <c r="J13" i="1" s="1"/>
  <c r="F13" i="1"/>
  <c r="F41" i="1" s="1"/>
  <c r="C13" i="1"/>
  <c r="G13" i="1" s="1"/>
  <c r="B13" i="1"/>
  <c r="N13" i="1" s="1"/>
  <c r="AL12" i="1"/>
  <c r="V12" i="1"/>
  <c r="S12" i="1"/>
  <c r="S41" i="1" s="1"/>
  <c r="O12" i="1"/>
  <c r="P12" i="1" s="1"/>
  <c r="I12" i="1"/>
  <c r="H12" i="1"/>
  <c r="C12" i="1"/>
  <c r="G12" i="1" s="1"/>
  <c r="B12" i="1"/>
  <c r="V11" i="1"/>
  <c r="N11" i="1"/>
  <c r="O11" i="1" s="1"/>
  <c r="J11" i="1"/>
  <c r="C11" i="1"/>
  <c r="G11" i="1" s="1"/>
  <c r="B11" i="1"/>
  <c r="V10" i="1"/>
  <c r="N10" i="1"/>
  <c r="I10" i="1"/>
  <c r="H10" i="1"/>
  <c r="H41" i="1" s="1"/>
  <c r="H42" i="1" s="1"/>
  <c r="C10" i="1"/>
  <c r="G10" i="1" s="1"/>
  <c r="B10" i="1"/>
  <c r="V9" i="1"/>
  <c r="N9" i="1"/>
  <c r="J9" i="1"/>
  <c r="C9" i="1"/>
  <c r="G9" i="1" s="1"/>
  <c r="B9" i="1"/>
  <c r="Y8" i="1"/>
  <c r="V8" i="1"/>
  <c r="O8" i="1"/>
  <c r="N8" i="1"/>
  <c r="P8" i="1" s="1"/>
  <c r="J8" i="1"/>
  <c r="D8" i="1"/>
  <c r="G8" i="1" s="1"/>
  <c r="C8" i="1"/>
  <c r="B8" i="1"/>
  <c r="AG7" i="1"/>
  <c r="AF7" i="1"/>
  <c r="AE7" i="1"/>
  <c r="AE41" i="1" s="1"/>
  <c r="V7" i="1"/>
  <c r="V41" i="1" s="1"/>
  <c r="N7" i="1"/>
  <c r="L7" i="1"/>
  <c r="L41" i="1" s="1"/>
  <c r="L42" i="1" s="1"/>
  <c r="I7" i="1"/>
  <c r="I41" i="1" s="1"/>
  <c r="D7" i="1"/>
  <c r="D41" i="1" s="1"/>
  <c r="C7" i="1"/>
  <c r="G7" i="1" s="1"/>
  <c r="B7" i="1"/>
  <c r="O16" i="1" l="1"/>
  <c r="P16" i="1"/>
  <c r="AO57" i="1"/>
  <c r="AD57" i="1"/>
  <c r="AK57" i="1" s="1"/>
  <c r="O26" i="1"/>
  <c r="P26" i="1"/>
  <c r="AO27" i="1"/>
  <c r="AD27" i="1"/>
  <c r="AK27" i="1" s="1"/>
  <c r="T30" i="1"/>
  <c r="AD30" i="1" s="1"/>
  <c r="AK30" i="1" s="1"/>
  <c r="AO30" i="1"/>
  <c r="T31" i="1"/>
  <c r="AO31" i="1" s="1"/>
  <c r="AD31" i="1"/>
  <c r="AK31" i="1" s="1"/>
  <c r="AO33" i="1"/>
  <c r="AD33" i="1"/>
  <c r="AK33" i="1" s="1"/>
  <c r="AO38" i="1"/>
  <c r="AD38" i="1"/>
  <c r="AK38" i="1" s="1"/>
  <c r="G68" i="1"/>
  <c r="AD67" i="1"/>
  <c r="AO16" i="1"/>
  <c r="T16" i="1"/>
  <c r="AD16" i="1"/>
  <c r="AK16" i="1" s="1"/>
  <c r="AO11" i="1"/>
  <c r="AD11" i="1"/>
  <c r="AK11" i="1" s="1"/>
  <c r="AO26" i="1"/>
  <c r="T26" i="1"/>
  <c r="AD26" i="1"/>
  <c r="AK26" i="1" s="1"/>
  <c r="AO51" i="1"/>
  <c r="AD51" i="1"/>
  <c r="AK51" i="1" s="1"/>
  <c r="G61" i="1"/>
  <c r="T100" i="1"/>
  <c r="AD100" i="1" s="1"/>
  <c r="AK100" i="1" s="1"/>
  <c r="T2" i="2"/>
  <c r="AD2" i="2" s="1"/>
  <c r="AK2" i="2" s="1"/>
  <c r="T18" i="2"/>
  <c r="AD18" i="2" s="1"/>
  <c r="AK18" i="2" s="1"/>
  <c r="AD18" i="1"/>
  <c r="AK18" i="1" s="1"/>
  <c r="T18" i="1"/>
  <c r="AO18" i="1"/>
  <c r="P32" i="1"/>
  <c r="O32" i="1"/>
  <c r="AO15" i="1"/>
  <c r="AD15" i="1"/>
  <c r="AK15" i="1" s="1"/>
  <c r="O29" i="1"/>
  <c r="P29" i="1" s="1"/>
  <c r="AD58" i="1"/>
  <c r="AK58" i="1" s="1"/>
  <c r="AO58" i="1"/>
  <c r="L106" i="1"/>
  <c r="AO102" i="1"/>
  <c r="AD102" i="1"/>
  <c r="AK102" i="1" s="1"/>
  <c r="AO103" i="1"/>
  <c r="AD103" i="1"/>
  <c r="AK103" i="1" s="1"/>
  <c r="O27" i="1"/>
  <c r="P27" i="1" s="1"/>
  <c r="O59" i="1"/>
  <c r="P59" i="1"/>
  <c r="AO25" i="1"/>
  <c r="AD25" i="1"/>
  <c r="AK25" i="1" s="1"/>
  <c r="F106" i="1"/>
  <c r="AO29" i="1"/>
  <c r="AD29" i="1"/>
  <c r="AK29" i="1" s="1"/>
  <c r="T7" i="1"/>
  <c r="AD7" i="1"/>
  <c r="AO7" i="1"/>
  <c r="G41" i="1"/>
  <c r="AO20" i="1"/>
  <c r="AD20" i="1"/>
  <c r="AK20" i="1" s="1"/>
  <c r="AD22" i="1"/>
  <c r="AK22" i="1" s="1"/>
  <c r="T22" i="1"/>
  <c r="AO22" i="1" s="1"/>
  <c r="T23" i="1"/>
  <c r="AM23" i="1" s="1"/>
  <c r="AN23" i="1" s="1"/>
  <c r="O35" i="1"/>
  <c r="P35" i="1"/>
  <c r="AO55" i="1"/>
  <c r="AD55" i="1"/>
  <c r="AK55" i="1" s="1"/>
  <c r="P20" i="1"/>
  <c r="T37" i="1"/>
  <c r="AO37" i="1" s="1"/>
  <c r="AD24" i="1"/>
  <c r="AK24" i="1" s="1"/>
  <c r="T24" i="1"/>
  <c r="AM24" i="1" s="1"/>
  <c r="AN24" i="1" s="1"/>
  <c r="G43" i="1"/>
  <c r="G44" i="1" s="1"/>
  <c r="AO24" i="1"/>
  <c r="AD32" i="1"/>
  <c r="AK32" i="1" s="1"/>
  <c r="O14" i="1"/>
  <c r="P14" i="1" s="1"/>
  <c r="O13" i="1"/>
  <c r="P13" i="1" s="1"/>
  <c r="AD21" i="1"/>
  <c r="AK21" i="1" s="1"/>
  <c r="AO21" i="1"/>
  <c r="AO28" i="1"/>
  <c r="AD28" i="1"/>
  <c r="AK28" i="1" s="1"/>
  <c r="T35" i="1"/>
  <c r="AO35" i="1"/>
  <c r="AD35" i="1"/>
  <c r="AK35" i="1" s="1"/>
  <c r="O40" i="1"/>
  <c r="T40" i="1"/>
  <c r="P40" i="1"/>
  <c r="P53" i="1"/>
  <c r="O53" i="1"/>
  <c r="AO8" i="1"/>
  <c r="AD8" i="1"/>
  <c r="AK8" i="1" s="1"/>
  <c r="AD10" i="1"/>
  <c r="AK10" i="1" s="1"/>
  <c r="AO10" i="1"/>
  <c r="AO14" i="1"/>
  <c r="AD14" i="1"/>
  <c r="AK14" i="1" s="1"/>
  <c r="AD9" i="1"/>
  <c r="AK9" i="1" s="1"/>
  <c r="AO9" i="1"/>
  <c r="AO12" i="1"/>
  <c r="T12" i="1"/>
  <c r="AD12" i="1" s="1"/>
  <c r="AK12" i="1" s="1"/>
  <c r="T13" i="1"/>
  <c r="AO13" i="1" s="1"/>
  <c r="AO17" i="1"/>
  <c r="AD17" i="1"/>
  <c r="AK17" i="1" s="1"/>
  <c r="AO19" i="1"/>
  <c r="AD19" i="1"/>
  <c r="AK19" i="1" s="1"/>
  <c r="AD34" i="1"/>
  <c r="AK34" i="1" s="1"/>
  <c r="AO34" i="1"/>
  <c r="AD39" i="1"/>
  <c r="AK39" i="1" s="1"/>
  <c r="AO88" i="1"/>
  <c r="AD88" i="1"/>
  <c r="AK88" i="1" s="1"/>
  <c r="V106" i="1"/>
  <c r="T34" i="2"/>
  <c r="AD34" i="2"/>
  <c r="AK34" i="2" s="1"/>
  <c r="AD40" i="2"/>
  <c r="AK40" i="2" s="1"/>
  <c r="T40" i="2"/>
  <c r="N41" i="1"/>
  <c r="N42" i="1" s="1"/>
  <c r="AO78" i="1"/>
  <c r="AD78" i="1"/>
  <c r="AK78" i="1" s="1"/>
  <c r="O33" i="2"/>
  <c r="P33" i="2" s="1"/>
  <c r="J7" i="1"/>
  <c r="O33" i="1"/>
  <c r="P33" i="1" s="1"/>
  <c r="C61" i="1"/>
  <c r="T53" i="1"/>
  <c r="AO53" i="1"/>
  <c r="O87" i="1"/>
  <c r="C104" i="1"/>
  <c r="G99" i="1"/>
  <c r="O103" i="1"/>
  <c r="P103" i="1" s="1"/>
  <c r="P27" i="2"/>
  <c r="O27" i="2"/>
  <c r="O41" i="2"/>
  <c r="P41" i="2" s="1"/>
  <c r="P49" i="2"/>
  <c r="O49" i="2"/>
  <c r="O50" i="2"/>
  <c r="P50" i="2" s="1"/>
  <c r="P37" i="1"/>
  <c r="O18" i="1"/>
  <c r="P18" i="1" s="1"/>
  <c r="P19" i="1"/>
  <c r="O23" i="1"/>
  <c r="P23" i="1" s="1"/>
  <c r="O24" i="1"/>
  <c r="P24" i="1" s="1"/>
  <c r="O25" i="1"/>
  <c r="P25" i="1" s="1"/>
  <c r="O28" i="1"/>
  <c r="P28" i="1" s="1"/>
  <c r="O30" i="1"/>
  <c r="P30" i="1" s="1"/>
  <c r="AO32" i="1"/>
  <c r="O39" i="1"/>
  <c r="AO39" i="1"/>
  <c r="AO50" i="1"/>
  <c r="J52" i="1"/>
  <c r="T59" i="1"/>
  <c r="AD59" i="1" s="1"/>
  <c r="AK59" i="1" s="1"/>
  <c r="G77" i="1"/>
  <c r="D104" i="1"/>
  <c r="D106" i="1" s="1"/>
  <c r="M106" i="1"/>
  <c r="W106" i="1"/>
  <c r="AE106" i="1"/>
  <c r="AD5" i="2"/>
  <c r="AK5" i="2" s="1"/>
  <c r="AD17" i="2"/>
  <c r="AK17" i="2" s="1"/>
  <c r="J21" i="2"/>
  <c r="P31" i="2"/>
  <c r="O31" i="2"/>
  <c r="O34" i="2"/>
  <c r="P34" i="2" s="1"/>
  <c r="P45" i="2"/>
  <c r="O5" i="2"/>
  <c r="P5" i="2" s="1"/>
  <c r="O9" i="1"/>
  <c r="P9" i="1" s="1"/>
  <c r="AF41" i="1"/>
  <c r="P11" i="1"/>
  <c r="AG41" i="1"/>
  <c r="AG106" i="1" s="1"/>
  <c r="O22" i="1"/>
  <c r="P22" i="1" s="1"/>
  <c r="O31" i="1"/>
  <c r="P31" i="1" s="1"/>
  <c r="O36" i="1"/>
  <c r="P36" i="1" s="1"/>
  <c r="P39" i="1"/>
  <c r="J61" i="1"/>
  <c r="O52" i="1"/>
  <c r="P52" i="1" s="1"/>
  <c r="G87" i="1"/>
  <c r="P88" i="1"/>
  <c r="O88" i="1"/>
  <c r="E106" i="1"/>
  <c r="N104" i="1"/>
  <c r="AF106" i="1"/>
  <c r="O2" i="2"/>
  <c r="P2" i="2" s="1"/>
  <c r="O14" i="2"/>
  <c r="P14" i="2" s="1"/>
  <c r="N68" i="1"/>
  <c r="P67" i="1"/>
  <c r="P68" i="1" s="1"/>
  <c r="O67" i="1"/>
  <c r="O68" i="1" s="1"/>
  <c r="AM119" i="1"/>
  <c r="O6" i="2"/>
  <c r="P6" i="2" s="1"/>
  <c r="O36" i="2"/>
  <c r="P36" i="2" s="1"/>
  <c r="P15" i="1"/>
  <c r="J10" i="1"/>
  <c r="J12" i="1"/>
  <c r="AD40" i="1"/>
  <c r="AK40" i="1" s="1"/>
  <c r="AO54" i="1"/>
  <c r="AD54" i="1"/>
  <c r="AK54" i="1" s="1"/>
  <c r="O55" i="1"/>
  <c r="P55" i="1" s="1"/>
  <c r="AO59" i="1"/>
  <c r="O11" i="2"/>
  <c r="P11" i="2" s="1"/>
  <c r="AD13" i="2"/>
  <c r="AK13" i="2" s="1"/>
  <c r="P28" i="2"/>
  <c r="O28" i="2"/>
  <c r="O37" i="2"/>
  <c r="P37" i="2" s="1"/>
  <c r="AD41" i="2"/>
  <c r="AK41" i="2" s="1"/>
  <c r="AD50" i="2"/>
  <c r="AK50" i="2" s="1"/>
  <c r="AD52" i="2"/>
  <c r="AK52" i="2" s="1"/>
  <c r="P51" i="2"/>
  <c r="O51" i="2"/>
  <c r="AO40" i="1"/>
  <c r="O50" i="1"/>
  <c r="AD52" i="1"/>
  <c r="AK52" i="1" s="1"/>
  <c r="AO56" i="1"/>
  <c r="AD56" i="1"/>
  <c r="AK56" i="1" s="1"/>
  <c r="N61" i="1"/>
  <c r="N62" i="1" s="1"/>
  <c r="S89" i="1"/>
  <c r="P99" i="1"/>
  <c r="P15" i="2"/>
  <c r="O15" i="2"/>
  <c r="P16" i="2"/>
  <c r="O16" i="2"/>
  <c r="AD21" i="2"/>
  <c r="AK21" i="2" s="1"/>
  <c r="P22" i="2"/>
  <c r="O22" i="2"/>
  <c r="AD26" i="2"/>
  <c r="AK26" i="2" s="1"/>
  <c r="O26" i="2"/>
  <c r="P26" i="2" s="1"/>
  <c r="P39" i="2"/>
  <c r="O44" i="2"/>
  <c r="P44" i="2" s="1"/>
  <c r="O52" i="2"/>
  <c r="P52" i="2" s="1"/>
  <c r="O7" i="1"/>
  <c r="O10" i="1"/>
  <c r="P10" i="1" s="1"/>
  <c r="O20" i="1"/>
  <c r="AD36" i="1"/>
  <c r="AK36" i="1" s="1"/>
  <c r="O38" i="1"/>
  <c r="P38" i="1" s="1"/>
  <c r="C41" i="1"/>
  <c r="AO60" i="1"/>
  <c r="N89" i="1"/>
  <c r="S104" i="1"/>
  <c r="T7" i="2"/>
  <c r="AD7" i="2" s="1"/>
  <c r="AK7" i="2" s="1"/>
  <c r="O8" i="2"/>
  <c r="P8" i="2" s="1"/>
  <c r="O10" i="2"/>
  <c r="P10" i="2" s="1"/>
  <c r="O13" i="2"/>
  <c r="P13" i="2" s="1"/>
  <c r="O17" i="2"/>
  <c r="P17" i="2" s="1"/>
  <c r="AD27" i="2"/>
  <c r="AK27" i="2" s="1"/>
  <c r="O30" i="2"/>
  <c r="P30" i="2" s="1"/>
  <c r="AD33" i="2"/>
  <c r="AK33" i="2" s="1"/>
  <c r="P35" i="2"/>
  <c r="O35" i="2"/>
  <c r="P38" i="2"/>
  <c r="O38" i="2"/>
  <c r="P46" i="2"/>
  <c r="O46" i="2"/>
  <c r="T51" i="2"/>
  <c r="AD51" i="2" s="1"/>
  <c r="AK51" i="2" s="1"/>
  <c r="O55" i="2"/>
  <c r="P55" i="2" s="1"/>
  <c r="O40" i="2"/>
  <c r="P40" i="2" s="1"/>
  <c r="Y41" i="1"/>
  <c r="Y106" i="1" s="1"/>
  <c r="P100" i="1"/>
  <c r="G101" i="1"/>
  <c r="O102" i="1"/>
  <c r="P102" i="1" s="1"/>
  <c r="P3" i="2"/>
  <c r="O3" i="2"/>
  <c r="G8" i="2"/>
  <c r="O9" i="2"/>
  <c r="P9" i="2" s="1"/>
  <c r="AD12" i="2"/>
  <c r="AK12" i="2" s="1"/>
  <c r="O21" i="2"/>
  <c r="P21" i="2" s="1"/>
  <c r="O23" i="2"/>
  <c r="P23" i="2" s="1"/>
  <c r="O25" i="2"/>
  <c r="P25" i="2" s="1"/>
  <c r="O32" i="2"/>
  <c r="P32" i="2" s="1"/>
  <c r="AD45" i="2"/>
  <c r="AK45" i="2" s="1"/>
  <c r="P54" i="2"/>
  <c r="O54" i="2"/>
  <c r="H61" i="1"/>
  <c r="H106" i="1" s="1"/>
  <c r="O58" i="1"/>
  <c r="P58" i="1" s="1"/>
  <c r="T39" i="2"/>
  <c r="AD39" i="2" s="1"/>
  <c r="AK39" i="2" s="1"/>
  <c r="T45" i="2"/>
  <c r="T30" i="2"/>
  <c r="AD30" i="2" s="1"/>
  <c r="AK30" i="2" s="1"/>
  <c r="T35" i="2"/>
  <c r="AD35" i="2" s="1"/>
  <c r="AK35" i="2" s="1"/>
  <c r="T11" i="2"/>
  <c r="AD11" i="2" s="1"/>
  <c r="AK11" i="2" s="1"/>
  <c r="T25" i="2"/>
  <c r="AD25" i="2" s="1"/>
  <c r="AK25" i="2" s="1"/>
  <c r="O61" i="1" l="1"/>
  <c r="N106" i="1"/>
  <c r="T61" i="1"/>
  <c r="AD23" i="1"/>
  <c r="AK23" i="1" s="1"/>
  <c r="AK7" i="1"/>
  <c r="AK41" i="1" s="1"/>
  <c r="AK43" i="1" s="1"/>
  <c r="AO100" i="1"/>
  <c r="AD68" i="1"/>
  <c r="AK67" i="1"/>
  <c r="AK68" i="1" s="1"/>
  <c r="AD53" i="1"/>
  <c r="AK53" i="1" s="1"/>
  <c r="AK61" i="1" s="1"/>
  <c r="AP55" i="1"/>
  <c r="T41" i="1"/>
  <c r="AD8" i="2"/>
  <c r="AK8" i="2" s="1"/>
  <c r="T8" i="2"/>
  <c r="S106" i="1"/>
  <c r="O41" i="1"/>
  <c r="P104" i="1"/>
  <c r="AD13" i="1"/>
  <c r="AK13" i="1" s="1"/>
  <c r="P50" i="1"/>
  <c r="P61" i="1" s="1"/>
  <c r="AM12" i="1"/>
  <c r="AN12" i="1" s="1"/>
  <c r="AO61" i="1"/>
  <c r="T99" i="1"/>
  <c r="T104" i="1" s="1"/>
  <c r="G104" i="1"/>
  <c r="P7" i="1"/>
  <c r="P41" i="1" s="1"/>
  <c r="O104" i="1"/>
  <c r="O106" i="1" s="1"/>
  <c r="AP30" i="1"/>
  <c r="AO87" i="1"/>
  <c r="AO89" i="1" s="1"/>
  <c r="AD87" i="1"/>
  <c r="G89" i="1"/>
  <c r="C106" i="1"/>
  <c r="J41" i="1"/>
  <c r="J106" i="1" s="1"/>
  <c r="AD77" i="1"/>
  <c r="G79" i="1"/>
  <c r="AO77" i="1"/>
  <c r="AO79" i="1" s="1"/>
  <c r="O89" i="1"/>
  <c r="AP8" i="1"/>
  <c r="AD37" i="1"/>
  <c r="AK37" i="1" s="1"/>
  <c r="AO101" i="1"/>
  <c r="AD101" i="1"/>
  <c r="AK101" i="1" s="1"/>
  <c r="P87" i="1"/>
  <c r="P89" i="1" s="1"/>
  <c r="AO23" i="1"/>
  <c r="AO41" i="1" s="1"/>
  <c r="AO42" i="1" s="1"/>
  <c r="AD61" i="1"/>
  <c r="AD41" i="1" l="1"/>
  <c r="AD43" i="1" s="1"/>
  <c r="AD44" i="1" s="1"/>
  <c r="AM41" i="1"/>
  <c r="AK44" i="1"/>
  <c r="AK77" i="1"/>
  <c r="AK79" i="1" s="1"/>
  <c r="AD79" i="1"/>
  <c r="T106" i="1"/>
  <c r="G106" i="1"/>
  <c r="AD99" i="1"/>
  <c r="P106" i="1"/>
  <c r="AK87" i="1"/>
  <c r="AK89" i="1" s="1"/>
  <c r="AD89" i="1"/>
  <c r="AO99" i="1"/>
  <c r="AO104" i="1" s="1"/>
  <c r="AK99" i="1" l="1"/>
  <c r="AK104" i="1" s="1"/>
  <c r="AK106" i="1" s="1"/>
  <c r="AD104" i="1"/>
  <c r="AD106" i="1" s="1"/>
  <c r="AM42" i="1"/>
  <c r="AM121" i="1"/>
  <c r="AM12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7" authorId="0" shapeId="0" xr:uid="{00000000-0006-0000-0000-00000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32100.00 old</t>
        </r>
      </text>
    </comment>
    <comment ref="L7" authorId="0" shapeId="0" xr:uid="{00000000-0006-0000-0000-000032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1845.80
</t>
        </r>
      </text>
    </comment>
    <comment ref="T7" authorId="0" shapeId="0" xr:uid="{00000000-0006-0000-0000-00004C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8" authorId="0" shapeId="0" xr:uid="{00000000-0006-0000-0000-00000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15729.00 old</t>
        </r>
      </text>
    </comment>
    <comment ref="L8" authorId="0" shapeId="0" xr:uid="{00000000-0006-0000-0000-00003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7/15/2022 SSS SAL. LOAN 1430.49
1ST DEDUCTION</t>
        </r>
      </text>
    </comment>
    <comment ref="W8" authorId="0" shapeId="0" xr:uid="{00000000-0006-0000-0000-00005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950.00 NEW HDMF LOAN</t>
        </r>
      </text>
    </comment>
    <comment ref="Y8" authorId="0" shapeId="0" xr:uid="{00000000-0006-0000-0000-000070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9" authorId="0" shapeId="0" xr:uid="{00000000-0006-0000-0000-000003000000}">
      <text>
        <r>
          <rPr>
            <sz val="10"/>
            <rFont val="Arial"/>
            <family val="2"/>
          </rPr>
          <t>Ma. Eliza Borja:14867.50 OLD</t>
        </r>
      </text>
    </comment>
    <comment ref="B10" authorId="0" shapeId="0" xr:uid="{00000000-0006-0000-0000-00000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11" authorId="0" shapeId="0" xr:uid="{00000000-0006-0000-0000-00000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17,167.50 old</t>
        </r>
      </text>
    </comment>
    <comment ref="L11" authorId="0" shapeId="0" xr:uid="{00000000-0006-0000-0000-00003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5/15/2022 NEW SSS SALARY LOAN 784.46</t>
        </r>
      </text>
    </comment>
    <comment ref="B12" authorId="0" shapeId="0" xr:uid="{00000000-0006-0000-0000-00000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increase from 125,000 to 150,000 effective june 2022
ADD 30K OCT 2023</t>
        </r>
      </text>
    </comment>
    <comment ref="T12" authorId="0" shapeId="0" xr:uid="{00000000-0006-0000-0000-00004D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T13" authorId="0" shapeId="0" xr:uid="{00000000-0006-0000-0000-00004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13" authorId="0" shapeId="0" xr:uid="{00000000-0006-0000-0000-00006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DEDUCTION 
3680.46 PAG-IBIG SALARY LOAN</t>
        </r>
      </text>
    </comment>
    <comment ref="Y13" authorId="0" shapeId="0" xr:uid="{00000000-0006-0000-0000-000071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 1500.00</t>
        </r>
      </text>
    </comment>
    <comment ref="L14" authorId="0" shapeId="0" xr:uid="{00000000-0006-0000-0000-000035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1753.51
</t>
        </r>
      </text>
    </comment>
    <comment ref="AH14" authorId="0" shapeId="0" xr:uid="{00000000-0006-0000-0000-00007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B15" authorId="0" shapeId="0" xr:uid="{00000000-0006-0000-0000-00000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14,170.00 old
15170 OLD</t>
        </r>
      </text>
    </comment>
    <comment ref="L15" authorId="0" shapeId="0" xr:uid="{00000000-0006-0000-0000-00003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1384.35
</t>
        </r>
      </text>
    </comment>
    <comment ref="W15" authorId="0" shapeId="0" xr:uid="{00000000-0006-0000-0000-00006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398.91 PAG IBIG SALARY LOAN</t>
        </r>
      </text>
    </comment>
    <comment ref="Y15" authorId="0" shapeId="0" xr:uid="{00000000-0006-0000-0000-00007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c.a 1000.00
1500+1500 </t>
        </r>
      </text>
    </comment>
    <comment ref="B16" authorId="0" shapeId="0" xr:uid="{00000000-0006-0000-0000-00000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21507 old 
25137 new
</t>
        </r>
      </text>
    </comment>
    <comment ref="L16" authorId="0" shapeId="0" xr:uid="{00000000-0006-0000-0000-00003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LOAN 1845.80</t>
        </r>
      </text>
    </comment>
    <comment ref="T16" authorId="0" shapeId="0" xr:uid="{00000000-0006-0000-0000-00004F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H16" authorId="0" shapeId="0" xr:uid="{00000000-0006-0000-0000-00008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L17" authorId="0" shapeId="0" xr:uid="{00000000-0006-0000-0000-000038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1799.65 1ST DEDUCTION</t>
        </r>
      </text>
    </comment>
    <comment ref="W17" authorId="0" shapeId="0" xr:uid="{00000000-0006-0000-0000-00006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HDMF SAL. LOAN
add: 1743.66 last deduction </t>
        </r>
      </text>
    </comment>
    <comment ref="L18" authorId="0" shapeId="0" xr:uid="{00000000-0006-0000-0000-000039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1845.8 SSS SALARY LOAN 1ST DEDUCTION</t>
        </r>
      </text>
    </comment>
    <comment ref="T18" authorId="0" shapeId="0" xr:uid="{00000000-0006-0000-0000-000050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18" authorId="0" shapeId="0" xr:uid="{00000000-0006-0000-0000-00006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3826.05 HDMF SALARY LOAN</t>
        </r>
      </text>
    </comment>
    <comment ref="B19" authorId="0" shapeId="0" xr:uid="{00000000-0006-0000-0000-00000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13,080.00 old</t>
        </r>
      </text>
    </comment>
    <comment ref="L19" authorId="0" shapeId="0" xr:uid="{00000000-0006-0000-0000-00003A000000}">
      <text>
        <r>
          <rPr>
            <sz val="10"/>
            <rFont val="Arial"/>
            <family val="2"/>
          </rPr>
          <t>Ma. Eliza Borja:NEW SSS LOAN 1061.33 5/15/2021
1292.06 DEDUCTION FOR SEPT</t>
        </r>
      </text>
    </comment>
    <comment ref="B20" authorId="0" shapeId="0" xr:uid="{00000000-0006-0000-0000-00000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20,140.00 old</t>
        </r>
      </text>
    </comment>
    <comment ref="L20" authorId="0" shapeId="0" xr:uid="{00000000-0006-0000-0000-00003B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
</t>
        </r>
      </text>
    </comment>
    <comment ref="W20" authorId="0" shapeId="0" xr:uid="{00000000-0006-0000-0000-00006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1514.63 HDMF LOAN
NO DEDUCTION FOR MAY 2023</t>
        </r>
      </text>
    </comment>
    <comment ref="Y20" authorId="0" shapeId="0" xr:uid="{00000000-0006-0000-0000-00007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450.00 last ca
new c.a. oct. 15
1000.00
</t>
        </r>
      </text>
    </comment>
    <comment ref="B21" authorId="0" shapeId="0" xr:uid="{00000000-0006-0000-0000-00000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15264.00 old</t>
        </r>
      </text>
    </comment>
    <comment ref="L21" authorId="0" shapeId="0" xr:uid="{00000000-0006-0000-0000-00003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1522.78</t>
        </r>
      </text>
    </comment>
    <comment ref="W21" authorId="0" shapeId="0" xr:uid="{00000000-0006-0000-0000-00006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LOAN1748.92
</t>
        </r>
      </text>
    </comment>
    <comment ref="Y21" authorId="0" shapeId="0" xr:uid="{00000000-0006-0000-0000-000074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22" authorId="0" shapeId="0" xr:uid="{00000000-0006-0000-0000-00000C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20520 OLD</t>
        </r>
      </text>
    </comment>
    <comment ref="L22" authorId="0" shapeId="0" xr:uid="{00000000-0006-0000-0000-00003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SSS SALARY LOAN 1ST DEDUCTION</t>
        </r>
      </text>
    </comment>
    <comment ref="W22" authorId="0" shapeId="0" xr:uid="{00000000-0006-0000-0000-000066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 1417.00
</t>
        </r>
      </text>
    </comment>
    <comment ref="B23" authorId="0" shapeId="0" xr:uid="{00000000-0006-0000-0000-00000D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7/02/2020 as per mam eunice 125,000 monthly salary</t>
        </r>
      </text>
    </comment>
    <comment ref="T23" authorId="0" shapeId="0" xr:uid="{00000000-0006-0000-0000-00005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24" authorId="0" shapeId="0" xr:uid="{00000000-0006-0000-0000-00000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increase from 125,000 to 150,000 effective june 2022
ADD 30K OCT. 2023
ADD 50K FEB 2024</t>
        </r>
      </text>
    </comment>
    <comment ref="T24" authorId="0" shapeId="0" xr:uid="{00000000-0006-0000-0000-00005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25" authorId="0" shapeId="0" xr:uid="{00000000-0006-0000-0000-00000F000000}">
      <text>
        <r>
          <rPr>
            <sz val="10"/>
            <rFont val="Arial"/>
            <family val="2"/>
          </rPr>
          <t>Ma. Eliza Borja:
16000 OLD</t>
        </r>
      </text>
    </comment>
    <comment ref="AB25" authorId="0" shapeId="0" xr:uid="{00000000-0006-0000-0000-00007B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13th month adj.</t>
        </r>
      </text>
    </comment>
    <comment ref="B26" authorId="0" shapeId="0" xr:uid="{00000000-0006-0000-0000-00001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20710 OLD</t>
        </r>
      </text>
    </comment>
    <comment ref="T26" authorId="0" shapeId="0" xr:uid="{00000000-0006-0000-0000-000053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26" authorId="0" shapeId="0" xr:uid="{00000000-0006-0000-0000-000067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HDMF SAL. LOAN 1ST DEDUCTION</t>
        </r>
      </text>
    </comment>
    <comment ref="B27" authorId="0" shapeId="0" xr:uid="{00000000-0006-0000-0000-00001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OLD 19,000.00
NEW 20,000.00</t>
        </r>
      </text>
    </comment>
    <comment ref="B28" authorId="0" shapeId="0" xr:uid="{00000000-0006-0000-0000-00001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</t>
        </r>
      </text>
    </comment>
    <comment ref="B29" authorId="0" shapeId="0" xr:uid="{00000000-0006-0000-0000-000013000000}">
      <text>
        <r>
          <rPr>
            <sz val="10"/>
            <rFont val="Arial"/>
            <family val="2"/>
          </rPr>
          <t>Ma. Eliza Borja
16000.00 OLD
17316.00 NEW</t>
        </r>
      </text>
    </comment>
    <comment ref="B30" authorId="0" shapeId="0" xr:uid="{00000000-0006-0000-0000-00001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19822.00 old
</t>
        </r>
      </text>
    </comment>
    <comment ref="L30" authorId="0" shapeId="0" xr:uid="{00000000-0006-0000-0000-00003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LOAN 1799.65</t>
        </r>
      </text>
    </comment>
    <comment ref="T30" authorId="0" shapeId="0" xr:uid="{00000000-0006-0000-0000-000054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30" authorId="0" shapeId="0" xr:uid="{00000000-0006-0000-0000-00006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SAL LOAN</t>
        </r>
      </text>
    </comment>
    <comment ref="AC30" authorId="0" shapeId="0" xr:uid="{00000000-0006-0000-0000-00007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salary loan return</t>
        </r>
      </text>
    </comment>
    <comment ref="T31" authorId="0" shapeId="0" xr:uid="{00000000-0006-0000-0000-00005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Y31" authorId="0" shapeId="0" xr:uid="{00000000-0006-0000-0000-00007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32" authorId="0" shapeId="0" xr:uid="{00000000-0006-0000-0000-00001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16940 OLD</t>
        </r>
      </text>
    </comment>
    <comment ref="B33" authorId="0" shapeId="0" xr:uid="{00000000-0006-0000-0000-00001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17133.00 old</t>
        </r>
      </text>
    </comment>
    <comment ref="L33" authorId="0" shapeId="0" xr:uid="{00000000-0006-0000-0000-00003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SALARY LOAN 1661.22</t>
        </r>
      </text>
    </comment>
    <comment ref="Y33" authorId="0" shapeId="0" xr:uid="{00000000-0006-0000-0000-00007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 ca 1250.00
LAST CA 1750.00</t>
        </r>
      </text>
    </comment>
    <comment ref="B34" authorId="0" shapeId="0" xr:uid="{00000000-0006-0000-0000-00001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15000 OLD</t>
        </r>
      </text>
    </comment>
    <comment ref="L34" authorId="0" shapeId="0" xr:uid="{00000000-0006-0000-0000-000040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SALAY LOAN 738.32</t>
        </r>
      </text>
    </comment>
    <comment ref="B35" authorId="0" shapeId="0" xr:uid="{00000000-0006-0000-0000-00001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FROM HFC TRANSFER TO DRDC
15000 OLD
30000 NEW</t>
        </r>
      </text>
    </comment>
    <comment ref="L35" authorId="0" shapeId="0" xr:uid="{00000000-0006-0000-0000-000041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1523.08
</t>
        </r>
      </text>
    </comment>
    <comment ref="T35" authorId="0" shapeId="0" xr:uid="{00000000-0006-0000-0000-000056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Y35" authorId="0" shapeId="0" xr:uid="{00000000-0006-0000-0000-000077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c.a. 1000.00</t>
        </r>
      </text>
    </comment>
    <comment ref="B36" authorId="0" shapeId="0" xr:uid="{00000000-0006-0000-0000-00001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13,392.00 old</t>
        </r>
      </text>
    </comment>
    <comment ref="L36" authorId="0" shapeId="0" xr:uid="{00000000-0006-0000-0000-00004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</t>
        </r>
      </text>
    </comment>
    <comment ref="W36" authorId="0" shapeId="0" xr:uid="{00000000-0006-0000-0000-00006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396.58 PAG IBIG SALARY LOAN </t>
        </r>
      </text>
    </comment>
    <comment ref="B37" authorId="0" shapeId="0" xr:uid="{00000000-0006-0000-0000-00001A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old 20140.00
</t>
        </r>
      </text>
    </comment>
    <comment ref="T37" authorId="0" shapeId="0" xr:uid="{00000000-0006-0000-0000-000057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37" authorId="0" shapeId="0" xr:uid="{00000000-0006-0000-0000-00006A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L38" authorId="0" shapeId="0" xr:uid="{00000000-0006-0000-0000-00004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SALARY LOAN 1845.80</t>
        </r>
      </text>
    </comment>
    <comment ref="W38" authorId="0" shapeId="0" xr:uid="{00000000-0006-0000-0000-00006B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L39" authorId="0" shapeId="0" xr:uid="{00000000-0006-0000-0000-00004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SAL LOAN 1845.80</t>
        </r>
      </text>
    </comment>
    <comment ref="T39" authorId="0" shapeId="0" xr:uid="{00000000-0006-0000-0000-000058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40" authorId="0" shapeId="0" xr:uid="{00000000-0006-0000-0000-00001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21,836.00 old</t>
        </r>
      </text>
    </comment>
    <comment ref="L40" authorId="0" shapeId="0" xr:uid="{00000000-0006-0000-0000-000045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salary loan</t>
        </r>
      </text>
    </comment>
    <comment ref="T40" authorId="0" shapeId="0" xr:uid="{00000000-0006-0000-0000-000059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40" authorId="0" shapeId="0" xr:uid="{00000000-0006-0000-0000-00006C000000}">
      <text>
        <r>
          <rPr>
            <sz val="10"/>
            <rFont val="Arial"/>
            <family val="2"/>
          </rPr>
          <t>Ma. Eliza Delis Borja:hdmf salary loan</t>
        </r>
      </text>
    </comment>
    <comment ref="L41" authorId="0" shapeId="0" xr:uid="{00000000-0006-0000-0000-00004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23691.80+660.84 OTHERS SSS SAL LOAN BAL YARTE JEFFREY</t>
        </r>
      </text>
    </comment>
    <comment ref="W41" authorId="0" shapeId="0" xr:uid="{00000000-0006-0000-0000-00006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12814.92+660.84 others deduction yarte jeffrey</t>
        </r>
      </text>
    </comment>
    <comment ref="G42" authorId="0" shapeId="0" xr:uid="{00000000-0006-0000-0000-00002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EMPLOYEE
</t>
        </r>
      </text>
    </comment>
    <comment ref="L42" authorId="0" shapeId="0" xr:uid="{00000000-0006-0000-0000-00004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ADD:
OTHER DEDUCTION DOMIQUIL CONST. 841.01
6/30/2023</t>
        </r>
      </text>
    </comment>
    <comment ref="AD42" authorId="0" shapeId="0" xr:uid="{00000000-0006-0000-0000-00007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base on pay.reg.</t>
        </r>
      </text>
    </comment>
    <comment ref="AK42" authorId="0" shapeId="0" xr:uid="{00000000-0006-0000-0000-00008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base on payroll reg.</t>
        </r>
      </text>
    </comment>
    <comment ref="G43" authorId="0" shapeId="0" xr:uid="{00000000-0006-0000-0000-00002E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EXEC.</t>
        </r>
      </text>
    </comment>
    <comment ref="AD43" authorId="0" shapeId="0" xr:uid="{00000000-0006-0000-0000-00007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exec</t>
        </r>
      </text>
    </comment>
    <comment ref="AK43" authorId="0" shapeId="0" xr:uid="{00000000-0006-0000-0000-00008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exec</t>
        </r>
      </text>
    </comment>
    <comment ref="B50" authorId="0" shapeId="0" xr:uid="{00000000-0006-0000-0000-00001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16786.00 old</t>
        </r>
      </text>
    </comment>
    <comment ref="W50" authorId="0" shapeId="0" xr:uid="{00000000-0006-0000-0000-00006E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loan salary 941.46</t>
        </r>
      </text>
    </comment>
    <comment ref="L51" authorId="0" shapeId="0" xr:uid="{00000000-0006-0000-0000-00004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SAL. LOAN 1661.22
 SSS salary loan payment for July will be deducted on August 2nd half payou</t>
        </r>
      </text>
    </comment>
    <comment ref="B52" authorId="0" shapeId="0" xr:uid="{00000000-0006-0000-0000-00001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 
1ST SALARY</t>
        </r>
      </text>
    </comment>
    <comment ref="B53" authorId="0" shapeId="0" xr:uid="{00000000-0006-0000-0000-00001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18000.00 old
19303.00 old
28000 new</t>
        </r>
      </text>
    </comment>
    <comment ref="T53" authorId="0" shapeId="0" xr:uid="{00000000-0006-0000-0000-00005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54" authorId="0" shapeId="0" xr:uid="{00000000-0006-0000-0000-00001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OLD 20K</t>
        </r>
      </text>
    </comment>
    <comment ref="T54" authorId="0" shapeId="0" xr:uid="{00000000-0006-0000-0000-00005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55" authorId="0" shapeId="0" xr:uid="{00000000-0006-0000-0000-00002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57" authorId="0" shapeId="0" xr:uid="{00000000-0006-0000-0000-00002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27,200.00 old
</t>
        </r>
      </text>
    </comment>
    <comment ref="G57" authorId="0" shapeId="0" xr:uid="{00000000-0006-0000-0000-00002F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FROM EP TO HER</t>
        </r>
      </text>
    </comment>
    <comment ref="Z57" authorId="0" shapeId="0" xr:uid="{00000000-0006-0000-0000-00007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2915.91 m.a.</t>
        </r>
      </text>
    </comment>
    <comment ref="B58" authorId="0" shapeId="0" xr:uid="{00000000-0006-0000-0000-00002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59" authorId="0" shapeId="0" xr:uid="{00000000-0006-0000-0000-00002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24600.00</t>
        </r>
      </text>
    </comment>
    <comment ref="T59" authorId="0" shapeId="0" xr:uid="{00000000-0006-0000-0000-00005C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60" authorId="0" shapeId="0" xr:uid="{00000000-0006-0000-0000-00002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 old
14000 new</t>
        </r>
      </text>
    </comment>
    <comment ref="L60" authorId="0" shapeId="0" xr:uid="{00000000-0006-0000-0000-00004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
</t>
        </r>
      </text>
    </comment>
    <comment ref="AK60" authorId="0" shapeId="0" xr:uid="{00000000-0006-0000-0000-000083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CASH</t>
        </r>
      </text>
    </comment>
    <comment ref="L61" authorId="0" shapeId="0" xr:uid="{00000000-0006-0000-0000-00004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4776.01+718.52 trinidad other deduction</t>
        </r>
      </text>
    </comment>
    <comment ref="B67" authorId="0" shapeId="0" xr:uid="{00000000-0006-0000-0000-00002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77" authorId="0" shapeId="0" xr:uid="{00000000-0006-0000-0000-000026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L77" authorId="0" shapeId="0" xr:uid="{00000000-0006-0000-0000-00004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1568.93</t>
        </r>
      </text>
    </comment>
    <comment ref="B78" authorId="0" shapeId="0" xr:uid="{00000000-0006-0000-0000-00002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11033.28 OLD 
16000 NEW</t>
        </r>
      </text>
    </comment>
    <comment ref="H78" authorId="0" shapeId="0" xr:uid="{00000000-0006-0000-0000-000031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NO CONTRI., TRANSFER TO HER</t>
        </r>
      </text>
    </comment>
    <comment ref="Y78" authorId="0" shapeId="0" xr:uid="{00000000-0006-0000-0000-00007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c.a.</t>
        </r>
      </text>
    </comment>
    <comment ref="B87" authorId="0" shapeId="0" xr:uid="{00000000-0006-0000-0000-00002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14,100.00 old</t>
        </r>
      </text>
    </comment>
    <comment ref="B88" authorId="0" shapeId="0" xr:uid="{00000000-0006-0000-0000-00002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12000.00 old</t>
        </r>
      </text>
    </comment>
    <comment ref="X88" authorId="0" shapeId="0" xr:uid="{00000000-0006-0000-0000-00006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paid</t>
        </r>
      </text>
    </comment>
    <comment ref="B99" authorId="0" shapeId="0" xr:uid="{00000000-0006-0000-0000-00002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15,000.00 old
18000 OLD</t>
        </r>
      </text>
    </comment>
    <comment ref="T99" authorId="0" shapeId="0" xr:uid="{00000000-0006-0000-0000-00005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Y99" authorId="0" shapeId="0" xr:uid="{00000000-0006-0000-0000-00007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CA 1000
</t>
        </r>
      </text>
    </comment>
    <comment ref="B100" authorId="0" shapeId="0" xr:uid="{00000000-0006-0000-0000-00002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24,300.00 old</t>
        </r>
      </text>
    </comment>
    <comment ref="T100" authorId="0" shapeId="0" xr:uid="{00000000-0006-0000-0000-00005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B103" authorId="0" shapeId="0" xr:uid="{00000000-0006-0000-0000-00002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12350 OLD
13564.00 NEW</t>
        </r>
      </text>
    </comment>
    <comment ref="G108" authorId="0" shapeId="0" xr:uid="{00000000-0006-0000-0000-00003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QH 2</t>
        </r>
      </text>
    </comment>
    <comment ref="AL133" authorId="0" shapeId="0" xr:uid="{00000000-0006-0000-0000-000084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FROM WP TO 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2" authorId="0" shapeId="0" xr:uid="{00000000-0006-0000-0100-00000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32100.00 old</t>
        </r>
      </text>
    </comment>
    <comment ref="L2" authorId="0" shapeId="0" xr:uid="{00000000-0006-0000-0100-00002E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1845.80
</t>
        </r>
      </text>
    </comment>
    <comment ref="T2" authorId="0" shapeId="0" xr:uid="{00000000-0006-0000-0100-00004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3" authorId="0" shapeId="0" xr:uid="{00000000-0006-0000-0100-00000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15729.00 old</t>
        </r>
      </text>
    </comment>
    <comment ref="L3" authorId="0" shapeId="0" xr:uid="{00000000-0006-0000-0100-00002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7/15/2022 SSS SAL. LOAN 1430.49
1ST DEDUCTION</t>
        </r>
      </text>
    </comment>
    <comment ref="W3" authorId="0" shapeId="0" xr:uid="{00000000-0006-0000-0100-000058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950.00 NEW HDMF LOAN</t>
        </r>
      </text>
    </comment>
    <comment ref="Y3" authorId="0" shapeId="0" xr:uid="{00000000-0006-0000-0100-000068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4" authorId="0" shapeId="0" xr:uid="{00000000-0006-0000-0100-000003000000}">
      <text>
        <r>
          <rPr>
            <sz val="10"/>
            <rFont val="Arial"/>
            <family val="2"/>
          </rPr>
          <t>Ma. Eliza Borja:14867.50 OLD</t>
        </r>
      </text>
    </comment>
    <comment ref="B5" authorId="0" shapeId="0" xr:uid="{00000000-0006-0000-0100-00000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6" authorId="0" shapeId="0" xr:uid="{00000000-0006-0000-0100-00000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17,167.50 old</t>
        </r>
      </text>
    </comment>
    <comment ref="L6" authorId="0" shapeId="0" xr:uid="{00000000-0006-0000-0100-00003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5/15/2022 NEW SSS SALARY LOAN 784.46</t>
        </r>
      </text>
    </comment>
    <comment ref="B7" authorId="0" shapeId="0" xr:uid="{00000000-0006-0000-0100-00000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increase from 125,000 to 150,000 effective june 2022
ADD 30K OCT 2023</t>
        </r>
      </text>
    </comment>
    <comment ref="T7" authorId="0" shapeId="0" xr:uid="{00000000-0006-0000-0100-00004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T8" authorId="0" shapeId="0" xr:uid="{00000000-0006-0000-0100-00004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8" authorId="0" shapeId="0" xr:uid="{00000000-0006-0000-0100-00005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DEDUCTION 
3680.46 PAG-IBIG SALARY LOAN</t>
        </r>
      </text>
    </comment>
    <comment ref="Y8" authorId="0" shapeId="0" xr:uid="{00000000-0006-0000-0100-000069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 1500.00</t>
        </r>
      </text>
    </comment>
    <comment ref="L9" authorId="0" shapeId="0" xr:uid="{00000000-0006-0000-0100-000031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1753.51
</t>
        </r>
      </text>
    </comment>
    <comment ref="AH9" authorId="0" shapeId="0" xr:uid="{00000000-0006-0000-0100-00007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B10" authorId="0" shapeId="0" xr:uid="{00000000-0006-0000-0100-00000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14,170.00 old
15170 OLD</t>
        </r>
      </text>
    </comment>
    <comment ref="L10" authorId="0" shapeId="0" xr:uid="{00000000-0006-0000-0100-00003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1384.35
</t>
        </r>
      </text>
    </comment>
    <comment ref="W10" authorId="0" shapeId="0" xr:uid="{00000000-0006-0000-0100-00005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398.91 PAG IBIG SALARY LOAN</t>
        </r>
      </text>
    </comment>
    <comment ref="Y10" authorId="0" shapeId="0" xr:uid="{00000000-0006-0000-0100-00006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c.a 1000.00
1500+1500 </t>
        </r>
      </text>
    </comment>
    <comment ref="B11" authorId="0" shapeId="0" xr:uid="{00000000-0006-0000-0100-00000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21507 old 
25137 new
</t>
        </r>
      </text>
    </comment>
    <comment ref="L11" authorId="0" shapeId="0" xr:uid="{00000000-0006-0000-0100-00003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LOAN 1845.80</t>
        </r>
      </text>
    </comment>
    <comment ref="T11" authorId="0" shapeId="0" xr:uid="{00000000-0006-0000-0100-00004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H11" authorId="0" shapeId="0" xr:uid="{00000000-0006-0000-0100-00007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L12" authorId="0" shapeId="0" xr:uid="{00000000-0006-0000-0100-000034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1799.65 1ST DEDUCTION</t>
        </r>
      </text>
    </comment>
    <comment ref="W12" authorId="0" shapeId="0" xr:uid="{00000000-0006-0000-0100-00005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HDMF SAL. LOAN
add: 1743.66 last deduction </t>
        </r>
      </text>
    </comment>
    <comment ref="L13" authorId="0" shapeId="0" xr:uid="{00000000-0006-0000-0100-00003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1845.8 SSS SALARY LOAN 1ST DEDUCTION</t>
        </r>
      </text>
    </comment>
    <comment ref="T13" authorId="0" shapeId="0" xr:uid="{00000000-0006-0000-0100-00004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13" authorId="0" shapeId="0" xr:uid="{00000000-0006-0000-0100-00005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3826.05 HDMF SALARY LOAN</t>
        </r>
      </text>
    </comment>
    <comment ref="B14" authorId="0" shapeId="0" xr:uid="{00000000-0006-0000-0100-00000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13,080.00 old</t>
        </r>
      </text>
    </comment>
    <comment ref="L14" authorId="0" shapeId="0" xr:uid="{00000000-0006-0000-0100-000036000000}">
      <text>
        <r>
          <rPr>
            <sz val="10"/>
            <rFont val="Arial"/>
            <family val="2"/>
          </rPr>
          <t>Ma. Eliza Borja:NEW SSS LOAN 1061.33 5/15/2021
1292.06 DEDUCTION FOR SEPT</t>
        </r>
      </text>
    </comment>
    <comment ref="B15" authorId="0" shapeId="0" xr:uid="{00000000-0006-0000-0100-00000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20,140.00 old</t>
        </r>
      </text>
    </comment>
    <comment ref="L15" authorId="0" shapeId="0" xr:uid="{00000000-0006-0000-0100-000037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
</t>
        </r>
      </text>
    </comment>
    <comment ref="W15" authorId="0" shapeId="0" xr:uid="{00000000-0006-0000-0100-00005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1514.63 HDMF LOAN
NO DEDUCTION FOR MAY 2023</t>
        </r>
      </text>
    </comment>
    <comment ref="Y15" authorId="0" shapeId="0" xr:uid="{00000000-0006-0000-0100-00006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450.00 last ca
new c.a. oct. 15
1000.00
</t>
        </r>
      </text>
    </comment>
    <comment ref="B16" authorId="0" shapeId="0" xr:uid="{00000000-0006-0000-0100-00000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15264.00 old</t>
        </r>
      </text>
    </comment>
    <comment ref="L16" authorId="0" shapeId="0" xr:uid="{00000000-0006-0000-0100-00003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1522.78</t>
        </r>
      </text>
    </comment>
    <comment ref="W16" authorId="0" shapeId="0" xr:uid="{00000000-0006-0000-0100-00005E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LOAN1748.92
</t>
        </r>
      </text>
    </comment>
    <comment ref="Y16" authorId="0" shapeId="0" xr:uid="{00000000-0006-0000-0100-00006C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17" authorId="0" shapeId="0" xr:uid="{00000000-0006-0000-0100-00000C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20520 OLD</t>
        </r>
      </text>
    </comment>
    <comment ref="L17" authorId="0" shapeId="0" xr:uid="{00000000-0006-0000-0100-000039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SSS SALARY LOAN 1ST DEDUCTION</t>
        </r>
      </text>
    </comment>
    <comment ref="W17" authorId="0" shapeId="0" xr:uid="{00000000-0006-0000-0100-00005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 1417.00
</t>
        </r>
      </text>
    </comment>
    <comment ref="B18" authorId="0" shapeId="0" xr:uid="{00000000-0006-0000-0100-00000D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7/02/2020 as per mam eunice 125,000 monthly salary</t>
        </r>
      </text>
    </comment>
    <comment ref="T18" authorId="0" shapeId="0" xr:uid="{00000000-0006-0000-0100-00004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19" authorId="0" shapeId="0" xr:uid="{00000000-0006-0000-0100-00000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increase from 125,000 to 150,000 effective june 2022
ADD 30K OCT. 2023
ADD 50K FEB 2024</t>
        </r>
      </text>
    </comment>
    <comment ref="T19" authorId="0" shapeId="0" xr:uid="{00000000-0006-0000-0100-00004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20" authorId="0" shapeId="0" xr:uid="{00000000-0006-0000-0100-00000F000000}">
      <text>
        <r>
          <rPr>
            <sz val="10"/>
            <rFont val="Arial"/>
            <family val="2"/>
          </rPr>
          <t>Ma. Eliza Borja:
16000 OLD</t>
        </r>
      </text>
    </comment>
    <comment ref="AB20" authorId="0" shapeId="0" xr:uid="{00000000-0006-0000-0100-00007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13th month adj.</t>
        </r>
      </text>
    </comment>
    <comment ref="B21" authorId="0" shapeId="0" xr:uid="{00000000-0006-0000-0100-00001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20710 OLD</t>
        </r>
      </text>
    </comment>
    <comment ref="T21" authorId="0" shapeId="0" xr:uid="{00000000-0006-0000-0100-00004C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21" authorId="0" shapeId="0" xr:uid="{00000000-0006-0000-0100-00006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HDMF SAL. LOAN 1ST DEDUCTION</t>
        </r>
      </text>
    </comment>
    <comment ref="B22" authorId="0" shapeId="0" xr:uid="{00000000-0006-0000-0100-00001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OLD 19,000.00
NEW 20,000.00</t>
        </r>
      </text>
    </comment>
    <comment ref="B23" authorId="0" shapeId="0" xr:uid="{00000000-0006-0000-0100-00001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</t>
        </r>
      </text>
    </comment>
    <comment ref="B24" authorId="0" shapeId="0" xr:uid="{00000000-0006-0000-0100-000013000000}">
      <text>
        <r>
          <rPr>
            <sz val="10"/>
            <rFont val="Arial"/>
            <family val="2"/>
          </rPr>
          <t>Ma. Eliza Borja
16000.00 OLD
17316.00 NEW</t>
        </r>
      </text>
    </comment>
    <comment ref="B25" authorId="0" shapeId="0" xr:uid="{00000000-0006-0000-0100-00001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19822.00 old
</t>
        </r>
      </text>
    </comment>
    <comment ref="L25" authorId="0" shapeId="0" xr:uid="{00000000-0006-0000-0100-00003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LOAN 1799.65</t>
        </r>
      </text>
    </comment>
    <comment ref="T25" authorId="0" shapeId="0" xr:uid="{00000000-0006-0000-0100-00004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25" authorId="0" shapeId="0" xr:uid="{00000000-0006-0000-0100-00006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SAL LOAN</t>
        </r>
      </text>
    </comment>
    <comment ref="AC25" authorId="0" shapeId="0" xr:uid="{00000000-0006-0000-0100-000074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salary loan return</t>
        </r>
      </text>
    </comment>
    <comment ref="T26" authorId="0" shapeId="0" xr:uid="{00000000-0006-0000-0100-00004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Y26" authorId="0" shapeId="0" xr:uid="{00000000-0006-0000-0100-00006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B27" authorId="0" shapeId="0" xr:uid="{00000000-0006-0000-0100-00001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16940 OLD</t>
        </r>
      </text>
    </comment>
    <comment ref="B28" authorId="0" shapeId="0" xr:uid="{00000000-0006-0000-0100-00001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17133.00 old</t>
        </r>
      </text>
    </comment>
    <comment ref="L28" authorId="0" shapeId="0" xr:uid="{00000000-0006-0000-0100-00003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SALARY LOAN 1661.22</t>
        </r>
      </text>
    </comment>
    <comment ref="Y28" authorId="0" shapeId="0" xr:uid="{00000000-0006-0000-0100-00006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 ca 1250.00
LAST CA 1750.00</t>
        </r>
      </text>
    </comment>
    <comment ref="B29" authorId="0" shapeId="0" xr:uid="{00000000-0006-0000-0100-00001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15000 OLD</t>
        </r>
      </text>
    </comment>
    <comment ref="L29" authorId="0" shapeId="0" xr:uid="{00000000-0006-0000-0100-00003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SALAY LOAN 738.32</t>
        </r>
      </text>
    </comment>
    <comment ref="B30" authorId="0" shapeId="0" xr:uid="{00000000-0006-0000-0100-00001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FROM HFC TRANSFER TO DRDC
15000 OLD
30000 NEW</t>
        </r>
      </text>
    </comment>
    <comment ref="L30" authorId="0" shapeId="0" xr:uid="{00000000-0006-0000-0100-00003D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1523.08
</t>
        </r>
      </text>
    </comment>
    <comment ref="T30" authorId="0" shapeId="0" xr:uid="{00000000-0006-0000-0100-00004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Y30" authorId="0" shapeId="0" xr:uid="{00000000-0006-0000-0100-00006F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c.a. 1000.00</t>
        </r>
      </text>
    </comment>
    <comment ref="B31" authorId="0" shapeId="0" xr:uid="{00000000-0006-0000-0100-00001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13,392.00 old</t>
        </r>
      </text>
    </comment>
    <comment ref="L31" authorId="0" shapeId="0" xr:uid="{00000000-0006-0000-0100-00003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</t>
        </r>
      </text>
    </comment>
    <comment ref="W31" authorId="0" shapeId="0" xr:uid="{00000000-0006-0000-0100-00006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396.58 PAG IBIG SALARY LOAN </t>
        </r>
      </text>
    </comment>
    <comment ref="B32" authorId="0" shapeId="0" xr:uid="{00000000-0006-0000-0100-00001A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old 20140.00
</t>
        </r>
      </text>
    </comment>
    <comment ref="T32" authorId="0" shapeId="0" xr:uid="{00000000-0006-0000-0100-00005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32" authorId="0" shapeId="0" xr:uid="{00000000-0006-0000-0100-00006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L33" authorId="0" shapeId="0" xr:uid="{00000000-0006-0000-0100-00003F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SALARY LOAN 1845.80</t>
        </r>
      </text>
    </comment>
    <comment ref="W33" authorId="0" shapeId="0" xr:uid="{00000000-0006-0000-0100-000064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L34" authorId="0" shapeId="0" xr:uid="{00000000-0006-0000-0100-00004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SAL LOAN 1845.80</t>
        </r>
      </text>
    </comment>
    <comment ref="T34" authorId="0" shapeId="0" xr:uid="{00000000-0006-0000-0100-00005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35" authorId="0" shapeId="0" xr:uid="{00000000-0006-0000-0100-00001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21,836.00 old</t>
        </r>
      </text>
    </comment>
    <comment ref="L35" authorId="0" shapeId="0" xr:uid="{00000000-0006-0000-0100-000041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salary loan</t>
        </r>
      </text>
    </comment>
    <comment ref="T35" authorId="0" shapeId="0" xr:uid="{00000000-0006-0000-0100-000052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W35" authorId="0" shapeId="0" xr:uid="{00000000-0006-0000-0100-000065000000}">
      <text>
        <r>
          <rPr>
            <sz val="10"/>
            <rFont val="Arial"/>
            <family val="2"/>
          </rPr>
          <t>Ma. Eliza Delis Borja:hdmf salary loan</t>
        </r>
      </text>
    </comment>
    <comment ref="B36" authorId="0" shapeId="0" xr:uid="{00000000-0006-0000-0100-00001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16786.00 old</t>
        </r>
      </text>
    </comment>
    <comment ref="W36" authorId="0" shapeId="0" xr:uid="{00000000-0006-0000-0100-000066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loan salary 941.46</t>
        </r>
      </text>
    </comment>
    <comment ref="L37" authorId="0" shapeId="0" xr:uid="{00000000-0006-0000-0100-00004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SAL. LOAN 1661.22
 SSS salary loan payment for July will be deducted on August 2nd half payou</t>
        </r>
      </text>
    </comment>
    <comment ref="B38" authorId="0" shapeId="0" xr:uid="{00000000-0006-0000-0100-00001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 
1ST SALARY</t>
        </r>
      </text>
    </comment>
    <comment ref="B39" authorId="0" shapeId="0" xr:uid="{00000000-0006-0000-0100-00001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18000.00 old
19303.00 old
28000 new</t>
        </r>
      </text>
    </comment>
    <comment ref="T39" authorId="0" shapeId="0" xr:uid="{00000000-0006-0000-0100-00005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40" authorId="0" shapeId="0" xr:uid="{00000000-0006-0000-0100-00001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OLD 20K</t>
        </r>
      </text>
    </comment>
    <comment ref="T40" authorId="0" shapeId="0" xr:uid="{00000000-0006-0000-0100-00005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41" authorId="0" shapeId="0" xr:uid="{00000000-0006-0000-0100-00002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43" authorId="0" shapeId="0" xr:uid="{00000000-0006-0000-0100-00002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27,200.00 old
</t>
        </r>
      </text>
    </comment>
    <comment ref="G43" authorId="0" shapeId="0" xr:uid="{00000000-0006-0000-0100-00002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FROM EP TO HER</t>
        </r>
      </text>
    </comment>
    <comment ref="Z43" authorId="0" shapeId="0" xr:uid="{00000000-0006-0000-0100-00007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2915.91 m.a.</t>
        </r>
      </text>
    </comment>
    <comment ref="B44" authorId="0" shapeId="0" xr:uid="{00000000-0006-0000-0100-00002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45" authorId="0" shapeId="0" xr:uid="{00000000-0006-0000-0100-00002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24600.00</t>
        </r>
      </text>
    </comment>
    <comment ref="T45" authorId="0" shapeId="0" xr:uid="{00000000-0006-0000-0100-00005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B46" authorId="0" shapeId="0" xr:uid="{00000000-0006-0000-0100-00002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 old
14000 new</t>
        </r>
      </text>
    </comment>
    <comment ref="L46" authorId="0" shapeId="0" xr:uid="{00000000-0006-0000-0100-00004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
</t>
        </r>
      </text>
    </comment>
    <comment ref="AK46" authorId="0" shapeId="0" xr:uid="{00000000-0006-0000-0100-000077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CASH</t>
        </r>
      </text>
    </comment>
    <comment ref="B47" authorId="0" shapeId="0" xr:uid="{00000000-0006-0000-0100-00002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L47" authorId="0" shapeId="0" xr:uid="{00000000-0006-0000-0100-00004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1568.93</t>
        </r>
      </text>
    </comment>
    <comment ref="B48" authorId="0" shapeId="0" xr:uid="{00000000-0006-0000-0100-00002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11033.28 OLD 
16000 NEW</t>
        </r>
      </text>
    </comment>
    <comment ref="H48" authorId="0" shapeId="0" xr:uid="{00000000-0006-0000-0100-00002D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NO CONTRI., TRANSFER TO HER</t>
        </r>
      </text>
    </comment>
    <comment ref="Y48" authorId="0" shapeId="0" xr:uid="{00000000-0006-0000-0100-00007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c.a.</t>
        </r>
      </text>
    </comment>
    <comment ref="B49" authorId="0" shapeId="0" xr:uid="{00000000-0006-0000-0100-00002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14,100.00 old</t>
        </r>
      </text>
    </comment>
    <comment ref="B50" authorId="0" shapeId="0" xr:uid="{00000000-0006-0000-0100-00002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12000.00 old</t>
        </r>
      </text>
    </comment>
    <comment ref="X50" authorId="0" shapeId="0" xr:uid="{00000000-0006-0000-0100-00006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paid</t>
        </r>
      </text>
    </comment>
    <comment ref="B51" authorId="0" shapeId="0" xr:uid="{00000000-0006-0000-0100-00002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15,000.00 old
18000 OLD</t>
        </r>
      </text>
    </comment>
    <comment ref="T51" authorId="0" shapeId="0" xr:uid="{00000000-0006-0000-0100-00005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Y51" authorId="0" shapeId="0" xr:uid="{00000000-0006-0000-0100-00007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CA 1000
</t>
        </r>
      </text>
    </comment>
    <comment ref="B52" authorId="0" shapeId="0" xr:uid="{00000000-0006-0000-0100-00002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24,300.00 old</t>
        </r>
      </text>
    </comment>
    <comment ref="T52" authorId="0" shapeId="0" xr:uid="{00000000-0006-0000-0100-00005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B55" authorId="0" shapeId="0" xr:uid="{00000000-0006-0000-0100-00002B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12350 OLD
13564.00 NEW</t>
        </r>
      </text>
    </comment>
  </commentList>
</comments>
</file>

<file path=xl/sharedStrings.xml><?xml version="1.0" encoding="utf-8"?>
<sst xmlns="http://schemas.openxmlformats.org/spreadsheetml/2006/main" count="571" uniqueCount="181">
  <si>
    <t>DURAVILLE REALTY AND DEVELOPMENT CORPORATION</t>
  </si>
  <si>
    <t xml:space="preserve">MONTHLY PAYROLL DATA </t>
  </si>
  <si>
    <t>FOR THE MONTH OF FEBRUARY 2024</t>
  </si>
  <si>
    <t>Rate</t>
  </si>
  <si>
    <t>Gross Pay</t>
  </si>
  <si>
    <t>Hol. Pay          30%</t>
  </si>
  <si>
    <t>Basic pay adjustment</t>
  </si>
  <si>
    <t>OT Pay</t>
  </si>
  <si>
    <t>Total Gross</t>
  </si>
  <si>
    <t>SSS CONTRIBUTION</t>
  </si>
  <si>
    <t>SSS Loan</t>
  </si>
  <si>
    <t>SSS Calamity Loan</t>
  </si>
  <si>
    <t>PHILHEALTH CONTRIBUTION</t>
  </si>
  <si>
    <t>W/ TAX 2024</t>
  </si>
  <si>
    <t>HDMF CONTRIBUTION</t>
  </si>
  <si>
    <t>HDMF LOAN</t>
  </si>
  <si>
    <t>HDMF CALAMITY</t>
  </si>
  <si>
    <t>CASH ADVANCE</t>
  </si>
  <si>
    <t>Personal Loan (MA)</t>
  </si>
  <si>
    <t>Less: 13th Month Pay over Payment</t>
  </si>
  <si>
    <t xml:space="preserve">Add: 13th Month Pay </t>
  </si>
  <si>
    <t>NET GROSS</t>
  </si>
  <si>
    <t xml:space="preserve"> </t>
  </si>
  <si>
    <t>Add: Others                Adjustment</t>
  </si>
  <si>
    <t>Less: Other Adj.</t>
  </si>
  <si>
    <t>Net Pay</t>
  </si>
  <si>
    <t>Employee</t>
  </si>
  <si>
    <t>Share</t>
  </si>
  <si>
    <t>Total</t>
  </si>
  <si>
    <t>EC</t>
  </si>
  <si>
    <t>Comb.</t>
  </si>
  <si>
    <t>1% PHIC. EMP</t>
  </si>
  <si>
    <t>1% PHIC. EMPLR</t>
  </si>
  <si>
    <t>1% PHIC. COMB.</t>
  </si>
  <si>
    <t>Return</t>
  </si>
  <si>
    <t>Allowance</t>
  </si>
  <si>
    <t>SSS Salary Loan</t>
  </si>
  <si>
    <t>Regular Allowance</t>
  </si>
  <si>
    <t>Holiday/RDOT Pay</t>
  </si>
  <si>
    <t>Meal</t>
  </si>
  <si>
    <t>Developmental</t>
  </si>
  <si>
    <t>ABRIAM, AGNES BURGOS</t>
  </si>
  <si>
    <t>ASUNCION, SHERILYN DE GUZMAN</t>
  </si>
  <si>
    <t>BALDERAS, APRIL CLARISSE ALLEQUIR</t>
  </si>
  <si>
    <t>BOLANTE, IVAN MENDOZA</t>
  </si>
  <si>
    <t>BALOLOY, SARAH HIZO</t>
  </si>
  <si>
    <t>BONGAT, JEFFERSON SY</t>
  </si>
  <si>
    <t>BORJA, MA. ELIZA DELIS</t>
  </si>
  <si>
    <t>CAPILLAN, MURIEL TUANQUIN</t>
  </si>
  <si>
    <t>COLUMNA, ALMA ZAPATA</t>
  </si>
  <si>
    <t>CUARTEROS, ROCHELLE SARAH MERILLES</t>
  </si>
  <si>
    <t>DE JOSE, GLEDA GICANGAO</t>
  </si>
  <si>
    <t>DELOS REYES, ANGELICO ZENON MONTEMAYOR</t>
  </si>
  <si>
    <t>DIVINA, MICHELLE COBICO</t>
  </si>
  <si>
    <t>DOMIQUIL, CONSTANCIO NAVARRO</t>
  </si>
  <si>
    <t>DUNGQUE, MARIA RAYLEN AGANG</t>
  </si>
  <si>
    <t>FERNANDEZ, MARIBETH ANTIQUINA</t>
  </si>
  <si>
    <t>FLORESTA, GLEN</t>
  </si>
  <si>
    <t>LIM, JENNIFER BONGAT</t>
  </si>
  <si>
    <t>LEMON, LYRA NICANOR</t>
  </si>
  <si>
    <t>MAKIRAMDAM, MILYN PANGANIBAN</t>
  </si>
  <si>
    <t>MANAPAT, MYTRICIA LAIZEL FULGUERAS</t>
  </si>
  <si>
    <t xml:space="preserve">MANITAS, SYRA SHIN </t>
  </si>
  <si>
    <t>MARRAY, ALYSSA JORNACION</t>
  </si>
  <si>
    <t>MEDALLA, RIZZA ALMOETE</t>
  </si>
  <si>
    <t>MENDEZ, REDEEMER DE LEON</t>
  </si>
  <si>
    <t>1st cut-off</t>
  </si>
  <si>
    <t>MOYANO, MARY LAYKA PEDERIO</t>
  </si>
  <si>
    <t>allowance</t>
  </si>
  <si>
    <t>NATIVIDAD, LORA RUTH FRONDA</t>
  </si>
  <si>
    <t>Cash</t>
  </si>
  <si>
    <t>PELAYO, LORENA EDEM</t>
  </si>
  <si>
    <t>TOTAL</t>
  </si>
  <si>
    <t>SAN LUIS, MARIBEL MANAOG</t>
  </si>
  <si>
    <t>SEBESON, PAULA MAE DUSONG</t>
  </si>
  <si>
    <t>2nd cut-off</t>
  </si>
  <si>
    <t>SIBUG, PATRIZIA LOU GUINTO</t>
  </si>
  <si>
    <t>TABOTABO, MARK STEPHEN PAMINTUAN</t>
  </si>
  <si>
    <t>VISMONTE, MA. CRISTINA BARBECHO</t>
  </si>
  <si>
    <t>YARTE, JEFFREY CECILIO</t>
  </si>
  <si>
    <t>executive</t>
  </si>
  <si>
    <t>ELLISTON PLACE</t>
  </si>
  <si>
    <t>Others                Adjustment</t>
  </si>
  <si>
    <t>atm</t>
  </si>
  <si>
    <t>CASH</t>
  </si>
  <si>
    <t>total</t>
  </si>
  <si>
    <t>P</t>
  </si>
  <si>
    <t>ATM</t>
  </si>
  <si>
    <t>MARY CRIS COMPLEX</t>
  </si>
  <si>
    <t>Hol. Pay 30%</t>
  </si>
  <si>
    <t>Basic Adj.</t>
  </si>
  <si>
    <t>Tax Addition</t>
  </si>
  <si>
    <t>Incentive</t>
  </si>
  <si>
    <t xml:space="preserve">  </t>
  </si>
  <si>
    <t>WELLINGTON PLACE</t>
  </si>
  <si>
    <t>WELLINGTON TANZA RESIDENCES</t>
  </si>
  <si>
    <t>Other                Deduction</t>
  </si>
  <si>
    <t>Allowance Adj.</t>
  </si>
  <si>
    <t xml:space="preserve">atm </t>
  </si>
  <si>
    <t>QUEENSTOWN HEIGHTS 2</t>
  </si>
  <si>
    <t>Other &amp; leaves</t>
  </si>
  <si>
    <t>PHIC</t>
  </si>
  <si>
    <t>BASE PAYROLL REGISTER</t>
  </si>
  <si>
    <t>DIFF.</t>
  </si>
  <si>
    <t>ATM TOTAL</t>
  </si>
  <si>
    <t>EXEC.</t>
  </si>
  <si>
    <t>GRAND TOTAL</t>
  </si>
  <si>
    <t>AWOL</t>
  </si>
  <si>
    <t>PACHECO, JAYSON HILVANO</t>
  </si>
  <si>
    <t>WTR TO NLDC</t>
  </si>
  <si>
    <t>HANGOR, JENEGEN CORDANO</t>
  </si>
  <si>
    <t>DRDC</t>
  </si>
  <si>
    <t>COLUMNA, RODNEY ZAPATA - RESIGN</t>
  </si>
  <si>
    <t>EP to HER</t>
  </si>
  <si>
    <t xml:space="preserve">PILORIN, GENPER SIVILA </t>
  </si>
  <si>
    <t>CANTAR, PRINCESS ANGELINE</t>
  </si>
  <si>
    <t>DE GUZMAN, MIA DATINGINOO</t>
  </si>
  <si>
    <t>WP - RESIGNED</t>
  </si>
  <si>
    <t>DELA CRUZ, ANN ROZALYN LUZ</t>
  </si>
  <si>
    <t>WP TO HER</t>
  </si>
  <si>
    <t>CORNEL, JOSEPH CUELA - FROM WP TO HER 2/16/2024</t>
  </si>
  <si>
    <t>EP TO HER</t>
  </si>
  <si>
    <t>MARTEJA, GEORGE DELA TORRE FROM EP TO HER</t>
  </si>
  <si>
    <t>WTR - RESIGN 2/15/2024</t>
  </si>
  <si>
    <t>JEPOLLO, KIZIA MAE MONTESA - DEDUCT SSS, PHIC &amp; PAG-IBIG</t>
  </si>
  <si>
    <t xml:space="preserve">EP </t>
  </si>
  <si>
    <t>MALACAS, JERICO CRUZ RESIGN 2/17/2024 - DEDUCT SSS, PHIC &amp; PAG-IBIG</t>
  </si>
  <si>
    <t>Name</t>
  </si>
  <si>
    <t>Gross_Pay</t>
  </si>
  <si>
    <t>Hol._Pay_30%</t>
  </si>
  <si>
    <t>Basic pay_adjustment</t>
  </si>
  <si>
    <t>OT_Pay</t>
  </si>
  <si>
    <t>Total_Gross</t>
  </si>
  <si>
    <t>SSS_Employee_Remt</t>
  </si>
  <si>
    <t>SSS_Employer_share</t>
  </si>
  <si>
    <t>SSSS_Total</t>
  </si>
  <si>
    <t>SSS_Loan</t>
  </si>
  <si>
    <t>SSS_Calamity Loan</t>
  </si>
  <si>
    <t>PHIC_Employee</t>
  </si>
  <si>
    <t>PHIC_Rmployer_Share</t>
  </si>
  <si>
    <t>PHIC_Combi</t>
  </si>
  <si>
    <t>1%_PHIC_EMP</t>
  </si>
  <si>
    <t>1%_PHIC_ EMPLR</t>
  </si>
  <si>
    <t>1%_PHIC._COMB</t>
  </si>
  <si>
    <t>W_TAX_2024</t>
  </si>
  <si>
    <t>HDMF_CONTRIBUTION_employee</t>
  </si>
  <si>
    <t>HDMF_CONTRIBUTION_employer</t>
  </si>
  <si>
    <t>HDMF_LOAN</t>
  </si>
  <si>
    <t>HDMF_CALAMITY</t>
  </si>
  <si>
    <t>CASH_ADVANCE</t>
  </si>
  <si>
    <t>Personal_Loan_(MA)</t>
  </si>
  <si>
    <t>13th_Month_Pay_over_Payment</t>
  </si>
  <si>
    <t>Ad 13 Month Pay</t>
  </si>
  <si>
    <t>Return_loan_sss_loan</t>
  </si>
  <si>
    <t>NET_GROSS</t>
  </si>
  <si>
    <t>Regular_Allowance</t>
  </si>
  <si>
    <t>Holiday_RDOT_Pay</t>
  </si>
  <si>
    <t>meal</t>
  </si>
  <si>
    <t>Add_Others Adjustment</t>
  </si>
  <si>
    <t>Less_Other_Adj</t>
  </si>
  <si>
    <t>Net_Pay</t>
  </si>
  <si>
    <t>BERNADIT, SERAPIO MAHAYAG</t>
  </si>
  <si>
    <t>CORONEJO, JOSEPH BUENO</t>
  </si>
  <si>
    <t>DELA PASION, RECEL DELIMA</t>
  </si>
  <si>
    <t>EVANGELISTA, JOSHUA CALINISAN</t>
  </si>
  <si>
    <t>HERMO, GRAZELENE ANNE</t>
  </si>
  <si>
    <t>LIPIAN, MA. CERLITA</t>
  </si>
  <si>
    <t>MALACAS, JERICO CRUZ</t>
  </si>
  <si>
    <t>MARTEJA, GEORGE DELA TORRE</t>
  </si>
  <si>
    <t>REQUISO, MERIAM LICAYAN</t>
  </si>
  <si>
    <t>SAMBAJON, MA. CRISTINA FAUNI</t>
  </si>
  <si>
    <t>SILONG, JIRALP VALDEZ</t>
  </si>
  <si>
    <t>ANGELES, LEOSELLE ARCENO</t>
  </si>
  <si>
    <t>CORNEL, JOSEPH CUELA</t>
  </si>
  <si>
    <t>JEPOLLO, KIZIA MAE MONTESA</t>
  </si>
  <si>
    <t>NAYANGGA, RICKY GUANDE</t>
  </si>
  <si>
    <t>CORONEJO, FREDDIE BUENO</t>
  </si>
  <si>
    <t>DELA TORRE, CHERRY BAUTISTA</t>
  </si>
  <si>
    <t>PARTIBLE, OSCAR AGLIAM</t>
  </si>
  <si>
    <t>REY, JOEL SERVILLA</t>
  </si>
  <si>
    <t>ROSALLOSA, MARJHON PONPON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</si>
</sst>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25" x14ac:knownFonts="1">
    <font>
      <sz val="11"/>
      <color theme="1"/>
      <name val="Calibri"/>
      <family val="2"/>
      <charset val="1"/>
    </font>
    <font>
      <b/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sz val="9"/>
      <color theme="1"/>
      <name val="Arial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sz val="8"/>
      <name val="Arial"/>
      <family val="2"/>
      <charset val="1"/>
    </font>
    <font>
      <sz val="10"/>
      <color theme="1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color rgb="FFFF0000"/>
      <name val="Arial"/>
      <family val="2"/>
      <charset val="1"/>
    </font>
    <font>
      <sz val="7"/>
      <color theme="1"/>
      <name val="Arial"/>
      <family val="2"/>
      <charset val="1"/>
    </font>
    <font>
      <b/>
      <sz val="5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sz val="8"/>
      <color rgb="FFFF0000"/>
      <name val="Arial"/>
      <family val="2"/>
      <charset val="1"/>
    </font>
    <font>
      <sz val="8"/>
      <color theme="1" tint="4.9897762993255407E-2"/>
      <name val="Arial"/>
      <family val="2"/>
      <charset val="1"/>
    </font>
    <font>
      <sz val="8"/>
      <color theme="0"/>
      <name val="Arial"/>
      <family val="2"/>
      <charset val="1"/>
    </font>
    <font>
      <b/>
      <sz val="10"/>
      <color theme="1"/>
      <name val="Arial"/>
      <family val="2"/>
      <charset val="1"/>
    </font>
    <font>
      <sz val="10"/>
      <color rgb="FFFF000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164" fontId="24" fillId="0" borderId="0" applyBorder="0" applyProtection="0"/>
    <xf numFmtId="164" fontId="24" fillId="0" borderId="0" applyBorder="0" applyProtection="0"/>
  </cellStyleXfs>
  <cellXfs count="125">
    <xf numFmtId="0" fontId="0" fillId="0" borderId="0" xfId="0"/>
    <xf numFmtId="0" fontId="17" fillId="0" borderId="0" xfId="0" applyFont="1" applyAlignment="1">
      <alignment horizontal="left" wrapText="1"/>
    </xf>
    <xf numFmtId="164" fontId="4" fillId="0" borderId="8" xfId="1" applyFont="1" applyBorder="1" applyAlignment="1" applyProtection="1">
      <alignment horizontal="center"/>
    </xf>
    <xf numFmtId="164" fontId="4" fillId="0" borderId="2" xfId="1" applyFont="1" applyBorder="1" applyAlignment="1" applyProtection="1">
      <alignment horizontal="center"/>
    </xf>
    <xf numFmtId="164" fontId="4" fillId="0" borderId="6" xfId="1" applyFont="1" applyBorder="1" applyAlignment="1" applyProtection="1">
      <alignment horizontal="center"/>
    </xf>
    <xf numFmtId="0" fontId="5" fillId="0" borderId="1" xfId="0" applyFont="1" applyBorder="1" applyAlignment="1">
      <alignment horizontal="center" vertical="center" wrapText="1"/>
    </xf>
    <xf numFmtId="164" fontId="3" fillId="0" borderId="1" xfId="1" applyFont="1" applyBorder="1" applyAlignment="1" applyProtection="1">
      <alignment horizontal="center"/>
    </xf>
    <xf numFmtId="164" fontId="4" fillId="0" borderId="3" xfId="1" applyFont="1" applyBorder="1" applyAlignment="1" applyProtection="1">
      <alignment horizontal="center"/>
    </xf>
    <xf numFmtId="164" fontId="4" fillId="0" borderId="4" xfId="1" applyFont="1" applyBorder="1" applyAlignment="1" applyProtection="1">
      <alignment horizontal="center" wrapText="1"/>
    </xf>
    <xf numFmtId="164" fontId="4" fillId="0" borderId="2" xfId="1" applyFont="1" applyBorder="1" applyAlignment="1" applyProtection="1">
      <alignment horizontal="center" wrapText="1"/>
    </xf>
    <xf numFmtId="164" fontId="4" fillId="0" borderId="1" xfId="1" applyFont="1" applyBorder="1" applyAlignment="1" applyProtection="1">
      <alignment horizontal="center"/>
    </xf>
    <xf numFmtId="164" fontId="4" fillId="0" borderId="1" xfId="1" applyFont="1" applyBorder="1" applyAlignment="1" applyProtection="1">
      <alignment horizontal="center" wrapText="1"/>
    </xf>
    <xf numFmtId="164" fontId="3" fillId="0" borderId="1" xfId="1" applyFont="1" applyBorder="1" applyAlignment="1" applyProtection="1">
      <alignment horizontal="center" wrapText="1"/>
    </xf>
    <xf numFmtId="0" fontId="1" fillId="0" borderId="0" xfId="0" applyFont="1"/>
    <xf numFmtId="164" fontId="1" fillId="0" borderId="0" xfId="1" applyFont="1" applyBorder="1" applyAlignment="1" applyProtection="1"/>
    <xf numFmtId="164" fontId="2" fillId="0" borderId="0" xfId="1" applyFont="1" applyBorder="1" applyAlignment="1" applyProtection="1"/>
    <xf numFmtId="0" fontId="2" fillId="0" borderId="0" xfId="0" applyFont="1"/>
    <xf numFmtId="164" fontId="1" fillId="0" borderId="0" xfId="1" applyFont="1" applyBorder="1" applyProtection="1"/>
    <xf numFmtId="164" fontId="4" fillId="0" borderId="1" xfId="1" applyFont="1" applyBorder="1" applyAlignment="1" applyProtection="1">
      <alignment horizontal="center" wrapText="1"/>
    </xf>
    <xf numFmtId="164" fontId="4" fillId="0" borderId="1" xfId="1" applyFont="1" applyBorder="1" applyAlignment="1" applyProtection="1">
      <alignment horizontal="center"/>
    </xf>
    <xf numFmtId="164" fontId="4" fillId="0" borderId="2" xfId="1" applyFont="1" applyBorder="1" applyAlignment="1" applyProtection="1">
      <alignment horizontal="center" wrapText="1"/>
    </xf>
    <xf numFmtId="164" fontId="4" fillId="0" borderId="3" xfId="1" applyFont="1" applyBorder="1" applyAlignment="1" applyProtection="1">
      <alignment wrapText="1"/>
    </xf>
    <xf numFmtId="164" fontId="4" fillId="0" borderId="3" xfId="1" applyFont="1" applyBorder="1" applyAlignment="1" applyProtection="1">
      <alignment horizontal="center"/>
    </xf>
    <xf numFmtId="164" fontId="3" fillId="0" borderId="0" xfId="1" applyFont="1" applyBorder="1" applyProtection="1"/>
    <xf numFmtId="0" fontId="3" fillId="0" borderId="0" xfId="0" applyFont="1"/>
    <xf numFmtId="164" fontId="3" fillId="0" borderId="1" xfId="1" applyFont="1" applyBorder="1" applyAlignment="1" applyProtection="1">
      <alignment horizontal="center"/>
    </xf>
    <xf numFmtId="164" fontId="4" fillId="0" borderId="5" xfId="1" applyFont="1" applyBorder="1" applyAlignment="1" applyProtection="1">
      <alignment horizontal="center" wrapText="1"/>
    </xf>
    <xf numFmtId="164" fontId="4" fillId="0" borderId="6" xfId="1" applyFont="1" applyBorder="1" applyAlignment="1" applyProtection="1">
      <alignment horizontal="center"/>
    </xf>
    <xf numFmtId="164" fontId="3" fillId="0" borderId="1" xfId="1" applyFont="1" applyBorder="1" applyAlignment="1" applyProtection="1"/>
    <xf numFmtId="164" fontId="4" fillId="0" borderId="6" xfId="1" applyFont="1" applyBorder="1" applyAlignment="1" applyProtection="1">
      <alignment horizontal="center" wrapText="1"/>
    </xf>
    <xf numFmtId="164" fontId="3" fillId="0" borderId="0" xfId="1" applyFont="1" applyBorder="1" applyAlignment="1" applyProtection="1"/>
    <xf numFmtId="0" fontId="4" fillId="0" borderId="1" xfId="0" applyFont="1" applyBorder="1"/>
    <xf numFmtId="164" fontId="3" fillId="0" borderId="6" xfId="1" applyFont="1" applyBorder="1" applyAlignment="1" applyProtection="1"/>
    <xf numFmtId="164" fontId="4" fillId="0" borderId="6" xfId="1" applyFont="1" applyBorder="1" applyAlignment="1" applyProtection="1"/>
    <xf numFmtId="164" fontId="4" fillId="0" borderId="1" xfId="1" applyFont="1" applyBorder="1" applyAlignment="1" applyProtection="1"/>
    <xf numFmtId="164" fontId="6" fillId="0" borderId="6" xfId="1" applyFont="1" applyBorder="1" applyAlignment="1" applyProtection="1"/>
    <xf numFmtId="164" fontId="4" fillId="0" borderId="7" xfId="1" applyFont="1" applyBorder="1" applyAlignment="1" applyProtection="1"/>
    <xf numFmtId="164" fontId="4" fillId="0" borderId="2" xfId="1" applyFont="1" applyBorder="1" applyAlignment="1" applyProtection="1"/>
    <xf numFmtId="164" fontId="4" fillId="0" borderId="4" xfId="1" applyFont="1" applyBorder="1" applyAlignment="1" applyProtection="1"/>
    <xf numFmtId="0" fontId="7" fillId="0" borderId="0" xfId="0" applyFont="1"/>
    <xf numFmtId="164" fontId="3" fillId="0" borderId="1" xfId="1" applyFont="1" applyBorder="1" applyAlignment="1" applyProtection="1">
      <alignment wrapText="1"/>
    </xf>
    <xf numFmtId="164" fontId="8" fillId="0" borderId="0" xfId="1" applyFont="1" applyBorder="1" applyProtection="1"/>
    <xf numFmtId="0" fontId="9" fillId="0" borderId="0" xfId="0" applyFont="1"/>
    <xf numFmtId="0" fontId="4" fillId="0" borderId="1" xfId="0" applyFont="1" applyBorder="1" applyAlignment="1">
      <alignment horizontal="left"/>
    </xf>
    <xf numFmtId="164" fontId="9" fillId="0" borderId="0" xfId="1" applyFont="1" applyBorder="1" applyAlignment="1" applyProtection="1"/>
    <xf numFmtId="164" fontId="9" fillId="0" borderId="8" xfId="1" applyFont="1" applyBorder="1" applyAlignment="1" applyProtection="1"/>
    <xf numFmtId="164" fontId="3" fillId="0" borderId="6" xfId="1" applyFont="1" applyBorder="1" applyAlignment="1" applyProtection="1">
      <alignment horizontal="center"/>
    </xf>
    <xf numFmtId="164" fontId="10" fillId="0" borderId="0" xfId="1" applyFont="1" applyBorder="1" applyAlignment="1" applyProtection="1"/>
    <xf numFmtId="164" fontId="3" fillId="0" borderId="0" xfId="1" applyFont="1" applyBorder="1" applyAlignment="1" applyProtection="1">
      <alignment horizontal="center"/>
    </xf>
    <xf numFmtId="164" fontId="4" fillId="0" borderId="9" xfId="1" applyFont="1" applyBorder="1" applyAlignment="1" applyProtection="1"/>
    <xf numFmtId="164" fontId="4" fillId="0" borderId="10" xfId="1" applyFont="1" applyBorder="1" applyAlignment="1" applyProtection="1"/>
    <xf numFmtId="164" fontId="4" fillId="0" borderId="11" xfId="1" applyFont="1" applyBorder="1" applyAlignment="1" applyProtection="1"/>
    <xf numFmtId="0" fontId="11" fillId="0" borderId="0" xfId="0" applyFont="1"/>
    <xf numFmtId="164" fontId="4" fillId="0" borderId="0" xfId="1" applyFont="1" applyBorder="1" applyAlignment="1" applyProtection="1"/>
    <xf numFmtId="164" fontId="11" fillId="0" borderId="0" xfId="1" applyFont="1" applyBorder="1" applyProtection="1"/>
    <xf numFmtId="164" fontId="12" fillId="0" borderId="0" xfId="1" applyFont="1" applyBorder="1" applyAlignment="1" applyProtection="1"/>
    <xf numFmtId="0" fontId="13" fillId="0" borderId="0" xfId="0" applyFont="1"/>
    <xf numFmtId="164" fontId="4" fillId="0" borderId="8" xfId="1" applyFont="1" applyBorder="1" applyAlignment="1" applyProtection="1"/>
    <xf numFmtId="164" fontId="14" fillId="0" borderId="0" xfId="1" applyFont="1" applyBorder="1" applyAlignment="1" applyProtection="1"/>
    <xf numFmtId="164" fontId="15" fillId="0" borderId="0" xfId="1" applyFont="1" applyBorder="1" applyAlignment="1" applyProtection="1"/>
    <xf numFmtId="164" fontId="16" fillId="0" borderId="0" xfId="1" applyFont="1" applyBorder="1" applyAlignment="1" applyProtection="1"/>
    <xf numFmtId="164" fontId="4" fillId="0" borderId="7" xfId="1" applyFont="1" applyBorder="1" applyAlignment="1" applyProtection="1">
      <alignment horizontal="center"/>
    </xf>
    <xf numFmtId="164" fontId="4" fillId="0" borderId="8" xfId="1" applyFont="1" applyBorder="1" applyAlignment="1" applyProtection="1">
      <alignment horizontal="center"/>
    </xf>
    <xf numFmtId="164" fontId="3" fillId="0" borderId="1" xfId="1" applyFont="1" applyBorder="1" applyProtection="1"/>
    <xf numFmtId="164" fontId="4" fillId="0" borderId="1" xfId="1" applyFont="1" applyBorder="1" applyAlignment="1" applyProtection="1">
      <alignment horizontal="center" vertical="center" wrapText="1"/>
    </xf>
    <xf numFmtId="164" fontId="17" fillId="0" borderId="6" xfId="1" applyFont="1" applyBorder="1" applyAlignment="1" applyProtection="1"/>
    <xf numFmtId="164" fontId="17" fillId="0" borderId="1" xfId="1" applyFont="1" applyBorder="1" applyAlignment="1" applyProtection="1"/>
    <xf numFmtId="164" fontId="17" fillId="0" borderId="6" xfId="1" applyFont="1" applyBorder="1" applyAlignment="1" applyProtection="1">
      <alignment horizontal="left"/>
    </xf>
    <xf numFmtId="0" fontId="6" fillId="0" borderId="0" xfId="0" applyFont="1"/>
    <xf numFmtId="164" fontId="3" fillId="0" borderId="6" xfId="1" applyFont="1" applyBorder="1" applyProtection="1"/>
    <xf numFmtId="164" fontId="3" fillId="0" borderId="0" xfId="1" applyFont="1" applyBorder="1" applyAlignment="1" applyProtection="1">
      <alignment horizontal="right"/>
    </xf>
    <xf numFmtId="164" fontId="3" fillId="0" borderId="3" xfId="1" applyFont="1" applyBorder="1" applyAlignment="1" applyProtection="1"/>
    <xf numFmtId="164" fontId="4" fillId="0" borderId="5" xfId="1" applyFont="1" applyBorder="1" applyAlignment="1" applyProtection="1">
      <alignment wrapText="1"/>
    </xf>
    <xf numFmtId="164" fontId="3" fillId="0" borderId="5" xfId="1" applyFont="1" applyBorder="1" applyAlignment="1" applyProtection="1"/>
    <xf numFmtId="164" fontId="4" fillId="0" borderId="6" xfId="1" applyFont="1" applyBorder="1" applyAlignment="1" applyProtection="1">
      <alignment wrapText="1"/>
    </xf>
    <xf numFmtId="164" fontId="4" fillId="0" borderId="6" xfId="1" applyFont="1" applyBorder="1" applyProtection="1"/>
    <xf numFmtId="164" fontId="4" fillId="0" borderId="1" xfId="1" applyFont="1" applyBorder="1" applyProtection="1"/>
    <xf numFmtId="164" fontId="4" fillId="0" borderId="2" xfId="1" applyFont="1" applyBorder="1" applyProtection="1"/>
    <xf numFmtId="164" fontId="3" fillId="0" borderId="9" xfId="1" applyFont="1" applyBorder="1" applyAlignment="1" applyProtection="1"/>
    <xf numFmtId="164" fontId="3" fillId="0" borderId="2" xfId="1" applyFont="1" applyBorder="1" applyAlignment="1" applyProtection="1"/>
    <xf numFmtId="164" fontId="12" fillId="0" borderId="0" xfId="1" applyFont="1" applyBorder="1" applyProtection="1"/>
    <xf numFmtId="164" fontId="4" fillId="0" borderId="3" xfId="1" applyFont="1" applyBorder="1" applyAlignment="1" applyProtection="1">
      <alignment horizontal="center" wrapText="1"/>
    </xf>
    <xf numFmtId="164" fontId="3" fillId="0" borderId="12" xfId="1" applyFont="1" applyBorder="1" applyAlignment="1" applyProtection="1"/>
    <xf numFmtId="164" fontId="3" fillId="0" borderId="13" xfId="1" applyFont="1" applyBorder="1" applyAlignment="1" applyProtection="1"/>
    <xf numFmtId="164" fontId="4" fillId="0" borderId="5" xfId="1" applyFont="1" applyBorder="1" applyAlignment="1" applyProtection="1">
      <alignment horizontal="center"/>
    </xf>
    <xf numFmtId="164" fontId="3" fillId="0" borderId="14" xfId="1" applyFont="1" applyBorder="1" applyAlignment="1" applyProtection="1">
      <alignment horizontal="center"/>
    </xf>
    <xf numFmtId="164" fontId="17" fillId="0" borderId="6" xfId="1" applyFont="1" applyBorder="1" applyProtection="1"/>
    <xf numFmtId="164" fontId="17" fillId="0" borderId="1" xfId="1" applyFont="1" applyBorder="1" applyProtection="1"/>
    <xf numFmtId="164" fontId="3" fillId="0" borderId="9" xfId="1" applyFont="1" applyBorder="1" applyProtection="1"/>
    <xf numFmtId="164" fontId="3" fillId="0" borderId="12" xfId="1" applyFont="1" applyBorder="1" applyAlignment="1" applyProtection="1">
      <alignment wrapText="1"/>
    </xf>
    <xf numFmtId="164" fontId="3" fillId="0" borderId="13" xfId="1" applyFont="1" applyBorder="1" applyAlignment="1" applyProtection="1">
      <alignment wrapText="1"/>
    </xf>
    <xf numFmtId="164" fontId="3" fillId="0" borderId="14" xfId="1" applyFont="1" applyBorder="1" applyAlignment="1" applyProtection="1">
      <alignment horizontal="center" wrapText="1"/>
    </xf>
    <xf numFmtId="164" fontId="7" fillId="0" borderId="0" xfId="1" applyFont="1" applyBorder="1" applyProtection="1"/>
    <xf numFmtId="164" fontId="2" fillId="0" borderId="15" xfId="1" applyFont="1" applyBorder="1" applyAlignment="1" applyProtection="1"/>
    <xf numFmtId="164" fontId="18" fillId="0" borderId="0" xfId="1" applyFont="1" applyBorder="1" applyAlignment="1" applyProtection="1"/>
    <xf numFmtId="0" fontId="4" fillId="0" borderId="0" xfId="0" applyFont="1"/>
    <xf numFmtId="164" fontId="18" fillId="0" borderId="0" xfId="1" applyFont="1" applyBorder="1" applyAlignment="1" applyProtection="1">
      <alignment horizontal="center"/>
    </xf>
    <xf numFmtId="0" fontId="4" fillId="0" borderId="0" xfId="0" applyFont="1" applyAlignment="1">
      <alignment horizontal="right"/>
    </xf>
    <xf numFmtId="0" fontId="17" fillId="0" borderId="0" xfId="0" applyFont="1"/>
    <xf numFmtId="0" fontId="17" fillId="0" borderId="0" xfId="0" applyFont="1" applyAlignment="1">
      <alignment horizontal="right"/>
    </xf>
    <xf numFmtId="164" fontId="4" fillId="0" borderId="2" xfId="2" applyFont="1" applyBorder="1" applyAlignment="1" applyProtection="1"/>
    <xf numFmtId="164" fontId="4" fillId="0" borderId="16" xfId="2" applyFont="1" applyBorder="1" applyAlignment="1" applyProtection="1"/>
    <xf numFmtId="164" fontId="17" fillId="0" borderId="1" xfId="2" applyFont="1" applyBorder="1" applyAlignment="1" applyProtection="1"/>
    <xf numFmtId="164" fontId="4" fillId="0" borderId="1" xfId="2" applyFont="1" applyBorder="1" applyAlignment="1" applyProtection="1"/>
    <xf numFmtId="164" fontId="18" fillId="0" borderId="1" xfId="1" applyFont="1" applyBorder="1" applyAlignment="1" applyProtection="1"/>
    <xf numFmtId="0" fontId="3" fillId="0" borderId="1" xfId="0" applyFont="1" applyBorder="1"/>
    <xf numFmtId="0" fontId="19" fillId="0" borderId="0" xfId="0" applyFont="1"/>
    <xf numFmtId="164" fontId="3" fillId="0" borderId="8" xfId="1" applyFont="1" applyBorder="1" applyAlignment="1" applyProtection="1"/>
    <xf numFmtId="164" fontId="14" fillId="0" borderId="2" xfId="2" applyFont="1" applyBorder="1" applyAlignment="1" applyProtection="1"/>
    <xf numFmtId="164" fontId="1" fillId="0" borderId="8" xfId="1" applyFont="1" applyBorder="1" applyAlignment="1" applyProtection="1"/>
    <xf numFmtId="0" fontId="20" fillId="0" borderId="0" xfId="0" applyFont="1"/>
    <xf numFmtId="164" fontId="20" fillId="0" borderId="0" xfId="1" applyFont="1" applyBorder="1" applyAlignment="1" applyProtection="1"/>
    <xf numFmtId="0" fontId="8" fillId="0" borderId="0" xfId="0" applyFont="1"/>
    <xf numFmtId="164" fontId="17" fillId="0" borderId="0" xfId="1" applyFont="1" applyBorder="1" applyAlignment="1" applyProtection="1"/>
    <xf numFmtId="164" fontId="8" fillId="0" borderId="0" xfId="1" applyFont="1" applyBorder="1" applyAlignment="1" applyProtection="1"/>
    <xf numFmtId="0" fontId="21" fillId="0" borderId="0" xfId="0" applyFont="1"/>
    <xf numFmtId="164" fontId="4" fillId="0" borderId="1" xfId="1" applyFont="1" applyBorder="1" applyAlignment="1" applyProtection="1">
      <alignment wrapText="1"/>
    </xf>
    <xf numFmtId="0" fontId="5" fillId="0" borderId="1" xfId="0" applyFont="1" applyBorder="1" applyAlignment="1">
      <alignment vertical="center" wrapText="1"/>
    </xf>
    <xf numFmtId="164" fontId="4" fillId="0" borderId="17" xfId="1" applyFont="1" applyBorder="1" applyAlignment="1" applyProtection="1">
      <alignment wrapText="1"/>
    </xf>
    <xf numFmtId="164" fontId="3" fillId="0" borderId="3" xfId="1" applyFont="1" applyBorder="1" applyAlignment="1" applyProtection="1">
      <alignment wrapText="1"/>
    </xf>
    <xf numFmtId="164" fontId="4" fillId="0" borderId="12" xfId="1" applyFont="1" applyBorder="1" applyAlignment="1" applyProtection="1">
      <alignment wrapText="1"/>
    </xf>
    <xf numFmtId="164" fontId="4" fillId="0" borderId="18" xfId="1" applyFont="1" applyBorder="1" applyAlignment="1" applyProtection="1"/>
    <xf numFmtId="164" fontId="4" fillId="0" borderId="12" xfId="1" applyFont="1" applyBorder="1" applyAlignment="1" applyProtection="1"/>
    <xf numFmtId="164" fontId="4" fillId="0" borderId="3" xfId="1" applyFont="1" applyBorder="1" applyAlignment="1" applyProtection="1"/>
    <xf numFmtId="164" fontId="24" fillId="0" borderId="0" xfId="1"/>
  </cellXfs>
  <cellStyles count="3">
    <cellStyle name="Comma" xfId="1" builtinId="3"/>
    <cellStyle name="Comma 2" xfId="2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138"/>
  <sheetViews>
    <sheetView tabSelected="1" zoomScaleNormal="100" workbookViewId="0">
      <pane xSplit="2" ySplit="6" topLeftCell="H25" activePane="bottomRight" state="frozen"/>
      <selection pane="topRight" activeCell="C1" sqref="C1"/>
      <selection pane="bottomLeft" activeCell="A7" sqref="A7"/>
      <selection pane="bottomRight" activeCell="H116" sqref="H116"/>
    </sheetView>
  </sheetViews>
  <sheetFormatPr defaultColWidth="8.7109375" defaultRowHeight="15" x14ac:dyDescent="0.25"/>
  <cols>
    <col min="1" max="1" width="21.7109375" customWidth="1"/>
    <col min="2" max="3" width="12.42578125" customWidth="1"/>
    <col min="7" max="7" width="16.28515625" customWidth="1"/>
    <col min="8" max="8" width="10.5703125" bestFit="1" customWidth="1"/>
    <col min="10" max="10" width="11.28515625" customWidth="1"/>
    <col min="20" max="20" width="13.140625" customWidth="1"/>
    <col min="30" max="30" width="12.42578125" customWidth="1"/>
    <col min="37" max="37" width="11.42578125" customWidth="1"/>
    <col min="39" max="39" width="13.7109375" customWidth="1"/>
    <col min="41" max="41" width="15.42578125" customWidth="1"/>
  </cols>
  <sheetData>
    <row r="1" spans="1:135" x14ac:dyDescent="0.25">
      <c r="B1" s="13" t="s">
        <v>0</v>
      </c>
      <c r="C1" s="14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4"/>
      <c r="V1" s="15"/>
      <c r="W1" s="15"/>
      <c r="X1" s="15"/>
      <c r="Y1" s="16"/>
      <c r="Z1" s="16"/>
      <c r="AA1" s="16"/>
      <c r="AB1" s="16"/>
      <c r="AC1" s="16"/>
      <c r="AD1" s="16"/>
      <c r="AE1" s="16"/>
      <c r="AF1" s="16"/>
      <c r="AG1" s="17"/>
      <c r="AH1" s="17"/>
      <c r="AI1" s="13"/>
      <c r="AJ1" s="13"/>
      <c r="AK1" s="13"/>
      <c r="AL1" s="13"/>
      <c r="AM1" s="17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</row>
    <row r="2" spans="1:135" x14ac:dyDescent="0.25">
      <c r="B2" s="13" t="s">
        <v>1</v>
      </c>
      <c r="C2" s="14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4"/>
      <c r="V2" s="15"/>
      <c r="W2" s="15"/>
      <c r="X2" s="15"/>
      <c r="Y2" s="16"/>
      <c r="Z2" s="16"/>
      <c r="AA2" s="16"/>
      <c r="AB2" s="16"/>
      <c r="AC2" s="16"/>
      <c r="AD2" s="16"/>
      <c r="AE2" s="16"/>
      <c r="AF2" s="16"/>
      <c r="AG2" s="17"/>
      <c r="AH2" s="17"/>
      <c r="AI2" s="13"/>
      <c r="AJ2" s="13"/>
      <c r="AK2" s="13"/>
      <c r="AL2" s="13"/>
      <c r="AM2" s="17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</row>
    <row r="3" spans="1:135" x14ac:dyDescent="0.25">
      <c r="B3" s="13" t="s">
        <v>2</v>
      </c>
      <c r="C3" s="14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4"/>
      <c r="V3" s="15"/>
      <c r="W3" s="15"/>
      <c r="X3" s="15"/>
      <c r="Y3" s="16"/>
      <c r="Z3" s="16"/>
      <c r="AA3" s="16"/>
      <c r="AB3" s="16"/>
      <c r="AC3" s="16"/>
      <c r="AD3" s="16"/>
      <c r="AE3" s="16"/>
      <c r="AF3" s="16"/>
      <c r="AG3" s="17"/>
      <c r="AH3" s="17"/>
      <c r="AI3" s="13"/>
      <c r="AJ3" s="13"/>
      <c r="AK3" s="13"/>
      <c r="AL3" s="13"/>
      <c r="AM3" s="17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</row>
    <row r="4" spans="1:135" ht="13.5" customHeight="1" x14ac:dyDescent="0.25">
      <c r="B4" s="12" t="s">
        <v>3</v>
      </c>
      <c r="C4" s="12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0" t="s">
        <v>9</v>
      </c>
      <c r="I4" s="10"/>
      <c r="J4" s="10"/>
      <c r="K4" s="10"/>
      <c r="L4" s="11" t="s">
        <v>10</v>
      </c>
      <c r="M4" s="11" t="s">
        <v>11</v>
      </c>
      <c r="N4" s="10" t="s">
        <v>12</v>
      </c>
      <c r="O4" s="10"/>
      <c r="P4" s="10"/>
      <c r="Q4" s="10"/>
      <c r="R4" s="10"/>
      <c r="S4" s="10"/>
      <c r="T4" s="11" t="s">
        <v>13</v>
      </c>
      <c r="U4" s="11" t="s">
        <v>14</v>
      </c>
      <c r="V4" s="11"/>
      <c r="W4" s="12" t="s">
        <v>15</v>
      </c>
      <c r="X4" s="11" t="s">
        <v>16</v>
      </c>
      <c r="Y4" s="11" t="s">
        <v>17</v>
      </c>
      <c r="Z4" s="11" t="s">
        <v>18</v>
      </c>
      <c r="AA4" s="9" t="s">
        <v>19</v>
      </c>
      <c r="AB4" s="11" t="s">
        <v>20</v>
      </c>
      <c r="AC4" s="21"/>
      <c r="AD4" s="8" t="s">
        <v>21</v>
      </c>
      <c r="AE4" s="7" t="s">
        <v>22</v>
      </c>
      <c r="AF4" s="7"/>
      <c r="AG4" s="7"/>
      <c r="AH4" s="7"/>
      <c r="AI4" s="11" t="s">
        <v>23</v>
      </c>
      <c r="AJ4" s="12" t="s">
        <v>24</v>
      </c>
      <c r="AK4" s="10" t="s">
        <v>25</v>
      </c>
      <c r="AL4" s="23"/>
      <c r="AM4" s="23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24"/>
    </row>
    <row r="5" spans="1:135" ht="12.75" customHeight="1" x14ac:dyDescent="0.25">
      <c r="B5" s="12"/>
      <c r="C5" s="12"/>
      <c r="D5" s="11"/>
      <c r="E5" s="11"/>
      <c r="F5" s="11"/>
      <c r="G5" s="11"/>
      <c r="H5" s="10" t="s">
        <v>26</v>
      </c>
      <c r="I5" s="10" t="s">
        <v>27</v>
      </c>
      <c r="J5" s="10" t="s">
        <v>28</v>
      </c>
      <c r="K5" s="11" t="s">
        <v>29</v>
      </c>
      <c r="L5" s="11"/>
      <c r="M5" s="11"/>
      <c r="N5" s="6" t="s">
        <v>26</v>
      </c>
      <c r="O5" s="6" t="s">
        <v>27</v>
      </c>
      <c r="P5" s="6" t="s">
        <v>30</v>
      </c>
      <c r="Q5" s="5" t="s">
        <v>31</v>
      </c>
      <c r="R5" s="5" t="s">
        <v>32</v>
      </c>
      <c r="S5" s="5" t="s">
        <v>33</v>
      </c>
      <c r="T5" s="11"/>
      <c r="U5" s="11"/>
      <c r="V5" s="11"/>
      <c r="W5" s="12"/>
      <c r="X5" s="11"/>
      <c r="Y5" s="11"/>
      <c r="Z5" s="11"/>
      <c r="AA5" s="9"/>
      <c r="AB5" s="11"/>
      <c r="AC5" s="26" t="s">
        <v>34</v>
      </c>
      <c r="AD5" s="8"/>
      <c r="AE5" s="4" t="s">
        <v>35</v>
      </c>
      <c r="AF5" s="4"/>
      <c r="AG5" s="4"/>
      <c r="AH5" s="4"/>
      <c r="AI5" s="11"/>
      <c r="AJ5" s="12"/>
      <c r="AK5" s="10"/>
      <c r="AL5" s="23"/>
      <c r="AM5" s="23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</row>
    <row r="6" spans="1:135" ht="23.25" customHeight="1" x14ac:dyDescent="0.25">
      <c r="B6" s="12"/>
      <c r="C6" s="12"/>
      <c r="D6" s="11"/>
      <c r="E6" s="11"/>
      <c r="F6" s="11"/>
      <c r="G6" s="11"/>
      <c r="H6" s="10"/>
      <c r="I6" s="10"/>
      <c r="J6" s="10"/>
      <c r="K6" s="11"/>
      <c r="L6" s="11"/>
      <c r="M6" s="11"/>
      <c r="N6" s="6"/>
      <c r="O6" s="6"/>
      <c r="P6" s="6"/>
      <c r="Q6" s="5"/>
      <c r="R6" s="5"/>
      <c r="S6" s="5"/>
      <c r="T6" s="11"/>
      <c r="U6" s="28" t="s">
        <v>26</v>
      </c>
      <c r="V6" s="28" t="s">
        <v>27</v>
      </c>
      <c r="W6" s="12"/>
      <c r="X6" s="11"/>
      <c r="Y6" s="11"/>
      <c r="Z6" s="11"/>
      <c r="AA6" s="9"/>
      <c r="AB6" s="11"/>
      <c r="AC6" s="29" t="s">
        <v>36</v>
      </c>
      <c r="AD6" s="8"/>
      <c r="AE6" s="20" t="s">
        <v>37</v>
      </c>
      <c r="AF6" s="18" t="s">
        <v>38</v>
      </c>
      <c r="AG6" s="18" t="s">
        <v>39</v>
      </c>
      <c r="AH6" s="20" t="s">
        <v>40</v>
      </c>
      <c r="AI6" s="11"/>
      <c r="AJ6" s="12"/>
      <c r="AK6" s="10"/>
      <c r="AL6" s="30"/>
      <c r="AM6" s="23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</row>
    <row r="7" spans="1:135" x14ac:dyDescent="0.25">
      <c r="A7" s="31" t="s">
        <v>41</v>
      </c>
      <c r="B7" s="32">
        <f>17550+17550</f>
        <v>35100</v>
      </c>
      <c r="C7" s="32">
        <f>17550-126.16-504.63+17550-529.86</f>
        <v>33939.35</v>
      </c>
      <c r="D7" s="33">
        <f>402.19+399.67</f>
        <v>801.86</v>
      </c>
      <c r="E7" s="33">
        <v>0</v>
      </c>
      <c r="F7" s="33">
        <v>0</v>
      </c>
      <c r="G7" s="33">
        <f t="shared" ref="G7:G33" si="0">C7+D7+E7+F7</f>
        <v>34741.21</v>
      </c>
      <c r="H7" s="33">
        <v>1350</v>
      </c>
      <c r="I7" s="34">
        <f>1900+950</f>
        <v>2850</v>
      </c>
      <c r="J7" s="33">
        <f t="shared" ref="J7:J40" si="1">H7+I7</f>
        <v>4200</v>
      </c>
      <c r="K7" s="33">
        <v>30</v>
      </c>
      <c r="L7" s="33">
        <f>1845.8</f>
        <v>1845.8</v>
      </c>
      <c r="M7" s="33">
        <v>0</v>
      </c>
      <c r="N7" s="33">
        <f>B7*5%/2</f>
        <v>877.5</v>
      </c>
      <c r="O7" s="33">
        <f t="shared" ref="O7:O32" si="2">N7</f>
        <v>877.5</v>
      </c>
      <c r="P7" s="33">
        <f>N7+O7</f>
        <v>1755</v>
      </c>
      <c r="Q7" s="33">
        <v>0</v>
      </c>
      <c r="R7" s="33">
        <v>0</v>
      </c>
      <c r="S7" s="33">
        <v>0</v>
      </c>
      <c r="T7" s="35">
        <f>(G7-H7-N7-Q7-U7-20833)*15%</f>
        <v>1722.1064999999999</v>
      </c>
      <c r="U7" s="33">
        <v>200</v>
      </c>
      <c r="V7" s="33">
        <f t="shared" ref="V7:V40" si="3">U7</f>
        <v>200</v>
      </c>
      <c r="W7" s="32">
        <v>0</v>
      </c>
      <c r="X7" s="33">
        <v>0</v>
      </c>
      <c r="Y7" s="33">
        <v>0</v>
      </c>
      <c r="Z7" s="33">
        <v>0</v>
      </c>
      <c r="AA7" s="33">
        <v>72.680000000000007</v>
      </c>
      <c r="AB7" s="33">
        <v>0</v>
      </c>
      <c r="AC7" s="33">
        <v>0</v>
      </c>
      <c r="AD7" s="33">
        <f t="shared" ref="AD7:AD24" si="4">G7-L7-M7-W7-X7-Y7-Z7-AA7-H7-N7-T7-U7</f>
        <v>28673.123499999994</v>
      </c>
      <c r="AE7" s="33">
        <f>5200+5200</f>
        <v>10400</v>
      </c>
      <c r="AF7" s="33">
        <f>119.63+119.63</f>
        <v>239.26</v>
      </c>
      <c r="AG7" s="36">
        <f>1000+1000</f>
        <v>2000</v>
      </c>
      <c r="AH7" s="37">
        <v>0</v>
      </c>
      <c r="AI7" s="36">
        <v>0</v>
      </c>
      <c r="AJ7" s="34">
        <v>0</v>
      </c>
      <c r="AK7" s="38">
        <f t="shared" ref="AK7:AK31" si="5">AD7+AE7+AF7+AG7</f>
        <v>41312.383499999996</v>
      </c>
      <c r="AL7" s="23"/>
      <c r="AM7" s="23"/>
      <c r="AN7" s="24"/>
      <c r="AO7" s="24">
        <f t="shared" ref="AO7:AO40" si="6">G7-H7-L7-M7-N7-T7-U7-W7-X7-Y7-Z7-AA7+AB7+AC7+AE7+AF7+AG7+AH7</f>
        <v>41312.383500000004</v>
      </c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</row>
    <row r="8" spans="1:135" x14ac:dyDescent="0.25">
      <c r="A8" s="31" t="s">
        <v>42</v>
      </c>
      <c r="B8" s="32">
        <f>8364.5+8364.5</f>
        <v>16729</v>
      </c>
      <c r="C8" s="32">
        <f>8364.5-1.34+8364.5-28.06</f>
        <v>16699.599999999999</v>
      </c>
      <c r="D8" s="33">
        <f>192.41+192.41</f>
        <v>384.82</v>
      </c>
      <c r="E8" s="33">
        <v>0</v>
      </c>
      <c r="F8" s="33">
        <v>0</v>
      </c>
      <c r="G8" s="33">
        <f t="shared" si="0"/>
        <v>17084.419999999998</v>
      </c>
      <c r="H8" s="33">
        <v>742.5</v>
      </c>
      <c r="I8" s="34">
        <v>1567.5</v>
      </c>
      <c r="J8" s="33">
        <f t="shared" si="1"/>
        <v>2310</v>
      </c>
      <c r="K8" s="33">
        <v>30</v>
      </c>
      <c r="L8" s="33">
        <v>1430.49</v>
      </c>
      <c r="M8" s="33">
        <v>0</v>
      </c>
      <c r="N8" s="33">
        <f>B8*5%/2</f>
        <v>418.22500000000002</v>
      </c>
      <c r="O8" s="33">
        <f t="shared" si="2"/>
        <v>418.22500000000002</v>
      </c>
      <c r="P8" s="33">
        <f>N8+O8+0.01</f>
        <v>836.46</v>
      </c>
      <c r="Q8" s="33">
        <v>0</v>
      </c>
      <c r="R8" s="33">
        <v>0</v>
      </c>
      <c r="S8" s="33">
        <v>0</v>
      </c>
      <c r="T8" s="33">
        <v>0</v>
      </c>
      <c r="U8" s="33">
        <v>200</v>
      </c>
      <c r="V8" s="33">
        <f t="shared" si="3"/>
        <v>200</v>
      </c>
      <c r="W8" s="32">
        <v>950</v>
      </c>
      <c r="X8" s="33">
        <v>0</v>
      </c>
      <c r="Y8" s="33">
        <f>500+500</f>
        <v>1000</v>
      </c>
      <c r="Z8" s="33">
        <v>0</v>
      </c>
      <c r="AA8" s="33">
        <v>0</v>
      </c>
      <c r="AB8" s="33">
        <v>0</v>
      </c>
      <c r="AC8" s="33">
        <v>0</v>
      </c>
      <c r="AD8" s="33">
        <f t="shared" si="4"/>
        <v>12343.204999999998</v>
      </c>
      <c r="AE8" s="33">
        <v>0</v>
      </c>
      <c r="AF8" s="33">
        <v>0</v>
      </c>
      <c r="AG8" s="36">
        <v>0</v>
      </c>
      <c r="AH8" s="33">
        <v>0</v>
      </c>
      <c r="AI8" s="33">
        <v>0</v>
      </c>
      <c r="AJ8" s="33">
        <v>0</v>
      </c>
      <c r="AK8" s="38">
        <f t="shared" si="5"/>
        <v>12343.204999999998</v>
      </c>
      <c r="AL8" s="23"/>
      <c r="AM8" s="23"/>
      <c r="AN8" s="24"/>
      <c r="AO8" s="24">
        <f t="shared" si="6"/>
        <v>12343.204999999998</v>
      </c>
      <c r="AP8" s="24">
        <f>AO8-AK8</f>
        <v>0</v>
      </c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</row>
    <row r="9" spans="1:135" s="39" customFormat="1" ht="12.75" x14ac:dyDescent="0.2">
      <c r="A9" s="31" t="s">
        <v>43</v>
      </c>
      <c r="B9" s="28">
        <f>16000</f>
        <v>16000</v>
      </c>
      <c r="C9" s="32">
        <f>8000-1533.55-122.69+8000-141.86</f>
        <v>14201.9</v>
      </c>
      <c r="D9" s="33">
        <v>176.67</v>
      </c>
      <c r="E9" s="33">
        <v>0</v>
      </c>
      <c r="F9" s="33">
        <v>0</v>
      </c>
      <c r="G9" s="33">
        <f t="shared" si="0"/>
        <v>14378.57</v>
      </c>
      <c r="H9" s="33">
        <v>720</v>
      </c>
      <c r="I9" s="34">
        <v>1520</v>
      </c>
      <c r="J9" s="33">
        <f t="shared" si="1"/>
        <v>2240</v>
      </c>
      <c r="K9" s="34">
        <v>30</v>
      </c>
      <c r="L9" s="33">
        <v>0</v>
      </c>
      <c r="M9" s="33">
        <v>0</v>
      </c>
      <c r="N9" s="33">
        <f>B9*5%/2</f>
        <v>400</v>
      </c>
      <c r="O9" s="33">
        <f t="shared" si="2"/>
        <v>400</v>
      </c>
      <c r="P9" s="34">
        <f t="shared" ref="P9:P15" si="7">N9+O9</f>
        <v>800</v>
      </c>
      <c r="Q9" s="33">
        <v>0</v>
      </c>
      <c r="R9" s="33">
        <v>0</v>
      </c>
      <c r="S9" s="33">
        <v>0</v>
      </c>
      <c r="T9" s="33">
        <v>0</v>
      </c>
      <c r="U9" s="33">
        <v>200</v>
      </c>
      <c r="V9" s="33">
        <f t="shared" si="3"/>
        <v>200</v>
      </c>
      <c r="W9" s="32">
        <v>0</v>
      </c>
      <c r="X9" s="33">
        <v>0</v>
      </c>
      <c r="Y9" s="33">
        <v>0</v>
      </c>
      <c r="Z9" s="33">
        <v>0</v>
      </c>
      <c r="AA9" s="33">
        <v>230.03</v>
      </c>
      <c r="AB9" s="33">
        <v>0</v>
      </c>
      <c r="AC9" s="33">
        <v>0</v>
      </c>
      <c r="AD9" s="33">
        <f t="shared" si="4"/>
        <v>12828.539999999999</v>
      </c>
      <c r="AE9" s="33">
        <v>0</v>
      </c>
      <c r="AF9" s="33">
        <v>0</v>
      </c>
      <c r="AG9" s="36">
        <v>0</v>
      </c>
      <c r="AH9" s="37">
        <v>0</v>
      </c>
      <c r="AI9" s="36">
        <v>0</v>
      </c>
      <c r="AJ9" s="34">
        <v>0</v>
      </c>
      <c r="AK9" s="38">
        <f t="shared" si="5"/>
        <v>12828.539999999999</v>
      </c>
      <c r="AL9" s="23"/>
      <c r="AM9" s="23"/>
      <c r="AN9" s="24"/>
      <c r="AO9" s="24">
        <f t="shared" si="6"/>
        <v>12828.539999999999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</row>
    <row r="10" spans="1:135" s="39" customFormat="1" ht="12.75" x14ac:dyDescent="0.2">
      <c r="A10" s="31" t="s">
        <v>44</v>
      </c>
      <c r="B10" s="28">
        <f>12500+12500</f>
        <v>25000</v>
      </c>
      <c r="C10" s="32">
        <f>12500-3833.88-203.68+12500-1916.94</f>
        <v>19045.5</v>
      </c>
      <c r="D10" s="33">
        <v>287.54000000000002</v>
      </c>
      <c r="E10" s="33">
        <v>0</v>
      </c>
      <c r="F10" s="33">
        <v>149.76</v>
      </c>
      <c r="G10" s="33">
        <f t="shared" si="0"/>
        <v>19482.8</v>
      </c>
      <c r="H10" s="33">
        <f>900+225</f>
        <v>1125</v>
      </c>
      <c r="I10" s="34">
        <f>1900+475</f>
        <v>2375</v>
      </c>
      <c r="J10" s="33">
        <f t="shared" si="1"/>
        <v>3500</v>
      </c>
      <c r="K10" s="34">
        <v>30</v>
      </c>
      <c r="L10" s="33">
        <v>0</v>
      </c>
      <c r="M10" s="33">
        <v>0</v>
      </c>
      <c r="N10" s="33">
        <f>B10*5%/2</f>
        <v>625</v>
      </c>
      <c r="O10" s="33">
        <f t="shared" si="2"/>
        <v>625</v>
      </c>
      <c r="P10" s="34">
        <f t="shared" si="7"/>
        <v>1250</v>
      </c>
      <c r="Q10" s="33">
        <v>0</v>
      </c>
      <c r="R10" s="33">
        <v>0</v>
      </c>
      <c r="S10" s="33">
        <v>0</v>
      </c>
      <c r="T10" s="33">
        <v>0</v>
      </c>
      <c r="U10" s="33">
        <v>200</v>
      </c>
      <c r="V10" s="33">
        <f t="shared" si="3"/>
        <v>200</v>
      </c>
      <c r="W10" s="32"/>
      <c r="X10" s="33"/>
      <c r="Y10" s="33"/>
      <c r="Z10" s="33">
        <v>0</v>
      </c>
      <c r="AA10" s="33">
        <v>6.66</v>
      </c>
      <c r="AB10" s="33">
        <v>0</v>
      </c>
      <c r="AC10" s="33">
        <v>0</v>
      </c>
      <c r="AD10" s="33">
        <f t="shared" si="4"/>
        <v>17526.14</v>
      </c>
      <c r="AE10" s="33">
        <v>0</v>
      </c>
      <c r="AF10" s="33">
        <v>0</v>
      </c>
      <c r="AG10" s="36">
        <v>0</v>
      </c>
      <c r="AH10" s="37"/>
      <c r="AI10" s="36"/>
      <c r="AJ10" s="34"/>
      <c r="AK10" s="38">
        <f t="shared" si="5"/>
        <v>17526.14</v>
      </c>
      <c r="AL10" s="23"/>
      <c r="AM10" s="23"/>
      <c r="AN10" s="24"/>
      <c r="AO10" s="24">
        <f t="shared" si="6"/>
        <v>17526.14</v>
      </c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</row>
    <row r="11" spans="1:135" x14ac:dyDescent="0.25">
      <c r="A11" s="31" t="s">
        <v>45</v>
      </c>
      <c r="B11" s="28">
        <f>9083.75+9083.75</f>
        <v>18167.5</v>
      </c>
      <c r="C11" s="32">
        <f>9083.75+9083.75-348.26-7.25</f>
        <v>17811.990000000002</v>
      </c>
      <c r="D11" s="33">
        <v>208.94</v>
      </c>
      <c r="E11" s="33">
        <v>0</v>
      </c>
      <c r="F11" s="33">
        <v>0</v>
      </c>
      <c r="G11" s="33">
        <f t="shared" si="0"/>
        <v>18020.93</v>
      </c>
      <c r="H11" s="33">
        <v>810</v>
      </c>
      <c r="I11" s="34">
        <v>1710</v>
      </c>
      <c r="J11" s="33">
        <f t="shared" si="1"/>
        <v>2520</v>
      </c>
      <c r="K11" s="34">
        <v>30</v>
      </c>
      <c r="L11" s="33">
        <v>784.46</v>
      </c>
      <c r="M11" s="33">
        <v>0</v>
      </c>
      <c r="N11" s="33">
        <f>B11*5%/2</f>
        <v>454.1875</v>
      </c>
      <c r="O11" s="33">
        <f t="shared" si="2"/>
        <v>454.1875</v>
      </c>
      <c r="P11" s="34">
        <f t="shared" si="7"/>
        <v>908.375</v>
      </c>
      <c r="Q11" s="33">
        <v>0</v>
      </c>
      <c r="R11" s="33">
        <v>0</v>
      </c>
      <c r="S11" s="33">
        <v>0</v>
      </c>
      <c r="T11" s="33">
        <v>0</v>
      </c>
      <c r="U11" s="33">
        <v>200</v>
      </c>
      <c r="V11" s="33">
        <f t="shared" si="3"/>
        <v>200</v>
      </c>
      <c r="W11" s="32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f t="shared" si="4"/>
        <v>15772.282500000001</v>
      </c>
      <c r="AE11" s="33">
        <v>0</v>
      </c>
      <c r="AF11" s="33">
        <v>0</v>
      </c>
      <c r="AG11" s="36">
        <v>0</v>
      </c>
      <c r="AH11" s="37">
        <v>0</v>
      </c>
      <c r="AI11" s="36">
        <v>0</v>
      </c>
      <c r="AJ11" s="34">
        <v>0</v>
      </c>
      <c r="AK11" s="38">
        <f t="shared" si="5"/>
        <v>15772.282500000001</v>
      </c>
      <c r="AL11" s="23" t="s">
        <v>22</v>
      </c>
      <c r="AM11" s="23"/>
      <c r="AN11" s="24"/>
      <c r="AO11" s="24">
        <f t="shared" si="6"/>
        <v>15772.282500000001</v>
      </c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</row>
    <row r="12" spans="1:135" x14ac:dyDescent="0.25">
      <c r="A12" s="31" t="s">
        <v>46</v>
      </c>
      <c r="B12" s="28">
        <f>150000+30000+50000</f>
        <v>230000</v>
      </c>
      <c r="C12" s="32">
        <f>B12</f>
        <v>230000</v>
      </c>
      <c r="D12" s="33">
        <v>0</v>
      </c>
      <c r="E12" s="33">
        <v>0</v>
      </c>
      <c r="F12" s="33">
        <v>0</v>
      </c>
      <c r="G12" s="33">
        <f t="shared" si="0"/>
        <v>230000</v>
      </c>
      <c r="H12" s="33">
        <f>900+450</f>
        <v>1350</v>
      </c>
      <c r="I12" s="34">
        <f>1900+950</f>
        <v>2850</v>
      </c>
      <c r="J12" s="33">
        <f t="shared" si="1"/>
        <v>4200</v>
      </c>
      <c r="K12" s="34">
        <v>30</v>
      </c>
      <c r="L12" s="33">
        <v>0</v>
      </c>
      <c r="M12" s="33">
        <v>0</v>
      </c>
      <c r="N12" s="33">
        <v>2500</v>
      </c>
      <c r="O12" s="33">
        <f t="shared" si="2"/>
        <v>2500</v>
      </c>
      <c r="P12" s="34">
        <f t="shared" si="7"/>
        <v>5000</v>
      </c>
      <c r="Q12" s="33">
        <v>0</v>
      </c>
      <c r="R12" s="33">
        <v>0</v>
      </c>
      <c r="S12" s="33">
        <f>Q12+R12</f>
        <v>0</v>
      </c>
      <c r="T12" s="33">
        <f>(G12-H12-N12-U12-166667)*30%+33541.8</f>
        <v>51326.7</v>
      </c>
      <c r="U12" s="33">
        <v>200</v>
      </c>
      <c r="V12" s="33">
        <f t="shared" si="3"/>
        <v>200</v>
      </c>
      <c r="W12" s="32">
        <v>0</v>
      </c>
      <c r="X12" s="33">
        <v>0</v>
      </c>
      <c r="Y12" s="33">
        <v>0</v>
      </c>
      <c r="Z12" s="33">
        <v>0</v>
      </c>
      <c r="AA12" s="33">
        <v>0</v>
      </c>
      <c r="AB12" s="33">
        <v>0</v>
      </c>
      <c r="AC12" s="33">
        <v>0</v>
      </c>
      <c r="AD12" s="33">
        <f t="shared" si="4"/>
        <v>174623.3</v>
      </c>
      <c r="AE12" s="33">
        <v>0</v>
      </c>
      <c r="AF12" s="33">
        <v>0</v>
      </c>
      <c r="AG12" s="36">
        <v>0</v>
      </c>
      <c r="AH12" s="37">
        <v>0</v>
      </c>
      <c r="AI12" s="36">
        <v>0</v>
      </c>
      <c r="AJ12" s="34">
        <v>0</v>
      </c>
      <c r="AK12" s="38">
        <f t="shared" si="5"/>
        <v>174623.3</v>
      </c>
      <c r="AL12" s="30">
        <f>90000+50000+90000</f>
        <v>230000</v>
      </c>
      <c r="AM12" s="30">
        <f>230000-H12-N12-T12-U12</f>
        <v>174623.3</v>
      </c>
      <c r="AN12" s="24">
        <f>AL12-AM12</f>
        <v>55376.700000000012</v>
      </c>
      <c r="AO12" s="24">
        <f t="shared" si="6"/>
        <v>174623.3</v>
      </c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</row>
    <row r="13" spans="1:135" x14ac:dyDescent="0.25">
      <c r="A13" s="31" t="s">
        <v>47</v>
      </c>
      <c r="B13" s="28">
        <f>10706+10706</f>
        <v>21412</v>
      </c>
      <c r="C13" s="32">
        <f>10706-205.22+10706</f>
        <v>21206.78</v>
      </c>
      <c r="D13" s="33">
        <v>246.26</v>
      </c>
      <c r="E13" s="33">
        <v>0</v>
      </c>
      <c r="F13" s="33">
        <f>769.58+641.31</f>
        <v>1410.8899999999999</v>
      </c>
      <c r="G13" s="33">
        <f t="shared" si="0"/>
        <v>22863.929999999997</v>
      </c>
      <c r="H13" s="33">
        <v>967.5</v>
      </c>
      <c r="I13" s="34">
        <f>1900+142.5</f>
        <v>2042.5</v>
      </c>
      <c r="J13" s="33">
        <f t="shared" si="1"/>
        <v>3010</v>
      </c>
      <c r="K13" s="34">
        <v>30</v>
      </c>
      <c r="L13" s="33">
        <v>0</v>
      </c>
      <c r="M13" s="33">
        <v>0</v>
      </c>
      <c r="N13" s="33">
        <f t="shared" ref="N13:N22" si="8">B13*5%/2</f>
        <v>535.30000000000007</v>
      </c>
      <c r="O13" s="33">
        <f t="shared" si="2"/>
        <v>535.30000000000007</v>
      </c>
      <c r="P13" s="34">
        <f t="shared" si="7"/>
        <v>1070.6000000000001</v>
      </c>
      <c r="Q13" s="33">
        <v>0</v>
      </c>
      <c r="R13" s="33">
        <v>0</v>
      </c>
      <c r="S13" s="33">
        <v>0</v>
      </c>
      <c r="T13" s="35">
        <f>(G13-H13-N13-Q13-U13-20833)*15%</f>
        <v>49.219499999999606</v>
      </c>
      <c r="U13" s="33">
        <v>200</v>
      </c>
      <c r="V13" s="33">
        <f t="shared" si="3"/>
        <v>200</v>
      </c>
      <c r="W13" s="32">
        <v>3680.46</v>
      </c>
      <c r="X13" s="33">
        <v>0</v>
      </c>
      <c r="Y13" s="33">
        <f>1500+1500</f>
        <v>3000</v>
      </c>
      <c r="Z13" s="33">
        <v>0</v>
      </c>
      <c r="AA13" s="33">
        <v>0</v>
      </c>
      <c r="AB13" s="33">
        <v>0</v>
      </c>
      <c r="AC13" s="33">
        <v>0</v>
      </c>
      <c r="AD13" s="33">
        <f t="shared" si="4"/>
        <v>14431.450499999999</v>
      </c>
      <c r="AE13" s="33">
        <f>2550+2550</f>
        <v>5100</v>
      </c>
      <c r="AF13" s="33">
        <v>58.67</v>
      </c>
      <c r="AG13" s="36">
        <v>0</v>
      </c>
      <c r="AH13" s="37">
        <v>0</v>
      </c>
      <c r="AI13" s="36">
        <v>0</v>
      </c>
      <c r="AJ13" s="34">
        <v>0</v>
      </c>
      <c r="AK13" s="38">
        <f t="shared" si="5"/>
        <v>19590.120499999997</v>
      </c>
      <c r="AL13" s="23"/>
      <c r="AM13" s="23"/>
      <c r="AN13" s="24"/>
      <c r="AO13" s="24">
        <f t="shared" si="6"/>
        <v>19590.120499999997</v>
      </c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</row>
    <row r="14" spans="1:135" ht="14.25" customHeight="1" x14ac:dyDescent="0.25">
      <c r="A14" s="31" t="s">
        <v>48</v>
      </c>
      <c r="B14" s="28">
        <f>9500+9500</f>
        <v>19000</v>
      </c>
      <c r="C14" s="32">
        <f>9500-9.1-273.15+9500-1.52-91.05</f>
        <v>18625.18</v>
      </c>
      <c r="D14" s="33">
        <v>0</v>
      </c>
      <c r="E14" s="33">
        <v>0</v>
      </c>
      <c r="F14" s="33">
        <v>0</v>
      </c>
      <c r="G14" s="33">
        <f t="shared" si="0"/>
        <v>18625.18</v>
      </c>
      <c r="H14" s="33">
        <v>855</v>
      </c>
      <c r="I14" s="34">
        <v>1805</v>
      </c>
      <c r="J14" s="33">
        <f t="shared" si="1"/>
        <v>2660</v>
      </c>
      <c r="K14" s="33">
        <v>30</v>
      </c>
      <c r="L14" s="33">
        <v>1753.51</v>
      </c>
      <c r="M14" s="33">
        <v>0</v>
      </c>
      <c r="N14" s="33">
        <f t="shared" si="8"/>
        <v>475</v>
      </c>
      <c r="O14" s="33">
        <f t="shared" si="2"/>
        <v>475</v>
      </c>
      <c r="P14" s="34">
        <f t="shared" si="7"/>
        <v>950</v>
      </c>
      <c r="Q14" s="33">
        <v>0</v>
      </c>
      <c r="R14" s="33">
        <v>0</v>
      </c>
      <c r="S14" s="33">
        <v>0</v>
      </c>
      <c r="T14" s="33">
        <v>0</v>
      </c>
      <c r="U14" s="33">
        <v>200</v>
      </c>
      <c r="V14" s="33">
        <f t="shared" si="3"/>
        <v>200</v>
      </c>
      <c r="W14" s="32">
        <v>0</v>
      </c>
      <c r="X14" s="33">
        <v>0</v>
      </c>
      <c r="Y14" s="33">
        <v>0</v>
      </c>
      <c r="Z14" s="33">
        <v>0</v>
      </c>
      <c r="AA14" s="33">
        <v>0</v>
      </c>
      <c r="AB14" s="33">
        <v>0</v>
      </c>
      <c r="AC14" s="33">
        <v>0</v>
      </c>
      <c r="AD14" s="33">
        <f t="shared" si="4"/>
        <v>15341.670000000002</v>
      </c>
      <c r="AE14" s="33">
        <f>3100+3100</f>
        <v>6200</v>
      </c>
      <c r="AF14" s="33">
        <v>0</v>
      </c>
      <c r="AG14" s="36">
        <v>0</v>
      </c>
      <c r="AH14" s="37">
        <v>0</v>
      </c>
      <c r="AI14" s="36">
        <v>0</v>
      </c>
      <c r="AJ14" s="34">
        <v>0</v>
      </c>
      <c r="AK14" s="38">
        <f t="shared" si="5"/>
        <v>21541.670000000002</v>
      </c>
      <c r="AL14" s="23"/>
      <c r="AM14" s="23"/>
      <c r="AN14" s="24"/>
      <c r="AO14" s="24">
        <f t="shared" si="6"/>
        <v>21541.67</v>
      </c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</row>
    <row r="15" spans="1:135" ht="14.25" customHeight="1" x14ac:dyDescent="0.25">
      <c r="A15" s="31" t="s">
        <v>49</v>
      </c>
      <c r="B15" s="28">
        <f>7585+7585</f>
        <v>15170</v>
      </c>
      <c r="C15" s="32">
        <f>7585-32.72+7585-26.66</f>
        <v>15110.619999999999</v>
      </c>
      <c r="D15" s="33">
        <v>174.04</v>
      </c>
      <c r="E15" s="33">
        <v>0</v>
      </c>
      <c r="F15" s="33">
        <v>0</v>
      </c>
      <c r="G15" s="33">
        <f t="shared" si="0"/>
        <v>15284.66</v>
      </c>
      <c r="H15" s="33">
        <v>675</v>
      </c>
      <c r="I15" s="34">
        <v>1425</v>
      </c>
      <c r="J15" s="33">
        <f t="shared" si="1"/>
        <v>2100</v>
      </c>
      <c r="K15" s="34">
        <v>30</v>
      </c>
      <c r="L15" s="33">
        <v>1384.35</v>
      </c>
      <c r="M15" s="33">
        <v>0</v>
      </c>
      <c r="N15" s="33">
        <f t="shared" si="8"/>
        <v>379.25</v>
      </c>
      <c r="O15" s="33">
        <f t="shared" si="2"/>
        <v>379.25</v>
      </c>
      <c r="P15" s="34">
        <f t="shared" si="7"/>
        <v>758.5</v>
      </c>
      <c r="Q15" s="33">
        <v>0</v>
      </c>
      <c r="R15" s="33">
        <v>0</v>
      </c>
      <c r="S15" s="33">
        <v>0</v>
      </c>
      <c r="T15" s="33">
        <v>0</v>
      </c>
      <c r="U15" s="33">
        <v>200</v>
      </c>
      <c r="V15" s="33">
        <f t="shared" si="3"/>
        <v>200</v>
      </c>
      <c r="W15" s="32">
        <v>398.91</v>
      </c>
      <c r="X15" s="33">
        <v>0</v>
      </c>
      <c r="Y15" s="27">
        <f>1000+1000</f>
        <v>2000</v>
      </c>
      <c r="Z15" s="33">
        <v>0</v>
      </c>
      <c r="AA15" s="33">
        <v>72.7</v>
      </c>
      <c r="AB15" s="33">
        <v>0</v>
      </c>
      <c r="AC15" s="33">
        <v>0</v>
      </c>
      <c r="AD15" s="33">
        <f t="shared" si="4"/>
        <v>10174.449999999999</v>
      </c>
      <c r="AE15" s="33">
        <v>0</v>
      </c>
      <c r="AF15" s="33">
        <v>0</v>
      </c>
      <c r="AG15" s="36">
        <v>0</v>
      </c>
      <c r="AH15" s="37">
        <v>0</v>
      </c>
      <c r="AI15" s="36">
        <v>0</v>
      </c>
      <c r="AJ15" s="34">
        <v>0</v>
      </c>
      <c r="AK15" s="38">
        <f t="shared" si="5"/>
        <v>10174.449999999999</v>
      </c>
      <c r="AL15" s="23"/>
      <c r="AM15" s="23"/>
      <c r="AN15" s="24"/>
      <c r="AO15" s="24">
        <f t="shared" si="6"/>
        <v>10174.449999999999</v>
      </c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</row>
    <row r="16" spans="1:135" x14ac:dyDescent="0.25">
      <c r="A16" s="31" t="s">
        <v>50</v>
      </c>
      <c r="B16" s="40">
        <f>12568.5+12568.5</f>
        <v>25137</v>
      </c>
      <c r="C16" s="32">
        <f>12568.5-112.43+12568.5-88.34</f>
        <v>24936.23</v>
      </c>
      <c r="D16" s="33">
        <f>289.1+289.1</f>
        <v>578.20000000000005</v>
      </c>
      <c r="E16" s="33">
        <v>0</v>
      </c>
      <c r="F16" s="33">
        <v>0</v>
      </c>
      <c r="G16" s="33">
        <f t="shared" si="0"/>
        <v>25514.43</v>
      </c>
      <c r="H16" s="33">
        <v>1125</v>
      </c>
      <c r="I16" s="34">
        <f>1900+475</f>
        <v>2375</v>
      </c>
      <c r="J16" s="33">
        <f t="shared" si="1"/>
        <v>3500</v>
      </c>
      <c r="K16" s="33">
        <v>30</v>
      </c>
      <c r="L16" s="33">
        <v>1845.8</v>
      </c>
      <c r="M16" s="33">
        <v>0</v>
      </c>
      <c r="N16" s="33">
        <f t="shared" si="8"/>
        <v>628.42500000000007</v>
      </c>
      <c r="O16" s="33">
        <f t="shared" si="2"/>
        <v>628.42500000000007</v>
      </c>
      <c r="P16" s="34">
        <f>N16+O16+0.01</f>
        <v>1256.8600000000001</v>
      </c>
      <c r="Q16" s="33">
        <v>0</v>
      </c>
      <c r="R16" s="33">
        <v>0</v>
      </c>
      <c r="S16" s="33">
        <v>0</v>
      </c>
      <c r="T16" s="35">
        <f>(G16-H16-N16-Q16-U16-20833)*15%</f>
        <v>409.20075000000014</v>
      </c>
      <c r="U16" s="33">
        <v>200</v>
      </c>
      <c r="V16" s="33">
        <f t="shared" si="3"/>
        <v>200</v>
      </c>
      <c r="W16" s="32">
        <v>0</v>
      </c>
      <c r="X16" s="33">
        <v>0</v>
      </c>
      <c r="Y16" s="33">
        <v>0</v>
      </c>
      <c r="Z16" s="33">
        <v>0</v>
      </c>
      <c r="AA16" s="33">
        <v>0</v>
      </c>
      <c r="AB16" s="33">
        <v>0</v>
      </c>
      <c r="AC16" s="33">
        <v>0</v>
      </c>
      <c r="AD16" s="33">
        <f t="shared" si="4"/>
        <v>21306.004250000002</v>
      </c>
      <c r="AE16" s="33">
        <v>0</v>
      </c>
      <c r="AF16" s="33">
        <v>0</v>
      </c>
      <c r="AG16" s="36">
        <v>0</v>
      </c>
      <c r="AH16" s="37">
        <v>0</v>
      </c>
      <c r="AI16" s="36">
        <v>0</v>
      </c>
      <c r="AJ16" s="34">
        <v>0</v>
      </c>
      <c r="AK16" s="38">
        <f t="shared" si="5"/>
        <v>21306.004250000002</v>
      </c>
      <c r="AL16" s="41"/>
      <c r="AM16" s="23"/>
      <c r="AN16" s="24"/>
      <c r="AO16" s="24">
        <f t="shared" si="6"/>
        <v>21306.004250000002</v>
      </c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</row>
    <row r="17" spans="1:135" x14ac:dyDescent="0.25">
      <c r="A17" s="31" t="s">
        <v>51</v>
      </c>
      <c r="B17" s="28">
        <f>9646+9646</f>
        <v>19292</v>
      </c>
      <c r="C17" s="32">
        <f>9646-739.63-134.05-554.7+9646-1479.26-115.56</f>
        <v>16268.800000000005</v>
      </c>
      <c r="D17" s="33">
        <v>221.88</v>
      </c>
      <c r="E17" s="33">
        <v>0</v>
      </c>
      <c r="F17" s="33">
        <f>231.12+173.34</f>
        <v>404.46000000000004</v>
      </c>
      <c r="G17" s="33">
        <f t="shared" si="0"/>
        <v>16895.140000000003</v>
      </c>
      <c r="H17" s="34">
        <v>877.5</v>
      </c>
      <c r="I17" s="34">
        <v>1852.5</v>
      </c>
      <c r="J17" s="33">
        <f t="shared" si="1"/>
        <v>2730</v>
      </c>
      <c r="K17" s="34">
        <v>30</v>
      </c>
      <c r="L17" s="33">
        <v>1799.65</v>
      </c>
      <c r="M17" s="33">
        <v>0</v>
      </c>
      <c r="N17" s="33">
        <f t="shared" si="8"/>
        <v>482.3</v>
      </c>
      <c r="O17" s="33">
        <f t="shared" si="2"/>
        <v>482.3</v>
      </c>
      <c r="P17" s="34">
        <f t="shared" ref="P17:P32" si="9">N17+O17</f>
        <v>964.6</v>
      </c>
      <c r="Q17" s="33">
        <v>0</v>
      </c>
      <c r="R17" s="33">
        <v>0</v>
      </c>
      <c r="S17" s="33">
        <f>Q17+R17</f>
        <v>0</v>
      </c>
      <c r="T17" s="33">
        <v>0</v>
      </c>
      <c r="U17" s="33">
        <v>200</v>
      </c>
      <c r="V17" s="33">
        <f t="shared" si="3"/>
        <v>200</v>
      </c>
      <c r="W17" s="32">
        <f>1717.05</f>
        <v>1717.05</v>
      </c>
      <c r="X17" s="33">
        <v>0</v>
      </c>
      <c r="Y17" s="33">
        <v>0</v>
      </c>
      <c r="Z17" s="33">
        <v>0</v>
      </c>
      <c r="AA17" s="33">
        <v>76.34</v>
      </c>
      <c r="AB17" s="33">
        <v>0</v>
      </c>
      <c r="AC17" s="33">
        <v>0</v>
      </c>
      <c r="AD17" s="33">
        <f t="shared" si="4"/>
        <v>11742.300000000005</v>
      </c>
      <c r="AE17" s="33">
        <f>2300-176.36+2300-352.72</f>
        <v>4070.9199999999992</v>
      </c>
      <c r="AF17" s="33">
        <v>52.91</v>
      </c>
      <c r="AG17" s="36">
        <v>0</v>
      </c>
      <c r="AH17" s="37">
        <v>0</v>
      </c>
      <c r="AI17" s="36">
        <v>0</v>
      </c>
      <c r="AJ17" s="34">
        <v>0</v>
      </c>
      <c r="AK17" s="38">
        <f t="shared" si="5"/>
        <v>15866.130000000005</v>
      </c>
      <c r="AL17" s="23"/>
      <c r="AM17" s="23"/>
      <c r="AN17" s="24"/>
      <c r="AO17" s="24">
        <f t="shared" si="6"/>
        <v>15866.130000000005</v>
      </c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</row>
    <row r="18" spans="1:135" x14ac:dyDescent="0.25">
      <c r="A18" s="31" t="s">
        <v>52</v>
      </c>
      <c r="B18" s="28">
        <f>35000+35000</f>
        <v>70000</v>
      </c>
      <c r="C18" s="32">
        <f>35000-866.6-167.73+35000-2683.71-777.15-110.7</f>
        <v>65394.109999999993</v>
      </c>
      <c r="D18" s="33">
        <v>779.94</v>
      </c>
      <c r="E18" s="33">
        <v>0</v>
      </c>
      <c r="F18" s="33">
        <v>0</v>
      </c>
      <c r="G18" s="33">
        <f t="shared" si="0"/>
        <v>66174.049999999988</v>
      </c>
      <c r="H18" s="33">
        <v>1350</v>
      </c>
      <c r="I18" s="34">
        <v>2850</v>
      </c>
      <c r="J18" s="33">
        <f t="shared" si="1"/>
        <v>4200</v>
      </c>
      <c r="K18" s="34">
        <v>30</v>
      </c>
      <c r="L18" s="33">
        <v>1845.8</v>
      </c>
      <c r="M18" s="33">
        <v>0</v>
      </c>
      <c r="N18" s="33">
        <f t="shared" si="8"/>
        <v>1750</v>
      </c>
      <c r="O18" s="33">
        <f t="shared" si="2"/>
        <v>1750</v>
      </c>
      <c r="P18" s="34">
        <f t="shared" si="9"/>
        <v>3500</v>
      </c>
      <c r="Q18" s="33">
        <v>0</v>
      </c>
      <c r="R18" s="33">
        <v>0</v>
      </c>
      <c r="S18" s="33">
        <v>0</v>
      </c>
      <c r="T18" s="33">
        <f>(G18-H18-N18-Q18-U18-33333)*20%+1875</f>
        <v>7783.2099999999982</v>
      </c>
      <c r="U18" s="33">
        <v>200</v>
      </c>
      <c r="V18" s="33">
        <f t="shared" si="3"/>
        <v>200</v>
      </c>
      <c r="W18" s="33">
        <v>3826.05</v>
      </c>
      <c r="X18" s="33">
        <v>0</v>
      </c>
      <c r="Y18" s="33">
        <v>0</v>
      </c>
      <c r="Z18" s="33">
        <f>10000+8157.16</f>
        <v>18157.16</v>
      </c>
      <c r="AA18" s="33">
        <v>0</v>
      </c>
      <c r="AB18" s="33">
        <v>0</v>
      </c>
      <c r="AC18" s="33">
        <v>0</v>
      </c>
      <c r="AD18" s="33">
        <f t="shared" si="4"/>
        <v>31261.82999999998</v>
      </c>
      <c r="AE18" s="33">
        <v>0</v>
      </c>
      <c r="AF18" s="33">
        <v>0</v>
      </c>
      <c r="AG18" s="36">
        <f>1000+1000</f>
        <v>2000</v>
      </c>
      <c r="AH18" s="37">
        <v>0</v>
      </c>
      <c r="AI18" s="36">
        <v>0</v>
      </c>
      <c r="AJ18" s="34">
        <v>0</v>
      </c>
      <c r="AK18" s="38">
        <f t="shared" si="5"/>
        <v>33261.82999999998</v>
      </c>
      <c r="AL18" s="23"/>
      <c r="AM18" s="23"/>
      <c r="AN18" s="24"/>
      <c r="AO18" s="24">
        <f t="shared" si="6"/>
        <v>33261.829999999987</v>
      </c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</row>
    <row r="19" spans="1:135" x14ac:dyDescent="0.25">
      <c r="A19" s="31" t="s">
        <v>53</v>
      </c>
      <c r="B19" s="28">
        <f>7040+7040</f>
        <v>14080</v>
      </c>
      <c r="C19" s="32">
        <f>7040-809.72-75.35+7040-269.9-3.37</f>
        <v>12921.66</v>
      </c>
      <c r="D19" s="33">
        <v>80.98</v>
      </c>
      <c r="E19" s="33">
        <v>0</v>
      </c>
      <c r="F19" s="33">
        <f>506.1+701.79+114.04+759.15+161.95</f>
        <v>2243.0299999999997</v>
      </c>
      <c r="G19" s="33">
        <f t="shared" si="0"/>
        <v>15245.669999999998</v>
      </c>
      <c r="H19" s="33">
        <v>630</v>
      </c>
      <c r="I19" s="34">
        <v>1330</v>
      </c>
      <c r="J19" s="33">
        <f t="shared" si="1"/>
        <v>1960</v>
      </c>
      <c r="K19" s="34">
        <v>10</v>
      </c>
      <c r="L19" s="33">
        <v>1292.06</v>
      </c>
      <c r="M19" s="33">
        <v>0</v>
      </c>
      <c r="N19" s="33">
        <f t="shared" si="8"/>
        <v>352</v>
      </c>
      <c r="O19" s="33">
        <f t="shared" si="2"/>
        <v>352</v>
      </c>
      <c r="P19" s="34">
        <f t="shared" si="9"/>
        <v>704</v>
      </c>
      <c r="Q19" s="33">
        <v>0</v>
      </c>
      <c r="R19" s="33">
        <v>0</v>
      </c>
      <c r="S19" s="33">
        <v>0</v>
      </c>
      <c r="T19" s="33">
        <v>0</v>
      </c>
      <c r="U19" s="33">
        <v>200</v>
      </c>
      <c r="V19" s="33">
        <f t="shared" si="3"/>
        <v>200</v>
      </c>
      <c r="W19" s="32">
        <v>0</v>
      </c>
      <c r="X19" s="33">
        <v>0</v>
      </c>
      <c r="Y19" s="33">
        <v>0</v>
      </c>
      <c r="Z19" s="33">
        <v>0</v>
      </c>
      <c r="AA19" s="33">
        <v>44.98</v>
      </c>
      <c r="AB19" s="33">
        <v>0</v>
      </c>
      <c r="AC19" s="33">
        <v>0</v>
      </c>
      <c r="AD19" s="33">
        <f t="shared" si="4"/>
        <v>12726.63</v>
      </c>
      <c r="AE19" s="33">
        <v>0</v>
      </c>
      <c r="AF19" s="33">
        <v>0</v>
      </c>
      <c r="AG19" s="36">
        <v>0</v>
      </c>
      <c r="AH19" s="37">
        <v>0</v>
      </c>
      <c r="AI19" s="36">
        <v>0</v>
      </c>
      <c r="AJ19" s="34">
        <v>0</v>
      </c>
      <c r="AK19" s="38">
        <f t="shared" si="5"/>
        <v>12726.63</v>
      </c>
      <c r="AL19" s="41" t="s">
        <v>22</v>
      </c>
      <c r="AM19" s="23"/>
      <c r="AN19" s="24"/>
      <c r="AO19" s="24">
        <f t="shared" si="6"/>
        <v>12726.63</v>
      </c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</row>
    <row r="20" spans="1:135" x14ac:dyDescent="0.25">
      <c r="A20" s="31" t="s">
        <v>54</v>
      </c>
      <c r="B20" s="28">
        <f>10570+10570</f>
        <v>21140</v>
      </c>
      <c r="C20" s="32">
        <f>10570-810.48-99.62+10570-258.34</f>
        <v>19971.560000000001</v>
      </c>
      <c r="D20" s="33">
        <v>228.56</v>
      </c>
      <c r="E20" s="33">
        <v>0</v>
      </c>
      <c r="F20" s="33">
        <v>0</v>
      </c>
      <c r="G20" s="33">
        <f t="shared" si="0"/>
        <v>20200.120000000003</v>
      </c>
      <c r="H20" s="33">
        <v>945</v>
      </c>
      <c r="I20" s="34">
        <f>1900+95</f>
        <v>1995</v>
      </c>
      <c r="J20" s="33">
        <f t="shared" si="1"/>
        <v>2940</v>
      </c>
      <c r="K20" s="34">
        <v>30</v>
      </c>
      <c r="L20" s="33">
        <v>1845.8</v>
      </c>
      <c r="M20" s="33">
        <f>0</f>
        <v>0</v>
      </c>
      <c r="N20" s="33">
        <f t="shared" si="8"/>
        <v>528.5</v>
      </c>
      <c r="O20" s="33">
        <f t="shared" si="2"/>
        <v>528.5</v>
      </c>
      <c r="P20" s="34">
        <f t="shared" si="9"/>
        <v>1057</v>
      </c>
      <c r="Q20" s="33">
        <v>0</v>
      </c>
      <c r="R20" s="33">
        <v>0</v>
      </c>
      <c r="S20" s="33">
        <v>0</v>
      </c>
      <c r="T20" s="34">
        <v>0</v>
      </c>
      <c r="U20" s="33">
        <v>200</v>
      </c>
      <c r="V20" s="33">
        <f t="shared" si="3"/>
        <v>200</v>
      </c>
      <c r="W20" s="32">
        <v>1611.71</v>
      </c>
      <c r="X20" s="33">
        <v>0</v>
      </c>
      <c r="Y20" s="33">
        <f>1000+1000</f>
        <v>2000</v>
      </c>
      <c r="Z20" s="33">
        <v>0</v>
      </c>
      <c r="AA20" s="33">
        <v>0</v>
      </c>
      <c r="AB20" s="33">
        <v>0</v>
      </c>
      <c r="AC20" s="33">
        <v>0</v>
      </c>
      <c r="AD20" s="33">
        <f t="shared" si="4"/>
        <v>13069.110000000004</v>
      </c>
      <c r="AE20" s="33">
        <v>0</v>
      </c>
      <c r="AF20" s="33">
        <v>0</v>
      </c>
      <c r="AG20" s="36">
        <v>0</v>
      </c>
      <c r="AH20" s="37">
        <v>0</v>
      </c>
      <c r="AI20" s="36">
        <v>0</v>
      </c>
      <c r="AJ20" s="34">
        <v>0</v>
      </c>
      <c r="AK20" s="38">
        <f t="shared" si="5"/>
        <v>13069.110000000004</v>
      </c>
      <c r="AL20" s="23"/>
      <c r="AM20" s="23"/>
      <c r="AN20" s="24"/>
      <c r="AO20" s="24">
        <f t="shared" si="6"/>
        <v>13069.110000000004</v>
      </c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</row>
    <row r="21" spans="1:135" s="42" customFormat="1" ht="12.75" customHeight="1" x14ac:dyDescent="0.2">
      <c r="A21" s="31" t="s">
        <v>55</v>
      </c>
      <c r="B21" s="28">
        <f>8382+8382</f>
        <v>16764</v>
      </c>
      <c r="C21" s="32">
        <f>8382-1928.13-17.41+8382-13.39</f>
        <v>14805.07</v>
      </c>
      <c r="D21" s="33">
        <f>192.82+189.92</f>
        <v>382.74</v>
      </c>
      <c r="E21" s="33">
        <v>0</v>
      </c>
      <c r="F21" s="33">
        <f>1405.95+1405.95</f>
        <v>2811.9</v>
      </c>
      <c r="G21" s="34">
        <f t="shared" si="0"/>
        <v>17999.71</v>
      </c>
      <c r="H21" s="33">
        <v>765</v>
      </c>
      <c r="I21" s="34">
        <v>1615</v>
      </c>
      <c r="J21" s="33">
        <f t="shared" si="1"/>
        <v>2380</v>
      </c>
      <c r="K21" s="34">
        <v>30</v>
      </c>
      <c r="L21" s="33">
        <v>1522.78</v>
      </c>
      <c r="M21" s="33">
        <v>0</v>
      </c>
      <c r="N21" s="33">
        <f t="shared" si="8"/>
        <v>419.1</v>
      </c>
      <c r="O21" s="33">
        <f t="shared" si="2"/>
        <v>419.1</v>
      </c>
      <c r="P21" s="34">
        <f t="shared" si="9"/>
        <v>838.2</v>
      </c>
      <c r="Q21" s="33">
        <v>0</v>
      </c>
      <c r="R21" s="33">
        <v>0</v>
      </c>
      <c r="S21" s="33">
        <v>0</v>
      </c>
      <c r="T21" s="33">
        <v>0</v>
      </c>
      <c r="U21" s="33">
        <v>200</v>
      </c>
      <c r="V21" s="34">
        <f t="shared" si="3"/>
        <v>200</v>
      </c>
      <c r="W21" s="32">
        <v>1748.92</v>
      </c>
      <c r="X21" s="37">
        <v>0</v>
      </c>
      <c r="Y21" s="37">
        <f>1000+1000</f>
        <v>2000</v>
      </c>
      <c r="Z21" s="33">
        <v>0</v>
      </c>
      <c r="AA21" s="33">
        <v>0</v>
      </c>
      <c r="AB21" s="33">
        <v>0</v>
      </c>
      <c r="AC21" s="33">
        <v>0</v>
      </c>
      <c r="AD21" s="33">
        <f t="shared" si="4"/>
        <v>11343.91</v>
      </c>
      <c r="AE21" s="33">
        <v>0</v>
      </c>
      <c r="AF21" s="33">
        <v>0</v>
      </c>
      <c r="AG21" s="36">
        <v>0</v>
      </c>
      <c r="AH21" s="37">
        <v>0</v>
      </c>
      <c r="AI21" s="36">
        <v>0</v>
      </c>
      <c r="AJ21" s="34">
        <v>0</v>
      </c>
      <c r="AK21" s="38">
        <f t="shared" si="5"/>
        <v>11343.91</v>
      </c>
      <c r="AL21" s="23"/>
      <c r="AM21" s="23"/>
      <c r="AN21" s="24"/>
      <c r="AO21" s="24">
        <f t="shared" si="6"/>
        <v>11343.909999999998</v>
      </c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</row>
    <row r="22" spans="1:135" x14ac:dyDescent="0.25">
      <c r="A22" s="31" t="s">
        <v>56</v>
      </c>
      <c r="B22" s="28">
        <f>11260+11260</f>
        <v>22520</v>
      </c>
      <c r="C22" s="32">
        <f>11260-19.79+11260-46.77</f>
        <v>22453.439999999999</v>
      </c>
      <c r="D22" s="33">
        <v>259.01</v>
      </c>
      <c r="E22" s="33">
        <v>0</v>
      </c>
      <c r="F22" s="33">
        <f>741.95+741.95</f>
        <v>1483.9</v>
      </c>
      <c r="G22" s="33">
        <f t="shared" si="0"/>
        <v>24196.35</v>
      </c>
      <c r="H22" s="33">
        <f>900+112.5</f>
        <v>1012.5</v>
      </c>
      <c r="I22" s="34">
        <f>1900+237.5</f>
        <v>2137.5</v>
      </c>
      <c r="J22" s="33">
        <f t="shared" si="1"/>
        <v>3150</v>
      </c>
      <c r="K22" s="34">
        <v>30</v>
      </c>
      <c r="L22" s="33">
        <v>1845.8</v>
      </c>
      <c r="M22" s="33">
        <v>0</v>
      </c>
      <c r="N22" s="33">
        <f t="shared" si="8"/>
        <v>563</v>
      </c>
      <c r="O22" s="33">
        <f t="shared" si="2"/>
        <v>563</v>
      </c>
      <c r="P22" s="34">
        <f t="shared" si="9"/>
        <v>1126</v>
      </c>
      <c r="Q22" s="33">
        <v>0</v>
      </c>
      <c r="R22" s="33">
        <v>0</v>
      </c>
      <c r="S22" s="33">
        <v>0</v>
      </c>
      <c r="T22" s="33">
        <f>(G22-H22-N22-U22-20833)*15%</f>
        <v>238.17749999999978</v>
      </c>
      <c r="U22" s="33">
        <v>200</v>
      </c>
      <c r="V22" s="33">
        <f t="shared" si="3"/>
        <v>200</v>
      </c>
      <c r="W22" s="32">
        <v>1417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f t="shared" si="4"/>
        <v>18919.872499999998</v>
      </c>
      <c r="AE22" s="33">
        <f>1900+1900</f>
        <v>3800</v>
      </c>
      <c r="AF22" s="33">
        <v>43.71</v>
      </c>
      <c r="AG22" s="36">
        <v>0</v>
      </c>
      <c r="AH22" s="37">
        <v>0</v>
      </c>
      <c r="AI22" s="36">
        <v>0</v>
      </c>
      <c r="AJ22" s="34">
        <v>0</v>
      </c>
      <c r="AK22" s="38">
        <f t="shared" si="5"/>
        <v>22763.582499999997</v>
      </c>
      <c r="AL22" s="23" t="s">
        <v>22</v>
      </c>
      <c r="AM22" s="23"/>
      <c r="AN22" s="24"/>
      <c r="AO22" s="24">
        <f t="shared" si="6"/>
        <v>22763.582499999997</v>
      </c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</row>
    <row r="23" spans="1:135" x14ac:dyDescent="0.25">
      <c r="A23" s="31" t="s">
        <v>57</v>
      </c>
      <c r="B23" s="28">
        <f>62500+62500</f>
        <v>125000</v>
      </c>
      <c r="C23" s="32">
        <f>B23</f>
        <v>125000</v>
      </c>
      <c r="D23" s="33">
        <v>0</v>
      </c>
      <c r="E23" s="33">
        <v>0</v>
      </c>
      <c r="F23" s="33">
        <v>0</v>
      </c>
      <c r="G23" s="33">
        <f t="shared" si="0"/>
        <v>125000</v>
      </c>
      <c r="H23" s="33">
        <f>900+450</f>
        <v>1350</v>
      </c>
      <c r="I23" s="34">
        <f>1900+950</f>
        <v>2850</v>
      </c>
      <c r="J23" s="33">
        <f t="shared" si="1"/>
        <v>4200</v>
      </c>
      <c r="K23" s="34">
        <v>30</v>
      </c>
      <c r="L23" s="33">
        <v>0</v>
      </c>
      <c r="M23" s="33">
        <v>0</v>
      </c>
      <c r="N23" s="33">
        <f>5000/2</f>
        <v>2500</v>
      </c>
      <c r="O23" s="33">
        <f t="shared" si="2"/>
        <v>2500</v>
      </c>
      <c r="P23" s="34">
        <f t="shared" si="9"/>
        <v>5000</v>
      </c>
      <c r="Q23" s="33">
        <v>0</v>
      </c>
      <c r="R23" s="33">
        <v>0</v>
      </c>
      <c r="S23" s="33">
        <v>0</v>
      </c>
      <c r="T23" s="33">
        <f>(G23-H23-N23-U23-66667)*25%+8541.8</f>
        <v>22112.55</v>
      </c>
      <c r="U23" s="33">
        <v>200</v>
      </c>
      <c r="V23" s="33">
        <f t="shared" si="3"/>
        <v>200</v>
      </c>
      <c r="W23" s="32">
        <v>0</v>
      </c>
      <c r="X23" s="33">
        <v>0</v>
      </c>
      <c r="Y23" s="33">
        <v>0</v>
      </c>
      <c r="Z23" s="33">
        <v>0</v>
      </c>
      <c r="AA23" s="33">
        <v>0</v>
      </c>
      <c r="AB23" s="33">
        <v>0</v>
      </c>
      <c r="AC23" s="33">
        <v>0</v>
      </c>
      <c r="AD23" s="33">
        <f t="shared" si="4"/>
        <v>98837.45</v>
      </c>
      <c r="AE23" s="33">
        <v>0</v>
      </c>
      <c r="AF23" s="33">
        <v>0</v>
      </c>
      <c r="AG23" s="36">
        <v>0</v>
      </c>
      <c r="AH23" s="37">
        <v>0</v>
      </c>
      <c r="AI23" s="36">
        <v>0</v>
      </c>
      <c r="AJ23" s="34">
        <v>0</v>
      </c>
      <c r="AK23" s="38">
        <f t="shared" si="5"/>
        <v>98837.45</v>
      </c>
      <c r="AL23" s="30">
        <v>62500</v>
      </c>
      <c r="AM23" s="30">
        <f>62500-H23-N23-T23-U23</f>
        <v>36337.449999999997</v>
      </c>
      <c r="AN23" s="24">
        <f>AL23+AM23</f>
        <v>98837.45</v>
      </c>
      <c r="AO23" s="24">
        <f t="shared" si="6"/>
        <v>98837.45</v>
      </c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</row>
    <row r="24" spans="1:135" x14ac:dyDescent="0.25">
      <c r="A24" s="43" t="s">
        <v>58</v>
      </c>
      <c r="B24" s="28">
        <f>150000+30000+50000</f>
        <v>230000</v>
      </c>
      <c r="C24" s="32">
        <f>B24</f>
        <v>230000</v>
      </c>
      <c r="D24" s="33">
        <v>0</v>
      </c>
      <c r="E24" s="33">
        <v>0</v>
      </c>
      <c r="F24" s="33">
        <v>0</v>
      </c>
      <c r="G24" s="33">
        <f t="shared" si="0"/>
        <v>230000</v>
      </c>
      <c r="H24" s="33">
        <f>900+450</f>
        <v>1350</v>
      </c>
      <c r="I24" s="34">
        <f>1900+950</f>
        <v>2850</v>
      </c>
      <c r="J24" s="33">
        <f t="shared" si="1"/>
        <v>4200</v>
      </c>
      <c r="K24" s="34">
        <v>30</v>
      </c>
      <c r="L24" s="33">
        <v>0</v>
      </c>
      <c r="M24" s="33">
        <v>0</v>
      </c>
      <c r="N24" s="33">
        <f>5000/2</f>
        <v>2500</v>
      </c>
      <c r="O24" s="33">
        <f t="shared" si="2"/>
        <v>2500</v>
      </c>
      <c r="P24" s="34">
        <f t="shared" si="9"/>
        <v>5000</v>
      </c>
      <c r="Q24" s="33">
        <v>0</v>
      </c>
      <c r="R24" s="33">
        <v>0</v>
      </c>
      <c r="S24" s="33">
        <v>0</v>
      </c>
      <c r="T24" s="33">
        <f>(G24-H24-N24-U24-166667)*30%+33541.8</f>
        <v>51326.7</v>
      </c>
      <c r="U24" s="33">
        <v>200</v>
      </c>
      <c r="V24" s="33">
        <f t="shared" si="3"/>
        <v>200</v>
      </c>
      <c r="W24" s="32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f t="shared" si="4"/>
        <v>174623.3</v>
      </c>
      <c r="AE24" s="33">
        <v>0</v>
      </c>
      <c r="AF24" s="33">
        <v>0</v>
      </c>
      <c r="AG24" s="36">
        <v>0</v>
      </c>
      <c r="AH24" s="37">
        <v>0</v>
      </c>
      <c r="AI24" s="36">
        <v>0</v>
      </c>
      <c r="AJ24" s="34">
        <v>0</v>
      </c>
      <c r="AK24" s="38">
        <f t="shared" si="5"/>
        <v>174623.3</v>
      </c>
      <c r="AL24" s="30">
        <f>90000+50000+90000</f>
        <v>230000</v>
      </c>
      <c r="AM24" s="30">
        <f>230000-H24-N24-T24-U24</f>
        <v>174623.3</v>
      </c>
      <c r="AN24" s="24">
        <f>AL24-AM24</f>
        <v>55376.700000000012</v>
      </c>
      <c r="AO24" s="24">
        <f t="shared" si="6"/>
        <v>174623.3</v>
      </c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</row>
    <row r="25" spans="1:135" x14ac:dyDescent="0.25">
      <c r="A25" s="31" t="s">
        <v>59</v>
      </c>
      <c r="B25" s="28">
        <f>8750+8750</f>
        <v>17500</v>
      </c>
      <c r="C25" s="32">
        <f>8750+8750</f>
        <v>17500</v>
      </c>
      <c r="D25" s="33">
        <v>201.29</v>
      </c>
      <c r="E25" s="33">
        <v>0</v>
      </c>
      <c r="F25" s="33">
        <f>1100.79+1048.38</f>
        <v>2149.17</v>
      </c>
      <c r="G25" s="33">
        <f t="shared" si="0"/>
        <v>19850.46</v>
      </c>
      <c r="H25" s="33">
        <v>787.5</v>
      </c>
      <c r="I25" s="34">
        <v>1662.5</v>
      </c>
      <c r="J25" s="33">
        <f t="shared" si="1"/>
        <v>2450</v>
      </c>
      <c r="K25" s="33">
        <v>30</v>
      </c>
      <c r="L25" s="33">
        <v>0</v>
      </c>
      <c r="M25" s="33">
        <v>0</v>
      </c>
      <c r="N25" s="33">
        <f t="shared" ref="N25:N32" si="10">B25*5%/2</f>
        <v>437.5</v>
      </c>
      <c r="O25" s="33">
        <f t="shared" si="2"/>
        <v>437.5</v>
      </c>
      <c r="P25" s="34">
        <f t="shared" si="9"/>
        <v>875</v>
      </c>
      <c r="Q25" s="33">
        <v>0</v>
      </c>
      <c r="R25" s="33">
        <v>0</v>
      </c>
      <c r="S25" s="33">
        <v>0</v>
      </c>
      <c r="T25" s="27">
        <v>0</v>
      </c>
      <c r="U25" s="33">
        <v>200</v>
      </c>
      <c r="V25" s="33">
        <f t="shared" si="3"/>
        <v>200</v>
      </c>
      <c r="W25" s="32">
        <v>0</v>
      </c>
      <c r="X25" s="33">
        <v>0</v>
      </c>
      <c r="Y25" s="33">
        <v>0</v>
      </c>
      <c r="Z25" s="33">
        <v>0</v>
      </c>
      <c r="AA25" s="33">
        <v>0</v>
      </c>
      <c r="AB25" s="36">
        <v>111.82</v>
      </c>
      <c r="AC25" s="33">
        <v>0</v>
      </c>
      <c r="AD25" s="33">
        <f>G25-L25-M25-W25-X25-Y25-Z25-AA25-H25-N25-T25-U25+AB25+AC25</f>
        <v>18537.28</v>
      </c>
      <c r="AE25" s="33">
        <v>0</v>
      </c>
      <c r="AF25" s="33">
        <v>0</v>
      </c>
      <c r="AG25" s="36">
        <v>0</v>
      </c>
      <c r="AH25" s="37">
        <v>0</v>
      </c>
      <c r="AI25" s="36">
        <v>0</v>
      </c>
      <c r="AJ25" s="34">
        <v>0</v>
      </c>
      <c r="AK25" s="38">
        <f t="shared" si="5"/>
        <v>18537.28</v>
      </c>
      <c r="AL25" s="30"/>
      <c r="AM25" s="30"/>
      <c r="AN25" s="24"/>
      <c r="AO25" s="24">
        <f t="shared" si="6"/>
        <v>18537.28</v>
      </c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</row>
    <row r="26" spans="1:135" x14ac:dyDescent="0.25">
      <c r="A26" s="31" t="s">
        <v>60</v>
      </c>
      <c r="B26" s="28">
        <f>12355+12355</f>
        <v>24710</v>
      </c>
      <c r="C26" s="32">
        <f>12355-11.84+12355</f>
        <v>24698.16</v>
      </c>
      <c r="D26" s="33">
        <v>284.20999999999998</v>
      </c>
      <c r="E26" s="33">
        <v>0</v>
      </c>
      <c r="F26" s="33">
        <v>0</v>
      </c>
      <c r="G26" s="33">
        <f t="shared" si="0"/>
        <v>24982.37</v>
      </c>
      <c r="H26" s="33">
        <f>900+202.5</f>
        <v>1102.5</v>
      </c>
      <c r="I26" s="34">
        <f>1900+427.5</f>
        <v>2327.5</v>
      </c>
      <c r="J26" s="33">
        <f t="shared" si="1"/>
        <v>3430</v>
      </c>
      <c r="K26" s="33">
        <v>30</v>
      </c>
      <c r="L26" s="33">
        <v>0</v>
      </c>
      <c r="M26" s="33">
        <v>0</v>
      </c>
      <c r="N26" s="33">
        <f t="shared" si="10"/>
        <v>617.75</v>
      </c>
      <c r="O26" s="33">
        <f t="shared" si="2"/>
        <v>617.75</v>
      </c>
      <c r="P26" s="34">
        <f t="shared" si="9"/>
        <v>1235.5</v>
      </c>
      <c r="Q26" s="33">
        <v>0</v>
      </c>
      <c r="R26" s="33">
        <v>0</v>
      </c>
      <c r="S26" s="33">
        <v>0</v>
      </c>
      <c r="T26" s="27">
        <f>(G26-H26-N26-Q26-U26-20833)*15%</f>
        <v>334.36799999999982</v>
      </c>
      <c r="U26" s="33">
        <v>200</v>
      </c>
      <c r="V26" s="33">
        <f t="shared" si="3"/>
        <v>200</v>
      </c>
      <c r="W26" s="32">
        <v>2412.8200000000002</v>
      </c>
      <c r="X26" s="33">
        <v>0</v>
      </c>
      <c r="Y26" s="33">
        <v>0</v>
      </c>
      <c r="Z26" s="33">
        <v>0</v>
      </c>
      <c r="AA26" s="33">
        <v>0</v>
      </c>
      <c r="AB26" s="33">
        <v>0</v>
      </c>
      <c r="AC26" s="33">
        <v>0</v>
      </c>
      <c r="AD26" s="33">
        <f>G26-L26-M26-W26-X26-Y26-Z26-AA26-H26-N26-T26-U26</f>
        <v>20314.932000000001</v>
      </c>
      <c r="AE26" s="33">
        <f>1400+1400</f>
        <v>2800</v>
      </c>
      <c r="AF26" s="33">
        <v>32.21</v>
      </c>
      <c r="AG26" s="36">
        <f>1000+1000</f>
        <v>2000</v>
      </c>
      <c r="AH26" s="37">
        <v>0</v>
      </c>
      <c r="AI26" s="36">
        <v>0</v>
      </c>
      <c r="AJ26" s="34">
        <v>0</v>
      </c>
      <c r="AK26" s="38">
        <f t="shared" si="5"/>
        <v>25147.142</v>
      </c>
      <c r="AL26" s="23"/>
      <c r="AM26" s="30"/>
      <c r="AN26" s="24" t="s">
        <v>22</v>
      </c>
      <c r="AO26" s="24">
        <f t="shared" si="6"/>
        <v>25147.142</v>
      </c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</row>
    <row r="27" spans="1:135" x14ac:dyDescent="0.25">
      <c r="A27" s="31" t="s">
        <v>61</v>
      </c>
      <c r="B27" s="28">
        <f>10000+10000</f>
        <v>20000</v>
      </c>
      <c r="C27" s="32">
        <f>10000-19.17+10000-14.38</f>
        <v>19966.45</v>
      </c>
      <c r="D27" s="33">
        <v>230.04</v>
      </c>
      <c r="E27" s="33">
        <v>0</v>
      </c>
      <c r="F27" s="33">
        <f>958.5+1138.22</f>
        <v>2096.7200000000003</v>
      </c>
      <c r="G27" s="33">
        <f t="shared" si="0"/>
        <v>22293.210000000003</v>
      </c>
      <c r="H27" s="33">
        <v>900</v>
      </c>
      <c r="I27" s="34">
        <v>1900</v>
      </c>
      <c r="J27" s="33">
        <f t="shared" si="1"/>
        <v>2800</v>
      </c>
      <c r="K27" s="33">
        <v>30</v>
      </c>
      <c r="L27" s="33">
        <v>0</v>
      </c>
      <c r="M27" s="33">
        <v>0</v>
      </c>
      <c r="N27" s="33">
        <f t="shared" si="10"/>
        <v>500</v>
      </c>
      <c r="O27" s="33">
        <f t="shared" si="2"/>
        <v>500</v>
      </c>
      <c r="P27" s="34">
        <f t="shared" si="9"/>
        <v>1000</v>
      </c>
      <c r="Q27" s="33">
        <v>0</v>
      </c>
      <c r="R27" s="33">
        <v>0</v>
      </c>
      <c r="S27" s="33">
        <v>0</v>
      </c>
      <c r="T27" s="27">
        <v>0</v>
      </c>
      <c r="U27" s="33">
        <v>200</v>
      </c>
      <c r="V27" s="33">
        <f t="shared" si="3"/>
        <v>200</v>
      </c>
      <c r="W27" s="32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f>G27-L27-M27-W27-X27-Y27-Z27-AA27-H27-N27-T27-U27</f>
        <v>20693.210000000003</v>
      </c>
      <c r="AE27" s="33">
        <v>0</v>
      </c>
      <c r="AF27" s="33">
        <v>0</v>
      </c>
      <c r="AG27" s="36">
        <v>0</v>
      </c>
      <c r="AH27" s="37">
        <v>0</v>
      </c>
      <c r="AI27" s="36">
        <v>0</v>
      </c>
      <c r="AJ27" s="34">
        <v>0</v>
      </c>
      <c r="AK27" s="38">
        <f t="shared" si="5"/>
        <v>20693.210000000003</v>
      </c>
      <c r="AL27" s="23"/>
      <c r="AM27" s="30"/>
      <c r="AN27" s="24"/>
      <c r="AO27" s="24">
        <f t="shared" si="6"/>
        <v>20693.210000000003</v>
      </c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</row>
    <row r="28" spans="1:135" x14ac:dyDescent="0.25">
      <c r="A28" s="31" t="s">
        <v>62</v>
      </c>
      <c r="B28" s="28">
        <f>9500+9500</f>
        <v>19000</v>
      </c>
      <c r="C28" s="32">
        <f>9500-728.43-9.1+9500-3277.94-4.55-275.88</f>
        <v>14704.100000000002</v>
      </c>
      <c r="D28" s="33">
        <v>0</v>
      </c>
      <c r="E28" s="33">
        <v>0</v>
      </c>
      <c r="F28" s="33">
        <f>796.69+341.44</f>
        <v>1138.1300000000001</v>
      </c>
      <c r="G28" s="33">
        <f t="shared" si="0"/>
        <v>15842.230000000003</v>
      </c>
      <c r="H28" s="33">
        <v>855</v>
      </c>
      <c r="I28" s="34">
        <v>1805</v>
      </c>
      <c r="J28" s="33">
        <f t="shared" si="1"/>
        <v>2660</v>
      </c>
      <c r="K28" s="33">
        <v>30</v>
      </c>
      <c r="L28" s="33">
        <v>0</v>
      </c>
      <c r="M28" s="33">
        <v>0</v>
      </c>
      <c r="N28" s="33">
        <f t="shared" si="10"/>
        <v>475</v>
      </c>
      <c r="O28" s="33">
        <f t="shared" si="2"/>
        <v>475</v>
      </c>
      <c r="P28" s="34">
        <f t="shared" si="9"/>
        <v>950</v>
      </c>
      <c r="Q28" s="33">
        <v>0</v>
      </c>
      <c r="R28" s="33">
        <v>0</v>
      </c>
      <c r="S28" s="33">
        <v>0</v>
      </c>
      <c r="T28" s="27">
        <v>0</v>
      </c>
      <c r="U28" s="33">
        <v>200</v>
      </c>
      <c r="V28" s="33">
        <f t="shared" si="3"/>
        <v>200</v>
      </c>
      <c r="W28" s="32">
        <v>0</v>
      </c>
      <c r="X28" s="33">
        <v>0</v>
      </c>
      <c r="Y28" s="33">
        <v>0</v>
      </c>
      <c r="Z28" s="33">
        <v>0</v>
      </c>
      <c r="AA28" s="33">
        <v>91.05</v>
      </c>
      <c r="AB28" s="33">
        <v>0</v>
      </c>
      <c r="AC28" s="33">
        <v>0</v>
      </c>
      <c r="AD28" s="33">
        <f>G28-L28-M28-W28-X28-Y28-Z28-AA28-H28-N28-T28-U28</f>
        <v>14221.180000000004</v>
      </c>
      <c r="AE28" s="33">
        <v>0</v>
      </c>
      <c r="AF28" s="33">
        <v>0</v>
      </c>
      <c r="AG28" s="36">
        <v>0</v>
      </c>
      <c r="AH28" s="37">
        <v>0</v>
      </c>
      <c r="AI28" s="36">
        <v>0</v>
      </c>
      <c r="AJ28" s="34">
        <v>0</v>
      </c>
      <c r="AK28" s="38">
        <f t="shared" si="5"/>
        <v>14221.180000000004</v>
      </c>
      <c r="AL28" s="23"/>
      <c r="AM28" s="30"/>
      <c r="AN28" s="24"/>
      <c r="AO28" s="24">
        <f t="shared" si="6"/>
        <v>14221.180000000004</v>
      </c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</row>
    <row r="29" spans="1:135" x14ac:dyDescent="0.25">
      <c r="A29" s="31" t="s">
        <v>63</v>
      </c>
      <c r="B29" s="28">
        <f>8658+8658</f>
        <v>17316</v>
      </c>
      <c r="C29" s="32">
        <f>8658-5.53+8658</f>
        <v>17310.47</v>
      </c>
      <c r="D29" s="33">
        <f>199.15+199.15</f>
        <v>398.3</v>
      </c>
      <c r="E29" s="33">
        <v>0</v>
      </c>
      <c r="F29" s="33">
        <v>0</v>
      </c>
      <c r="G29" s="33">
        <f t="shared" si="0"/>
        <v>17708.77</v>
      </c>
      <c r="H29" s="33">
        <v>787.5</v>
      </c>
      <c r="I29" s="34">
        <v>1662.5</v>
      </c>
      <c r="J29" s="33">
        <f t="shared" si="1"/>
        <v>2450</v>
      </c>
      <c r="K29" s="33">
        <v>30</v>
      </c>
      <c r="L29" s="33">
        <v>0</v>
      </c>
      <c r="M29" s="33">
        <v>0</v>
      </c>
      <c r="N29" s="33">
        <f t="shared" si="10"/>
        <v>432.90000000000003</v>
      </c>
      <c r="O29" s="33">
        <f t="shared" si="2"/>
        <v>432.90000000000003</v>
      </c>
      <c r="P29" s="34">
        <f t="shared" si="9"/>
        <v>865.80000000000007</v>
      </c>
      <c r="Q29" s="33">
        <v>0</v>
      </c>
      <c r="R29" s="33">
        <v>0</v>
      </c>
      <c r="S29" s="33">
        <v>0</v>
      </c>
      <c r="T29" s="27">
        <v>0</v>
      </c>
      <c r="U29" s="33">
        <v>200</v>
      </c>
      <c r="V29" s="33">
        <f t="shared" si="3"/>
        <v>200</v>
      </c>
      <c r="W29" s="32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3">
        <v>0</v>
      </c>
      <c r="AD29" s="33">
        <f>G29-L29-M29-W29-X29-Y29-Z29-AA29-H29-N29-T29-U29</f>
        <v>16288.369999999999</v>
      </c>
      <c r="AE29" s="33">
        <v>0</v>
      </c>
      <c r="AF29" s="33">
        <v>0</v>
      </c>
      <c r="AG29" s="36">
        <v>0</v>
      </c>
      <c r="AH29" s="37">
        <v>0</v>
      </c>
      <c r="AI29" s="36">
        <v>0</v>
      </c>
      <c r="AJ29" s="34">
        <v>0</v>
      </c>
      <c r="AK29" s="38">
        <f t="shared" si="5"/>
        <v>16288.369999999999</v>
      </c>
      <c r="AL29" s="23"/>
      <c r="AM29" s="30"/>
      <c r="AN29" s="24"/>
      <c r="AO29" s="24">
        <f t="shared" si="6"/>
        <v>16288.369999999999</v>
      </c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</row>
    <row r="30" spans="1:135" x14ac:dyDescent="0.25">
      <c r="A30" s="31" t="s">
        <v>64</v>
      </c>
      <c r="B30" s="28">
        <f>10911+10911</f>
        <v>21822</v>
      </c>
      <c r="C30" s="32">
        <f>10911-17.43+10911</f>
        <v>21804.57</v>
      </c>
      <c r="D30" s="33">
        <v>250.99</v>
      </c>
      <c r="E30" s="33">
        <v>0</v>
      </c>
      <c r="F30" s="33">
        <v>1045.8</v>
      </c>
      <c r="G30" s="33">
        <f t="shared" si="0"/>
        <v>23101.360000000001</v>
      </c>
      <c r="H30" s="33">
        <v>990</v>
      </c>
      <c r="I30" s="33">
        <f>1900+190</f>
        <v>2090</v>
      </c>
      <c r="J30" s="33">
        <f t="shared" si="1"/>
        <v>3080</v>
      </c>
      <c r="K30" s="33">
        <v>30</v>
      </c>
      <c r="L30" s="33">
        <v>1799.65</v>
      </c>
      <c r="M30" s="33">
        <v>0</v>
      </c>
      <c r="N30" s="33">
        <f t="shared" si="10"/>
        <v>545.55000000000007</v>
      </c>
      <c r="O30" s="33">
        <f t="shared" si="2"/>
        <v>545.55000000000007</v>
      </c>
      <c r="P30" s="34">
        <f t="shared" si="9"/>
        <v>1091.1000000000001</v>
      </c>
      <c r="Q30" s="33">
        <v>0</v>
      </c>
      <c r="R30" s="33">
        <v>0</v>
      </c>
      <c r="S30" s="33">
        <v>0</v>
      </c>
      <c r="T30" s="27">
        <f>(G30-H30-N30-Q30-U30-20833)*15%</f>
        <v>79.921500000000194</v>
      </c>
      <c r="U30" s="33">
        <v>200</v>
      </c>
      <c r="V30" s="33">
        <f t="shared" si="3"/>
        <v>200</v>
      </c>
      <c r="W30" s="33">
        <v>1293.73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455.6</v>
      </c>
      <c r="AD30" s="33">
        <f>G30-L30-M30-W30-X30-Y30-Z30-AA30-H30-N30-T30-U30+AC30+AB30</f>
        <v>18648.108499999998</v>
      </c>
      <c r="AE30" s="33">
        <f>3150+3150</f>
        <v>6300</v>
      </c>
      <c r="AF30" s="33">
        <f>72.47+72.47</f>
        <v>144.94</v>
      </c>
      <c r="AG30" s="36">
        <v>0</v>
      </c>
      <c r="AH30" s="37">
        <v>0</v>
      </c>
      <c r="AI30" s="37">
        <v>0</v>
      </c>
      <c r="AJ30" s="34">
        <v>0</v>
      </c>
      <c r="AK30" s="38">
        <f t="shared" si="5"/>
        <v>25093.048499999997</v>
      </c>
      <c r="AL30" s="24"/>
      <c r="AM30" s="30"/>
      <c r="AN30" s="24"/>
      <c r="AO30" s="24">
        <f t="shared" si="6"/>
        <v>25093.048499999997</v>
      </c>
      <c r="AP30" s="24">
        <f>AO30-AK30</f>
        <v>0</v>
      </c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  <c r="DF30" s="24"/>
      <c r="DG30" s="24"/>
      <c r="DH30" s="24"/>
      <c r="DI30" s="24"/>
      <c r="DJ30" s="24"/>
      <c r="DK30" s="24"/>
      <c r="DL30" s="24"/>
      <c r="DM30" s="24"/>
      <c r="DN30" s="24"/>
      <c r="DO30" s="24"/>
      <c r="DP30" s="24"/>
      <c r="DQ30" s="24"/>
      <c r="DR30" s="24"/>
      <c r="DS30" s="24"/>
      <c r="DT30" s="24"/>
      <c r="DU30" s="24"/>
      <c r="DV30" s="24"/>
      <c r="DW30" s="24"/>
      <c r="DX30" s="24"/>
      <c r="DY30" s="24"/>
      <c r="DZ30" s="24"/>
      <c r="EA30" s="24"/>
      <c r="EB30" s="24"/>
      <c r="EC30" s="24"/>
      <c r="ED30" s="24"/>
      <c r="EE30" s="24"/>
    </row>
    <row r="31" spans="1:135" x14ac:dyDescent="0.25">
      <c r="A31" s="31" t="s">
        <v>65</v>
      </c>
      <c r="B31" s="28">
        <f>20000+20000</f>
        <v>40000</v>
      </c>
      <c r="C31" s="32">
        <f>20000-230.03+20000-35.14</f>
        <v>39734.83</v>
      </c>
      <c r="D31" s="33">
        <v>452.58</v>
      </c>
      <c r="E31" s="33">
        <v>0</v>
      </c>
      <c r="F31" s="33">
        <v>0</v>
      </c>
      <c r="G31" s="33">
        <f t="shared" si="0"/>
        <v>40187.410000000003</v>
      </c>
      <c r="H31" s="33">
        <f>900+450</f>
        <v>1350</v>
      </c>
      <c r="I31" s="34">
        <f>1900+950</f>
        <v>2850</v>
      </c>
      <c r="J31" s="33">
        <f t="shared" si="1"/>
        <v>4200</v>
      </c>
      <c r="K31" s="34">
        <v>30</v>
      </c>
      <c r="L31" s="33">
        <v>0</v>
      </c>
      <c r="M31" s="33">
        <v>0</v>
      </c>
      <c r="N31" s="33">
        <f t="shared" si="10"/>
        <v>1000</v>
      </c>
      <c r="O31" s="33">
        <f t="shared" si="2"/>
        <v>1000</v>
      </c>
      <c r="P31" s="34">
        <f t="shared" si="9"/>
        <v>2000</v>
      </c>
      <c r="Q31" s="33">
        <v>0</v>
      </c>
      <c r="R31" s="33">
        <v>0</v>
      </c>
      <c r="S31" s="33">
        <v>0</v>
      </c>
      <c r="T31" s="35">
        <f>(G31-H31-N31-Q31-U31-33333)*20%+1875</f>
        <v>2735.8820000000005</v>
      </c>
      <c r="U31" s="33">
        <v>200</v>
      </c>
      <c r="V31" s="33">
        <f t="shared" si="3"/>
        <v>200</v>
      </c>
      <c r="W31" s="32">
        <v>0</v>
      </c>
      <c r="X31" s="33">
        <v>0</v>
      </c>
      <c r="Y31" s="33">
        <f>2300+2300</f>
        <v>4600</v>
      </c>
      <c r="Z31" s="33">
        <v>0</v>
      </c>
      <c r="AA31" s="33">
        <v>0</v>
      </c>
      <c r="AB31" s="33">
        <v>0</v>
      </c>
      <c r="AC31" s="33">
        <v>0</v>
      </c>
      <c r="AD31" s="33">
        <f t="shared" ref="AD31:AD40" si="11">G31-L31-M31-W31-X31-Y31-Z31-AA31-H31-N31-T31-U31</f>
        <v>30301.528000000002</v>
      </c>
      <c r="AE31" s="33">
        <f>10000+10000</f>
        <v>20000</v>
      </c>
      <c r="AF31" s="33">
        <v>230.06</v>
      </c>
      <c r="AG31" s="36">
        <v>0</v>
      </c>
      <c r="AH31" s="37">
        <v>0</v>
      </c>
      <c r="AI31" s="37">
        <v>0</v>
      </c>
      <c r="AJ31" s="34">
        <v>0</v>
      </c>
      <c r="AK31" s="38">
        <f t="shared" si="5"/>
        <v>50531.588000000003</v>
      </c>
      <c r="AL31" s="44" t="s">
        <v>66</v>
      </c>
      <c r="AM31" s="44">
        <v>270335.37</v>
      </c>
      <c r="AN31" s="24"/>
      <c r="AO31" s="24">
        <f t="shared" si="6"/>
        <v>50531.588000000003</v>
      </c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  <c r="DF31" s="24"/>
      <c r="DG31" s="24"/>
      <c r="DH31" s="24"/>
      <c r="DI31" s="24"/>
      <c r="DJ31" s="24"/>
      <c r="DK31" s="24"/>
      <c r="DL31" s="24"/>
      <c r="DM31" s="24"/>
      <c r="DN31" s="24"/>
      <c r="DO31" s="24"/>
      <c r="DP31" s="24"/>
      <c r="DQ31" s="24"/>
      <c r="DR31" s="24"/>
      <c r="DS31" s="24"/>
      <c r="DT31" s="24"/>
      <c r="DU31" s="24"/>
      <c r="DV31" s="24"/>
      <c r="DW31" s="24"/>
      <c r="DX31" s="24"/>
      <c r="DY31" s="24"/>
      <c r="DZ31" s="24"/>
      <c r="EA31" s="24"/>
      <c r="EB31" s="24"/>
      <c r="EC31" s="24"/>
      <c r="ED31" s="24"/>
      <c r="EE31" s="24"/>
    </row>
    <row r="32" spans="1:135" x14ac:dyDescent="0.25">
      <c r="A32" s="31" t="s">
        <v>67</v>
      </c>
      <c r="B32" s="28">
        <f>10500+10500</f>
        <v>21000</v>
      </c>
      <c r="C32" s="32">
        <f>10500-1006.39-603.84+10500</f>
        <v>19389.77</v>
      </c>
      <c r="D32" s="33">
        <f>241.54+241.54</f>
        <v>483.08</v>
      </c>
      <c r="E32" s="33">
        <v>0</v>
      </c>
      <c r="F32" s="33">
        <f>377.4</f>
        <v>377.4</v>
      </c>
      <c r="G32" s="33">
        <f t="shared" si="0"/>
        <v>20250.250000000004</v>
      </c>
      <c r="H32" s="33">
        <v>945</v>
      </c>
      <c r="I32" s="34">
        <f>1900+95</f>
        <v>1995</v>
      </c>
      <c r="J32" s="33">
        <f t="shared" si="1"/>
        <v>2940</v>
      </c>
      <c r="K32" s="33">
        <v>30</v>
      </c>
      <c r="L32" s="33">
        <v>0</v>
      </c>
      <c r="M32" s="27">
        <v>0</v>
      </c>
      <c r="N32" s="33">
        <f t="shared" si="10"/>
        <v>525</v>
      </c>
      <c r="O32" s="33">
        <f t="shared" si="2"/>
        <v>525</v>
      </c>
      <c r="P32" s="34">
        <f t="shared" si="9"/>
        <v>1050</v>
      </c>
      <c r="Q32" s="33">
        <v>0</v>
      </c>
      <c r="R32" s="33">
        <v>0</v>
      </c>
      <c r="S32" s="33">
        <v>0</v>
      </c>
      <c r="T32" s="33">
        <v>0</v>
      </c>
      <c r="U32" s="33">
        <v>200</v>
      </c>
      <c r="V32" s="33">
        <f t="shared" si="3"/>
        <v>200</v>
      </c>
      <c r="W32" s="32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f t="shared" si="11"/>
        <v>18580.250000000004</v>
      </c>
      <c r="AE32" s="33">
        <v>0</v>
      </c>
      <c r="AF32" s="33">
        <v>0</v>
      </c>
      <c r="AG32" s="36">
        <v>0</v>
      </c>
      <c r="AH32" s="37">
        <f>500+500</f>
        <v>1000</v>
      </c>
      <c r="AI32" s="37">
        <v>0</v>
      </c>
      <c r="AJ32" s="34">
        <v>0</v>
      </c>
      <c r="AK32" s="38">
        <f>AD32+AE32+AF32+AG32+AH32</f>
        <v>19580.250000000004</v>
      </c>
      <c r="AL32" s="44" t="s">
        <v>68</v>
      </c>
      <c r="AM32" s="44">
        <v>34486.129999999997</v>
      </c>
      <c r="AN32" s="24"/>
      <c r="AO32" s="24">
        <f t="shared" si="6"/>
        <v>19580.250000000004</v>
      </c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  <c r="DF32" s="24"/>
      <c r="DG32" s="24"/>
      <c r="DH32" s="24"/>
      <c r="DI32" s="24"/>
      <c r="DJ32" s="24"/>
      <c r="DK32" s="24"/>
      <c r="DL32" s="24"/>
      <c r="DM32" s="24"/>
      <c r="DN32" s="24"/>
      <c r="DO32" s="24"/>
      <c r="DP32" s="24"/>
      <c r="DQ32" s="24"/>
      <c r="DR32" s="24"/>
      <c r="DS32" s="24"/>
      <c r="DT32" s="24"/>
      <c r="DU32" s="24"/>
      <c r="DV32" s="24"/>
      <c r="DW32" s="24"/>
      <c r="DX32" s="24"/>
      <c r="DY32" s="24"/>
      <c r="DZ32" s="24"/>
      <c r="EA32" s="24"/>
      <c r="EB32" s="24"/>
      <c r="EC32" s="24"/>
      <c r="ED32" s="24"/>
      <c r="EE32" s="24"/>
    </row>
    <row r="33" spans="1:135" x14ac:dyDescent="0.25">
      <c r="A33" s="31" t="s">
        <v>69</v>
      </c>
      <c r="B33" s="28">
        <f>9066.5+9066.5</f>
        <v>18133</v>
      </c>
      <c r="C33" s="32">
        <f>9066.5-133.25+9066.5-68.07</f>
        <v>17931.68</v>
      </c>
      <c r="D33" s="33">
        <f>208.56+208.56</f>
        <v>417.12</v>
      </c>
      <c r="E33" s="33">
        <v>0</v>
      </c>
      <c r="F33" s="33">
        <v>0</v>
      </c>
      <c r="G33" s="33">
        <f t="shared" si="0"/>
        <v>18348.8</v>
      </c>
      <c r="H33" s="33">
        <v>810</v>
      </c>
      <c r="I33" s="34">
        <v>1710</v>
      </c>
      <c r="J33" s="33">
        <f t="shared" si="1"/>
        <v>2520</v>
      </c>
      <c r="K33" s="34">
        <v>30</v>
      </c>
      <c r="L33" s="33">
        <v>1661.22</v>
      </c>
      <c r="M33" s="27">
        <v>0</v>
      </c>
      <c r="N33" s="33">
        <f>B33*5%/2-0.01</f>
        <v>453.31500000000005</v>
      </c>
      <c r="O33" s="33">
        <f>N33+0.01</f>
        <v>453.32500000000005</v>
      </c>
      <c r="P33" s="34">
        <f>N33+O33+0.01</f>
        <v>906.65000000000009</v>
      </c>
      <c r="Q33" s="33">
        <v>0</v>
      </c>
      <c r="R33" s="33">
        <v>0</v>
      </c>
      <c r="S33" s="33">
        <v>0</v>
      </c>
      <c r="T33" s="33">
        <v>0</v>
      </c>
      <c r="U33" s="33">
        <v>200</v>
      </c>
      <c r="V33" s="33">
        <f t="shared" si="3"/>
        <v>200</v>
      </c>
      <c r="W33" s="32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f t="shared" si="11"/>
        <v>15224.264999999998</v>
      </c>
      <c r="AE33" s="33">
        <v>0</v>
      </c>
      <c r="AF33" s="33">
        <v>0</v>
      </c>
      <c r="AG33" s="36">
        <v>0</v>
      </c>
      <c r="AH33" s="37">
        <v>0</v>
      </c>
      <c r="AI33" s="37">
        <v>0</v>
      </c>
      <c r="AJ33" s="34">
        <v>0</v>
      </c>
      <c r="AK33" s="38">
        <f>AD33+AE33+AF33+AG33</f>
        <v>15224.264999999998</v>
      </c>
      <c r="AL33" s="44" t="s">
        <v>70</v>
      </c>
      <c r="AM33" s="45">
        <v>0</v>
      </c>
      <c r="AN33" s="24"/>
      <c r="AO33" s="24">
        <f t="shared" si="6"/>
        <v>15224.264999999999</v>
      </c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</row>
    <row r="34" spans="1:135" x14ac:dyDescent="0.25">
      <c r="A34" s="43" t="s">
        <v>71</v>
      </c>
      <c r="B34" s="25">
        <f>8000+8000</f>
        <v>16000</v>
      </c>
      <c r="C34" s="32">
        <f>8000+8000-1840.26-14.06</f>
        <v>14145.68</v>
      </c>
      <c r="D34" s="33">
        <v>184.03</v>
      </c>
      <c r="E34" s="33">
        <v>0</v>
      </c>
      <c r="F34" s="33">
        <v>0</v>
      </c>
      <c r="G34" s="27">
        <f>C34+E34+F34+D34</f>
        <v>14329.710000000001</v>
      </c>
      <c r="H34" s="33">
        <v>720</v>
      </c>
      <c r="I34" s="34">
        <v>1520</v>
      </c>
      <c r="J34" s="33">
        <f t="shared" si="1"/>
        <v>2240</v>
      </c>
      <c r="K34" s="34">
        <v>30</v>
      </c>
      <c r="L34" s="33">
        <v>738.32</v>
      </c>
      <c r="M34" s="27">
        <v>0</v>
      </c>
      <c r="N34" s="33">
        <f t="shared" ref="N34:N40" si="12">B34*5%/2</f>
        <v>400</v>
      </c>
      <c r="O34" s="33">
        <f t="shared" ref="O34:O40" si="13">N34</f>
        <v>400</v>
      </c>
      <c r="P34" s="19">
        <f t="shared" ref="P34:P39" si="14">N34+O34</f>
        <v>800</v>
      </c>
      <c r="Q34" s="33">
        <v>0</v>
      </c>
      <c r="R34" s="33">
        <v>0</v>
      </c>
      <c r="S34" s="33">
        <v>0</v>
      </c>
      <c r="T34" s="27">
        <v>0</v>
      </c>
      <c r="U34" s="33">
        <v>200</v>
      </c>
      <c r="V34" s="27">
        <f t="shared" si="3"/>
        <v>200</v>
      </c>
      <c r="W34" s="46">
        <v>0</v>
      </c>
      <c r="X34" s="33">
        <v>0</v>
      </c>
      <c r="Y34" s="33">
        <v>0</v>
      </c>
      <c r="Z34" s="33">
        <v>0</v>
      </c>
      <c r="AA34" s="33">
        <v>153.36000000000001</v>
      </c>
      <c r="AB34" s="33">
        <v>0</v>
      </c>
      <c r="AC34" s="33">
        <v>0</v>
      </c>
      <c r="AD34" s="33">
        <f t="shared" si="11"/>
        <v>12118.03</v>
      </c>
      <c r="AE34" s="33">
        <v>0</v>
      </c>
      <c r="AF34" s="33">
        <v>0</v>
      </c>
      <c r="AG34" s="36">
        <v>0</v>
      </c>
      <c r="AH34" s="37">
        <v>0</v>
      </c>
      <c r="AI34" s="37">
        <v>0</v>
      </c>
      <c r="AJ34" s="34">
        <v>0</v>
      </c>
      <c r="AK34" s="38">
        <f>AD34+AE34+AF34+AG34</f>
        <v>12118.03</v>
      </c>
      <c r="AL34" s="44" t="s">
        <v>72</v>
      </c>
      <c r="AM34" s="47">
        <f>AM31+AM32+AM33</f>
        <v>304821.5</v>
      </c>
      <c r="AN34" s="24"/>
      <c r="AO34" s="24">
        <f t="shared" si="6"/>
        <v>12118.03</v>
      </c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42"/>
      <c r="BG34" s="42"/>
      <c r="BH34" s="42"/>
      <c r="BI34" s="42"/>
      <c r="BJ34" s="42"/>
      <c r="BK34" s="42"/>
      <c r="BL34" s="42"/>
      <c r="BM34" s="42"/>
      <c r="BN34" s="42"/>
      <c r="BO34" s="42"/>
      <c r="BP34" s="42"/>
      <c r="BQ34" s="42"/>
      <c r="BR34" s="42"/>
      <c r="BS34" s="42"/>
      <c r="BT34" s="42"/>
      <c r="BU34" s="42"/>
      <c r="BV34" s="42"/>
      <c r="BW34" s="42"/>
      <c r="BX34" s="42"/>
      <c r="BY34" s="42"/>
      <c r="BZ34" s="42"/>
      <c r="CA34" s="42"/>
      <c r="CB34" s="42"/>
      <c r="CC34" s="42"/>
      <c r="CD34" s="42"/>
      <c r="CE34" s="42"/>
      <c r="CF34" s="42"/>
      <c r="CG34" s="42"/>
      <c r="CH34" s="42"/>
      <c r="CI34" s="42"/>
      <c r="CJ34" s="42"/>
      <c r="CK34" s="42"/>
      <c r="CL34" s="42"/>
      <c r="CM34" s="42"/>
      <c r="CN34" s="42"/>
      <c r="CO34" s="42"/>
      <c r="CP34" s="42"/>
      <c r="CQ34" s="42"/>
      <c r="CR34" s="42"/>
      <c r="CS34" s="42"/>
      <c r="CT34" s="42"/>
      <c r="CU34" s="42"/>
      <c r="CV34" s="42"/>
      <c r="CW34" s="42"/>
      <c r="CX34" s="42"/>
      <c r="CY34" s="42"/>
      <c r="CZ34" s="42"/>
      <c r="DA34" s="42"/>
      <c r="DB34" s="42"/>
      <c r="DC34" s="42"/>
      <c r="DD34" s="42"/>
      <c r="DE34" s="42"/>
      <c r="DF34" s="42"/>
      <c r="DG34" s="42"/>
      <c r="DH34" s="42"/>
      <c r="DI34" s="42"/>
      <c r="DJ34" s="42"/>
      <c r="DK34" s="42"/>
      <c r="DL34" s="42"/>
      <c r="DM34" s="42"/>
      <c r="DN34" s="42"/>
      <c r="DO34" s="42"/>
      <c r="DP34" s="42"/>
      <c r="DQ34" s="42"/>
      <c r="DR34" s="42"/>
      <c r="DS34" s="42"/>
      <c r="DT34" s="42"/>
      <c r="DU34" s="42"/>
      <c r="DV34" s="42"/>
      <c r="DW34" s="42"/>
      <c r="DX34" s="42"/>
      <c r="DY34" s="42"/>
      <c r="DZ34" s="42"/>
      <c r="EA34" s="42"/>
      <c r="EB34" s="42"/>
      <c r="EC34" s="42"/>
      <c r="ED34" s="42"/>
      <c r="EE34" s="42"/>
    </row>
    <row r="35" spans="1:135" x14ac:dyDescent="0.25">
      <c r="A35" s="31" t="s">
        <v>73</v>
      </c>
      <c r="B35" s="28">
        <f>15000+15000</f>
        <v>30000</v>
      </c>
      <c r="C35" s="32">
        <f>15000-117.41+15000-57.51</f>
        <v>29825.08</v>
      </c>
      <c r="D35" s="33">
        <v>0</v>
      </c>
      <c r="E35" s="33">
        <v>0</v>
      </c>
      <c r="F35" s="33">
        <v>179.71</v>
      </c>
      <c r="G35" s="33">
        <f t="shared" ref="G35:G40" si="15">C35+D35+E35+F35</f>
        <v>30004.79</v>
      </c>
      <c r="H35" s="27">
        <v>1350</v>
      </c>
      <c r="I35" s="27">
        <v>2850</v>
      </c>
      <c r="J35" s="27">
        <f t="shared" si="1"/>
        <v>4200</v>
      </c>
      <c r="K35" s="27">
        <v>30</v>
      </c>
      <c r="L35" s="27">
        <v>1523.08</v>
      </c>
      <c r="M35" s="27">
        <v>0</v>
      </c>
      <c r="N35" s="33">
        <f t="shared" si="12"/>
        <v>750</v>
      </c>
      <c r="O35" s="27">
        <f t="shared" si="13"/>
        <v>750</v>
      </c>
      <c r="P35" s="19">
        <f t="shared" si="14"/>
        <v>1500</v>
      </c>
      <c r="Q35" s="33">
        <v>0</v>
      </c>
      <c r="R35" s="33">
        <v>0</v>
      </c>
      <c r="S35" s="33">
        <v>0</v>
      </c>
      <c r="T35" s="33">
        <f>(G35-H35-N35-Q35-U35-20833)*15%</f>
        <v>1030.7685000000001</v>
      </c>
      <c r="U35" s="33">
        <v>200</v>
      </c>
      <c r="V35" s="27">
        <f t="shared" si="3"/>
        <v>200</v>
      </c>
      <c r="W35" s="27">
        <v>0</v>
      </c>
      <c r="X35" s="27">
        <v>0</v>
      </c>
      <c r="Y35" s="27">
        <f>1000+1000</f>
        <v>2000</v>
      </c>
      <c r="Z35" s="27">
        <v>0</v>
      </c>
      <c r="AA35" s="27">
        <v>0</v>
      </c>
      <c r="AB35" s="33">
        <v>0</v>
      </c>
      <c r="AC35" s="33">
        <v>0</v>
      </c>
      <c r="AD35" s="33">
        <f t="shared" si="11"/>
        <v>23150.941500000001</v>
      </c>
      <c r="AE35" s="33">
        <v>0</v>
      </c>
      <c r="AF35" s="33">
        <v>0</v>
      </c>
      <c r="AG35" s="36">
        <v>0</v>
      </c>
      <c r="AH35" s="27">
        <v>0</v>
      </c>
      <c r="AI35" s="27">
        <v>0</v>
      </c>
      <c r="AJ35" s="34">
        <v>0</v>
      </c>
      <c r="AK35" s="38">
        <f>AD35+AE35+AF35+AG35</f>
        <v>23150.941500000001</v>
      </c>
      <c r="AL35" s="42" t="s">
        <v>22</v>
      </c>
      <c r="AM35" s="44" t="s">
        <v>22</v>
      </c>
      <c r="AN35" s="24"/>
      <c r="AO35" s="24">
        <f t="shared" si="6"/>
        <v>23150.941500000001</v>
      </c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  <c r="BK35" s="42"/>
      <c r="BL35" s="42"/>
      <c r="BM35" s="42"/>
      <c r="BN35" s="42"/>
      <c r="BO35" s="42"/>
      <c r="BP35" s="42"/>
      <c r="BQ35" s="42"/>
      <c r="BR35" s="42"/>
      <c r="BS35" s="42"/>
      <c r="BT35" s="42"/>
      <c r="BU35" s="42"/>
      <c r="BV35" s="42"/>
      <c r="BW35" s="42"/>
      <c r="BX35" s="42"/>
      <c r="BY35" s="42"/>
      <c r="BZ35" s="42"/>
      <c r="CA35" s="42"/>
      <c r="CB35" s="42"/>
      <c r="CC35" s="42"/>
      <c r="CD35" s="42"/>
      <c r="CE35" s="42"/>
      <c r="CF35" s="42"/>
      <c r="CG35" s="42"/>
      <c r="CH35" s="42"/>
      <c r="CI35" s="42"/>
      <c r="CJ35" s="42"/>
      <c r="CK35" s="42"/>
      <c r="CL35" s="42"/>
      <c r="CM35" s="42"/>
      <c r="CN35" s="42"/>
      <c r="CO35" s="42"/>
      <c r="CP35" s="42"/>
      <c r="CQ35" s="42"/>
      <c r="CR35" s="42"/>
      <c r="CS35" s="42"/>
      <c r="CT35" s="42"/>
      <c r="CU35" s="42"/>
      <c r="CV35" s="42"/>
      <c r="CW35" s="42"/>
      <c r="CX35" s="42"/>
      <c r="CY35" s="42"/>
      <c r="CZ35" s="42"/>
      <c r="DA35" s="42"/>
      <c r="DB35" s="42"/>
      <c r="DC35" s="42"/>
      <c r="DD35" s="42"/>
      <c r="DE35" s="42"/>
      <c r="DF35" s="42"/>
      <c r="DG35" s="42"/>
      <c r="DH35" s="42"/>
      <c r="DI35" s="42"/>
      <c r="DJ35" s="42"/>
      <c r="DK35" s="42"/>
      <c r="DL35" s="42"/>
      <c r="DM35" s="42"/>
      <c r="DN35" s="42"/>
      <c r="DO35" s="42"/>
      <c r="DP35" s="42"/>
      <c r="DQ35" s="42"/>
      <c r="DR35" s="42"/>
      <c r="DS35" s="42"/>
      <c r="DT35" s="42"/>
      <c r="DU35" s="42"/>
      <c r="DV35" s="42"/>
      <c r="DW35" s="42"/>
      <c r="DX35" s="42"/>
      <c r="DY35" s="42"/>
      <c r="DZ35" s="42"/>
      <c r="EA35" s="42"/>
      <c r="EB35" s="42"/>
      <c r="EC35" s="42"/>
      <c r="ED35" s="42"/>
      <c r="EE35" s="42"/>
    </row>
    <row r="36" spans="1:135" x14ac:dyDescent="0.25">
      <c r="A36" s="31" t="s">
        <v>74</v>
      </c>
      <c r="B36" s="28">
        <f>7196+7196</f>
        <v>14392</v>
      </c>
      <c r="C36" s="32">
        <f>7196-551.77-210.36-68.97+7196-551.77-45.98</f>
        <v>12963.15</v>
      </c>
      <c r="D36" s="33">
        <v>165.53</v>
      </c>
      <c r="E36" s="33">
        <v>0</v>
      </c>
      <c r="F36" s="33">
        <v>0</v>
      </c>
      <c r="G36" s="33">
        <f t="shared" si="15"/>
        <v>13128.68</v>
      </c>
      <c r="H36" s="33">
        <v>652.5</v>
      </c>
      <c r="I36" s="34">
        <v>1377.5</v>
      </c>
      <c r="J36" s="33">
        <f t="shared" si="1"/>
        <v>2030</v>
      </c>
      <c r="K36" s="34">
        <v>10</v>
      </c>
      <c r="L36" s="33">
        <v>1338.2</v>
      </c>
      <c r="M36" s="34">
        <v>0</v>
      </c>
      <c r="N36" s="33">
        <f t="shared" si="12"/>
        <v>359.8</v>
      </c>
      <c r="O36" s="33">
        <f t="shared" si="13"/>
        <v>359.8</v>
      </c>
      <c r="P36" s="34">
        <f t="shared" si="14"/>
        <v>719.6</v>
      </c>
      <c r="Q36" s="33">
        <v>0</v>
      </c>
      <c r="R36" s="33">
        <v>0</v>
      </c>
      <c r="S36" s="33">
        <v>0</v>
      </c>
      <c r="T36" s="33">
        <v>0</v>
      </c>
      <c r="U36" s="33">
        <v>200</v>
      </c>
      <c r="V36" s="33">
        <f t="shared" si="3"/>
        <v>200</v>
      </c>
      <c r="W36" s="32">
        <v>396.58</v>
      </c>
      <c r="X36" s="33">
        <v>0</v>
      </c>
      <c r="Y36" s="33">
        <v>0</v>
      </c>
      <c r="Z36" s="33">
        <v>0</v>
      </c>
      <c r="AA36" s="33">
        <v>22.99</v>
      </c>
      <c r="AB36" s="33">
        <v>0</v>
      </c>
      <c r="AC36" s="33">
        <v>0</v>
      </c>
      <c r="AD36" s="33">
        <f t="shared" si="11"/>
        <v>10158.61</v>
      </c>
      <c r="AE36" s="33">
        <v>0</v>
      </c>
      <c r="AF36" s="33">
        <v>0</v>
      </c>
      <c r="AG36" s="36">
        <v>0</v>
      </c>
      <c r="AH36" s="37">
        <v>0</v>
      </c>
      <c r="AI36" s="28">
        <v>0</v>
      </c>
      <c r="AJ36" s="34">
        <v>0</v>
      </c>
      <c r="AK36" s="38">
        <f>AD36+AE36+AF36+AG36</f>
        <v>10158.61</v>
      </c>
      <c r="AL36" s="42" t="s">
        <v>75</v>
      </c>
      <c r="AM36" s="44">
        <v>255585.91</v>
      </c>
      <c r="AN36" s="24"/>
      <c r="AO36" s="24">
        <f t="shared" si="6"/>
        <v>10158.61</v>
      </c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24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24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24"/>
    </row>
    <row r="37" spans="1:135" x14ac:dyDescent="0.25">
      <c r="A37" s="31" t="s">
        <v>76</v>
      </c>
      <c r="B37" s="28">
        <f>11570+11570</f>
        <v>23140</v>
      </c>
      <c r="C37" s="32">
        <f>11570-110.89+11570-59.14</f>
        <v>22969.97</v>
      </c>
      <c r="D37" s="33">
        <f>261.81+266.14</f>
        <v>527.95000000000005</v>
      </c>
      <c r="E37" s="33">
        <v>0</v>
      </c>
      <c r="F37" s="33">
        <v>831.68</v>
      </c>
      <c r="G37" s="33">
        <f t="shared" si="15"/>
        <v>24329.600000000002</v>
      </c>
      <c r="H37" s="33">
        <f>900+135</f>
        <v>1035</v>
      </c>
      <c r="I37" s="34">
        <f>1900+285</f>
        <v>2185</v>
      </c>
      <c r="J37" s="33">
        <f t="shared" si="1"/>
        <v>3220</v>
      </c>
      <c r="K37" s="34">
        <v>30</v>
      </c>
      <c r="L37" s="33">
        <v>0</v>
      </c>
      <c r="M37" s="33">
        <v>0</v>
      </c>
      <c r="N37" s="33">
        <f t="shared" si="12"/>
        <v>578.5</v>
      </c>
      <c r="O37" s="33">
        <f t="shared" si="13"/>
        <v>578.5</v>
      </c>
      <c r="P37" s="34">
        <f t="shared" si="14"/>
        <v>1157</v>
      </c>
      <c r="Q37" s="33">
        <v>0</v>
      </c>
      <c r="R37" s="33">
        <v>0</v>
      </c>
      <c r="S37" s="33">
        <v>0</v>
      </c>
      <c r="T37" s="33">
        <f>(G37-H37-N37-Q37-U37-20833)*15%</f>
        <v>252.46500000000032</v>
      </c>
      <c r="U37" s="33">
        <v>200</v>
      </c>
      <c r="V37" s="33">
        <f t="shared" si="3"/>
        <v>200</v>
      </c>
      <c r="W37" s="32">
        <v>309.3</v>
      </c>
      <c r="X37" s="33">
        <v>0</v>
      </c>
      <c r="Y37" s="33">
        <v>0</v>
      </c>
      <c r="Z37" s="33">
        <f>4750+4750</f>
        <v>9500</v>
      </c>
      <c r="AA37" s="33">
        <v>0</v>
      </c>
      <c r="AB37" s="33">
        <v>0</v>
      </c>
      <c r="AC37" s="33">
        <v>0</v>
      </c>
      <c r="AD37" s="33">
        <f t="shared" si="11"/>
        <v>12454.335000000003</v>
      </c>
      <c r="AE37" s="33">
        <f>500+500</f>
        <v>1000</v>
      </c>
      <c r="AF37" s="33">
        <v>11.5</v>
      </c>
      <c r="AG37" s="36">
        <v>0</v>
      </c>
      <c r="AH37" s="37">
        <f>500+500</f>
        <v>1000</v>
      </c>
      <c r="AI37" s="37">
        <v>0</v>
      </c>
      <c r="AJ37" s="34">
        <v>0</v>
      </c>
      <c r="AK37" s="38">
        <f>AD37+AE37+AF37+AG37+AH37</f>
        <v>14465.835000000003</v>
      </c>
      <c r="AL37" s="44" t="s">
        <v>35</v>
      </c>
      <c r="AM37" s="44">
        <v>34009.550000000003</v>
      </c>
      <c r="AN37" s="24"/>
      <c r="AO37" s="24">
        <f t="shared" si="6"/>
        <v>14465.835000000003</v>
      </c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  <c r="DF37" s="24"/>
      <c r="DG37" s="24"/>
      <c r="DH37" s="24"/>
      <c r="DI37" s="24"/>
      <c r="DJ37" s="24"/>
      <c r="DK37" s="24"/>
      <c r="DL37" s="24"/>
      <c r="DM37" s="24"/>
      <c r="DN37" s="24"/>
      <c r="DO37" s="24"/>
      <c r="DP37" s="24"/>
      <c r="DQ37" s="24"/>
      <c r="DR37" s="24"/>
      <c r="DS37" s="24"/>
      <c r="DT37" s="24"/>
      <c r="DU37" s="24"/>
      <c r="DV37" s="24"/>
      <c r="DW37" s="24"/>
      <c r="DX37" s="24"/>
      <c r="DY37" s="24"/>
      <c r="DZ37" s="24"/>
      <c r="EA37" s="24"/>
      <c r="EB37" s="24"/>
      <c r="EC37" s="24"/>
      <c r="ED37" s="24"/>
      <c r="EE37" s="24"/>
    </row>
    <row r="38" spans="1:135" x14ac:dyDescent="0.25">
      <c r="A38" s="31" t="s">
        <v>77</v>
      </c>
      <c r="B38" s="28">
        <f>7500+7500</f>
        <v>15000</v>
      </c>
      <c r="C38" s="32">
        <f>7500-287.54-4.79+7500-8.39</f>
        <v>14699.28</v>
      </c>
      <c r="D38" s="33">
        <f>172.51+21.56</f>
        <v>194.07</v>
      </c>
      <c r="E38" s="33">
        <v>0</v>
      </c>
      <c r="F38" s="33">
        <v>314.48</v>
      </c>
      <c r="G38" s="33">
        <f t="shared" si="15"/>
        <v>15207.83</v>
      </c>
      <c r="H38" s="33">
        <v>675</v>
      </c>
      <c r="I38" s="34">
        <v>1425</v>
      </c>
      <c r="J38" s="33">
        <f t="shared" si="1"/>
        <v>2100</v>
      </c>
      <c r="K38" s="34">
        <v>30</v>
      </c>
      <c r="L38" s="33">
        <v>1845.8</v>
      </c>
      <c r="M38" s="33">
        <v>0</v>
      </c>
      <c r="N38" s="33">
        <f t="shared" si="12"/>
        <v>375</v>
      </c>
      <c r="O38" s="33">
        <f t="shared" si="13"/>
        <v>375</v>
      </c>
      <c r="P38" s="34">
        <f t="shared" si="14"/>
        <v>750</v>
      </c>
      <c r="Q38" s="33">
        <v>0</v>
      </c>
      <c r="R38" s="33">
        <v>0</v>
      </c>
      <c r="S38" s="33">
        <v>0</v>
      </c>
      <c r="T38" s="33">
        <v>0</v>
      </c>
      <c r="U38" s="33">
        <v>200</v>
      </c>
      <c r="V38" s="33">
        <f t="shared" si="3"/>
        <v>200</v>
      </c>
      <c r="W38" s="32">
        <v>318.44</v>
      </c>
      <c r="X38" s="33">
        <v>0</v>
      </c>
      <c r="Y38" s="33">
        <v>0</v>
      </c>
      <c r="Z38" s="33">
        <v>0</v>
      </c>
      <c r="AA38" s="33">
        <v>0</v>
      </c>
      <c r="AB38" s="33">
        <v>0</v>
      </c>
      <c r="AC38" s="33">
        <v>0</v>
      </c>
      <c r="AD38" s="33">
        <f t="shared" si="11"/>
        <v>11793.59</v>
      </c>
      <c r="AE38" s="33"/>
      <c r="AF38" s="33"/>
      <c r="AG38" s="36"/>
      <c r="AH38" s="37"/>
      <c r="AI38" s="37"/>
      <c r="AJ38" s="34"/>
      <c r="AK38" s="38">
        <f>AD38+AE38+AF38+AG38</f>
        <v>11793.59</v>
      </c>
      <c r="AL38" s="44" t="s">
        <v>70</v>
      </c>
      <c r="AM38" s="45">
        <v>0</v>
      </c>
      <c r="AN38" s="24"/>
      <c r="AO38" s="24">
        <f t="shared" si="6"/>
        <v>11793.59</v>
      </c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24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24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24"/>
    </row>
    <row r="39" spans="1:135" x14ac:dyDescent="0.25">
      <c r="A39" s="31" t="s">
        <v>78</v>
      </c>
      <c r="B39" s="28">
        <f>11880+11880</f>
        <v>23760</v>
      </c>
      <c r="C39" s="32">
        <f>11880+11880-37.96</f>
        <v>23722.04</v>
      </c>
      <c r="D39" s="33">
        <v>273.29000000000002</v>
      </c>
      <c r="E39" s="33">
        <v>0</v>
      </c>
      <c r="F39" s="33">
        <v>0</v>
      </c>
      <c r="G39" s="33">
        <f t="shared" si="15"/>
        <v>23995.33</v>
      </c>
      <c r="H39" s="33">
        <v>1080</v>
      </c>
      <c r="I39" s="34">
        <f>1900+380</f>
        <v>2280</v>
      </c>
      <c r="J39" s="33">
        <f t="shared" si="1"/>
        <v>3360</v>
      </c>
      <c r="K39" s="34">
        <v>30</v>
      </c>
      <c r="L39" s="33">
        <v>1845.8</v>
      </c>
      <c r="M39" s="33">
        <v>0</v>
      </c>
      <c r="N39" s="33">
        <f t="shared" si="12"/>
        <v>594</v>
      </c>
      <c r="O39" s="33">
        <f t="shared" si="13"/>
        <v>594</v>
      </c>
      <c r="P39" s="34">
        <f t="shared" si="14"/>
        <v>1188</v>
      </c>
      <c r="Q39" s="33">
        <v>0</v>
      </c>
      <c r="R39" s="33">
        <v>0</v>
      </c>
      <c r="S39" s="33">
        <v>0</v>
      </c>
      <c r="T39" s="33">
        <f>(G39-H39-N39-Q39-U39-20833)*15%</f>
        <v>193.24950000000027</v>
      </c>
      <c r="U39" s="33">
        <v>200</v>
      </c>
      <c r="V39" s="33">
        <f t="shared" si="3"/>
        <v>200</v>
      </c>
      <c r="W39" s="32">
        <v>0</v>
      </c>
      <c r="X39" s="33">
        <v>0</v>
      </c>
      <c r="Y39" s="33">
        <f>1500+1500</f>
        <v>3000</v>
      </c>
      <c r="Z39" s="33">
        <v>0</v>
      </c>
      <c r="AA39" s="33">
        <v>0</v>
      </c>
      <c r="AB39" s="33">
        <v>0</v>
      </c>
      <c r="AC39" s="33">
        <v>0</v>
      </c>
      <c r="AD39" s="33">
        <f t="shared" si="11"/>
        <v>17082.280500000001</v>
      </c>
      <c r="AE39" s="33">
        <v>0</v>
      </c>
      <c r="AF39" s="33">
        <v>0</v>
      </c>
      <c r="AG39" s="36">
        <v>0</v>
      </c>
      <c r="AH39" s="37">
        <v>0</v>
      </c>
      <c r="AI39" s="37">
        <v>0</v>
      </c>
      <c r="AJ39" s="28">
        <v>0</v>
      </c>
      <c r="AK39" s="38">
        <f>AD39+AE39+AF39+AG39</f>
        <v>17082.280500000001</v>
      </c>
      <c r="AL39" s="44" t="s">
        <v>72</v>
      </c>
      <c r="AM39" s="47">
        <f>AM36+AM37+AM38</f>
        <v>289595.46000000002</v>
      </c>
      <c r="AN39" s="24"/>
      <c r="AO39" s="24">
        <f t="shared" si="6"/>
        <v>17082.280500000001</v>
      </c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  <c r="DF39" s="24"/>
      <c r="DG39" s="24"/>
      <c r="DH39" s="24"/>
      <c r="DI39" s="24"/>
      <c r="DJ39" s="24"/>
      <c r="DK39" s="24"/>
      <c r="DL39" s="24"/>
      <c r="DM39" s="24"/>
      <c r="DN39" s="24"/>
      <c r="DO39" s="24"/>
      <c r="DP39" s="24"/>
      <c r="DQ39" s="24"/>
      <c r="DR39" s="24"/>
      <c r="DS39" s="24"/>
      <c r="DT39" s="24"/>
      <c r="DU39" s="24"/>
      <c r="DV39" s="24"/>
      <c r="DW39" s="24"/>
      <c r="DX39" s="24"/>
      <c r="DY39" s="24"/>
      <c r="DZ39" s="24"/>
      <c r="EA39" s="24"/>
      <c r="EB39" s="24"/>
      <c r="EC39" s="24"/>
      <c r="ED39" s="24"/>
      <c r="EE39" s="24"/>
    </row>
    <row r="40" spans="1:135" x14ac:dyDescent="0.25">
      <c r="A40" s="31" t="s">
        <v>79</v>
      </c>
      <c r="B40" s="28">
        <f>12568.5+12568.5</f>
        <v>25137</v>
      </c>
      <c r="C40" s="32">
        <f>12568.5-265.01-240.92+12568.5-963.72-44.17</f>
        <v>23623.18</v>
      </c>
      <c r="D40" s="33">
        <v>278.26</v>
      </c>
      <c r="E40" s="33">
        <v>0</v>
      </c>
      <c r="F40" s="33">
        <v>0</v>
      </c>
      <c r="G40" s="33">
        <f t="shared" si="15"/>
        <v>23901.439999999999</v>
      </c>
      <c r="H40" s="33">
        <v>1125</v>
      </c>
      <c r="I40" s="34">
        <f>1900+475</f>
        <v>2375</v>
      </c>
      <c r="J40" s="33">
        <f t="shared" si="1"/>
        <v>3500</v>
      </c>
      <c r="K40" s="34">
        <v>30</v>
      </c>
      <c r="L40" s="33">
        <v>1845.8</v>
      </c>
      <c r="M40" s="33">
        <v>0</v>
      </c>
      <c r="N40" s="33">
        <f t="shared" si="12"/>
        <v>628.42500000000007</v>
      </c>
      <c r="O40" s="33">
        <f t="shared" si="13"/>
        <v>628.42500000000007</v>
      </c>
      <c r="P40" s="34">
        <f>N40+O40+0.01</f>
        <v>1256.8600000000001</v>
      </c>
      <c r="Q40" s="33">
        <v>0</v>
      </c>
      <c r="R40" s="33">
        <v>0</v>
      </c>
      <c r="S40" s="33">
        <v>0</v>
      </c>
      <c r="T40" s="33">
        <f>(G40-H40-N40-Q40-U40-20833)*15%</f>
        <v>167.25224999999992</v>
      </c>
      <c r="U40" s="33">
        <v>200</v>
      </c>
      <c r="V40" s="33">
        <f t="shared" si="3"/>
        <v>200</v>
      </c>
      <c r="W40" s="32">
        <v>920.61</v>
      </c>
      <c r="X40" s="33">
        <v>0</v>
      </c>
      <c r="Y40" s="33">
        <v>0</v>
      </c>
      <c r="Z40" s="33">
        <v>0</v>
      </c>
      <c r="AA40" s="33">
        <v>120.47</v>
      </c>
      <c r="AB40" s="33">
        <v>0</v>
      </c>
      <c r="AC40" s="33">
        <v>0</v>
      </c>
      <c r="AD40" s="33">
        <f t="shared" si="11"/>
        <v>18893.882749999997</v>
      </c>
      <c r="AE40" s="33">
        <v>0</v>
      </c>
      <c r="AF40" s="33">
        <v>0</v>
      </c>
      <c r="AG40" s="36">
        <v>0</v>
      </c>
      <c r="AH40" s="37">
        <v>0</v>
      </c>
      <c r="AI40" s="37">
        <v>0</v>
      </c>
      <c r="AJ40" s="34">
        <v>0</v>
      </c>
      <c r="AK40" s="38">
        <f>AD40+AE40+AF40+AG40</f>
        <v>18893.882749999997</v>
      </c>
      <c r="AL40" s="44" t="s">
        <v>22</v>
      </c>
      <c r="AM40" s="47" t="s">
        <v>22</v>
      </c>
      <c r="AN40" s="24"/>
      <c r="AO40" s="24">
        <f t="shared" si="6"/>
        <v>18893.882749999997</v>
      </c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  <c r="DF40" s="24"/>
      <c r="DG40" s="24"/>
      <c r="DH40" s="24"/>
      <c r="DI40" s="24"/>
      <c r="DJ40" s="24"/>
      <c r="DK40" s="24"/>
      <c r="DL40" s="24"/>
      <c r="DM40" s="24"/>
      <c r="DN40" s="24"/>
      <c r="DO40" s="24"/>
      <c r="DP40" s="24"/>
      <c r="DQ40" s="24"/>
      <c r="DR40" s="24"/>
      <c r="DS40" s="24"/>
      <c r="DT40" s="24"/>
      <c r="DU40" s="24"/>
      <c r="DV40" s="24"/>
      <c r="DW40" s="24"/>
      <c r="DX40" s="24"/>
      <c r="DY40" s="24"/>
      <c r="DZ40" s="24"/>
      <c r="EA40" s="24"/>
      <c r="EB40" s="24"/>
      <c r="EC40" s="24"/>
      <c r="ED40" s="24"/>
      <c r="EE40" s="24"/>
    </row>
    <row r="41" spans="1:135" x14ac:dyDescent="0.25">
      <c r="B41" s="48"/>
      <c r="C41" s="49">
        <f t="shared" ref="C41:M41" si="16">SUM(C7:C40)</f>
        <v>1253380.1999999995</v>
      </c>
      <c r="D41" s="49">
        <f t="shared" si="16"/>
        <v>9152.18</v>
      </c>
      <c r="E41" s="49">
        <f t="shared" si="16"/>
        <v>0</v>
      </c>
      <c r="F41" s="49">
        <f t="shared" si="16"/>
        <v>16637.03</v>
      </c>
      <c r="G41" s="49">
        <f t="shared" si="16"/>
        <v>1279169.4099999999</v>
      </c>
      <c r="H41" s="49">
        <f t="shared" si="16"/>
        <v>33165</v>
      </c>
      <c r="I41" s="49">
        <f t="shared" si="16"/>
        <v>70015</v>
      </c>
      <c r="J41" s="49">
        <f t="shared" si="16"/>
        <v>103180</v>
      </c>
      <c r="K41" s="49">
        <f t="shared" si="16"/>
        <v>980</v>
      </c>
      <c r="L41" s="49">
        <f t="shared" si="16"/>
        <v>31794.17</v>
      </c>
      <c r="M41" s="49">
        <f t="shared" si="16"/>
        <v>0</v>
      </c>
      <c r="N41" s="49">
        <f>SUM(N7:N40)+0.02</f>
        <v>25060.547499999997</v>
      </c>
      <c r="O41" s="49">
        <f>SUM(O7:O40)+0.01</f>
        <v>25060.547499999997</v>
      </c>
      <c r="P41" s="49">
        <f>SUM(P7:P40)-0.02</f>
        <v>50121.085000000006</v>
      </c>
      <c r="Q41" s="49">
        <f>SUM(Q7:Q40)</f>
        <v>0</v>
      </c>
      <c r="R41" s="49">
        <f>SUM(R7:R40)</f>
        <v>0</v>
      </c>
      <c r="S41" s="49">
        <f>SUM(S7:S40)</f>
        <v>0</v>
      </c>
      <c r="T41" s="49">
        <f>SUM(T7:T40)+0.01</f>
        <v>139761.78099999999</v>
      </c>
      <c r="U41" s="49">
        <f t="shared" ref="U41:AK41" si="17">SUM(U7:U40)</f>
        <v>6800</v>
      </c>
      <c r="V41" s="49">
        <f t="shared" si="17"/>
        <v>6800</v>
      </c>
      <c r="W41" s="49">
        <f t="shared" si="17"/>
        <v>21001.58</v>
      </c>
      <c r="X41" s="49">
        <f t="shared" si="17"/>
        <v>0</v>
      </c>
      <c r="Y41" s="49">
        <f t="shared" si="17"/>
        <v>19600</v>
      </c>
      <c r="Z41" s="49">
        <f t="shared" si="17"/>
        <v>27657.16</v>
      </c>
      <c r="AA41" s="49">
        <f t="shared" si="17"/>
        <v>891.2600000000001</v>
      </c>
      <c r="AB41" s="49">
        <f t="shared" si="17"/>
        <v>111.82</v>
      </c>
      <c r="AC41" s="49">
        <f t="shared" si="17"/>
        <v>455.6</v>
      </c>
      <c r="AD41" s="50">
        <f t="shared" si="17"/>
        <v>974005.36149999988</v>
      </c>
      <c r="AE41" s="49">
        <f t="shared" si="17"/>
        <v>59670.92</v>
      </c>
      <c r="AF41" s="49">
        <f t="shared" si="17"/>
        <v>813.26</v>
      </c>
      <c r="AG41" s="49">
        <f t="shared" si="17"/>
        <v>6000</v>
      </c>
      <c r="AH41" s="49">
        <f t="shared" si="17"/>
        <v>2000</v>
      </c>
      <c r="AI41" s="51">
        <f t="shared" si="17"/>
        <v>0</v>
      </c>
      <c r="AJ41" s="51">
        <f t="shared" si="17"/>
        <v>0</v>
      </c>
      <c r="AK41" s="51">
        <f t="shared" si="17"/>
        <v>1042489.5414999999</v>
      </c>
      <c r="AL41" s="44" t="s">
        <v>80</v>
      </c>
      <c r="AM41" s="45">
        <f>AK43</f>
        <v>448072.58149999985</v>
      </c>
      <c r="AN41" s="24"/>
      <c r="AO41" s="24">
        <f>SUM(AO7:AO40)</f>
        <v>1042489.5414999999</v>
      </c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24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24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24"/>
    </row>
    <row r="42" spans="1:135" s="52" customFormat="1" ht="12.75" x14ac:dyDescent="0.2">
      <c r="B42" s="30" t="s">
        <v>26</v>
      </c>
      <c r="C42" s="30"/>
      <c r="D42" s="53"/>
      <c r="E42" s="53"/>
      <c r="F42" s="53"/>
      <c r="G42" s="53">
        <f>348572.38-111.82+346164.45-455.6</f>
        <v>694169.41</v>
      </c>
      <c r="H42" s="53">
        <f>H41-H24-H23-H12</f>
        <v>29115</v>
      </c>
      <c r="I42" s="53"/>
      <c r="J42" s="53"/>
      <c r="K42" s="53"/>
      <c r="L42" s="53">
        <f>L41-31794.17</f>
        <v>0</v>
      </c>
      <c r="M42" s="53"/>
      <c r="N42" s="53">
        <f>N41-N24-N23-N12</f>
        <v>17560.547499999997</v>
      </c>
      <c r="O42" s="53"/>
      <c r="P42" s="53"/>
      <c r="Q42" s="53">
        <v>0</v>
      </c>
      <c r="R42" s="53">
        <v>0</v>
      </c>
      <c r="S42" s="53">
        <v>0</v>
      </c>
      <c r="T42" s="53">
        <f>167.25+193.25+252.47+1030.77+2735.88+79.92+334.37+238.18+7783.21+409.2+49.22+1722.11</f>
        <v>14995.83</v>
      </c>
      <c r="U42" s="53">
        <f>U41-U24-U23-U12</f>
        <v>6200</v>
      </c>
      <c r="V42" s="53" t="s">
        <v>22</v>
      </c>
      <c r="W42" s="53">
        <f>W41-21001.58</f>
        <v>0</v>
      </c>
      <c r="X42" s="53"/>
      <c r="Y42" s="53"/>
      <c r="Z42" s="53"/>
      <c r="AA42" s="15"/>
      <c r="AB42" s="15"/>
      <c r="AC42" s="15"/>
      <c r="AD42" s="53">
        <f>270335.37+255585.91</f>
        <v>525921.28000000003</v>
      </c>
      <c r="AE42" s="53"/>
      <c r="AF42" s="53"/>
      <c r="AG42" s="53"/>
      <c r="AH42" s="53"/>
      <c r="AI42" s="53"/>
      <c r="AJ42" s="54"/>
      <c r="AK42" s="53">
        <f>270335.37+34486.13+255585.91+34009.55</f>
        <v>594416.96000000008</v>
      </c>
      <c r="AL42" s="55" t="s">
        <v>72</v>
      </c>
      <c r="AM42" s="56">
        <f>AM41+AM39+AM34</f>
        <v>1042489.5414999998</v>
      </c>
      <c r="AN42" s="24"/>
      <c r="AO42" s="24">
        <f>AO41-AK41</f>
        <v>0</v>
      </c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</row>
    <row r="43" spans="1:135" x14ac:dyDescent="0.25">
      <c r="B43" s="30"/>
      <c r="C43" s="14"/>
      <c r="D43" s="15"/>
      <c r="E43" s="15"/>
      <c r="F43" s="15"/>
      <c r="G43" s="57">
        <f>G24+G12+G23</f>
        <v>585000</v>
      </c>
      <c r="H43" s="15"/>
      <c r="I43" s="15"/>
      <c r="J43" s="15"/>
      <c r="K43" s="15"/>
      <c r="L43" s="15"/>
      <c r="M43" s="15"/>
      <c r="N43" s="15" t="s">
        <v>22</v>
      </c>
      <c r="O43" s="15"/>
      <c r="P43" s="15"/>
      <c r="Q43" s="15"/>
      <c r="R43" s="53"/>
      <c r="S43" s="53"/>
      <c r="T43" s="15"/>
      <c r="U43" s="15" t="s">
        <v>22</v>
      </c>
      <c r="V43" s="15"/>
      <c r="W43" s="14"/>
      <c r="X43" s="15"/>
      <c r="Y43" s="15"/>
      <c r="Z43" s="15"/>
      <c r="AA43" s="15"/>
      <c r="AB43" s="15"/>
      <c r="AC43" s="15"/>
      <c r="AD43" s="57">
        <f>AD41-AD42</f>
        <v>448084.08149999985</v>
      </c>
      <c r="AE43" s="15"/>
      <c r="AF43" s="15"/>
      <c r="AG43" s="15"/>
      <c r="AH43" s="15" t="s">
        <v>22</v>
      </c>
      <c r="AI43" s="15"/>
      <c r="AJ43" s="30"/>
      <c r="AK43" s="57">
        <f>AK41-AK42</f>
        <v>448072.58149999985</v>
      </c>
      <c r="AL43" s="23"/>
      <c r="AM43" s="30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  <c r="DF43" s="24"/>
      <c r="DG43" s="24"/>
      <c r="DH43" s="24"/>
      <c r="DI43" s="24"/>
      <c r="DJ43" s="24"/>
      <c r="DK43" s="24"/>
      <c r="DL43" s="24"/>
      <c r="DM43" s="24"/>
      <c r="DN43" s="24"/>
      <c r="DO43" s="24"/>
      <c r="DP43" s="24"/>
      <c r="DQ43" s="24"/>
      <c r="DR43" s="24"/>
      <c r="DS43" s="24"/>
      <c r="DT43" s="24"/>
      <c r="DU43" s="24"/>
      <c r="DV43" s="24"/>
      <c r="DW43" s="24"/>
      <c r="DX43" s="24"/>
      <c r="DY43" s="24"/>
      <c r="DZ43" s="24"/>
      <c r="EA43" s="24"/>
      <c r="EB43" s="24"/>
      <c r="EC43" s="24"/>
      <c r="ED43" s="24"/>
      <c r="EE43" s="24"/>
    </row>
    <row r="44" spans="1:135" x14ac:dyDescent="0.25">
      <c r="B44" s="30"/>
      <c r="C44" s="14"/>
      <c r="D44" s="15"/>
      <c r="E44" s="15"/>
      <c r="F44" s="15"/>
      <c r="G44" s="53">
        <f>G42+G43</f>
        <v>1279169.4100000001</v>
      </c>
      <c r="H44" s="15"/>
      <c r="I44" s="15"/>
      <c r="J44" s="15"/>
      <c r="K44" s="15"/>
      <c r="L44" s="15"/>
      <c r="M44" s="15"/>
      <c r="N44" s="58" t="s">
        <v>22</v>
      </c>
      <c r="O44" s="58"/>
      <c r="P44" s="58"/>
      <c r="Q44" s="58"/>
      <c r="R44" s="53"/>
      <c r="S44" s="53"/>
      <c r="T44" s="58"/>
      <c r="U44" s="59"/>
      <c r="V44" s="58"/>
      <c r="W44" s="14"/>
      <c r="X44" s="15"/>
      <c r="Y44" s="15"/>
      <c r="Z44" s="15"/>
      <c r="AA44" s="15"/>
      <c r="AB44" s="15"/>
      <c r="AC44" s="15"/>
      <c r="AD44" s="15">
        <f>AD42+AD43-AI41</f>
        <v>974005.36149999988</v>
      </c>
      <c r="AE44" s="15"/>
      <c r="AF44" s="15"/>
      <c r="AG44" s="15"/>
      <c r="AH44" s="15"/>
      <c r="AI44" s="15"/>
      <c r="AJ44" s="30"/>
      <c r="AK44" s="15">
        <f>AK42+AK43</f>
        <v>1042489.5414999999</v>
      </c>
      <c r="AL44" s="23" t="s">
        <v>22</v>
      </c>
      <c r="AM44" s="30"/>
      <c r="AN44" s="24" t="s">
        <v>22</v>
      </c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</row>
    <row r="45" spans="1:135" x14ac:dyDescent="0.25">
      <c r="B45" s="30"/>
      <c r="C45" s="14" t="s">
        <v>22</v>
      </c>
      <c r="D45" s="15"/>
      <c r="E45" s="15"/>
      <c r="F45" s="15"/>
      <c r="G45" s="53"/>
      <c r="H45" s="15"/>
      <c r="I45" s="15"/>
      <c r="J45" s="15"/>
      <c r="K45" s="15"/>
      <c r="L45" s="15"/>
      <c r="M45" s="15"/>
      <c r="N45" s="58"/>
      <c r="O45" s="58"/>
      <c r="P45" s="58"/>
      <c r="Q45" s="58"/>
      <c r="R45" s="53"/>
      <c r="S45" s="53"/>
      <c r="T45" s="58" t="s">
        <v>22</v>
      </c>
      <c r="U45" s="59"/>
      <c r="V45" s="58"/>
      <c r="W45" s="14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30"/>
      <c r="AK45" s="23" t="s">
        <v>22</v>
      </c>
      <c r="AL45" s="42"/>
      <c r="AM45" s="30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24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24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24"/>
    </row>
    <row r="46" spans="1:135" x14ac:dyDescent="0.25">
      <c r="B46" s="13" t="s">
        <v>81</v>
      </c>
      <c r="C46" s="30"/>
      <c r="D46" s="53"/>
      <c r="E46" s="53"/>
      <c r="F46" s="53"/>
      <c r="G46" s="15" t="s">
        <v>22</v>
      </c>
      <c r="H46" s="15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30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30"/>
      <c r="AK46" s="23"/>
      <c r="AL46" s="42" t="s">
        <v>22</v>
      </c>
      <c r="AM46" s="60" t="s">
        <v>22</v>
      </c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24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24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24"/>
    </row>
    <row r="47" spans="1:135" ht="12.75" customHeight="1" x14ac:dyDescent="0.25">
      <c r="B47" s="12" t="s">
        <v>3</v>
      </c>
      <c r="C47" s="12" t="s">
        <v>4</v>
      </c>
      <c r="D47" s="11" t="s">
        <v>5</v>
      </c>
      <c r="E47" s="11" t="s">
        <v>6</v>
      </c>
      <c r="F47" s="11" t="s">
        <v>7</v>
      </c>
      <c r="G47" s="11" t="s">
        <v>8</v>
      </c>
      <c r="H47" s="10" t="s">
        <v>9</v>
      </c>
      <c r="I47" s="10"/>
      <c r="J47" s="10"/>
      <c r="K47" s="10"/>
      <c r="L47" s="11" t="s">
        <v>10</v>
      </c>
      <c r="M47" s="11" t="s">
        <v>11</v>
      </c>
      <c r="N47" s="10" t="s">
        <v>12</v>
      </c>
      <c r="O47" s="10"/>
      <c r="P47" s="10"/>
      <c r="Q47" s="10"/>
      <c r="R47" s="10"/>
      <c r="S47" s="10"/>
      <c r="T47" s="11" t="s">
        <v>13</v>
      </c>
      <c r="U47" s="11" t="s">
        <v>14</v>
      </c>
      <c r="V47" s="11"/>
      <c r="W47" s="12" t="s">
        <v>15</v>
      </c>
      <c r="X47" s="11" t="s">
        <v>16</v>
      </c>
      <c r="Y47" s="11" t="s">
        <v>17</v>
      </c>
      <c r="Z47" s="11" t="s">
        <v>18</v>
      </c>
      <c r="AA47" s="9" t="s">
        <v>19</v>
      </c>
      <c r="AB47" s="11" t="s">
        <v>20</v>
      </c>
      <c r="AC47" s="21"/>
      <c r="AD47" s="11" t="s">
        <v>21</v>
      </c>
      <c r="AE47" s="7" t="s">
        <v>35</v>
      </c>
      <c r="AF47" s="7"/>
      <c r="AG47" s="7"/>
      <c r="AH47" s="7"/>
      <c r="AI47" s="11" t="s">
        <v>82</v>
      </c>
      <c r="AJ47" s="12" t="s">
        <v>24</v>
      </c>
      <c r="AK47" s="10" t="s">
        <v>25</v>
      </c>
      <c r="AL47" s="24"/>
      <c r="AM47" s="30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  <c r="DF47" s="24"/>
      <c r="DG47" s="24"/>
      <c r="DH47" s="24"/>
      <c r="DI47" s="24"/>
      <c r="DJ47" s="24"/>
      <c r="DK47" s="24"/>
      <c r="DL47" s="24"/>
      <c r="DM47" s="24"/>
      <c r="DN47" s="24"/>
      <c r="DO47" s="24"/>
      <c r="DP47" s="24"/>
      <c r="DQ47" s="24"/>
      <c r="DR47" s="24"/>
      <c r="DS47" s="24"/>
      <c r="DT47" s="24"/>
      <c r="DU47" s="24"/>
      <c r="DV47" s="24"/>
      <c r="DW47" s="24"/>
      <c r="DX47" s="24"/>
      <c r="DY47" s="24"/>
      <c r="DZ47" s="24"/>
      <c r="EA47" s="24"/>
      <c r="EB47" s="24"/>
      <c r="EC47" s="24"/>
      <c r="ED47" s="24"/>
      <c r="EE47" s="24"/>
    </row>
    <row r="48" spans="1:135" ht="12.75" customHeight="1" x14ac:dyDescent="0.25">
      <c r="B48" s="12"/>
      <c r="C48" s="12"/>
      <c r="D48" s="11"/>
      <c r="E48" s="11"/>
      <c r="F48" s="11"/>
      <c r="G48" s="11"/>
      <c r="H48" s="10" t="s">
        <v>26</v>
      </c>
      <c r="I48" s="10" t="s">
        <v>27</v>
      </c>
      <c r="J48" s="10" t="s">
        <v>28</v>
      </c>
      <c r="K48" s="11" t="s">
        <v>29</v>
      </c>
      <c r="L48" s="11"/>
      <c r="M48" s="11"/>
      <c r="N48" s="6" t="s">
        <v>26</v>
      </c>
      <c r="O48" s="6" t="s">
        <v>27</v>
      </c>
      <c r="P48" s="6" t="s">
        <v>30</v>
      </c>
      <c r="Q48" s="5" t="s">
        <v>31</v>
      </c>
      <c r="R48" s="5" t="s">
        <v>32</v>
      </c>
      <c r="S48" s="5" t="s">
        <v>33</v>
      </c>
      <c r="T48" s="11"/>
      <c r="U48" s="11"/>
      <c r="V48" s="11"/>
      <c r="W48" s="12"/>
      <c r="X48" s="11"/>
      <c r="Y48" s="11"/>
      <c r="Z48" s="11"/>
      <c r="AA48" s="9"/>
      <c r="AB48" s="11"/>
      <c r="AC48" s="26" t="s">
        <v>34</v>
      </c>
      <c r="AD48" s="11"/>
      <c r="AE48" s="61"/>
      <c r="AF48" s="62"/>
      <c r="AG48" s="62"/>
      <c r="AH48" s="62"/>
      <c r="AI48" s="11"/>
      <c r="AJ48" s="12"/>
      <c r="AK48" s="10"/>
      <c r="AL48" s="24"/>
      <c r="AM48" s="23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</row>
    <row r="49" spans="2:135" ht="21.75" customHeight="1" x14ac:dyDescent="0.25">
      <c r="B49" s="12"/>
      <c r="C49" s="12"/>
      <c r="D49" s="11"/>
      <c r="E49" s="11"/>
      <c r="F49" s="11"/>
      <c r="G49" s="11"/>
      <c r="H49" s="10"/>
      <c r="I49" s="10"/>
      <c r="J49" s="10"/>
      <c r="K49" s="11"/>
      <c r="L49" s="11"/>
      <c r="M49" s="11"/>
      <c r="N49" s="6"/>
      <c r="O49" s="6"/>
      <c r="P49" s="6"/>
      <c r="Q49" s="5"/>
      <c r="R49" s="5"/>
      <c r="S49" s="5"/>
      <c r="T49" s="11"/>
      <c r="U49" s="28" t="s">
        <v>26</v>
      </c>
      <c r="V49" s="28" t="s">
        <v>27</v>
      </c>
      <c r="W49" s="12"/>
      <c r="X49" s="11"/>
      <c r="Y49" s="11"/>
      <c r="Z49" s="11"/>
      <c r="AA49" s="9"/>
      <c r="AB49" s="11"/>
      <c r="AC49" s="29" t="s">
        <v>36</v>
      </c>
      <c r="AD49" s="11"/>
      <c r="AE49" s="20" t="s">
        <v>37</v>
      </c>
      <c r="AF49" s="18" t="s">
        <v>38</v>
      </c>
      <c r="AG49" s="18" t="s">
        <v>39</v>
      </c>
      <c r="AH49" s="20" t="s">
        <v>40</v>
      </c>
      <c r="AI49" s="11"/>
      <c r="AJ49" s="12"/>
      <c r="AK49" s="10"/>
      <c r="AL49" s="24"/>
      <c r="AM49" s="23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  <c r="DF49" s="24"/>
      <c r="DG49" s="24"/>
      <c r="DH49" s="24"/>
      <c r="DI49" s="24"/>
      <c r="DJ49" s="24"/>
      <c r="DK49" s="24"/>
      <c r="DL49" s="24"/>
      <c r="DM49" s="24"/>
      <c r="DN49" s="24"/>
      <c r="DO49" s="24"/>
      <c r="DP49" s="24"/>
      <c r="DQ49" s="24"/>
      <c r="DR49" s="24"/>
      <c r="DS49" s="24"/>
      <c r="DT49" s="24"/>
      <c r="DU49" s="24"/>
      <c r="DV49" s="24"/>
      <c r="DW49" s="24"/>
      <c r="DX49" s="24"/>
      <c r="DY49" s="24"/>
      <c r="DZ49" s="24"/>
      <c r="EA49" s="24"/>
      <c r="EB49" s="24"/>
      <c r="EC49" s="24"/>
      <c r="ED49" s="24"/>
      <c r="EE49" s="24"/>
    </row>
    <row r="50" spans="2:135" x14ac:dyDescent="0.25">
      <c r="B50" s="63">
        <f>8893+8893</f>
        <v>17786</v>
      </c>
      <c r="C50" s="28">
        <f>8893+8893-681.89</f>
        <v>17104.11</v>
      </c>
      <c r="D50" s="28">
        <v>204.58</v>
      </c>
      <c r="E50" s="28">
        <v>0</v>
      </c>
      <c r="F50" s="28">
        <v>0</v>
      </c>
      <c r="G50" s="33">
        <f t="shared" ref="G50:G60" si="18">C50+D50+E50+F50</f>
        <v>17308.690000000002</v>
      </c>
      <c r="H50" s="33">
        <v>810</v>
      </c>
      <c r="I50" s="33">
        <v>1710</v>
      </c>
      <c r="J50" s="33">
        <f t="shared" ref="J50:J56" si="19">H50+I50</f>
        <v>2520</v>
      </c>
      <c r="K50" s="33">
        <v>30</v>
      </c>
      <c r="L50" s="33">
        <v>0</v>
      </c>
      <c r="M50" s="33">
        <v>0</v>
      </c>
      <c r="N50" s="33">
        <f t="shared" ref="N50:N56" si="20">B50*5%/2</f>
        <v>444.65000000000003</v>
      </c>
      <c r="O50" s="33">
        <f t="shared" ref="O50:O56" si="21">N50</f>
        <v>444.65000000000003</v>
      </c>
      <c r="P50" s="34">
        <f t="shared" ref="P50:P56" si="22">N50+O50</f>
        <v>889.30000000000007</v>
      </c>
      <c r="Q50" s="34">
        <v>0</v>
      </c>
      <c r="R50" s="34">
        <v>0</v>
      </c>
      <c r="S50" s="33">
        <v>0</v>
      </c>
      <c r="T50" s="33">
        <v>0</v>
      </c>
      <c r="U50" s="34">
        <v>200</v>
      </c>
      <c r="V50" s="34">
        <f t="shared" ref="V50:V56" si="23">U50</f>
        <v>200</v>
      </c>
      <c r="W50" s="28">
        <v>941.46</v>
      </c>
      <c r="X50" s="34">
        <v>0</v>
      </c>
      <c r="Y50" s="34">
        <v>0</v>
      </c>
      <c r="Z50" s="37">
        <v>0</v>
      </c>
      <c r="AA50" s="33">
        <v>0</v>
      </c>
      <c r="AB50" s="33"/>
      <c r="AC50" s="33"/>
      <c r="AD50" s="33">
        <f t="shared" ref="AD50:AD55" si="24">G50-L50-M50-W50-X50-Y50-Z50-AA50-H50-N50-T50-U50</f>
        <v>14912.580000000004</v>
      </c>
      <c r="AE50" s="33">
        <f>+AF50</f>
        <v>0</v>
      </c>
      <c r="AF50" s="33">
        <v>0</v>
      </c>
      <c r="AG50" s="33">
        <v>0</v>
      </c>
      <c r="AH50" s="34">
        <v>0</v>
      </c>
      <c r="AI50" s="33">
        <v>0</v>
      </c>
      <c r="AJ50" s="33">
        <v>0</v>
      </c>
      <c r="AK50" s="63">
        <f t="shared" ref="AK50:AK60" si="25">AD50+AE50+AF50+AG50+AH50+AI50</f>
        <v>14912.580000000004</v>
      </c>
      <c r="AL50" s="24"/>
      <c r="AM50" s="23"/>
      <c r="AN50" s="24"/>
      <c r="AO50" s="24">
        <f>G50-H50-L50-M50-N50-T50-U50-W50-X50-Y50-Z50+AA50-AB50-AC50</f>
        <v>14912.580000000002</v>
      </c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24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24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24"/>
    </row>
    <row r="51" spans="2:135" x14ac:dyDescent="0.25">
      <c r="B51" s="63">
        <f>9000+9000</f>
        <v>18000</v>
      </c>
      <c r="C51" s="28">
        <f>9000+9000-690.1</f>
        <v>17309.900000000001</v>
      </c>
      <c r="D51" s="28">
        <v>207.02</v>
      </c>
      <c r="E51" s="28">
        <v>0</v>
      </c>
      <c r="F51" s="28">
        <v>0</v>
      </c>
      <c r="G51" s="33">
        <f t="shared" si="18"/>
        <v>17516.920000000002</v>
      </c>
      <c r="H51" s="33">
        <v>810</v>
      </c>
      <c r="I51" s="33">
        <v>1710</v>
      </c>
      <c r="J51" s="33">
        <f t="shared" si="19"/>
        <v>2520</v>
      </c>
      <c r="K51" s="33">
        <v>30</v>
      </c>
      <c r="L51" s="33">
        <f>1661.22</f>
        <v>1661.22</v>
      </c>
      <c r="M51" s="33">
        <v>0</v>
      </c>
      <c r="N51" s="33">
        <f t="shared" si="20"/>
        <v>450</v>
      </c>
      <c r="O51" s="33">
        <f t="shared" si="21"/>
        <v>450</v>
      </c>
      <c r="P51" s="34">
        <f t="shared" si="22"/>
        <v>900</v>
      </c>
      <c r="Q51" s="34">
        <v>0</v>
      </c>
      <c r="R51" s="34">
        <v>0</v>
      </c>
      <c r="S51" s="33">
        <v>0</v>
      </c>
      <c r="T51" s="33">
        <v>0</v>
      </c>
      <c r="U51" s="34">
        <v>200</v>
      </c>
      <c r="V51" s="34">
        <f t="shared" si="23"/>
        <v>200</v>
      </c>
      <c r="W51" s="34">
        <v>0</v>
      </c>
      <c r="X51" s="64">
        <v>0</v>
      </c>
      <c r="Y51" s="34">
        <v>0</v>
      </c>
      <c r="Z51" s="37">
        <v>0</v>
      </c>
      <c r="AA51" s="33">
        <v>0</v>
      </c>
      <c r="AB51" s="33"/>
      <c r="AC51" s="33"/>
      <c r="AD51" s="33">
        <f t="shared" si="24"/>
        <v>14395.700000000003</v>
      </c>
      <c r="AE51" s="33">
        <v>0</v>
      </c>
      <c r="AF51" s="33">
        <v>0</v>
      </c>
      <c r="AG51" s="33">
        <v>0</v>
      </c>
      <c r="AH51" s="34">
        <v>0</v>
      </c>
      <c r="AI51" s="33">
        <v>0</v>
      </c>
      <c r="AJ51" s="33">
        <v>0</v>
      </c>
      <c r="AK51" s="63">
        <f t="shared" si="25"/>
        <v>14395.700000000003</v>
      </c>
      <c r="AL51" s="42"/>
      <c r="AM51" s="44"/>
      <c r="AN51" s="24"/>
      <c r="AO51" s="24">
        <f>G51-H51-L51-M51-N51-T51-U51-W51-X51-Y51-Z51+AA51-AB51-AC51</f>
        <v>14395.700000000003</v>
      </c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24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24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24"/>
    </row>
    <row r="52" spans="2:135" x14ac:dyDescent="0.25">
      <c r="B52" s="63">
        <f>11000+11000</f>
        <v>22000</v>
      </c>
      <c r="C52" s="28">
        <f>11000-35.14+11000-36.9</f>
        <v>21927.96</v>
      </c>
      <c r="D52" s="28">
        <f>251.45+253.03</f>
        <v>504.48</v>
      </c>
      <c r="E52" s="28">
        <v>0</v>
      </c>
      <c r="F52" s="28">
        <v>0</v>
      </c>
      <c r="G52" s="33">
        <f t="shared" si="18"/>
        <v>22432.44</v>
      </c>
      <c r="H52" s="33">
        <v>990</v>
      </c>
      <c r="I52" s="33">
        <f>1900+190</f>
        <v>2090</v>
      </c>
      <c r="J52" s="33">
        <f t="shared" si="19"/>
        <v>3080</v>
      </c>
      <c r="K52" s="33">
        <v>30</v>
      </c>
      <c r="L52" s="33">
        <v>0</v>
      </c>
      <c r="M52" s="33">
        <v>0</v>
      </c>
      <c r="N52" s="33">
        <f t="shared" si="20"/>
        <v>550</v>
      </c>
      <c r="O52" s="33">
        <f t="shared" si="21"/>
        <v>550</v>
      </c>
      <c r="P52" s="34">
        <f t="shared" si="22"/>
        <v>1100</v>
      </c>
      <c r="Q52" s="34">
        <v>0</v>
      </c>
      <c r="R52" s="34">
        <v>0</v>
      </c>
      <c r="S52" s="33">
        <v>0</v>
      </c>
      <c r="T52" s="33">
        <v>0</v>
      </c>
      <c r="U52" s="34">
        <v>200</v>
      </c>
      <c r="V52" s="34">
        <f t="shared" si="23"/>
        <v>200</v>
      </c>
      <c r="W52" s="34">
        <v>0</v>
      </c>
      <c r="X52" s="64">
        <v>0</v>
      </c>
      <c r="Y52" s="34">
        <v>0</v>
      </c>
      <c r="Z52" s="37">
        <v>0</v>
      </c>
      <c r="AA52" s="33">
        <v>0</v>
      </c>
      <c r="AB52" s="33"/>
      <c r="AC52" s="33"/>
      <c r="AD52" s="33">
        <f t="shared" si="24"/>
        <v>20692.439999999999</v>
      </c>
      <c r="AE52" s="33">
        <v>0</v>
      </c>
      <c r="AF52" s="33">
        <v>0</v>
      </c>
      <c r="AG52" s="33">
        <v>0</v>
      </c>
      <c r="AH52" s="34">
        <v>0</v>
      </c>
      <c r="AI52" s="33">
        <v>0</v>
      </c>
      <c r="AJ52" s="33">
        <v>0</v>
      </c>
      <c r="AK52" s="63">
        <f t="shared" si="25"/>
        <v>20692.439999999999</v>
      </c>
      <c r="AL52" s="44" t="s">
        <v>66</v>
      </c>
      <c r="AM52" s="44">
        <v>105802.62</v>
      </c>
      <c r="AN52" s="24"/>
      <c r="AO52" s="24">
        <f>G52-H52-L52-M52-N52-T52-U52-W52-X52-Y52-Z52+AA52-AB52-AC52</f>
        <v>20692.439999999999</v>
      </c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24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24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24"/>
    </row>
    <row r="53" spans="2:135" x14ac:dyDescent="0.25">
      <c r="B53" s="28">
        <f>14000+14000</f>
        <v>28000</v>
      </c>
      <c r="C53" s="28">
        <f>14000-2.24+14000</f>
        <v>27997.760000000002</v>
      </c>
      <c r="D53" s="28">
        <f>161.03+322.06</f>
        <v>483.09000000000003</v>
      </c>
      <c r="E53" s="28">
        <v>0</v>
      </c>
      <c r="F53" s="28">
        <v>0</v>
      </c>
      <c r="G53" s="33">
        <f t="shared" si="18"/>
        <v>28480.850000000002</v>
      </c>
      <c r="H53" s="33">
        <v>1260</v>
      </c>
      <c r="I53" s="33">
        <f>1900+760</f>
        <v>2660</v>
      </c>
      <c r="J53" s="33">
        <f t="shared" si="19"/>
        <v>3920</v>
      </c>
      <c r="K53" s="33">
        <v>30</v>
      </c>
      <c r="L53" s="33">
        <v>0</v>
      </c>
      <c r="M53" s="33">
        <v>0</v>
      </c>
      <c r="N53" s="33">
        <f t="shared" si="20"/>
        <v>700</v>
      </c>
      <c r="O53" s="33">
        <f t="shared" si="21"/>
        <v>700</v>
      </c>
      <c r="P53" s="34">
        <f t="shared" si="22"/>
        <v>1400</v>
      </c>
      <c r="Q53" s="34">
        <v>0</v>
      </c>
      <c r="R53" s="34">
        <v>0</v>
      </c>
      <c r="S53" s="33">
        <v>0</v>
      </c>
      <c r="T53" s="34">
        <f>(G53-H53-N53-U53-20833)*15%</f>
        <v>823.17750000000035</v>
      </c>
      <c r="U53" s="34">
        <v>200</v>
      </c>
      <c r="V53" s="34">
        <f t="shared" si="23"/>
        <v>200</v>
      </c>
      <c r="W53" s="28">
        <v>0</v>
      </c>
      <c r="X53" s="34">
        <v>0</v>
      </c>
      <c r="Y53" s="34">
        <v>0</v>
      </c>
      <c r="Z53" s="37">
        <v>0</v>
      </c>
      <c r="AA53" s="33">
        <v>0</v>
      </c>
      <c r="AB53" s="33"/>
      <c r="AC53" s="33"/>
      <c r="AD53" s="33">
        <f t="shared" si="24"/>
        <v>25497.672500000001</v>
      </c>
      <c r="AE53" s="33">
        <v>0</v>
      </c>
      <c r="AF53" s="33">
        <v>0</v>
      </c>
      <c r="AG53" s="33">
        <v>0</v>
      </c>
      <c r="AH53" s="34">
        <v>0</v>
      </c>
      <c r="AI53" s="33">
        <v>0</v>
      </c>
      <c r="AJ53" s="33">
        <v>0</v>
      </c>
      <c r="AK53" s="63">
        <f t="shared" si="25"/>
        <v>25497.672500000001</v>
      </c>
      <c r="AL53" s="42" t="s">
        <v>68</v>
      </c>
      <c r="AM53" s="44">
        <v>15447.39</v>
      </c>
      <c r="AN53" s="24" t="s">
        <v>83</v>
      </c>
      <c r="AO53" s="24">
        <f>G53-H53-L53-M53-N53-T53-U53-W53-X53-Y53-Z53+AA53-AB53-AC53</f>
        <v>25497.672500000001</v>
      </c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  <c r="DF53" s="24"/>
      <c r="DG53" s="24"/>
      <c r="DH53" s="24"/>
      <c r="DI53" s="24"/>
      <c r="DJ53" s="24"/>
      <c r="DK53" s="24"/>
      <c r="DL53" s="24"/>
      <c r="DM53" s="24"/>
      <c r="DN53" s="24"/>
      <c r="DO53" s="24"/>
      <c r="DP53" s="24"/>
      <c r="DQ53" s="24"/>
      <c r="DR53" s="24"/>
      <c r="DS53" s="24"/>
      <c r="DT53" s="24"/>
      <c r="DU53" s="24"/>
      <c r="DV53" s="24"/>
      <c r="DW53" s="24"/>
      <c r="DX53" s="24"/>
      <c r="DY53" s="24"/>
      <c r="DZ53" s="24"/>
      <c r="EA53" s="24"/>
      <c r="EB53" s="24"/>
      <c r="EC53" s="24"/>
      <c r="ED53" s="24"/>
      <c r="EE53" s="24"/>
    </row>
    <row r="54" spans="2:135" x14ac:dyDescent="0.25">
      <c r="B54" s="28">
        <f>12500+12500</f>
        <v>25000</v>
      </c>
      <c r="C54" s="28">
        <f>12500-5.99+12500</f>
        <v>24994.010000000002</v>
      </c>
      <c r="D54" s="28">
        <v>0</v>
      </c>
      <c r="E54" s="28">
        <v>5.99</v>
      </c>
      <c r="F54" s="28">
        <v>0</v>
      </c>
      <c r="G54" s="33">
        <f t="shared" si="18"/>
        <v>25000.000000000004</v>
      </c>
      <c r="H54" s="33">
        <f>900+225</f>
        <v>1125</v>
      </c>
      <c r="I54" s="34">
        <f>1900+475</f>
        <v>2375</v>
      </c>
      <c r="J54" s="33">
        <f t="shared" si="19"/>
        <v>3500</v>
      </c>
      <c r="K54" s="34">
        <v>30</v>
      </c>
      <c r="L54" s="33">
        <v>0</v>
      </c>
      <c r="M54" s="33">
        <v>0</v>
      </c>
      <c r="N54" s="33">
        <f t="shared" si="20"/>
        <v>625</v>
      </c>
      <c r="O54" s="33">
        <f t="shared" si="21"/>
        <v>625</v>
      </c>
      <c r="P54" s="34">
        <f t="shared" si="22"/>
        <v>1250</v>
      </c>
      <c r="Q54" s="34">
        <v>0</v>
      </c>
      <c r="R54" s="34">
        <v>0</v>
      </c>
      <c r="S54" s="33">
        <v>0</v>
      </c>
      <c r="T54" s="34">
        <f>(G54-H54-N54-U54-20833)*15%</f>
        <v>332.55000000000052</v>
      </c>
      <c r="U54" s="34">
        <v>200</v>
      </c>
      <c r="V54" s="34">
        <f t="shared" si="23"/>
        <v>200</v>
      </c>
      <c r="W54" s="28">
        <v>0</v>
      </c>
      <c r="X54" s="34">
        <v>0</v>
      </c>
      <c r="Y54" s="34">
        <v>0</v>
      </c>
      <c r="Z54" s="37">
        <f>0</f>
        <v>0</v>
      </c>
      <c r="AA54" s="33">
        <v>0</v>
      </c>
      <c r="AB54" s="33"/>
      <c r="AC54" s="33"/>
      <c r="AD54" s="33">
        <f t="shared" si="24"/>
        <v>22717.450000000004</v>
      </c>
      <c r="AE54" s="33">
        <v>0</v>
      </c>
      <c r="AF54" s="33">
        <v>0</v>
      </c>
      <c r="AG54" s="33">
        <v>0</v>
      </c>
      <c r="AH54" s="34">
        <v>0</v>
      </c>
      <c r="AI54" s="33">
        <v>0</v>
      </c>
      <c r="AJ54" s="33">
        <v>0</v>
      </c>
      <c r="AK54" s="63">
        <f t="shared" si="25"/>
        <v>22717.450000000004</v>
      </c>
      <c r="AL54" s="42" t="s">
        <v>84</v>
      </c>
      <c r="AM54" s="45">
        <v>0</v>
      </c>
      <c r="AN54" s="24" t="s">
        <v>84</v>
      </c>
      <c r="AO54" s="24">
        <f>G54-H54-L54-M54-N54-T54-U54-W54-X54-Y54-Z54+AA54-AB54-AC54</f>
        <v>22717.450000000004</v>
      </c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  <c r="DF54" s="24"/>
      <c r="DG54" s="24"/>
      <c r="DH54" s="24"/>
      <c r="DI54" s="24"/>
      <c r="DJ54" s="24"/>
      <c r="DK54" s="24"/>
      <c r="DL54" s="24"/>
      <c r="DM54" s="24"/>
      <c r="DN54" s="24"/>
      <c r="DO54" s="24"/>
      <c r="DP54" s="24"/>
      <c r="DQ54" s="24"/>
      <c r="DR54" s="24"/>
      <c r="DS54" s="24"/>
      <c r="DT54" s="24"/>
      <c r="DU54" s="24"/>
      <c r="DV54" s="24"/>
      <c r="DW54" s="24"/>
      <c r="DX54" s="24"/>
      <c r="DY54" s="24"/>
      <c r="DZ54" s="24"/>
      <c r="EA54" s="24"/>
      <c r="EB54" s="24"/>
      <c r="EC54" s="24"/>
      <c r="ED54" s="24"/>
      <c r="EE54" s="24"/>
    </row>
    <row r="55" spans="2:135" x14ac:dyDescent="0.25">
      <c r="B55" s="28">
        <f>14000</f>
        <v>14000</v>
      </c>
      <c r="C55" s="28">
        <f>7000-159.9-1341.85+7000-1073.48-65.97</f>
        <v>11358.800000000001</v>
      </c>
      <c r="D55" s="28">
        <f>136.86+161.02</f>
        <v>297.88</v>
      </c>
      <c r="E55" s="28">
        <v>0</v>
      </c>
      <c r="F55" s="28">
        <v>0</v>
      </c>
      <c r="G55" s="33">
        <f t="shared" si="18"/>
        <v>11656.68</v>
      </c>
      <c r="H55" s="33">
        <v>630</v>
      </c>
      <c r="I55" s="34">
        <v>1330</v>
      </c>
      <c r="J55" s="33">
        <f t="shared" si="19"/>
        <v>1960</v>
      </c>
      <c r="K55" s="34">
        <v>10</v>
      </c>
      <c r="L55" s="33">
        <v>0</v>
      </c>
      <c r="M55" s="33">
        <v>0</v>
      </c>
      <c r="N55" s="33">
        <f t="shared" si="20"/>
        <v>350</v>
      </c>
      <c r="O55" s="33">
        <f t="shared" si="21"/>
        <v>350</v>
      </c>
      <c r="P55" s="34">
        <f t="shared" si="22"/>
        <v>700</v>
      </c>
      <c r="Q55" s="34">
        <v>0</v>
      </c>
      <c r="R55" s="34">
        <v>0</v>
      </c>
      <c r="S55" s="33">
        <v>0</v>
      </c>
      <c r="T55" s="33">
        <v>0</v>
      </c>
      <c r="U55" s="34">
        <v>200</v>
      </c>
      <c r="V55" s="34">
        <f t="shared" si="23"/>
        <v>200</v>
      </c>
      <c r="W55" s="28">
        <v>0</v>
      </c>
      <c r="X55" s="34">
        <v>0</v>
      </c>
      <c r="Y55" s="34">
        <v>0</v>
      </c>
      <c r="Z55" s="37">
        <v>0</v>
      </c>
      <c r="AA55" s="33">
        <v>44.73</v>
      </c>
      <c r="AB55" s="33"/>
      <c r="AC55" s="33"/>
      <c r="AD55" s="33">
        <f t="shared" si="24"/>
        <v>10431.950000000001</v>
      </c>
      <c r="AE55" s="33">
        <v>0</v>
      </c>
      <c r="AF55" s="33">
        <v>0</v>
      </c>
      <c r="AG55" s="33">
        <v>0</v>
      </c>
      <c r="AH55" s="33">
        <v>0</v>
      </c>
      <c r="AI55" s="33">
        <v>0</v>
      </c>
      <c r="AJ55" s="33">
        <v>0</v>
      </c>
      <c r="AK55" s="63">
        <f t="shared" si="25"/>
        <v>10431.950000000001</v>
      </c>
      <c r="AL55" s="42" t="s">
        <v>22</v>
      </c>
      <c r="AM55" s="14">
        <f>AM52+AM53+AM54</f>
        <v>121250.01</v>
      </c>
      <c r="AN55" s="24" t="s">
        <v>22</v>
      </c>
      <c r="AO55" s="24">
        <f>G55-H55-L55-M55-N55-U55-AA55</f>
        <v>10431.950000000001</v>
      </c>
      <c r="AP55" s="24">
        <f>AO55-AK55</f>
        <v>0</v>
      </c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  <c r="DF55" s="24"/>
      <c r="DG55" s="24"/>
      <c r="DH55" s="24"/>
      <c r="DI55" s="24"/>
      <c r="DJ55" s="24"/>
      <c r="DK55" s="24"/>
      <c r="DL55" s="24"/>
      <c r="DM55" s="24"/>
      <c r="DN55" s="24"/>
      <c r="DO55" s="24"/>
      <c r="DP55" s="24"/>
      <c r="DQ55" s="24"/>
      <c r="DR55" s="24"/>
      <c r="DS55" s="24"/>
      <c r="DT55" s="24"/>
      <c r="DU55" s="24"/>
      <c r="DV55" s="24"/>
      <c r="DW55" s="24"/>
      <c r="DX55" s="24"/>
      <c r="DY55" s="24"/>
      <c r="DZ55" s="24"/>
      <c r="EA55" s="24"/>
      <c r="EB55" s="24"/>
      <c r="EC55" s="24"/>
      <c r="ED55" s="24"/>
      <c r="EE55" s="24"/>
    </row>
    <row r="56" spans="2:135" x14ac:dyDescent="0.25">
      <c r="B56" s="28">
        <v>14000</v>
      </c>
      <c r="C56" s="28">
        <f>7000-92.81-1610.22</f>
        <v>5296.9699999999993</v>
      </c>
      <c r="D56" s="28">
        <v>156.59</v>
      </c>
      <c r="E56" s="28">
        <v>0</v>
      </c>
      <c r="F56" s="28">
        <v>0</v>
      </c>
      <c r="G56" s="33">
        <f t="shared" si="18"/>
        <v>5453.5599999999995</v>
      </c>
      <c r="H56" s="65">
        <v>630</v>
      </c>
      <c r="I56" s="65">
        <v>1330</v>
      </c>
      <c r="J56" s="65">
        <f t="shared" si="19"/>
        <v>1960</v>
      </c>
      <c r="K56" s="65">
        <v>10</v>
      </c>
      <c r="L56" s="65">
        <v>0</v>
      </c>
      <c r="M56" s="65">
        <v>0</v>
      </c>
      <c r="N56" s="65">
        <f t="shared" si="20"/>
        <v>350</v>
      </c>
      <c r="O56" s="65">
        <f t="shared" si="21"/>
        <v>350</v>
      </c>
      <c r="P56" s="66">
        <f t="shared" si="22"/>
        <v>700</v>
      </c>
      <c r="Q56" s="66"/>
      <c r="R56" s="66"/>
      <c r="S56" s="65"/>
      <c r="T56" s="67"/>
      <c r="U56" s="66">
        <v>200</v>
      </c>
      <c r="V56" s="66">
        <f t="shared" si="23"/>
        <v>200</v>
      </c>
      <c r="W56" s="34"/>
      <c r="X56" s="64"/>
      <c r="Y56" s="37"/>
      <c r="Z56" s="37"/>
      <c r="AA56" s="33">
        <v>44.73</v>
      </c>
      <c r="AB56" s="33"/>
      <c r="AC56" s="33"/>
      <c r="AD56" s="33">
        <f>G56-L56-M56-W56-X56-Y56-Z56-AA56</f>
        <v>5408.83</v>
      </c>
      <c r="AE56" s="33"/>
      <c r="AF56" s="33"/>
      <c r="AG56" s="33"/>
      <c r="AH56" s="34"/>
      <c r="AI56" s="33"/>
      <c r="AJ56" s="33"/>
      <c r="AK56" s="63">
        <f t="shared" si="25"/>
        <v>5408.83</v>
      </c>
      <c r="AL56" s="24"/>
      <c r="AM56" s="30"/>
      <c r="AN56" s="24"/>
      <c r="AO56" s="24">
        <f>G56-AA56</f>
        <v>5408.83</v>
      </c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  <c r="DF56" s="24"/>
      <c r="DG56" s="24"/>
      <c r="DH56" s="24"/>
      <c r="DI56" s="24"/>
      <c r="DJ56" s="24"/>
      <c r="DK56" s="24"/>
      <c r="DL56" s="24"/>
      <c r="DM56" s="24"/>
      <c r="DN56" s="24"/>
      <c r="DO56" s="24"/>
      <c r="DP56" s="24"/>
      <c r="DQ56" s="24"/>
      <c r="DR56" s="24"/>
      <c r="DS56" s="24"/>
      <c r="DT56" s="24"/>
      <c r="DU56" s="24"/>
      <c r="DV56" s="24"/>
      <c r="DW56" s="24"/>
      <c r="DX56" s="24"/>
      <c r="DY56" s="24"/>
      <c r="DZ56" s="24"/>
      <c r="EA56" s="24"/>
      <c r="EB56" s="24"/>
      <c r="EC56" s="24"/>
      <c r="ED56" s="24"/>
      <c r="EE56" s="24"/>
    </row>
    <row r="57" spans="2:135" x14ac:dyDescent="0.25">
      <c r="B57" s="28">
        <f>14600+14600</f>
        <v>29200</v>
      </c>
      <c r="C57" s="28">
        <f>14600</f>
        <v>14600</v>
      </c>
      <c r="D57" s="28">
        <v>335.86</v>
      </c>
      <c r="E57" s="28">
        <v>0</v>
      </c>
      <c r="F57" s="28">
        <v>0</v>
      </c>
      <c r="G57" s="33">
        <f t="shared" si="18"/>
        <v>14935.86</v>
      </c>
      <c r="H57" s="33">
        <v>0</v>
      </c>
      <c r="I57" s="33">
        <v>0</v>
      </c>
      <c r="J57" s="33">
        <v>0</v>
      </c>
      <c r="K57" s="33">
        <v>0</v>
      </c>
      <c r="L57" s="33">
        <v>0</v>
      </c>
      <c r="M57" s="33">
        <v>0</v>
      </c>
      <c r="N57" s="33">
        <v>0</v>
      </c>
      <c r="O57" s="33">
        <v>0</v>
      </c>
      <c r="P57" s="33">
        <v>0</v>
      </c>
      <c r="Q57" s="33">
        <v>0</v>
      </c>
      <c r="R57" s="34">
        <v>0</v>
      </c>
      <c r="S57" s="33">
        <v>0</v>
      </c>
      <c r="T57" s="33">
        <v>0</v>
      </c>
      <c r="U57" s="33">
        <v>0</v>
      </c>
      <c r="V57" s="33">
        <v>0</v>
      </c>
      <c r="W57" s="28">
        <v>0</v>
      </c>
      <c r="X57" s="34">
        <v>0</v>
      </c>
      <c r="Y57" s="34">
        <v>0</v>
      </c>
      <c r="Z57" s="37">
        <f>2915.91</f>
        <v>2915.91</v>
      </c>
      <c r="AA57" s="33">
        <v>0</v>
      </c>
      <c r="AB57" s="33"/>
      <c r="AC57" s="33"/>
      <c r="AD57" s="33">
        <f>G57-L57-M57-W57-X57-Y57-Z57-AA57</f>
        <v>12019.95</v>
      </c>
      <c r="AE57" s="33">
        <v>7900</v>
      </c>
      <c r="AF57" s="33">
        <v>181.75</v>
      </c>
      <c r="AG57" s="33">
        <v>0</v>
      </c>
      <c r="AH57" s="34">
        <v>0</v>
      </c>
      <c r="AI57" s="33">
        <v>0</v>
      </c>
      <c r="AJ57" s="33">
        <v>0</v>
      </c>
      <c r="AK57" s="63">
        <f t="shared" si="25"/>
        <v>20101.7</v>
      </c>
      <c r="AL57" s="42" t="s">
        <v>75</v>
      </c>
      <c r="AM57" s="30">
        <v>73042.27</v>
      </c>
      <c r="AN57" s="24" t="s">
        <v>83</v>
      </c>
      <c r="AO57" s="24">
        <f>G57-Z57+AE57+AF57</f>
        <v>20101.7</v>
      </c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  <c r="DF57" s="24"/>
      <c r="DG57" s="24"/>
      <c r="DH57" s="24"/>
      <c r="DI57" s="24"/>
      <c r="DJ57" s="24"/>
      <c r="DK57" s="24"/>
      <c r="DL57" s="24"/>
      <c r="DM57" s="24"/>
      <c r="DN57" s="24"/>
      <c r="DO57" s="24"/>
      <c r="DP57" s="24"/>
      <c r="DQ57" s="24"/>
      <c r="DR57" s="24"/>
      <c r="DS57" s="24"/>
      <c r="DT57" s="24"/>
      <c r="DU57" s="24"/>
      <c r="DV57" s="24"/>
      <c r="DW57" s="24"/>
      <c r="DX57" s="24"/>
      <c r="DY57" s="24"/>
      <c r="DZ57" s="24"/>
      <c r="EA57" s="24"/>
      <c r="EB57" s="24"/>
      <c r="EC57" s="24"/>
      <c r="ED57" s="24"/>
      <c r="EE57" s="24"/>
    </row>
    <row r="58" spans="2:135" s="68" customFormat="1" ht="12.75" customHeight="1" x14ac:dyDescent="0.2">
      <c r="B58" s="69">
        <f>8054+8054</f>
        <v>16108</v>
      </c>
      <c r="C58" s="28">
        <f>8054-18.01+8054-6.43</f>
        <v>16083.56</v>
      </c>
      <c r="D58" s="28">
        <f>185.26+185.26</f>
        <v>370.52</v>
      </c>
      <c r="E58" s="28">
        <v>0</v>
      </c>
      <c r="F58" s="28">
        <v>0</v>
      </c>
      <c r="G58" s="33">
        <f t="shared" si="18"/>
        <v>16454.079999999998</v>
      </c>
      <c r="H58" s="33">
        <v>720</v>
      </c>
      <c r="I58" s="33">
        <v>1520</v>
      </c>
      <c r="J58" s="33">
        <f>H58+I58</f>
        <v>2240</v>
      </c>
      <c r="K58" s="33">
        <v>30</v>
      </c>
      <c r="L58" s="33">
        <v>0</v>
      </c>
      <c r="M58" s="33">
        <v>0</v>
      </c>
      <c r="N58" s="33">
        <f>B58*5%/2</f>
        <v>402.70000000000005</v>
      </c>
      <c r="O58" s="33">
        <f>N58</f>
        <v>402.70000000000005</v>
      </c>
      <c r="P58" s="33">
        <f>N58+O58</f>
        <v>805.40000000000009</v>
      </c>
      <c r="Q58" s="33">
        <v>0</v>
      </c>
      <c r="R58" s="33">
        <v>0</v>
      </c>
      <c r="S58" s="33">
        <v>0</v>
      </c>
      <c r="T58" s="33">
        <v>0</v>
      </c>
      <c r="U58" s="34">
        <v>200</v>
      </c>
      <c r="V58" s="34">
        <f>U58</f>
        <v>200</v>
      </c>
      <c r="W58" s="32">
        <v>0</v>
      </c>
      <c r="X58" s="33">
        <v>0</v>
      </c>
      <c r="Y58" s="33">
        <v>0</v>
      </c>
      <c r="Z58" s="33">
        <v>0</v>
      </c>
      <c r="AA58" s="33">
        <v>0</v>
      </c>
      <c r="AB58" s="33"/>
      <c r="AC58" s="33"/>
      <c r="AD58" s="33">
        <f>G58-L58-M58-W58-X58-Y58-Z58-AA58-H58-N58-T58-U58</f>
        <v>15131.379999999997</v>
      </c>
      <c r="AE58" s="33">
        <v>0</v>
      </c>
      <c r="AF58" s="33"/>
      <c r="AG58" s="33">
        <v>0</v>
      </c>
      <c r="AH58" s="34">
        <v>0</v>
      </c>
      <c r="AI58" s="33">
        <v>0</v>
      </c>
      <c r="AJ58" s="33">
        <v>0</v>
      </c>
      <c r="AK58" s="63">
        <f t="shared" si="25"/>
        <v>15131.379999999997</v>
      </c>
      <c r="AL58" s="24" t="s">
        <v>68</v>
      </c>
      <c r="AM58" s="30">
        <v>7365.64</v>
      </c>
      <c r="AN58" s="24" t="s">
        <v>83</v>
      </c>
      <c r="AO58" s="24">
        <f>G58-H58-L58-M58-N58-U58-AA58</f>
        <v>15131.379999999997</v>
      </c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  <c r="DF58" s="24"/>
      <c r="DG58" s="24"/>
      <c r="DH58" s="24"/>
      <c r="DI58" s="24"/>
      <c r="DJ58" s="24"/>
      <c r="DK58" s="24"/>
      <c r="DL58" s="24"/>
      <c r="DM58" s="24"/>
      <c r="DN58" s="24"/>
      <c r="DO58" s="24"/>
      <c r="DP58" s="24"/>
      <c r="DQ58" s="24"/>
      <c r="DR58" s="24"/>
      <c r="DS58" s="24"/>
      <c r="DT58" s="24"/>
      <c r="DU58" s="24"/>
      <c r="DV58" s="24"/>
      <c r="DW58" s="24"/>
      <c r="DX58" s="24"/>
      <c r="DY58" s="24"/>
      <c r="DZ58" s="24"/>
      <c r="EA58" s="24"/>
      <c r="EB58" s="24"/>
      <c r="EC58" s="24"/>
      <c r="ED58" s="24"/>
      <c r="EE58" s="24"/>
    </row>
    <row r="59" spans="2:135" s="68" customFormat="1" ht="12.75" customHeight="1" x14ac:dyDescent="0.2">
      <c r="B59" s="69">
        <f>14800+14800</f>
        <v>29600</v>
      </c>
      <c r="C59" s="28">
        <f>14800+14800</f>
        <v>29600</v>
      </c>
      <c r="D59" s="28">
        <f>340.44+340.44</f>
        <v>680.88</v>
      </c>
      <c r="E59" s="28">
        <v>0</v>
      </c>
      <c r="F59" s="28">
        <v>0</v>
      </c>
      <c r="G59" s="33">
        <f t="shared" si="18"/>
        <v>30280.880000000001</v>
      </c>
      <c r="H59" s="33">
        <v>1327.5</v>
      </c>
      <c r="I59" s="33">
        <f>1900+902.5</f>
        <v>2802.5</v>
      </c>
      <c r="J59" s="33">
        <f>H59+I59</f>
        <v>4130</v>
      </c>
      <c r="K59" s="33">
        <v>30</v>
      </c>
      <c r="L59" s="33">
        <v>0</v>
      </c>
      <c r="M59" s="33">
        <v>0</v>
      </c>
      <c r="N59" s="33">
        <f>B59*5%/2</f>
        <v>740</v>
      </c>
      <c r="O59" s="33">
        <f>N59</f>
        <v>740</v>
      </c>
      <c r="P59" s="33">
        <f>N59+O59</f>
        <v>1480</v>
      </c>
      <c r="Q59" s="34">
        <v>0</v>
      </c>
      <c r="R59" s="34">
        <v>0</v>
      </c>
      <c r="S59" s="33">
        <v>0</v>
      </c>
      <c r="T59" s="34">
        <f>(G59-H59-N59-U59-20833)*15%</f>
        <v>1077.057</v>
      </c>
      <c r="U59" s="34">
        <v>200</v>
      </c>
      <c r="V59" s="34">
        <v>100</v>
      </c>
      <c r="W59" s="28">
        <v>0</v>
      </c>
      <c r="X59" s="33">
        <v>0</v>
      </c>
      <c r="Y59" s="33">
        <v>0</v>
      </c>
      <c r="Z59" s="33">
        <v>0</v>
      </c>
      <c r="AA59" s="33">
        <v>0</v>
      </c>
      <c r="AB59" s="33"/>
      <c r="AC59" s="33"/>
      <c r="AD59" s="33">
        <f>G59-L59-M59-W59-X59-Y59-Z59-AA59-H59-N59-T59-U59</f>
        <v>26936.323</v>
      </c>
      <c r="AE59" s="33">
        <f>7200+7200</f>
        <v>14400</v>
      </c>
      <c r="AF59" s="33">
        <f>165.64+165.64</f>
        <v>331.28</v>
      </c>
      <c r="AG59" s="33">
        <v>0</v>
      </c>
      <c r="AH59" s="34">
        <v>0</v>
      </c>
      <c r="AI59" s="33">
        <v>0</v>
      </c>
      <c r="AJ59" s="33">
        <v>0</v>
      </c>
      <c r="AK59" s="63">
        <f t="shared" si="25"/>
        <v>41667.603000000003</v>
      </c>
      <c r="AL59" s="42" t="s">
        <v>84</v>
      </c>
      <c r="AM59" s="45">
        <v>0</v>
      </c>
      <c r="AN59" s="24" t="s">
        <v>22</v>
      </c>
      <c r="AO59" s="24">
        <f>G59-H59-N59-T59-U59+AE59+AF59</f>
        <v>41667.603000000003</v>
      </c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24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24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24"/>
    </row>
    <row r="60" spans="2:135" x14ac:dyDescent="0.25">
      <c r="B60" s="28">
        <f>7000+7000</f>
        <v>14000</v>
      </c>
      <c r="C60" s="28">
        <f>7000-68.21-805.11+7000-1073.48-49.2</f>
        <v>12004</v>
      </c>
      <c r="D60" s="28">
        <f>161.02+152.56</f>
        <v>313.58000000000004</v>
      </c>
      <c r="E60" s="28">
        <v>0</v>
      </c>
      <c r="F60" s="28">
        <v>0</v>
      </c>
      <c r="G60" s="33">
        <f t="shared" si="18"/>
        <v>12317.58</v>
      </c>
      <c r="H60" s="33">
        <v>630</v>
      </c>
      <c r="I60" s="33">
        <v>1330</v>
      </c>
      <c r="J60" s="33">
        <f>H60+I60</f>
        <v>1960</v>
      </c>
      <c r="K60" s="33">
        <v>10</v>
      </c>
      <c r="L60" s="33">
        <v>392.23</v>
      </c>
      <c r="M60" s="33"/>
      <c r="N60" s="33">
        <f>B60*5%/2</f>
        <v>350</v>
      </c>
      <c r="O60" s="33">
        <f>N60</f>
        <v>350</v>
      </c>
      <c r="P60" s="34">
        <f>N60+O60</f>
        <v>700</v>
      </c>
      <c r="Q60" s="34">
        <v>0</v>
      </c>
      <c r="R60" s="34">
        <v>0</v>
      </c>
      <c r="S60" s="33">
        <v>0</v>
      </c>
      <c r="T60" s="33"/>
      <c r="U60" s="34">
        <v>200</v>
      </c>
      <c r="V60" s="33">
        <f>U60</f>
        <v>200</v>
      </c>
      <c r="W60" s="32"/>
      <c r="X60" s="33"/>
      <c r="Y60" s="33"/>
      <c r="Z60" s="33"/>
      <c r="AA60" s="33">
        <v>44.73</v>
      </c>
      <c r="AB60" s="33"/>
      <c r="AC60" s="33"/>
      <c r="AD60" s="33">
        <f>G60-L60-M60-W60-X60-Y60-Z60-AA60-H60-N60-T60-U60</f>
        <v>10700.62</v>
      </c>
      <c r="AE60" s="33">
        <v>0</v>
      </c>
      <c r="AF60" s="33">
        <v>0</v>
      </c>
      <c r="AG60" s="33">
        <v>0</v>
      </c>
      <c r="AH60" s="34">
        <v>0</v>
      </c>
      <c r="AI60" s="33">
        <v>0</v>
      </c>
      <c r="AJ60" s="33">
        <v>0</v>
      </c>
      <c r="AK60" s="38">
        <f t="shared" si="25"/>
        <v>10700.62</v>
      </c>
      <c r="AL60" s="42" t="s">
        <v>85</v>
      </c>
      <c r="AM60" s="47">
        <f>AM57+AM58+AM59</f>
        <v>80407.91</v>
      </c>
      <c r="AN60" s="24"/>
      <c r="AO60" s="24">
        <f>G60-H60-L60-M60-N60-U60-AA60</f>
        <v>10700.62</v>
      </c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  <c r="DF60" s="24"/>
      <c r="DG60" s="24"/>
      <c r="DH60" s="24"/>
      <c r="DI60" s="24"/>
      <c r="DJ60" s="24"/>
      <c r="DK60" s="24"/>
      <c r="DL60" s="24"/>
      <c r="DM60" s="24"/>
      <c r="DN60" s="24"/>
      <c r="DO60" s="24"/>
      <c r="DP60" s="24"/>
      <c r="DQ60" s="24"/>
      <c r="DR60" s="24"/>
      <c r="DS60" s="24"/>
      <c r="DT60" s="24"/>
      <c r="DU60" s="24"/>
      <c r="DV60" s="24"/>
      <c r="DW60" s="24"/>
      <c r="DX60" s="24"/>
      <c r="DY60" s="24"/>
      <c r="DZ60" s="24"/>
      <c r="EA60" s="24"/>
      <c r="EB60" s="24"/>
      <c r="EC60" s="24"/>
      <c r="ED60" s="24"/>
      <c r="EE60" s="24"/>
    </row>
    <row r="61" spans="2:135" x14ac:dyDescent="0.25">
      <c r="B61" s="70" t="s">
        <v>86</v>
      </c>
      <c r="C61" s="49">
        <f t="shared" ref="C61:AC61" si="26">SUM(C50:C60)</f>
        <v>198277.07</v>
      </c>
      <c r="D61" s="49">
        <f t="shared" si="26"/>
        <v>3554.48</v>
      </c>
      <c r="E61" s="49">
        <f t="shared" si="26"/>
        <v>5.99</v>
      </c>
      <c r="F61" s="49">
        <f t="shared" si="26"/>
        <v>0</v>
      </c>
      <c r="G61" s="49">
        <f t="shared" si="26"/>
        <v>201837.53999999998</v>
      </c>
      <c r="H61" s="49">
        <f t="shared" si="26"/>
        <v>8932.5</v>
      </c>
      <c r="I61" s="49">
        <f t="shared" si="26"/>
        <v>18857.5</v>
      </c>
      <c r="J61" s="49">
        <f t="shared" si="26"/>
        <v>27790</v>
      </c>
      <c r="K61" s="49">
        <f t="shared" si="26"/>
        <v>240</v>
      </c>
      <c r="L61" s="49">
        <f t="shared" si="26"/>
        <v>2053.4499999999998</v>
      </c>
      <c r="M61" s="49">
        <f t="shared" si="26"/>
        <v>0</v>
      </c>
      <c r="N61" s="49">
        <f t="shared" si="26"/>
        <v>4962.3500000000004</v>
      </c>
      <c r="O61" s="49">
        <f t="shared" si="26"/>
        <v>4962.3500000000004</v>
      </c>
      <c r="P61" s="49">
        <f t="shared" si="26"/>
        <v>9924.7000000000007</v>
      </c>
      <c r="Q61" s="49">
        <f t="shared" si="26"/>
        <v>0</v>
      </c>
      <c r="R61" s="49">
        <f t="shared" si="26"/>
        <v>0</v>
      </c>
      <c r="S61" s="49">
        <f t="shared" si="26"/>
        <v>0</v>
      </c>
      <c r="T61" s="49">
        <f t="shared" si="26"/>
        <v>2232.7845000000007</v>
      </c>
      <c r="U61" s="49">
        <f t="shared" si="26"/>
        <v>2000</v>
      </c>
      <c r="V61" s="49">
        <f t="shared" si="26"/>
        <v>1900</v>
      </c>
      <c r="W61" s="49">
        <f t="shared" si="26"/>
        <v>941.46</v>
      </c>
      <c r="X61" s="49">
        <f t="shared" si="26"/>
        <v>0</v>
      </c>
      <c r="Y61" s="49">
        <f t="shared" si="26"/>
        <v>0</v>
      </c>
      <c r="Z61" s="49">
        <f t="shared" si="26"/>
        <v>2915.91</v>
      </c>
      <c r="AA61" s="49">
        <f t="shared" si="26"/>
        <v>134.19</v>
      </c>
      <c r="AB61" s="49">
        <f t="shared" si="26"/>
        <v>0</v>
      </c>
      <c r="AC61" s="49">
        <f t="shared" si="26"/>
        <v>0</v>
      </c>
      <c r="AD61" s="49">
        <f>SUM(AD50:AD60)-0.01</f>
        <v>178844.88549999997</v>
      </c>
      <c r="AE61" s="49">
        <f t="shared" ref="AE61:AJ61" si="27">SUM(AE50:AE60)</f>
        <v>22300</v>
      </c>
      <c r="AF61" s="49">
        <f t="shared" si="27"/>
        <v>513.03</v>
      </c>
      <c r="AG61" s="49">
        <f t="shared" si="27"/>
        <v>0</v>
      </c>
      <c r="AH61" s="49">
        <f t="shared" si="27"/>
        <v>0</v>
      </c>
      <c r="AI61" s="49">
        <f t="shared" si="27"/>
        <v>0</v>
      </c>
      <c r="AJ61" s="49">
        <f t="shared" si="27"/>
        <v>0</v>
      </c>
      <c r="AK61" s="49">
        <f>SUM(AK50:AK60)-0.01</f>
        <v>201657.9155</v>
      </c>
      <c r="AL61" s="24" t="s">
        <v>72</v>
      </c>
      <c r="AM61" s="60">
        <f>AM60+AM55</f>
        <v>201657.91999999998</v>
      </c>
      <c r="AN61" s="24" t="s">
        <v>87</v>
      </c>
      <c r="AO61" s="24">
        <f>SUM(AO50:AO60)-0.01</f>
        <v>201657.9155</v>
      </c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  <c r="DF61" s="24"/>
      <c r="DG61" s="24"/>
      <c r="DH61" s="24"/>
      <c r="DI61" s="24"/>
      <c r="DJ61" s="24"/>
      <c r="DK61" s="24"/>
      <c r="DL61" s="24"/>
      <c r="DM61" s="24"/>
      <c r="DN61" s="24"/>
      <c r="DO61" s="24"/>
      <c r="DP61" s="24"/>
      <c r="DQ61" s="24"/>
      <c r="DR61" s="24"/>
      <c r="DS61" s="24"/>
      <c r="DT61" s="24"/>
      <c r="DU61" s="24"/>
      <c r="DV61" s="24"/>
      <c r="DW61" s="24"/>
      <c r="DX61" s="24"/>
      <c r="DY61" s="24"/>
      <c r="DZ61" s="24"/>
      <c r="EA61" s="24"/>
      <c r="EB61" s="24"/>
      <c r="EC61" s="24"/>
      <c r="ED61" s="24"/>
      <c r="EE61" s="24"/>
    </row>
    <row r="62" spans="2:135" x14ac:dyDescent="0.25">
      <c r="B62" s="30"/>
      <c r="C62" s="30" t="s">
        <v>22</v>
      </c>
      <c r="D62" s="53"/>
      <c r="E62" s="53"/>
      <c r="F62" s="53"/>
      <c r="G62" s="15">
        <f>111847.63+89989.91</f>
        <v>201837.54</v>
      </c>
      <c r="H62" s="15" t="s">
        <v>22</v>
      </c>
      <c r="I62" s="53"/>
      <c r="J62" s="53"/>
      <c r="K62" s="53"/>
      <c r="L62" s="53"/>
      <c r="M62" s="53"/>
      <c r="N62" s="15" t="e">
        <f>N61-#REF!-N56</f>
        <v>#REF!</v>
      </c>
      <c r="O62" s="53"/>
      <c r="P62" s="53"/>
      <c r="Q62" s="53"/>
      <c r="R62" s="53"/>
      <c r="S62" s="53"/>
      <c r="T62" s="53"/>
      <c r="U62" s="15"/>
      <c r="V62" s="53"/>
      <c r="W62" s="30"/>
      <c r="X62" s="53"/>
      <c r="Y62" s="53"/>
      <c r="Z62" s="53"/>
      <c r="AA62" s="53"/>
      <c r="AB62" s="53"/>
      <c r="AC62" s="53"/>
      <c r="AD62" s="53">
        <f>105802.62+73042.27</f>
        <v>178844.89</v>
      </c>
      <c r="AE62" s="53"/>
      <c r="AF62" s="53"/>
      <c r="AG62" s="53"/>
      <c r="AH62" s="53"/>
      <c r="AI62" s="53"/>
      <c r="AJ62" s="30"/>
      <c r="AK62" s="23">
        <f>105802.62+15447.39+73042.27+7365.64</f>
        <v>201657.92</v>
      </c>
      <c r="AL62" s="24"/>
      <c r="AM62" s="30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  <c r="DF62" s="24"/>
      <c r="DG62" s="24"/>
      <c r="DH62" s="24"/>
      <c r="DI62" s="24"/>
      <c r="DJ62" s="24"/>
      <c r="DK62" s="24"/>
      <c r="DL62" s="24"/>
      <c r="DM62" s="24"/>
      <c r="DN62" s="24"/>
      <c r="DO62" s="24"/>
      <c r="DP62" s="24"/>
      <c r="DQ62" s="24"/>
      <c r="DR62" s="24"/>
      <c r="DS62" s="24"/>
      <c r="DT62" s="24"/>
      <c r="DU62" s="24"/>
      <c r="DV62" s="24"/>
      <c r="DW62" s="24"/>
      <c r="DX62" s="24"/>
      <c r="DY62" s="24"/>
      <c r="DZ62" s="24"/>
      <c r="EA62" s="24"/>
      <c r="EB62" s="24"/>
      <c r="EC62" s="24"/>
      <c r="ED62" s="24"/>
      <c r="EE62" s="24"/>
    </row>
    <row r="63" spans="2:135" x14ac:dyDescent="0.25">
      <c r="B63" s="13" t="s">
        <v>88</v>
      </c>
      <c r="C63" s="30" t="s">
        <v>22</v>
      </c>
      <c r="D63" s="53"/>
      <c r="E63" s="53"/>
      <c r="F63" s="53"/>
      <c r="G63" s="15" t="s">
        <v>22</v>
      </c>
      <c r="H63" s="15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 t="s">
        <v>22</v>
      </c>
      <c r="U63" s="53"/>
      <c r="V63" s="53"/>
      <c r="W63" s="30"/>
      <c r="X63" s="53"/>
      <c r="Y63" s="53"/>
      <c r="Z63" s="53"/>
      <c r="AA63" s="53"/>
      <c r="AB63" s="53"/>
      <c r="AC63" s="53" t="s">
        <v>22</v>
      </c>
      <c r="AD63" s="15"/>
      <c r="AE63" s="53"/>
      <c r="AF63" s="53"/>
      <c r="AG63" s="53"/>
      <c r="AH63" s="53"/>
      <c r="AI63" s="53"/>
      <c r="AJ63" s="30"/>
      <c r="AK63" s="23" t="s">
        <v>22</v>
      </c>
      <c r="AL63" s="42" t="s">
        <v>22</v>
      </c>
      <c r="AM63" s="44" t="s">
        <v>22</v>
      </c>
      <c r="AN63" s="24" t="s">
        <v>22</v>
      </c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24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24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24"/>
    </row>
    <row r="64" spans="2:135" ht="17.25" customHeight="1" x14ac:dyDescent="0.25">
      <c r="B64" s="12" t="s">
        <v>3</v>
      </c>
      <c r="C64" s="12" t="s">
        <v>4</v>
      </c>
      <c r="D64" s="11" t="s">
        <v>89</v>
      </c>
      <c r="E64" s="11" t="s">
        <v>90</v>
      </c>
      <c r="F64" s="11" t="s">
        <v>7</v>
      </c>
      <c r="G64" s="11" t="s">
        <v>8</v>
      </c>
      <c r="H64" s="10" t="s">
        <v>22</v>
      </c>
      <c r="I64" s="10"/>
      <c r="J64" s="10"/>
      <c r="K64" s="10"/>
      <c r="L64" s="11" t="s">
        <v>10</v>
      </c>
      <c r="M64" s="11" t="s">
        <v>11</v>
      </c>
      <c r="N64" s="10" t="s">
        <v>12</v>
      </c>
      <c r="O64" s="10"/>
      <c r="P64" s="10"/>
      <c r="Q64" s="10"/>
      <c r="R64" s="10"/>
      <c r="S64" s="10"/>
      <c r="T64" s="11" t="s">
        <v>13</v>
      </c>
      <c r="U64" s="11" t="s">
        <v>14</v>
      </c>
      <c r="V64" s="11"/>
      <c r="W64" s="12" t="s">
        <v>15</v>
      </c>
      <c r="X64" s="11" t="s">
        <v>16</v>
      </c>
      <c r="Y64" s="11" t="s">
        <v>17</v>
      </c>
      <c r="Z64" s="11" t="s">
        <v>18</v>
      </c>
      <c r="AA64" s="9" t="s">
        <v>19</v>
      </c>
      <c r="AB64" s="11" t="s">
        <v>20</v>
      </c>
      <c r="AC64" s="21"/>
      <c r="AD64" s="11" t="s">
        <v>21</v>
      </c>
      <c r="AE64" s="10" t="s">
        <v>35</v>
      </c>
      <c r="AF64" s="10"/>
      <c r="AG64" s="10"/>
      <c r="AH64" s="10"/>
      <c r="AI64" s="11" t="s">
        <v>23</v>
      </c>
      <c r="AJ64" s="71"/>
      <c r="AK64" s="10" t="s">
        <v>25</v>
      </c>
      <c r="AL64" s="42"/>
      <c r="AM64" s="4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  <c r="DF64" s="24"/>
      <c r="DG64" s="24"/>
      <c r="DH64" s="24"/>
      <c r="DI64" s="24"/>
      <c r="DJ64" s="24"/>
      <c r="DK64" s="24"/>
      <c r="DL64" s="24"/>
      <c r="DM64" s="24"/>
      <c r="DN64" s="24"/>
      <c r="DO64" s="24"/>
      <c r="DP64" s="24"/>
      <c r="DQ64" s="24"/>
      <c r="DR64" s="24"/>
      <c r="DS64" s="24"/>
      <c r="DT64" s="24"/>
      <c r="DU64" s="24"/>
      <c r="DV64" s="24"/>
      <c r="DW64" s="24"/>
      <c r="DX64" s="24"/>
      <c r="DY64" s="24"/>
      <c r="DZ64" s="24"/>
      <c r="EA64" s="24"/>
      <c r="EB64" s="24"/>
      <c r="EC64" s="24"/>
      <c r="ED64" s="24"/>
      <c r="EE64" s="24"/>
    </row>
    <row r="65" spans="2:135" ht="13.5" customHeight="1" x14ac:dyDescent="0.25">
      <c r="B65" s="12"/>
      <c r="C65" s="12"/>
      <c r="D65" s="11"/>
      <c r="E65" s="11"/>
      <c r="F65" s="11"/>
      <c r="G65" s="11"/>
      <c r="H65" s="10" t="s">
        <v>26</v>
      </c>
      <c r="I65" s="10" t="s">
        <v>27</v>
      </c>
      <c r="J65" s="10" t="s">
        <v>28</v>
      </c>
      <c r="K65" s="11" t="s">
        <v>29</v>
      </c>
      <c r="L65" s="11"/>
      <c r="M65" s="11"/>
      <c r="N65" s="6" t="s">
        <v>26</v>
      </c>
      <c r="O65" s="6" t="s">
        <v>27</v>
      </c>
      <c r="P65" s="6" t="s">
        <v>30</v>
      </c>
      <c r="Q65" s="5" t="s">
        <v>31</v>
      </c>
      <c r="R65" s="5" t="s">
        <v>32</v>
      </c>
      <c r="S65" s="5" t="s">
        <v>33</v>
      </c>
      <c r="T65" s="11"/>
      <c r="U65" s="11"/>
      <c r="V65" s="11"/>
      <c r="W65" s="12"/>
      <c r="X65" s="11"/>
      <c r="Y65" s="11"/>
      <c r="Z65" s="11"/>
      <c r="AA65" s="9"/>
      <c r="AB65" s="11"/>
      <c r="AC65" s="72" t="s">
        <v>91</v>
      </c>
      <c r="AD65" s="11"/>
      <c r="AE65" s="10"/>
      <c r="AF65" s="10"/>
      <c r="AG65" s="10"/>
      <c r="AH65" s="10"/>
      <c r="AI65" s="11"/>
      <c r="AJ65" s="73"/>
      <c r="AK65" s="10"/>
      <c r="AL65" s="42"/>
      <c r="AM65" s="4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  <c r="DF65" s="24"/>
      <c r="DG65" s="24"/>
      <c r="DH65" s="24"/>
      <c r="DI65" s="24"/>
      <c r="DJ65" s="24"/>
      <c r="DK65" s="24"/>
      <c r="DL65" s="24"/>
      <c r="DM65" s="24"/>
      <c r="DN65" s="24"/>
      <c r="DO65" s="24"/>
      <c r="DP65" s="24"/>
      <c r="DQ65" s="24"/>
      <c r="DR65" s="24"/>
      <c r="DS65" s="24"/>
      <c r="DT65" s="24"/>
      <c r="DU65" s="24"/>
      <c r="DV65" s="24"/>
      <c r="DW65" s="24"/>
      <c r="DX65" s="24"/>
      <c r="DY65" s="24"/>
      <c r="DZ65" s="24"/>
      <c r="EA65" s="24"/>
      <c r="EB65" s="24"/>
      <c r="EC65" s="24"/>
      <c r="ED65" s="24"/>
      <c r="EE65" s="24"/>
    </row>
    <row r="66" spans="2:135" ht="24.75" customHeight="1" x14ac:dyDescent="0.25">
      <c r="B66" s="12"/>
      <c r="C66" s="12"/>
      <c r="D66" s="11"/>
      <c r="E66" s="11"/>
      <c r="F66" s="11"/>
      <c r="G66" s="11"/>
      <c r="H66" s="10"/>
      <c r="I66" s="10"/>
      <c r="J66" s="10"/>
      <c r="K66" s="11"/>
      <c r="L66" s="11"/>
      <c r="M66" s="11"/>
      <c r="N66" s="6"/>
      <c r="O66" s="6"/>
      <c r="P66" s="6"/>
      <c r="Q66" s="5"/>
      <c r="R66" s="5"/>
      <c r="S66" s="5"/>
      <c r="T66" s="11"/>
      <c r="U66" s="28" t="s">
        <v>26</v>
      </c>
      <c r="V66" s="28" t="s">
        <v>27</v>
      </c>
      <c r="W66" s="12"/>
      <c r="X66" s="11"/>
      <c r="Y66" s="11"/>
      <c r="Z66" s="11"/>
      <c r="AA66" s="9"/>
      <c r="AB66" s="11"/>
      <c r="AC66" s="74"/>
      <c r="AD66" s="11"/>
      <c r="AE66" s="20" t="s">
        <v>37</v>
      </c>
      <c r="AF66" s="18" t="s">
        <v>38</v>
      </c>
      <c r="AG66" s="18" t="s">
        <v>39</v>
      </c>
      <c r="AH66" s="20" t="s">
        <v>40</v>
      </c>
      <c r="AI66" s="11"/>
      <c r="AJ66" s="46" t="s">
        <v>92</v>
      </c>
      <c r="AK66" s="10"/>
      <c r="AL66" s="42" t="s">
        <v>66</v>
      </c>
      <c r="AM66" s="44">
        <v>0</v>
      </c>
      <c r="AN66" s="24" t="s">
        <v>83</v>
      </c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  <c r="DF66" s="24"/>
      <c r="DG66" s="24"/>
      <c r="DH66" s="24"/>
      <c r="DI66" s="24"/>
      <c r="DJ66" s="24"/>
      <c r="DK66" s="24"/>
      <c r="DL66" s="24"/>
      <c r="DM66" s="24"/>
      <c r="DN66" s="24"/>
      <c r="DO66" s="24"/>
      <c r="DP66" s="24"/>
      <c r="DQ66" s="24"/>
      <c r="DR66" s="24"/>
      <c r="DS66" s="24"/>
      <c r="DT66" s="24"/>
      <c r="DU66" s="24"/>
      <c r="DV66" s="24"/>
      <c r="DW66" s="24"/>
      <c r="DX66" s="24"/>
      <c r="DY66" s="24"/>
      <c r="DZ66" s="24"/>
      <c r="EA66" s="24"/>
      <c r="EB66" s="24"/>
      <c r="EC66" s="24"/>
      <c r="ED66" s="24"/>
      <c r="EE66" s="24"/>
    </row>
    <row r="67" spans="2:135" x14ac:dyDescent="0.25">
      <c r="B67" s="63">
        <f>7500+7500</f>
        <v>15000</v>
      </c>
      <c r="C67" s="28">
        <f>7500-94.64</f>
        <v>7405.36</v>
      </c>
      <c r="D67" s="28">
        <v>170.79</v>
      </c>
      <c r="E67" s="28"/>
      <c r="F67" s="34"/>
      <c r="G67" s="33">
        <f>D67+C67+E67+F67</f>
        <v>7576.15</v>
      </c>
      <c r="H67" s="33">
        <v>675</v>
      </c>
      <c r="I67" s="34">
        <v>1425</v>
      </c>
      <c r="J67" s="33">
        <f>H67+I67</f>
        <v>2100</v>
      </c>
      <c r="K67" s="34">
        <v>30</v>
      </c>
      <c r="L67" s="75">
        <v>0</v>
      </c>
      <c r="M67" s="75">
        <v>0</v>
      </c>
      <c r="N67" s="33">
        <f>B67*5%/2</f>
        <v>375</v>
      </c>
      <c r="O67" s="75">
        <f>N67</f>
        <v>375</v>
      </c>
      <c r="P67" s="34">
        <f>N67+O67</f>
        <v>750</v>
      </c>
      <c r="Q67" s="75">
        <v>0</v>
      </c>
      <c r="R67" s="75">
        <v>0</v>
      </c>
      <c r="S67" s="75">
        <f>Q67+R67</f>
        <v>0</v>
      </c>
      <c r="T67" s="75">
        <v>0</v>
      </c>
      <c r="U67" s="76">
        <v>200</v>
      </c>
      <c r="V67" s="76">
        <f>U67</f>
        <v>200</v>
      </c>
      <c r="W67" s="77">
        <v>0</v>
      </c>
      <c r="X67" s="77">
        <v>0</v>
      </c>
      <c r="Y67" s="77">
        <v>0</v>
      </c>
      <c r="Z67" s="37">
        <v>0</v>
      </c>
      <c r="AA67" s="33">
        <v>0</v>
      </c>
      <c r="AB67" s="33"/>
      <c r="AC67" s="33"/>
      <c r="AD67" s="33">
        <f>G67-H67-L67-M67-N67-T67-U67-W67-X67-Y67-Z67-AA67-AB67-AC67</f>
        <v>6326.15</v>
      </c>
      <c r="AE67" s="34">
        <v>0</v>
      </c>
      <c r="AF67" s="34">
        <v>0</v>
      </c>
      <c r="AG67" s="34">
        <v>0</v>
      </c>
      <c r="AH67" s="34">
        <v>0</v>
      </c>
      <c r="AI67" s="34">
        <v>0</v>
      </c>
      <c r="AJ67" s="34">
        <v>0</v>
      </c>
      <c r="AK67" s="63">
        <f>AD67+AE67+AF67+AG67+AH67+AI67</f>
        <v>6326.15</v>
      </c>
      <c r="AL67" s="42" t="s">
        <v>75</v>
      </c>
      <c r="AM67" s="44">
        <v>6326.15</v>
      </c>
      <c r="AN67" s="24" t="s">
        <v>83</v>
      </c>
      <c r="AO67" s="24">
        <v>6326.15</v>
      </c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  <c r="DF67" s="24"/>
      <c r="DG67" s="24"/>
      <c r="DH67" s="24"/>
      <c r="DI67" s="24"/>
      <c r="DJ67" s="24"/>
      <c r="DK67" s="24"/>
      <c r="DL67" s="24"/>
      <c r="DM67" s="24"/>
      <c r="DN67" s="24"/>
      <c r="DO67" s="24"/>
      <c r="DP67" s="24"/>
      <c r="DQ67" s="24"/>
      <c r="DR67" s="24"/>
      <c r="DS67" s="24"/>
      <c r="DT67" s="24"/>
      <c r="DU67" s="24"/>
      <c r="DV67" s="24"/>
      <c r="DW67" s="24"/>
      <c r="DX67" s="24"/>
      <c r="DY67" s="24"/>
      <c r="DZ67" s="24"/>
      <c r="EA67" s="24"/>
      <c r="EB67" s="24"/>
      <c r="EC67" s="24"/>
      <c r="ED67" s="24"/>
      <c r="EE67" s="24"/>
    </row>
    <row r="68" spans="2:135" x14ac:dyDescent="0.25">
      <c r="B68" s="70" t="s">
        <v>86</v>
      </c>
      <c r="C68" s="78">
        <f>SUM(C67:C67)</f>
        <v>7405.36</v>
      </c>
      <c r="D68" s="78">
        <f>D67</f>
        <v>170.79</v>
      </c>
      <c r="E68" s="78">
        <f>E67</f>
        <v>0</v>
      </c>
      <c r="F68" s="78">
        <f>F67</f>
        <v>0</v>
      </c>
      <c r="G68" s="78">
        <f>G67</f>
        <v>7576.15</v>
      </c>
      <c r="H68" s="78">
        <f t="shared" ref="H68:AK68" si="28">SUM(H67:H67)</f>
        <v>675</v>
      </c>
      <c r="I68" s="78">
        <f t="shared" si="28"/>
        <v>1425</v>
      </c>
      <c r="J68" s="78">
        <f t="shared" si="28"/>
        <v>2100</v>
      </c>
      <c r="K68" s="78">
        <f t="shared" si="28"/>
        <v>30</v>
      </c>
      <c r="L68" s="78">
        <f t="shared" si="28"/>
        <v>0</v>
      </c>
      <c r="M68" s="78">
        <f t="shared" si="28"/>
        <v>0</v>
      </c>
      <c r="N68" s="78">
        <f t="shared" si="28"/>
        <v>375</v>
      </c>
      <c r="O68" s="78">
        <f t="shared" si="28"/>
        <v>375</v>
      </c>
      <c r="P68" s="78">
        <f t="shared" si="28"/>
        <v>750</v>
      </c>
      <c r="Q68" s="78">
        <f t="shared" si="28"/>
        <v>0</v>
      </c>
      <c r="R68" s="78">
        <f t="shared" si="28"/>
        <v>0</v>
      </c>
      <c r="S68" s="78">
        <f t="shared" si="28"/>
        <v>0</v>
      </c>
      <c r="T68" s="78">
        <f t="shared" si="28"/>
        <v>0</v>
      </c>
      <c r="U68" s="78">
        <f t="shared" si="28"/>
        <v>200</v>
      </c>
      <c r="V68" s="78">
        <f t="shared" si="28"/>
        <v>200</v>
      </c>
      <c r="W68" s="78">
        <f t="shared" si="28"/>
        <v>0</v>
      </c>
      <c r="X68" s="78">
        <f t="shared" si="28"/>
        <v>0</v>
      </c>
      <c r="Y68" s="78">
        <f t="shared" si="28"/>
        <v>0</v>
      </c>
      <c r="Z68" s="78">
        <f t="shared" si="28"/>
        <v>0</v>
      </c>
      <c r="AA68" s="78">
        <f t="shared" si="28"/>
        <v>0</v>
      </c>
      <c r="AB68" s="78">
        <f t="shared" si="28"/>
        <v>0</v>
      </c>
      <c r="AC68" s="78">
        <f t="shared" si="28"/>
        <v>0</v>
      </c>
      <c r="AD68" s="78">
        <f t="shared" si="28"/>
        <v>6326.15</v>
      </c>
      <c r="AE68" s="78">
        <f t="shared" si="28"/>
        <v>0</v>
      </c>
      <c r="AF68" s="78">
        <f t="shared" si="28"/>
        <v>0</v>
      </c>
      <c r="AG68" s="78">
        <f t="shared" si="28"/>
        <v>0</v>
      </c>
      <c r="AH68" s="78">
        <f t="shared" si="28"/>
        <v>0</v>
      </c>
      <c r="AI68" s="78">
        <f t="shared" si="28"/>
        <v>0</v>
      </c>
      <c r="AJ68" s="78">
        <f t="shared" si="28"/>
        <v>0</v>
      </c>
      <c r="AK68" s="78">
        <f t="shared" si="28"/>
        <v>6326.15</v>
      </c>
      <c r="AL68" s="42"/>
      <c r="AM68" s="4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  <c r="DF68" s="24"/>
      <c r="DG68" s="24"/>
      <c r="DH68" s="24"/>
      <c r="DI68" s="24"/>
      <c r="DJ68" s="24"/>
      <c r="DK68" s="24"/>
      <c r="DL68" s="24"/>
      <c r="DM68" s="24"/>
      <c r="DN68" s="24"/>
      <c r="DO68" s="24"/>
      <c r="DP68" s="24"/>
      <c r="DQ68" s="24"/>
      <c r="DR68" s="24"/>
      <c r="DS68" s="24"/>
      <c r="DT68" s="24"/>
      <c r="DU68" s="24"/>
      <c r="DV68" s="24"/>
      <c r="DW68" s="24"/>
      <c r="DX68" s="24"/>
      <c r="DY68" s="24"/>
      <c r="DZ68" s="24"/>
      <c r="EA68" s="24"/>
      <c r="EB68" s="24"/>
      <c r="EC68" s="24"/>
      <c r="ED68" s="24"/>
      <c r="EE68" s="24"/>
    </row>
    <row r="69" spans="2:135" x14ac:dyDescent="0.25">
      <c r="B69" s="30"/>
      <c r="C69" s="30" t="s">
        <v>22</v>
      </c>
      <c r="D69" s="53"/>
      <c r="E69" s="53"/>
      <c r="F69" s="53"/>
      <c r="G69" s="15" t="s">
        <v>22</v>
      </c>
      <c r="H69" s="15"/>
      <c r="I69" s="53"/>
      <c r="J69" s="53" t="s">
        <v>93</v>
      </c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30"/>
      <c r="X69" s="53"/>
      <c r="Y69" s="53"/>
      <c r="Z69" s="53"/>
      <c r="AA69" s="53"/>
      <c r="AB69" s="53"/>
      <c r="AC69" s="53"/>
      <c r="AD69" s="53">
        <f>13955.75</f>
        <v>13955.75</v>
      </c>
      <c r="AE69" s="53"/>
      <c r="AF69" s="53"/>
      <c r="AG69" s="53"/>
      <c r="AH69" s="53"/>
      <c r="AI69" s="53"/>
      <c r="AJ69" s="30"/>
      <c r="AK69" s="23">
        <v>6326.15</v>
      </c>
      <c r="AL69" s="42" t="s">
        <v>72</v>
      </c>
      <c r="AM69" s="55">
        <f>AM67</f>
        <v>6326.15</v>
      </c>
      <c r="AN69" s="24" t="s">
        <v>22</v>
      </c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  <c r="DF69" s="24"/>
      <c r="DG69" s="24"/>
      <c r="DH69" s="24"/>
      <c r="DI69" s="24"/>
      <c r="DJ69" s="24"/>
      <c r="DK69" s="24"/>
      <c r="DL69" s="24"/>
      <c r="DM69" s="24"/>
      <c r="DN69" s="24"/>
      <c r="DO69" s="24"/>
      <c r="DP69" s="24"/>
      <c r="DQ69" s="24"/>
      <c r="DR69" s="24"/>
      <c r="DS69" s="24"/>
      <c r="DT69" s="24"/>
      <c r="DU69" s="24"/>
      <c r="DV69" s="24"/>
      <c r="DW69" s="24"/>
      <c r="DX69" s="24"/>
      <c r="DY69" s="24"/>
      <c r="DZ69" s="24"/>
      <c r="EA69" s="24"/>
      <c r="EB69" s="24"/>
      <c r="EC69" s="24"/>
      <c r="ED69" s="24"/>
      <c r="EE69" s="24"/>
    </row>
    <row r="70" spans="2:135" x14ac:dyDescent="0.25">
      <c r="B70" s="30"/>
      <c r="C70" s="30" t="s">
        <v>22</v>
      </c>
      <c r="D70" s="53"/>
      <c r="E70" s="53"/>
      <c r="F70" s="53"/>
      <c r="G70" s="15" t="s">
        <v>22</v>
      </c>
      <c r="H70" s="15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 t="s">
        <v>22</v>
      </c>
      <c r="U70" s="53"/>
      <c r="V70" s="53"/>
      <c r="W70" s="30"/>
      <c r="X70" s="53"/>
      <c r="Y70" s="53"/>
      <c r="Z70" s="53"/>
      <c r="AA70" s="53"/>
      <c r="AB70" s="53"/>
      <c r="AC70" s="53" t="s">
        <v>22</v>
      </c>
      <c r="AD70" s="15"/>
      <c r="AE70" s="53"/>
      <c r="AF70" s="53"/>
      <c r="AG70" s="53"/>
      <c r="AH70" s="53"/>
      <c r="AI70" s="53"/>
      <c r="AJ70" s="30"/>
      <c r="AK70" s="23" t="s">
        <v>22</v>
      </c>
      <c r="AL70" s="42" t="s">
        <v>22</v>
      </c>
      <c r="AM70" s="44" t="s">
        <v>22</v>
      </c>
      <c r="AN70" s="24" t="s">
        <v>22</v>
      </c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  <c r="DF70" s="24"/>
      <c r="DG70" s="24"/>
      <c r="DH70" s="24"/>
      <c r="DI70" s="24"/>
      <c r="DJ70" s="24"/>
      <c r="DK70" s="24"/>
      <c r="DL70" s="24"/>
      <c r="DM70" s="24"/>
      <c r="DN70" s="24"/>
      <c r="DO70" s="24"/>
      <c r="DP70" s="24"/>
      <c r="DQ70" s="24"/>
      <c r="DR70" s="24"/>
      <c r="DS70" s="24"/>
      <c r="DT70" s="24"/>
      <c r="DU70" s="24"/>
      <c r="DV70" s="24"/>
      <c r="DW70" s="24"/>
      <c r="DX70" s="24"/>
      <c r="DY70" s="24"/>
      <c r="DZ70" s="24"/>
      <c r="EA70" s="24"/>
      <c r="EB70" s="24"/>
      <c r="EC70" s="24"/>
      <c r="ED70" s="24"/>
      <c r="EE70" s="24"/>
    </row>
    <row r="71" spans="2:135" x14ac:dyDescent="0.25">
      <c r="B71" s="30"/>
      <c r="C71" s="30"/>
      <c r="D71" s="53"/>
      <c r="E71" s="53"/>
      <c r="F71" s="53"/>
      <c r="G71" s="15"/>
      <c r="H71" s="15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30"/>
      <c r="X71" s="53"/>
      <c r="Y71" s="53"/>
      <c r="Z71" s="53"/>
      <c r="AA71" s="53"/>
      <c r="AB71" s="53"/>
      <c r="AC71" s="53"/>
      <c r="AD71" s="15"/>
      <c r="AE71" s="53"/>
      <c r="AF71" s="53"/>
      <c r="AG71" s="53"/>
      <c r="AH71" s="53"/>
      <c r="AI71" s="53"/>
      <c r="AJ71" s="30"/>
      <c r="AK71" s="23"/>
      <c r="AL71" s="42"/>
      <c r="AM71" s="4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  <c r="DF71" s="24"/>
      <c r="DG71" s="24"/>
      <c r="DH71" s="24"/>
      <c r="DI71" s="24"/>
      <c r="DJ71" s="24"/>
      <c r="DK71" s="24"/>
      <c r="DL71" s="24"/>
      <c r="DM71" s="24"/>
      <c r="DN71" s="24"/>
      <c r="DO71" s="24"/>
      <c r="DP71" s="24"/>
      <c r="DQ71" s="24"/>
      <c r="DR71" s="24"/>
      <c r="DS71" s="24"/>
      <c r="DT71" s="24"/>
      <c r="DU71" s="24"/>
      <c r="DV71" s="24"/>
      <c r="DW71" s="24"/>
      <c r="DX71" s="24"/>
      <c r="DY71" s="24"/>
      <c r="DZ71" s="24"/>
      <c r="EA71" s="24"/>
      <c r="EB71" s="24"/>
      <c r="EC71" s="24"/>
      <c r="ED71" s="24"/>
      <c r="EE71" s="24"/>
    </row>
    <row r="72" spans="2:135" x14ac:dyDescent="0.25">
      <c r="B72" s="30"/>
      <c r="C72" s="30"/>
      <c r="D72" s="53"/>
      <c r="E72" s="53"/>
      <c r="F72" s="53"/>
      <c r="G72" s="15"/>
      <c r="H72" s="15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30"/>
      <c r="X72" s="53"/>
      <c r="Y72" s="53"/>
      <c r="Z72" s="53"/>
      <c r="AA72" s="53"/>
      <c r="AB72" s="53"/>
      <c r="AC72" s="53"/>
      <c r="AD72" s="15"/>
      <c r="AE72" s="53"/>
      <c r="AF72" s="53"/>
      <c r="AG72" s="53"/>
      <c r="AH72" s="53"/>
      <c r="AI72" s="53"/>
      <c r="AJ72" s="30"/>
      <c r="AK72" s="23"/>
      <c r="AL72" s="42"/>
      <c r="AM72" s="4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  <c r="DF72" s="24"/>
      <c r="DG72" s="24"/>
      <c r="DH72" s="24"/>
      <c r="DI72" s="24"/>
      <c r="DJ72" s="24"/>
      <c r="DK72" s="24"/>
      <c r="DL72" s="24"/>
      <c r="DM72" s="24"/>
      <c r="DN72" s="24"/>
      <c r="DO72" s="24"/>
      <c r="DP72" s="24"/>
      <c r="DQ72" s="24"/>
      <c r="DR72" s="24"/>
      <c r="DS72" s="24"/>
      <c r="DT72" s="24"/>
      <c r="DU72" s="24"/>
      <c r="DV72" s="24"/>
      <c r="DW72" s="24"/>
      <c r="DX72" s="24"/>
      <c r="DY72" s="24"/>
      <c r="DZ72" s="24"/>
      <c r="EA72" s="24"/>
      <c r="EB72" s="24"/>
      <c r="EC72" s="24"/>
      <c r="ED72" s="24"/>
      <c r="EE72" s="24"/>
    </row>
    <row r="73" spans="2:135" x14ac:dyDescent="0.25">
      <c r="B73" s="13" t="s">
        <v>94</v>
      </c>
      <c r="C73" s="30"/>
      <c r="D73" s="53"/>
      <c r="E73" s="53"/>
      <c r="F73" s="53"/>
      <c r="G73" s="15"/>
      <c r="H73" s="15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30"/>
      <c r="X73" s="53"/>
      <c r="Y73" s="53"/>
      <c r="Z73" s="53"/>
      <c r="AA73" s="53"/>
      <c r="AB73" s="53"/>
      <c r="AC73" s="53"/>
      <c r="AD73" s="15"/>
      <c r="AE73" s="53"/>
      <c r="AF73" s="53"/>
      <c r="AG73" s="53"/>
      <c r="AH73" s="53"/>
      <c r="AI73" s="53"/>
      <c r="AJ73" s="30"/>
      <c r="AK73" s="23"/>
      <c r="AL73" s="42"/>
      <c r="AM73" s="4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  <c r="DF73" s="24"/>
      <c r="DG73" s="24"/>
      <c r="DH73" s="24"/>
      <c r="DI73" s="24"/>
      <c r="DJ73" s="24"/>
      <c r="DK73" s="24"/>
      <c r="DL73" s="24"/>
      <c r="DM73" s="24"/>
      <c r="DN73" s="24"/>
      <c r="DO73" s="24"/>
      <c r="DP73" s="24"/>
      <c r="DQ73" s="24"/>
      <c r="DR73" s="24"/>
      <c r="DS73" s="24"/>
      <c r="DT73" s="24"/>
      <c r="DU73" s="24"/>
      <c r="DV73" s="24"/>
      <c r="DW73" s="24"/>
      <c r="DX73" s="24"/>
      <c r="DY73" s="24"/>
      <c r="DZ73" s="24"/>
      <c r="EA73" s="24"/>
      <c r="EB73" s="24"/>
      <c r="EC73" s="24"/>
      <c r="ED73" s="24"/>
      <c r="EE73" s="24"/>
    </row>
    <row r="74" spans="2:135" ht="17.25" customHeight="1" x14ac:dyDescent="0.25">
      <c r="B74" s="12" t="s">
        <v>3</v>
      </c>
      <c r="C74" s="12" t="s">
        <v>4</v>
      </c>
      <c r="D74" s="11" t="s">
        <v>89</v>
      </c>
      <c r="E74" s="11" t="s">
        <v>90</v>
      </c>
      <c r="F74" s="11" t="s">
        <v>7</v>
      </c>
      <c r="G74" s="11" t="s">
        <v>8</v>
      </c>
      <c r="H74" s="10" t="s">
        <v>22</v>
      </c>
      <c r="I74" s="10"/>
      <c r="J74" s="10"/>
      <c r="K74" s="10"/>
      <c r="L74" s="11" t="s">
        <v>10</v>
      </c>
      <c r="M74" s="11" t="s">
        <v>11</v>
      </c>
      <c r="N74" s="10" t="s">
        <v>12</v>
      </c>
      <c r="O74" s="10"/>
      <c r="P74" s="10"/>
      <c r="Q74" s="10"/>
      <c r="R74" s="10"/>
      <c r="S74" s="10"/>
      <c r="T74" s="11" t="s">
        <v>13</v>
      </c>
      <c r="U74" s="11" t="s">
        <v>14</v>
      </c>
      <c r="V74" s="11"/>
      <c r="W74" s="12" t="s">
        <v>15</v>
      </c>
      <c r="X74" s="11" t="s">
        <v>16</v>
      </c>
      <c r="Y74" s="11" t="s">
        <v>17</v>
      </c>
      <c r="Z74" s="11" t="s">
        <v>18</v>
      </c>
      <c r="AA74" s="9" t="s">
        <v>19</v>
      </c>
      <c r="AB74" s="11" t="s">
        <v>20</v>
      </c>
      <c r="AC74" s="21"/>
      <c r="AD74" s="11" t="s">
        <v>21</v>
      </c>
      <c r="AE74" s="10" t="s">
        <v>35</v>
      </c>
      <c r="AF74" s="10"/>
      <c r="AG74" s="10"/>
      <c r="AH74" s="10"/>
      <c r="AI74" s="11" t="s">
        <v>23</v>
      </c>
      <c r="AJ74" s="71"/>
      <c r="AK74" s="10" t="s">
        <v>25</v>
      </c>
      <c r="AL74" s="42" t="s">
        <v>66</v>
      </c>
      <c r="AM74" s="44">
        <v>13955.75</v>
      </c>
      <c r="AN74" s="24" t="s">
        <v>83</v>
      </c>
      <c r="AO74" s="24">
        <v>13955.75</v>
      </c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  <c r="DF74" s="24"/>
      <c r="DG74" s="24"/>
      <c r="DH74" s="24"/>
      <c r="DI74" s="24"/>
      <c r="DJ74" s="24"/>
      <c r="DK74" s="24"/>
      <c r="DL74" s="24"/>
      <c r="DM74" s="24"/>
      <c r="DN74" s="24"/>
      <c r="DO74" s="24"/>
      <c r="DP74" s="24"/>
      <c r="DQ74" s="24"/>
      <c r="DR74" s="24"/>
      <c r="DS74" s="24"/>
      <c r="DT74" s="24"/>
      <c r="DU74" s="24"/>
      <c r="DV74" s="24"/>
      <c r="DW74" s="24"/>
      <c r="DX74" s="24"/>
      <c r="DY74" s="24"/>
      <c r="DZ74" s="24"/>
      <c r="EA74" s="24"/>
      <c r="EB74" s="24"/>
      <c r="EC74" s="24"/>
      <c r="ED74" s="24"/>
      <c r="EE74" s="24"/>
    </row>
    <row r="75" spans="2:135" ht="13.5" customHeight="1" x14ac:dyDescent="0.25">
      <c r="B75" s="12"/>
      <c r="C75" s="12"/>
      <c r="D75" s="11"/>
      <c r="E75" s="11"/>
      <c r="F75" s="11"/>
      <c r="G75" s="11"/>
      <c r="H75" s="10" t="s">
        <v>26</v>
      </c>
      <c r="I75" s="10" t="s">
        <v>27</v>
      </c>
      <c r="J75" s="10" t="s">
        <v>28</v>
      </c>
      <c r="K75" s="11" t="s">
        <v>29</v>
      </c>
      <c r="L75" s="11"/>
      <c r="M75" s="11"/>
      <c r="N75" s="6" t="s">
        <v>26</v>
      </c>
      <c r="O75" s="6" t="s">
        <v>27</v>
      </c>
      <c r="P75" s="6" t="s">
        <v>30</v>
      </c>
      <c r="Q75" s="5" t="s">
        <v>31</v>
      </c>
      <c r="R75" s="5" t="s">
        <v>32</v>
      </c>
      <c r="S75" s="5" t="s">
        <v>33</v>
      </c>
      <c r="T75" s="11"/>
      <c r="U75" s="11"/>
      <c r="V75" s="11"/>
      <c r="W75" s="12"/>
      <c r="X75" s="11"/>
      <c r="Y75" s="11"/>
      <c r="Z75" s="11"/>
      <c r="AA75" s="9"/>
      <c r="AB75" s="11"/>
      <c r="AC75" s="72" t="s">
        <v>91</v>
      </c>
      <c r="AD75" s="11"/>
      <c r="AE75" s="10"/>
      <c r="AF75" s="10"/>
      <c r="AG75" s="10"/>
      <c r="AH75" s="10"/>
      <c r="AI75" s="11"/>
      <c r="AJ75" s="73"/>
      <c r="AK75" s="10"/>
      <c r="AL75" s="42" t="s">
        <v>68</v>
      </c>
      <c r="AM75" s="45">
        <v>0</v>
      </c>
      <c r="AN75" s="24" t="s">
        <v>83</v>
      </c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  <c r="DF75" s="24"/>
      <c r="DG75" s="24"/>
      <c r="DH75" s="24"/>
      <c r="DI75" s="24"/>
      <c r="DJ75" s="24"/>
      <c r="DK75" s="24"/>
      <c r="DL75" s="24"/>
      <c r="DM75" s="24"/>
      <c r="DN75" s="24"/>
      <c r="DO75" s="24"/>
      <c r="DP75" s="24"/>
      <c r="DQ75" s="24"/>
      <c r="DR75" s="24"/>
      <c r="DS75" s="24"/>
      <c r="DT75" s="24"/>
      <c r="DU75" s="24"/>
      <c r="DV75" s="24"/>
      <c r="DW75" s="24"/>
      <c r="DX75" s="24"/>
      <c r="DY75" s="24"/>
      <c r="DZ75" s="24"/>
      <c r="EA75" s="24"/>
      <c r="EB75" s="24"/>
      <c r="EC75" s="24"/>
      <c r="ED75" s="24"/>
      <c r="EE75" s="24"/>
    </row>
    <row r="76" spans="2:135" ht="24.75" customHeight="1" x14ac:dyDescent="0.25">
      <c r="B76" s="12"/>
      <c r="C76" s="12"/>
      <c r="D76" s="11"/>
      <c r="E76" s="11"/>
      <c r="F76" s="11"/>
      <c r="G76" s="11"/>
      <c r="H76" s="10"/>
      <c r="I76" s="10"/>
      <c r="J76" s="10"/>
      <c r="K76" s="11"/>
      <c r="L76" s="11"/>
      <c r="M76" s="11"/>
      <c r="N76" s="6"/>
      <c r="O76" s="6"/>
      <c r="P76" s="6"/>
      <c r="Q76" s="5"/>
      <c r="R76" s="5"/>
      <c r="S76" s="5"/>
      <c r="T76" s="11"/>
      <c r="U76" s="28" t="s">
        <v>26</v>
      </c>
      <c r="V76" s="28" t="s">
        <v>27</v>
      </c>
      <c r="W76" s="12"/>
      <c r="X76" s="11"/>
      <c r="Y76" s="11"/>
      <c r="Z76" s="11"/>
      <c r="AA76" s="9"/>
      <c r="AB76" s="11"/>
      <c r="AC76" s="74"/>
      <c r="AD76" s="11"/>
      <c r="AE76" s="20" t="s">
        <v>37</v>
      </c>
      <c r="AF76" s="18" t="s">
        <v>38</v>
      </c>
      <c r="AG76" s="18" t="s">
        <v>39</v>
      </c>
      <c r="AH76" s="20" t="s">
        <v>40</v>
      </c>
      <c r="AI76" s="11"/>
      <c r="AJ76" s="46" t="s">
        <v>92</v>
      </c>
      <c r="AK76" s="10"/>
      <c r="AL76" s="42" t="s">
        <v>85</v>
      </c>
      <c r="AM76" s="47">
        <f>AM74+AM75</f>
        <v>13955.75</v>
      </c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  <c r="DF76" s="24"/>
      <c r="DG76" s="24"/>
      <c r="DH76" s="24"/>
      <c r="DI76" s="24"/>
      <c r="DJ76" s="24"/>
      <c r="DK76" s="24"/>
      <c r="DL76" s="24"/>
      <c r="DM76" s="24"/>
      <c r="DN76" s="24"/>
      <c r="DO76" s="24"/>
      <c r="DP76" s="24"/>
      <c r="DQ76" s="24"/>
      <c r="DR76" s="24"/>
      <c r="DS76" s="24"/>
      <c r="DT76" s="24"/>
      <c r="DU76" s="24"/>
      <c r="DV76" s="24"/>
      <c r="DW76" s="24"/>
      <c r="DX76" s="24"/>
      <c r="DY76" s="24"/>
      <c r="DZ76" s="24"/>
      <c r="EA76" s="24"/>
      <c r="EB76" s="24"/>
      <c r="EC76" s="24"/>
      <c r="ED76" s="24"/>
      <c r="EE76" s="24"/>
    </row>
    <row r="77" spans="2:135" x14ac:dyDescent="0.25">
      <c r="B77" s="63">
        <f>7500+7500</f>
        <v>15000</v>
      </c>
      <c r="C77" s="28">
        <f>7500-44.33</f>
        <v>7455.67</v>
      </c>
      <c r="D77" s="28">
        <v>172.51</v>
      </c>
      <c r="E77" s="28"/>
      <c r="F77" s="34"/>
      <c r="G77" s="33">
        <f>D77+C77+E77+F77</f>
        <v>7628.18</v>
      </c>
      <c r="H77" s="33">
        <v>0</v>
      </c>
      <c r="I77" s="33">
        <v>0</v>
      </c>
      <c r="J77" s="33">
        <v>0</v>
      </c>
      <c r="K77" s="33">
        <v>0</v>
      </c>
      <c r="L77" s="75">
        <v>1568.93</v>
      </c>
      <c r="M77" s="75">
        <v>0</v>
      </c>
      <c r="N77" s="33">
        <v>0</v>
      </c>
      <c r="O77" s="33">
        <v>0</v>
      </c>
      <c r="P77" s="33">
        <v>0</v>
      </c>
      <c r="Q77" s="33">
        <v>0</v>
      </c>
      <c r="R77" s="75">
        <v>0</v>
      </c>
      <c r="S77" s="75">
        <f>Q77+R77</f>
        <v>0</v>
      </c>
      <c r="T77" s="75">
        <v>0</v>
      </c>
      <c r="U77" s="76">
        <v>0</v>
      </c>
      <c r="V77" s="76">
        <f>U77</f>
        <v>0</v>
      </c>
      <c r="W77" s="77">
        <v>0</v>
      </c>
      <c r="X77" s="77">
        <v>0</v>
      </c>
      <c r="Y77" s="77">
        <v>0</v>
      </c>
      <c r="Z77" s="37">
        <v>0</v>
      </c>
      <c r="AA77" s="33">
        <v>23.96</v>
      </c>
      <c r="AB77" s="33"/>
      <c r="AC77" s="33"/>
      <c r="AD77" s="33">
        <f>G77-L77-M77-W77-X77-Y77-Z77-AA77</f>
        <v>6035.29</v>
      </c>
      <c r="AE77" s="34">
        <v>0</v>
      </c>
      <c r="AF77" s="34">
        <v>0</v>
      </c>
      <c r="AG77" s="34">
        <v>0</v>
      </c>
      <c r="AH77" s="34">
        <v>0</v>
      </c>
      <c r="AI77" s="34">
        <v>0</v>
      </c>
      <c r="AJ77" s="34">
        <v>0</v>
      </c>
      <c r="AK77" s="63">
        <f>AD77+AE77+AF77+AG77+AH77+AI77</f>
        <v>6035.29</v>
      </c>
      <c r="AL77" s="42"/>
      <c r="AM77" s="44"/>
      <c r="AN77" s="24"/>
      <c r="AO77" s="24">
        <f>G77-L77-AA77</f>
        <v>6035.29</v>
      </c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  <c r="DF77" s="24"/>
      <c r="DG77" s="24"/>
      <c r="DH77" s="24"/>
      <c r="DI77" s="24"/>
      <c r="DJ77" s="24"/>
      <c r="DK77" s="24"/>
      <c r="DL77" s="24"/>
      <c r="DM77" s="24"/>
      <c r="DN77" s="24"/>
      <c r="DO77" s="24"/>
      <c r="DP77" s="24"/>
      <c r="DQ77" s="24"/>
      <c r="DR77" s="24"/>
      <c r="DS77" s="24"/>
      <c r="DT77" s="24"/>
      <c r="DU77" s="24"/>
      <c r="DV77" s="24"/>
      <c r="DW77" s="24"/>
      <c r="DX77" s="24"/>
      <c r="DY77" s="24"/>
      <c r="DZ77" s="24"/>
      <c r="EA77" s="24"/>
      <c r="EB77" s="24"/>
      <c r="EC77" s="24"/>
      <c r="ED77" s="24"/>
      <c r="EE77" s="24"/>
    </row>
    <row r="78" spans="2:135" x14ac:dyDescent="0.25">
      <c r="B78" s="63">
        <f>8000+8000</f>
        <v>16000</v>
      </c>
      <c r="C78" s="28">
        <f>8000</f>
        <v>8000</v>
      </c>
      <c r="D78" s="28">
        <v>184.03</v>
      </c>
      <c r="E78" s="28"/>
      <c r="F78" s="34">
        <v>287.55</v>
      </c>
      <c r="G78" s="33">
        <f>D78+C78+E78+F78</f>
        <v>8471.58</v>
      </c>
      <c r="H78" s="33">
        <v>0</v>
      </c>
      <c r="I78" s="33">
        <v>0</v>
      </c>
      <c r="J78" s="33">
        <v>0</v>
      </c>
      <c r="K78" s="33">
        <v>0</v>
      </c>
      <c r="L78" s="33">
        <v>0</v>
      </c>
      <c r="M78" s="75">
        <v>0</v>
      </c>
      <c r="N78" s="33">
        <v>0</v>
      </c>
      <c r="O78" s="33">
        <v>0</v>
      </c>
      <c r="P78" s="33">
        <v>0</v>
      </c>
      <c r="Q78" s="75">
        <v>0</v>
      </c>
      <c r="R78" s="75">
        <v>0</v>
      </c>
      <c r="S78" s="75">
        <f>Q78+R78</f>
        <v>0</v>
      </c>
      <c r="T78" s="75">
        <v>0</v>
      </c>
      <c r="U78" s="75">
        <v>0</v>
      </c>
      <c r="V78" s="75">
        <v>0</v>
      </c>
      <c r="W78" s="79">
        <v>0</v>
      </c>
      <c r="X78" s="77">
        <v>0</v>
      </c>
      <c r="Y78" s="77">
        <v>500</v>
      </c>
      <c r="Z78" s="37">
        <v>0</v>
      </c>
      <c r="AA78" s="34">
        <v>51.12</v>
      </c>
      <c r="AB78" s="33"/>
      <c r="AC78" s="33"/>
      <c r="AD78" s="33">
        <f>G78-L78-M78-W78-X78-Y78-Z78-AA78</f>
        <v>7920.46</v>
      </c>
      <c r="AE78" s="34">
        <v>0</v>
      </c>
      <c r="AF78" s="34">
        <v>0</v>
      </c>
      <c r="AG78" s="34">
        <v>0</v>
      </c>
      <c r="AH78" s="34">
        <v>0</v>
      </c>
      <c r="AI78" s="34">
        <v>0</v>
      </c>
      <c r="AJ78" s="34" t="s">
        <v>22</v>
      </c>
      <c r="AK78" s="63">
        <f>AD78+AE78+AF78+AG78+AH78+AI78</f>
        <v>7920.46</v>
      </c>
      <c r="AL78" s="42" t="s">
        <v>75</v>
      </c>
      <c r="AM78" s="44">
        <v>0</v>
      </c>
      <c r="AN78" s="24" t="s">
        <v>83</v>
      </c>
      <c r="AO78" s="24">
        <f>G78-Y78-AA78</f>
        <v>7920.46</v>
      </c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  <c r="DF78" s="24"/>
      <c r="DG78" s="24"/>
      <c r="DH78" s="24"/>
      <c r="DI78" s="24"/>
      <c r="DJ78" s="24"/>
      <c r="DK78" s="24"/>
      <c r="DL78" s="24"/>
      <c r="DM78" s="24"/>
      <c r="DN78" s="24"/>
      <c r="DO78" s="24"/>
      <c r="DP78" s="24"/>
      <c r="DQ78" s="24"/>
      <c r="DR78" s="24"/>
      <c r="DS78" s="24"/>
      <c r="DT78" s="24"/>
      <c r="DU78" s="24"/>
      <c r="DV78" s="24"/>
      <c r="DW78" s="24"/>
      <c r="DX78" s="24"/>
      <c r="DY78" s="24"/>
      <c r="DZ78" s="24"/>
      <c r="EA78" s="24"/>
      <c r="EB78" s="24"/>
      <c r="EC78" s="24"/>
      <c r="ED78" s="24"/>
      <c r="EE78" s="24"/>
    </row>
    <row r="79" spans="2:135" x14ac:dyDescent="0.25">
      <c r="B79" s="70" t="s">
        <v>86</v>
      </c>
      <c r="C79" s="78">
        <f>SUM(C77:C78)</f>
        <v>15455.67</v>
      </c>
      <c r="D79" s="78">
        <f>SUM(D78:D78)</f>
        <v>184.03</v>
      </c>
      <c r="E79" s="78">
        <f>SUM(E78:E78)</f>
        <v>0</v>
      </c>
      <c r="F79" s="78">
        <f>SUM(F78:F78)</f>
        <v>287.55</v>
      </c>
      <c r="G79" s="78">
        <f t="shared" ref="G79:AK79" si="29">SUM(G77:G78)</f>
        <v>16099.76</v>
      </c>
      <c r="H79" s="78">
        <f t="shared" si="29"/>
        <v>0</v>
      </c>
      <c r="I79" s="78">
        <f t="shared" si="29"/>
        <v>0</v>
      </c>
      <c r="J79" s="78">
        <f t="shared" si="29"/>
        <v>0</v>
      </c>
      <c r="K79" s="78">
        <f t="shared" si="29"/>
        <v>0</v>
      </c>
      <c r="L79" s="78">
        <f t="shared" si="29"/>
        <v>1568.93</v>
      </c>
      <c r="M79" s="78">
        <f t="shared" si="29"/>
        <v>0</v>
      </c>
      <c r="N79" s="78">
        <f t="shared" si="29"/>
        <v>0</v>
      </c>
      <c r="O79" s="78">
        <f t="shared" si="29"/>
        <v>0</v>
      </c>
      <c r="P79" s="78">
        <f t="shared" si="29"/>
        <v>0</v>
      </c>
      <c r="Q79" s="78">
        <f t="shared" si="29"/>
        <v>0</v>
      </c>
      <c r="R79" s="78">
        <f t="shared" si="29"/>
        <v>0</v>
      </c>
      <c r="S79" s="78">
        <f t="shared" si="29"/>
        <v>0</v>
      </c>
      <c r="T79" s="78">
        <f t="shared" si="29"/>
        <v>0</v>
      </c>
      <c r="U79" s="78">
        <f t="shared" si="29"/>
        <v>0</v>
      </c>
      <c r="V79" s="78">
        <f t="shared" si="29"/>
        <v>0</v>
      </c>
      <c r="W79" s="78">
        <f t="shared" si="29"/>
        <v>0</v>
      </c>
      <c r="X79" s="78">
        <f t="shared" si="29"/>
        <v>0</v>
      </c>
      <c r="Y79" s="78">
        <f t="shared" si="29"/>
        <v>500</v>
      </c>
      <c r="Z79" s="78">
        <f t="shared" si="29"/>
        <v>0</v>
      </c>
      <c r="AA79" s="78">
        <f t="shared" si="29"/>
        <v>75.08</v>
      </c>
      <c r="AB79" s="78">
        <f t="shared" si="29"/>
        <v>0</v>
      </c>
      <c r="AC79" s="78">
        <f t="shared" si="29"/>
        <v>0</v>
      </c>
      <c r="AD79" s="78">
        <f t="shared" si="29"/>
        <v>13955.75</v>
      </c>
      <c r="AE79" s="78">
        <f t="shared" si="29"/>
        <v>0</v>
      </c>
      <c r="AF79" s="78">
        <f t="shared" si="29"/>
        <v>0</v>
      </c>
      <c r="AG79" s="78">
        <f t="shared" si="29"/>
        <v>0</v>
      </c>
      <c r="AH79" s="78">
        <f t="shared" si="29"/>
        <v>0</v>
      </c>
      <c r="AI79" s="78">
        <f t="shared" si="29"/>
        <v>0</v>
      </c>
      <c r="AJ79" s="78">
        <f t="shared" si="29"/>
        <v>0</v>
      </c>
      <c r="AK79" s="78">
        <f t="shared" si="29"/>
        <v>13955.75</v>
      </c>
      <c r="AL79" s="42" t="s">
        <v>72</v>
      </c>
      <c r="AM79" s="14">
        <f>AM78</f>
        <v>0</v>
      </c>
      <c r="AN79" s="24" t="s">
        <v>22</v>
      </c>
      <c r="AO79" s="24">
        <f>AO77+AO78</f>
        <v>13955.75</v>
      </c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  <c r="DF79" s="24"/>
      <c r="DG79" s="24"/>
      <c r="DH79" s="24"/>
      <c r="DI79" s="24"/>
      <c r="DJ79" s="24"/>
      <c r="DK79" s="24"/>
      <c r="DL79" s="24"/>
      <c r="DM79" s="24"/>
      <c r="DN79" s="24"/>
      <c r="DO79" s="24"/>
      <c r="DP79" s="24"/>
      <c r="DQ79" s="24"/>
      <c r="DR79" s="24"/>
      <c r="DS79" s="24"/>
      <c r="DT79" s="24"/>
      <c r="DU79" s="24"/>
      <c r="DV79" s="24"/>
      <c r="DW79" s="24"/>
      <c r="DX79" s="24"/>
      <c r="DY79" s="24"/>
      <c r="DZ79" s="24"/>
      <c r="EA79" s="24"/>
      <c r="EB79" s="24"/>
      <c r="EC79" s="24"/>
      <c r="ED79" s="24"/>
      <c r="EE79" s="24"/>
    </row>
    <row r="80" spans="2:135" x14ac:dyDescent="0.25">
      <c r="B80" s="30"/>
      <c r="C80" s="30" t="s">
        <v>22</v>
      </c>
      <c r="D80" s="53"/>
      <c r="E80" s="53"/>
      <c r="F80" s="53"/>
      <c r="G80" s="15">
        <f>16099.76</f>
        <v>16099.76</v>
      </c>
      <c r="H80" s="15"/>
      <c r="I80" s="53"/>
      <c r="J80" s="53" t="s">
        <v>93</v>
      </c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30"/>
      <c r="X80" s="53"/>
      <c r="Y80" s="53"/>
      <c r="Z80" s="53"/>
      <c r="AA80" s="53"/>
      <c r="AB80" s="53"/>
      <c r="AC80" s="53"/>
      <c r="AD80" s="53">
        <f>13955.75</f>
        <v>13955.75</v>
      </c>
      <c r="AE80" s="53"/>
      <c r="AF80" s="53"/>
      <c r="AG80" s="53"/>
      <c r="AH80" s="53"/>
      <c r="AI80" s="53"/>
      <c r="AJ80" s="30"/>
      <c r="AK80" s="23">
        <f>13955.75</f>
        <v>13955.75</v>
      </c>
      <c r="AL80" s="42" t="s">
        <v>72</v>
      </c>
      <c r="AM80" s="80">
        <f>AM79+AM76</f>
        <v>13955.75</v>
      </c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  <c r="DF80" s="24"/>
      <c r="DG80" s="24"/>
      <c r="DH80" s="24"/>
      <c r="DI80" s="24"/>
      <c r="DJ80" s="24"/>
      <c r="DK80" s="24"/>
      <c r="DL80" s="24"/>
      <c r="DM80" s="24"/>
      <c r="DN80" s="24"/>
      <c r="DO80" s="24"/>
      <c r="DP80" s="24"/>
      <c r="DQ80" s="24"/>
      <c r="DR80" s="24"/>
      <c r="DS80" s="24"/>
      <c r="DT80" s="24"/>
      <c r="DU80" s="24"/>
      <c r="DV80" s="24"/>
      <c r="DW80" s="24"/>
      <c r="DX80" s="24"/>
      <c r="DY80" s="24"/>
      <c r="DZ80" s="24"/>
      <c r="EA80" s="24"/>
      <c r="EB80" s="24"/>
      <c r="EC80" s="24"/>
      <c r="ED80" s="24"/>
      <c r="EE80" s="24"/>
    </row>
    <row r="81" spans="2:135" x14ac:dyDescent="0.25">
      <c r="B81" s="30"/>
      <c r="C81" s="30"/>
      <c r="D81" s="53"/>
      <c r="E81" s="53"/>
      <c r="F81" s="53"/>
      <c r="G81" s="15"/>
      <c r="H81" s="15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30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30"/>
      <c r="AK81" s="23"/>
      <c r="AL81" s="42"/>
      <c r="AM81" s="80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  <c r="DF81" s="24"/>
      <c r="DG81" s="24"/>
      <c r="DH81" s="24"/>
      <c r="DI81" s="24"/>
      <c r="DJ81" s="24"/>
      <c r="DK81" s="24"/>
      <c r="DL81" s="24"/>
      <c r="DM81" s="24"/>
      <c r="DN81" s="24"/>
      <c r="DO81" s="24"/>
      <c r="DP81" s="24"/>
      <c r="DQ81" s="24"/>
      <c r="DR81" s="24"/>
      <c r="DS81" s="24"/>
      <c r="DT81" s="24"/>
      <c r="DU81" s="24"/>
      <c r="DV81" s="24"/>
      <c r="DW81" s="24"/>
      <c r="DX81" s="24"/>
      <c r="DY81" s="24"/>
      <c r="DZ81" s="24"/>
      <c r="EA81" s="24"/>
      <c r="EB81" s="24"/>
      <c r="EC81" s="24"/>
      <c r="ED81" s="24"/>
      <c r="EE81" s="24"/>
    </row>
    <row r="82" spans="2:135" x14ac:dyDescent="0.25">
      <c r="B82" s="30"/>
      <c r="C82" s="30"/>
      <c r="D82" s="53"/>
      <c r="E82" s="53"/>
      <c r="F82" s="53"/>
      <c r="G82" s="15"/>
      <c r="H82" s="15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30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30"/>
      <c r="AK82" s="23"/>
      <c r="AL82" s="42"/>
      <c r="AM82" s="80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  <c r="DF82" s="24"/>
      <c r="DG82" s="24"/>
      <c r="DH82" s="24"/>
      <c r="DI82" s="24"/>
      <c r="DJ82" s="24"/>
      <c r="DK82" s="24"/>
      <c r="DL82" s="24"/>
      <c r="DM82" s="24"/>
      <c r="DN82" s="24"/>
      <c r="DO82" s="24"/>
      <c r="DP82" s="24"/>
      <c r="DQ82" s="24"/>
      <c r="DR82" s="24"/>
      <c r="DS82" s="24"/>
      <c r="DT82" s="24"/>
      <c r="DU82" s="24"/>
      <c r="DV82" s="24"/>
      <c r="DW82" s="24"/>
      <c r="DX82" s="24"/>
      <c r="DY82" s="24"/>
      <c r="DZ82" s="24"/>
      <c r="EA82" s="24"/>
      <c r="EB82" s="24"/>
      <c r="EC82" s="24"/>
      <c r="ED82" s="24"/>
      <c r="EE82" s="24"/>
    </row>
    <row r="83" spans="2:135" x14ac:dyDescent="0.25">
      <c r="B83" s="13" t="s">
        <v>95</v>
      </c>
      <c r="C83" s="30"/>
      <c r="D83" s="53"/>
      <c r="E83" s="53"/>
      <c r="F83" s="53"/>
      <c r="G83" s="15"/>
      <c r="H83" s="15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30"/>
      <c r="X83" s="53"/>
      <c r="Y83" s="53"/>
      <c r="Z83" s="53"/>
      <c r="AA83" s="53"/>
      <c r="AB83" s="53"/>
      <c r="AC83" s="53"/>
      <c r="AD83" s="53" t="s">
        <v>22</v>
      </c>
      <c r="AE83" s="53"/>
      <c r="AF83" s="53" t="s">
        <v>22</v>
      </c>
      <c r="AG83" s="53" t="s">
        <v>22</v>
      </c>
      <c r="AH83" s="53" t="s">
        <v>22</v>
      </c>
      <c r="AI83" s="53"/>
      <c r="AJ83" s="30"/>
      <c r="AK83" s="23"/>
      <c r="AL83" s="24"/>
      <c r="AM83" s="23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  <c r="DF83" s="24"/>
      <c r="DG83" s="24"/>
      <c r="DH83" s="24"/>
      <c r="DI83" s="24"/>
      <c r="DJ83" s="24"/>
      <c r="DK83" s="24"/>
      <c r="DL83" s="24"/>
      <c r="DM83" s="24"/>
      <c r="DN83" s="24"/>
      <c r="DO83" s="24"/>
      <c r="DP83" s="24"/>
      <c r="DQ83" s="24"/>
      <c r="DR83" s="24"/>
      <c r="DS83" s="24"/>
      <c r="DT83" s="24"/>
      <c r="DU83" s="24"/>
      <c r="DV83" s="24"/>
      <c r="DW83" s="24"/>
      <c r="DX83" s="24"/>
      <c r="DY83" s="24"/>
      <c r="DZ83" s="24"/>
      <c r="EA83" s="24"/>
      <c r="EB83" s="24"/>
      <c r="EC83" s="24"/>
      <c r="ED83" s="24"/>
      <c r="EE83" s="24"/>
    </row>
    <row r="84" spans="2:135" ht="12.75" customHeight="1" x14ac:dyDescent="0.25">
      <c r="B84" s="12" t="s">
        <v>3</v>
      </c>
      <c r="C84" s="12" t="s">
        <v>4</v>
      </c>
      <c r="D84" s="11" t="s">
        <v>89</v>
      </c>
      <c r="E84" s="11" t="s">
        <v>6</v>
      </c>
      <c r="F84" s="11" t="s">
        <v>7</v>
      </c>
      <c r="G84" s="11" t="s">
        <v>8</v>
      </c>
      <c r="H84" s="10" t="s">
        <v>9</v>
      </c>
      <c r="I84" s="10"/>
      <c r="J84" s="10"/>
      <c r="K84" s="10"/>
      <c r="L84" s="11" t="s">
        <v>10</v>
      </c>
      <c r="M84" s="11" t="s">
        <v>11</v>
      </c>
      <c r="N84" s="10" t="s">
        <v>12</v>
      </c>
      <c r="O84" s="10"/>
      <c r="P84" s="10"/>
      <c r="Q84" s="10"/>
      <c r="R84" s="10"/>
      <c r="S84" s="10"/>
      <c r="T84" s="11" t="s">
        <v>13</v>
      </c>
      <c r="U84" s="10" t="s">
        <v>14</v>
      </c>
      <c r="V84" s="10"/>
      <c r="W84" s="12" t="s">
        <v>15</v>
      </c>
      <c r="X84" s="11" t="s">
        <v>16</v>
      </c>
      <c r="Y84" s="11" t="s">
        <v>17</v>
      </c>
      <c r="Z84" s="11" t="s">
        <v>18</v>
      </c>
      <c r="AA84" s="9" t="s">
        <v>19</v>
      </c>
      <c r="AB84" s="11" t="s">
        <v>20</v>
      </c>
      <c r="AC84" s="21"/>
      <c r="AD84" s="11" t="s">
        <v>21</v>
      </c>
      <c r="AE84" s="3" t="s">
        <v>35</v>
      </c>
      <c r="AF84" s="3"/>
      <c r="AG84" s="3"/>
      <c r="AH84" s="3"/>
      <c r="AI84" s="81" t="s">
        <v>96</v>
      </c>
      <c r="AJ84" s="82"/>
      <c r="AK84" s="22" t="s">
        <v>25</v>
      </c>
      <c r="AL84" s="42"/>
      <c r="AM84" s="4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  <c r="DF84" s="24"/>
      <c r="DG84" s="24"/>
      <c r="DH84" s="24"/>
      <c r="DI84" s="24"/>
      <c r="DJ84" s="24"/>
      <c r="DK84" s="24"/>
      <c r="DL84" s="24"/>
      <c r="DM84" s="24"/>
      <c r="DN84" s="24"/>
      <c r="DO84" s="24"/>
      <c r="DP84" s="24"/>
      <c r="DQ84" s="24"/>
      <c r="DR84" s="24"/>
      <c r="DS84" s="24"/>
      <c r="DT84" s="24"/>
      <c r="DU84" s="24"/>
      <c r="DV84" s="24"/>
      <c r="DW84" s="24"/>
      <c r="DX84" s="24"/>
      <c r="DY84" s="24"/>
      <c r="DZ84" s="24"/>
      <c r="EA84" s="24"/>
      <c r="EB84" s="24"/>
      <c r="EC84" s="24"/>
      <c r="ED84" s="24"/>
      <c r="EE84" s="24"/>
    </row>
    <row r="85" spans="2:135" ht="12.75" customHeight="1" x14ac:dyDescent="0.25">
      <c r="B85" s="12"/>
      <c r="C85" s="12"/>
      <c r="D85" s="11"/>
      <c r="E85" s="11"/>
      <c r="F85" s="11"/>
      <c r="G85" s="11"/>
      <c r="H85" s="10" t="s">
        <v>26</v>
      </c>
      <c r="I85" s="10" t="s">
        <v>27</v>
      </c>
      <c r="J85" s="10" t="s">
        <v>28</v>
      </c>
      <c r="K85" s="11" t="s">
        <v>29</v>
      </c>
      <c r="L85" s="11"/>
      <c r="M85" s="11"/>
      <c r="N85" s="6" t="s">
        <v>26</v>
      </c>
      <c r="O85" s="6" t="s">
        <v>27</v>
      </c>
      <c r="P85" s="6" t="s">
        <v>30</v>
      </c>
      <c r="Q85" s="5" t="s">
        <v>31</v>
      </c>
      <c r="R85" s="5" t="s">
        <v>32</v>
      </c>
      <c r="S85" s="5" t="s">
        <v>33</v>
      </c>
      <c r="T85" s="11"/>
      <c r="U85" s="10" t="s">
        <v>26</v>
      </c>
      <c r="V85" s="10" t="s">
        <v>27</v>
      </c>
      <c r="W85" s="12"/>
      <c r="X85" s="11"/>
      <c r="Y85" s="11"/>
      <c r="Z85" s="11"/>
      <c r="AA85" s="9"/>
      <c r="AB85" s="11"/>
      <c r="AC85" s="72" t="s">
        <v>91</v>
      </c>
      <c r="AD85" s="11"/>
      <c r="AE85" s="3"/>
      <c r="AF85" s="3"/>
      <c r="AG85" s="3"/>
      <c r="AH85" s="3"/>
      <c r="AI85" s="26"/>
      <c r="AJ85" s="83"/>
      <c r="AK85" s="84"/>
      <c r="AL85" s="42" t="s">
        <v>66</v>
      </c>
      <c r="AM85" s="44">
        <v>13269.69</v>
      </c>
      <c r="AN85" s="24" t="s">
        <v>83</v>
      </c>
      <c r="AO85" s="24">
        <v>13269.69</v>
      </c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  <c r="DF85" s="24"/>
      <c r="DG85" s="24"/>
      <c r="DH85" s="24"/>
      <c r="DI85" s="24"/>
      <c r="DJ85" s="24"/>
      <c r="DK85" s="24"/>
      <c r="DL85" s="24"/>
      <c r="DM85" s="24"/>
      <c r="DN85" s="24"/>
      <c r="DO85" s="24"/>
      <c r="DP85" s="24"/>
      <c r="DQ85" s="24"/>
      <c r="DR85" s="24"/>
      <c r="DS85" s="24"/>
      <c r="DT85" s="24"/>
      <c r="DU85" s="24"/>
      <c r="DV85" s="24"/>
      <c r="DW85" s="24"/>
      <c r="DX85" s="24"/>
      <c r="DY85" s="24"/>
      <c r="DZ85" s="24"/>
      <c r="EA85" s="24"/>
      <c r="EB85" s="24"/>
      <c r="EC85" s="24"/>
      <c r="ED85" s="24"/>
      <c r="EE85" s="24"/>
    </row>
    <row r="86" spans="2:135" ht="24.75" customHeight="1" x14ac:dyDescent="0.25">
      <c r="B86" s="12"/>
      <c r="C86" s="12"/>
      <c r="D86" s="11"/>
      <c r="E86" s="11"/>
      <c r="F86" s="11"/>
      <c r="G86" s="11"/>
      <c r="H86" s="10"/>
      <c r="I86" s="10"/>
      <c r="J86" s="10"/>
      <c r="K86" s="11"/>
      <c r="L86" s="11"/>
      <c r="M86" s="11"/>
      <c r="N86" s="6"/>
      <c r="O86" s="6"/>
      <c r="P86" s="6"/>
      <c r="Q86" s="5"/>
      <c r="R86" s="5"/>
      <c r="S86" s="5"/>
      <c r="T86" s="11"/>
      <c r="U86" s="10"/>
      <c r="V86" s="10"/>
      <c r="W86" s="12"/>
      <c r="X86" s="11"/>
      <c r="Y86" s="11"/>
      <c r="Z86" s="11"/>
      <c r="AA86" s="9"/>
      <c r="AB86" s="11"/>
      <c r="AC86" s="74"/>
      <c r="AD86" s="11"/>
      <c r="AE86" s="20" t="s">
        <v>37</v>
      </c>
      <c r="AF86" s="18" t="s">
        <v>38</v>
      </c>
      <c r="AG86" s="18" t="s">
        <v>97</v>
      </c>
      <c r="AH86" s="20" t="s">
        <v>40</v>
      </c>
      <c r="AI86" s="29"/>
      <c r="AJ86" s="85" t="s">
        <v>92</v>
      </c>
      <c r="AK86" s="27"/>
      <c r="AL86" s="42" t="s">
        <v>68</v>
      </c>
      <c r="AM86" s="45">
        <v>0</v>
      </c>
      <c r="AN86" s="24" t="s">
        <v>83</v>
      </c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  <c r="DF86" s="24"/>
      <c r="DG86" s="24"/>
      <c r="DH86" s="24"/>
      <c r="DI86" s="24"/>
      <c r="DJ86" s="24"/>
      <c r="DK86" s="24"/>
      <c r="DL86" s="24"/>
      <c r="DM86" s="24"/>
      <c r="DN86" s="24"/>
      <c r="DO86" s="24"/>
      <c r="DP86" s="24"/>
      <c r="DQ86" s="24"/>
      <c r="DR86" s="24"/>
      <c r="DS86" s="24"/>
      <c r="DT86" s="24"/>
      <c r="DU86" s="24"/>
      <c r="DV86" s="24"/>
      <c r="DW86" s="24"/>
      <c r="DX86" s="24"/>
      <c r="DY86" s="24"/>
      <c r="DZ86" s="24"/>
      <c r="EA86" s="24"/>
      <c r="EB86" s="24"/>
      <c r="EC86" s="24"/>
      <c r="ED86" s="24"/>
      <c r="EE86" s="24"/>
    </row>
    <row r="87" spans="2:135" x14ac:dyDescent="0.25">
      <c r="B87" s="63">
        <f>7270+7270</f>
        <v>14540</v>
      </c>
      <c r="C87" s="28">
        <f>7270-1114.88</f>
        <v>6155.12</v>
      </c>
      <c r="D87" s="28"/>
      <c r="E87" s="34">
        <v>0</v>
      </c>
      <c r="F87" s="34">
        <v>0</v>
      </c>
      <c r="G87" s="75">
        <f>C87+D87+E87+F87</f>
        <v>6155.12</v>
      </c>
      <c r="H87" s="86">
        <v>652.5</v>
      </c>
      <c r="I87" s="87">
        <v>1377.5</v>
      </c>
      <c r="J87" s="86">
        <f>H87+I87</f>
        <v>2030</v>
      </c>
      <c r="K87" s="86">
        <v>10</v>
      </c>
      <c r="L87" s="86">
        <v>0</v>
      </c>
      <c r="M87" s="86">
        <v>0</v>
      </c>
      <c r="N87" s="65">
        <f>B87*5%/2</f>
        <v>363.5</v>
      </c>
      <c r="O87" s="86">
        <f>N87</f>
        <v>363.5</v>
      </c>
      <c r="P87" s="66">
        <f>N87+O87</f>
        <v>727</v>
      </c>
      <c r="Q87" s="87">
        <v>0</v>
      </c>
      <c r="R87" s="87">
        <v>0</v>
      </c>
      <c r="S87" s="87">
        <f>Q87+R87</f>
        <v>0</v>
      </c>
      <c r="T87" s="87">
        <v>0</v>
      </c>
      <c r="U87" s="87">
        <v>200</v>
      </c>
      <c r="V87" s="87">
        <f>U87</f>
        <v>200</v>
      </c>
      <c r="W87" s="28">
        <v>0</v>
      </c>
      <c r="X87" s="76">
        <v>0</v>
      </c>
      <c r="Y87" s="34">
        <v>0</v>
      </c>
      <c r="Z87" s="34">
        <v>0</v>
      </c>
      <c r="AA87" s="34">
        <v>46.45</v>
      </c>
      <c r="AB87" s="33"/>
      <c r="AC87" s="33"/>
      <c r="AD87" s="33">
        <f>G87-L87-M87-W87-X87-Y87-Z87-AA87</f>
        <v>6108.67</v>
      </c>
      <c r="AE87" s="34">
        <v>0</v>
      </c>
      <c r="AF87" s="34">
        <v>0</v>
      </c>
      <c r="AG87" s="34">
        <v>0</v>
      </c>
      <c r="AH87" s="34">
        <v>0</v>
      </c>
      <c r="AI87" s="34">
        <f>AE87+AF87+AG87</f>
        <v>0</v>
      </c>
      <c r="AJ87" s="34">
        <f>AF87+AG87+AH87</f>
        <v>0</v>
      </c>
      <c r="AK87" s="63">
        <f>AD87+AE87+AF87+AG87+AH87+AI87</f>
        <v>6108.67</v>
      </c>
      <c r="AL87" s="42" t="s">
        <v>85</v>
      </c>
      <c r="AM87" s="47">
        <f>AM85+AM86</f>
        <v>13269.69</v>
      </c>
      <c r="AN87" s="24"/>
      <c r="AO87" s="24">
        <f>G87-AA87</f>
        <v>6108.67</v>
      </c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  <c r="DF87" s="24"/>
      <c r="DG87" s="24"/>
      <c r="DH87" s="24"/>
      <c r="DI87" s="24"/>
      <c r="DJ87" s="24"/>
      <c r="DK87" s="24"/>
      <c r="DL87" s="24"/>
      <c r="DM87" s="24"/>
      <c r="DN87" s="24"/>
      <c r="DO87" s="24"/>
      <c r="DP87" s="24"/>
      <c r="DQ87" s="24"/>
      <c r="DR87" s="24"/>
      <c r="DS87" s="24"/>
      <c r="DT87" s="24"/>
      <c r="DU87" s="24"/>
      <c r="DV87" s="24"/>
      <c r="DW87" s="24"/>
      <c r="DX87" s="24"/>
      <c r="DY87" s="24"/>
      <c r="DZ87" s="24"/>
      <c r="EA87" s="24"/>
      <c r="EB87" s="24"/>
      <c r="EC87" s="24"/>
      <c r="ED87" s="24"/>
      <c r="EE87" s="24"/>
    </row>
    <row r="88" spans="2:135" x14ac:dyDescent="0.25">
      <c r="B88" s="63">
        <f>7000+7000</f>
        <v>14000</v>
      </c>
      <c r="C88" s="28">
        <f>7000+7000-536.74</f>
        <v>13463.26</v>
      </c>
      <c r="D88" s="28">
        <f>161.02+161.02</f>
        <v>322.04000000000002</v>
      </c>
      <c r="E88" s="34">
        <v>0</v>
      </c>
      <c r="F88" s="34">
        <v>0</v>
      </c>
      <c r="G88" s="75">
        <f>C88+D88+E88+F88</f>
        <v>13785.300000000001</v>
      </c>
      <c r="H88" s="75">
        <v>630</v>
      </c>
      <c r="I88" s="76">
        <v>1330</v>
      </c>
      <c r="J88" s="75">
        <f>H88+I88</f>
        <v>1960</v>
      </c>
      <c r="K88" s="75">
        <v>10</v>
      </c>
      <c r="L88" s="75">
        <v>0</v>
      </c>
      <c r="M88" s="75">
        <v>0</v>
      </c>
      <c r="N88" s="33">
        <f>B88*5%/2</f>
        <v>350</v>
      </c>
      <c r="O88" s="75">
        <f>N88</f>
        <v>350</v>
      </c>
      <c r="P88" s="34">
        <f>N88+O88</f>
        <v>700</v>
      </c>
      <c r="Q88" s="76">
        <v>0</v>
      </c>
      <c r="R88" s="76">
        <v>0</v>
      </c>
      <c r="S88" s="76">
        <f>Q88+R88</f>
        <v>0</v>
      </c>
      <c r="T88" s="76">
        <v>0</v>
      </c>
      <c r="U88" s="76">
        <v>200</v>
      </c>
      <c r="V88" s="76">
        <f>U88</f>
        <v>200</v>
      </c>
      <c r="W88" s="28">
        <v>0</v>
      </c>
      <c r="X88" s="34">
        <v>0</v>
      </c>
      <c r="Y88" s="34">
        <v>0</v>
      </c>
      <c r="Z88" s="34">
        <v>0</v>
      </c>
      <c r="AA88" s="34">
        <v>0</v>
      </c>
      <c r="AB88" s="33"/>
      <c r="AC88" s="33"/>
      <c r="AD88" s="33">
        <f>G88-H88-L88-M88-N88-T88-U88-W88-X88-Y88-Z88-AA88-AB88-AC88</f>
        <v>12605.300000000001</v>
      </c>
      <c r="AE88" s="34">
        <v>0</v>
      </c>
      <c r="AF88" s="34">
        <v>0</v>
      </c>
      <c r="AG88" s="34">
        <v>0</v>
      </c>
      <c r="AH88" s="34">
        <v>0</v>
      </c>
      <c r="AI88" s="34">
        <f>AE88+AF88+AG88</f>
        <v>0</v>
      </c>
      <c r="AJ88" s="34">
        <f>AF88+AG88+AH88</f>
        <v>0</v>
      </c>
      <c r="AK88" s="63">
        <f>AD88+AE88+AF88+AG88+AH88+AI88</f>
        <v>12605.300000000001</v>
      </c>
      <c r="AL88" s="42" t="s">
        <v>75</v>
      </c>
      <c r="AM88" s="44">
        <v>5444.28</v>
      </c>
      <c r="AN88" s="24" t="s">
        <v>98</v>
      </c>
      <c r="AO88" s="24">
        <f>G88-H88-N88-U88</f>
        <v>12605.300000000001</v>
      </c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  <c r="DF88" s="24"/>
      <c r="DG88" s="24"/>
      <c r="DH88" s="24"/>
      <c r="DI88" s="24"/>
      <c r="DJ88" s="24"/>
      <c r="DK88" s="24"/>
      <c r="DL88" s="24"/>
      <c r="DM88" s="24"/>
      <c r="DN88" s="24"/>
      <c r="DO88" s="24"/>
      <c r="DP88" s="24"/>
      <c r="DQ88" s="24"/>
      <c r="DR88" s="24"/>
      <c r="DS88" s="24"/>
      <c r="DT88" s="24"/>
      <c r="DU88" s="24"/>
      <c r="DV88" s="24"/>
      <c r="DW88" s="24"/>
      <c r="DX88" s="24"/>
      <c r="DY88" s="24"/>
      <c r="DZ88" s="24"/>
      <c r="EA88" s="24"/>
      <c r="EB88" s="24"/>
      <c r="EC88" s="24"/>
      <c r="ED88" s="24"/>
      <c r="EE88" s="24"/>
    </row>
    <row r="89" spans="2:135" x14ac:dyDescent="0.25">
      <c r="B89" s="70" t="s">
        <v>86</v>
      </c>
      <c r="C89" s="78">
        <f t="shared" ref="C89:AK89" si="30">SUM(C87:C88)</f>
        <v>19618.38</v>
      </c>
      <c r="D89" s="49">
        <f t="shared" si="30"/>
        <v>322.04000000000002</v>
      </c>
      <c r="E89" s="49">
        <f t="shared" si="30"/>
        <v>0</v>
      </c>
      <c r="F89" s="49">
        <f t="shared" si="30"/>
        <v>0</v>
      </c>
      <c r="G89" s="49">
        <f t="shared" si="30"/>
        <v>19940.420000000002</v>
      </c>
      <c r="H89" s="49">
        <f t="shared" si="30"/>
        <v>1282.5</v>
      </c>
      <c r="I89" s="49">
        <f t="shared" si="30"/>
        <v>2707.5</v>
      </c>
      <c r="J89" s="49">
        <f t="shared" si="30"/>
        <v>3990</v>
      </c>
      <c r="K89" s="49">
        <f t="shared" si="30"/>
        <v>20</v>
      </c>
      <c r="L89" s="49">
        <f t="shared" si="30"/>
        <v>0</v>
      </c>
      <c r="M89" s="49">
        <f t="shared" si="30"/>
        <v>0</v>
      </c>
      <c r="N89" s="49">
        <f t="shared" si="30"/>
        <v>713.5</v>
      </c>
      <c r="O89" s="49">
        <f t="shared" si="30"/>
        <v>713.5</v>
      </c>
      <c r="P89" s="49">
        <f t="shared" si="30"/>
        <v>1427</v>
      </c>
      <c r="Q89" s="49">
        <f t="shared" si="30"/>
        <v>0</v>
      </c>
      <c r="R89" s="49">
        <f t="shared" si="30"/>
        <v>0</v>
      </c>
      <c r="S89" s="49">
        <f t="shared" si="30"/>
        <v>0</v>
      </c>
      <c r="T89" s="49">
        <f t="shared" si="30"/>
        <v>0</v>
      </c>
      <c r="U89" s="49">
        <f t="shared" si="30"/>
        <v>400</v>
      </c>
      <c r="V89" s="49">
        <f t="shared" si="30"/>
        <v>400</v>
      </c>
      <c r="W89" s="78">
        <f t="shared" si="30"/>
        <v>0</v>
      </c>
      <c r="X89" s="78">
        <f t="shared" si="30"/>
        <v>0</v>
      </c>
      <c r="Y89" s="78">
        <f t="shared" si="30"/>
        <v>0</v>
      </c>
      <c r="Z89" s="78">
        <f t="shared" si="30"/>
        <v>0</v>
      </c>
      <c r="AA89" s="78">
        <f t="shared" si="30"/>
        <v>46.45</v>
      </c>
      <c r="AB89" s="78">
        <f t="shared" si="30"/>
        <v>0</v>
      </c>
      <c r="AC89" s="78">
        <f t="shared" si="30"/>
        <v>0</v>
      </c>
      <c r="AD89" s="49">
        <f t="shared" si="30"/>
        <v>18713.97</v>
      </c>
      <c r="AE89" s="49">
        <f t="shared" si="30"/>
        <v>0</v>
      </c>
      <c r="AF89" s="49">
        <f t="shared" si="30"/>
        <v>0</v>
      </c>
      <c r="AG89" s="49">
        <f t="shared" si="30"/>
        <v>0</v>
      </c>
      <c r="AH89" s="49">
        <f t="shared" si="30"/>
        <v>0</v>
      </c>
      <c r="AI89" s="49">
        <f t="shared" si="30"/>
        <v>0</v>
      </c>
      <c r="AJ89" s="49">
        <f t="shared" si="30"/>
        <v>0</v>
      </c>
      <c r="AK89" s="88">
        <f t="shared" si="30"/>
        <v>18713.97</v>
      </c>
      <c r="AL89" s="42" t="s">
        <v>68</v>
      </c>
      <c r="AM89" s="45">
        <v>0</v>
      </c>
      <c r="AN89" s="24" t="s">
        <v>83</v>
      </c>
      <c r="AO89" s="24">
        <f>AO87+AO88</f>
        <v>18713.97</v>
      </c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  <c r="DF89" s="24"/>
      <c r="DG89" s="24"/>
      <c r="DH89" s="24"/>
      <c r="DI89" s="24"/>
      <c r="DJ89" s="24"/>
      <c r="DK89" s="24"/>
      <c r="DL89" s="24"/>
      <c r="DM89" s="24"/>
      <c r="DN89" s="24"/>
      <c r="DO89" s="24"/>
      <c r="DP89" s="24"/>
      <c r="DQ89" s="24"/>
      <c r="DR89" s="24"/>
      <c r="DS89" s="24"/>
      <c r="DT89" s="24"/>
      <c r="DU89" s="24"/>
      <c r="DV89" s="24"/>
      <c r="DW89" s="24"/>
      <c r="DX89" s="24"/>
      <c r="DY89" s="24"/>
      <c r="DZ89" s="24"/>
      <c r="EA89" s="24"/>
      <c r="EB89" s="24"/>
      <c r="EC89" s="24"/>
      <c r="ED89" s="24"/>
      <c r="EE89" s="24"/>
    </row>
    <row r="90" spans="2:135" x14ac:dyDescent="0.25">
      <c r="B90" s="70"/>
      <c r="C90" s="30"/>
      <c r="D90" s="53"/>
      <c r="E90" s="53"/>
      <c r="F90" s="53"/>
      <c r="G90" s="15">
        <f>13316.14+6624.28</f>
        <v>19940.419999999998</v>
      </c>
      <c r="H90" s="53">
        <v>0</v>
      </c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 t="s">
        <v>22</v>
      </c>
      <c r="V90" s="53"/>
      <c r="W90" s="30"/>
      <c r="X90" s="53"/>
      <c r="Y90" s="53"/>
      <c r="Z90" s="53"/>
      <c r="AA90" s="53"/>
      <c r="AB90" s="53"/>
      <c r="AC90" s="53"/>
      <c r="AD90" s="53">
        <f>13269.69+5444.28</f>
        <v>18713.97</v>
      </c>
      <c r="AE90" s="53"/>
      <c r="AF90" s="53"/>
      <c r="AG90" s="53"/>
      <c r="AH90" s="53"/>
      <c r="AI90" s="53"/>
      <c r="AJ90" s="30"/>
      <c r="AK90" s="23">
        <f>13269.69+5444.28</f>
        <v>18713.97</v>
      </c>
      <c r="AL90" s="42" t="s">
        <v>28</v>
      </c>
      <c r="AM90" s="55">
        <f>AM88+AM87</f>
        <v>18713.97</v>
      </c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24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24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24"/>
    </row>
    <row r="91" spans="2:135" x14ac:dyDescent="0.25">
      <c r="B91" s="70"/>
      <c r="C91" s="30"/>
      <c r="D91" s="53"/>
      <c r="E91" s="53"/>
      <c r="F91" s="53"/>
      <c r="G91" s="15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30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30"/>
      <c r="AK91" s="23"/>
      <c r="AL91" s="42"/>
      <c r="AM91" s="60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  <c r="DF91" s="24"/>
      <c r="DG91" s="24"/>
      <c r="DH91" s="24"/>
      <c r="DI91" s="24"/>
      <c r="DJ91" s="24"/>
      <c r="DK91" s="24"/>
      <c r="DL91" s="24"/>
      <c r="DM91" s="24"/>
      <c r="DN91" s="24"/>
      <c r="DO91" s="24"/>
      <c r="DP91" s="24"/>
      <c r="DQ91" s="24"/>
      <c r="DR91" s="24"/>
      <c r="DS91" s="24"/>
      <c r="DT91" s="24"/>
      <c r="DU91" s="24"/>
      <c r="DV91" s="24"/>
      <c r="DW91" s="24"/>
      <c r="DX91" s="24"/>
      <c r="DY91" s="24"/>
      <c r="DZ91" s="24"/>
      <c r="EA91" s="24"/>
      <c r="EB91" s="24"/>
      <c r="EC91" s="24"/>
      <c r="ED91" s="24"/>
      <c r="EE91" s="24"/>
    </row>
    <row r="92" spans="2:135" x14ac:dyDescent="0.25">
      <c r="B92" s="70"/>
      <c r="C92" s="30"/>
      <c r="D92" s="53"/>
      <c r="E92" s="53"/>
      <c r="F92" s="53"/>
      <c r="G92" s="15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30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30"/>
      <c r="AK92" s="23"/>
      <c r="AL92" s="42"/>
      <c r="AM92" s="60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  <c r="DF92" s="24"/>
      <c r="DG92" s="24"/>
      <c r="DH92" s="24"/>
      <c r="DI92" s="24"/>
      <c r="DJ92" s="24"/>
      <c r="DK92" s="24"/>
      <c r="DL92" s="24"/>
      <c r="DM92" s="24"/>
      <c r="DN92" s="24"/>
      <c r="DO92" s="24"/>
      <c r="DP92" s="24"/>
      <c r="DQ92" s="24"/>
      <c r="DR92" s="24"/>
      <c r="DS92" s="24"/>
      <c r="DT92" s="24"/>
      <c r="DU92" s="24"/>
      <c r="DV92" s="24"/>
      <c r="DW92" s="24"/>
      <c r="DX92" s="24"/>
      <c r="DY92" s="24"/>
      <c r="DZ92" s="24"/>
      <c r="EA92" s="24"/>
      <c r="EB92" s="24"/>
      <c r="EC92" s="24"/>
      <c r="ED92" s="24"/>
      <c r="EE92" s="24"/>
    </row>
    <row r="93" spans="2:135" x14ac:dyDescent="0.25">
      <c r="B93" s="70"/>
      <c r="C93" s="30"/>
      <c r="D93" s="53"/>
      <c r="E93" s="53"/>
      <c r="F93" s="53"/>
      <c r="G93" s="15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30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30"/>
      <c r="AK93" s="23"/>
      <c r="AL93" s="42"/>
      <c r="AM93" s="60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  <c r="DF93" s="24"/>
      <c r="DG93" s="24"/>
      <c r="DH93" s="24"/>
      <c r="DI93" s="24"/>
      <c r="DJ93" s="24"/>
      <c r="DK93" s="24"/>
      <c r="DL93" s="24"/>
      <c r="DM93" s="24"/>
      <c r="DN93" s="24"/>
      <c r="DO93" s="24"/>
      <c r="DP93" s="24"/>
      <c r="DQ93" s="24"/>
      <c r="DR93" s="24"/>
      <c r="DS93" s="24"/>
      <c r="DT93" s="24"/>
      <c r="DU93" s="24"/>
      <c r="DV93" s="24"/>
      <c r="DW93" s="24"/>
      <c r="DX93" s="24"/>
      <c r="DY93" s="24"/>
      <c r="DZ93" s="24"/>
      <c r="EA93" s="24"/>
      <c r="EB93" s="24"/>
      <c r="EC93" s="24"/>
      <c r="ED93" s="24"/>
      <c r="EE93" s="24"/>
    </row>
    <row r="94" spans="2:135" x14ac:dyDescent="0.25">
      <c r="B94" s="70"/>
      <c r="C94" s="30"/>
      <c r="D94" s="53"/>
      <c r="E94" s="53"/>
      <c r="F94" s="53"/>
      <c r="G94" s="15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30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30"/>
      <c r="AK94" s="23"/>
      <c r="AL94" s="42"/>
      <c r="AM94" s="60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  <c r="DF94" s="24"/>
      <c r="DG94" s="24"/>
      <c r="DH94" s="24"/>
      <c r="DI94" s="24"/>
      <c r="DJ94" s="24"/>
      <c r="DK94" s="24"/>
      <c r="DL94" s="24"/>
      <c r="DM94" s="24"/>
      <c r="DN94" s="24"/>
      <c r="DO94" s="24"/>
      <c r="DP94" s="24"/>
      <c r="DQ94" s="24"/>
      <c r="DR94" s="24"/>
      <c r="DS94" s="24"/>
      <c r="DT94" s="24"/>
      <c r="DU94" s="24"/>
      <c r="DV94" s="24"/>
      <c r="DW94" s="24"/>
      <c r="DX94" s="24"/>
      <c r="DY94" s="24"/>
      <c r="DZ94" s="24"/>
      <c r="EA94" s="24"/>
      <c r="EB94" s="24"/>
      <c r="EC94" s="24"/>
      <c r="ED94" s="24"/>
      <c r="EE94" s="24"/>
    </row>
    <row r="95" spans="2:135" x14ac:dyDescent="0.25">
      <c r="B95" s="13" t="s">
        <v>99</v>
      </c>
      <c r="C95" s="30"/>
      <c r="D95" s="53"/>
      <c r="E95" s="53"/>
      <c r="F95" s="53"/>
      <c r="G95" s="15"/>
      <c r="H95" s="15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30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30"/>
      <c r="AK95" s="23"/>
      <c r="AL95" s="24"/>
      <c r="AM95" s="23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  <c r="DF95" s="24"/>
      <c r="DG95" s="24"/>
      <c r="DH95" s="24"/>
      <c r="DI95" s="24"/>
      <c r="DJ95" s="24"/>
      <c r="DK95" s="24"/>
      <c r="DL95" s="24"/>
      <c r="DM95" s="24"/>
      <c r="DN95" s="24"/>
      <c r="DO95" s="24"/>
      <c r="DP95" s="24"/>
      <c r="DQ95" s="24"/>
      <c r="DR95" s="24"/>
      <c r="DS95" s="24"/>
      <c r="DT95" s="24"/>
      <c r="DU95" s="24"/>
      <c r="DV95" s="24"/>
      <c r="DW95" s="24"/>
      <c r="DX95" s="24"/>
      <c r="DY95" s="24"/>
      <c r="DZ95" s="24"/>
      <c r="EA95" s="24"/>
      <c r="EB95" s="24"/>
      <c r="EC95" s="24"/>
      <c r="ED95" s="24"/>
      <c r="EE95" s="24"/>
    </row>
    <row r="96" spans="2:135" ht="13.5" customHeight="1" x14ac:dyDescent="0.25">
      <c r="B96" s="12" t="s">
        <v>3</v>
      </c>
      <c r="C96" s="12" t="s">
        <v>4</v>
      </c>
      <c r="D96" s="11" t="s">
        <v>5</v>
      </c>
      <c r="E96" s="11" t="s">
        <v>100</v>
      </c>
      <c r="F96" s="11" t="s">
        <v>7</v>
      </c>
      <c r="G96" s="11" t="s">
        <v>8</v>
      </c>
      <c r="H96" s="10" t="s">
        <v>9</v>
      </c>
      <c r="I96" s="10"/>
      <c r="J96" s="10"/>
      <c r="K96" s="10"/>
      <c r="L96" s="11" t="s">
        <v>10</v>
      </c>
      <c r="M96" s="11" t="s">
        <v>11</v>
      </c>
      <c r="N96" s="10" t="s">
        <v>12</v>
      </c>
      <c r="O96" s="10"/>
      <c r="P96" s="10"/>
      <c r="Q96" s="10"/>
      <c r="R96" s="10"/>
      <c r="S96" s="10"/>
      <c r="T96" s="11" t="s">
        <v>13</v>
      </c>
      <c r="U96" s="11" t="s">
        <v>14</v>
      </c>
      <c r="V96" s="11"/>
      <c r="W96" s="12" t="s">
        <v>15</v>
      </c>
      <c r="X96" s="11" t="s">
        <v>16</v>
      </c>
      <c r="Y96" s="11" t="s">
        <v>17</v>
      </c>
      <c r="Z96" s="11" t="s">
        <v>18</v>
      </c>
      <c r="AA96" s="9" t="s">
        <v>19</v>
      </c>
      <c r="AB96" s="11" t="s">
        <v>20</v>
      </c>
      <c r="AC96" s="21"/>
      <c r="AD96" s="11" t="s">
        <v>21</v>
      </c>
      <c r="AE96" s="7" t="s">
        <v>22</v>
      </c>
      <c r="AF96" s="7"/>
      <c r="AG96" s="7"/>
      <c r="AH96" s="7"/>
      <c r="AI96" s="11" t="s">
        <v>96</v>
      </c>
      <c r="AJ96" s="89"/>
      <c r="AK96" s="10" t="s">
        <v>25</v>
      </c>
      <c r="AL96" s="42" t="s">
        <v>66</v>
      </c>
      <c r="AM96" s="44">
        <v>44923.4</v>
      </c>
      <c r="AN96" s="24" t="s">
        <v>83</v>
      </c>
      <c r="AO96" s="24">
        <v>44923.4</v>
      </c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  <c r="DF96" s="24"/>
      <c r="DG96" s="24"/>
      <c r="DH96" s="24"/>
      <c r="DI96" s="24"/>
      <c r="DJ96" s="24"/>
      <c r="DK96" s="24"/>
      <c r="DL96" s="24"/>
      <c r="DM96" s="24"/>
      <c r="DN96" s="24"/>
      <c r="DO96" s="24"/>
      <c r="DP96" s="24"/>
      <c r="DQ96" s="24"/>
      <c r="DR96" s="24"/>
      <c r="DS96" s="24"/>
      <c r="DT96" s="24"/>
      <c r="DU96" s="24"/>
      <c r="DV96" s="24"/>
      <c r="DW96" s="24"/>
      <c r="DX96" s="24"/>
      <c r="DY96" s="24"/>
      <c r="DZ96" s="24"/>
      <c r="EA96" s="24"/>
      <c r="EB96" s="24"/>
      <c r="EC96" s="24"/>
      <c r="ED96" s="24"/>
      <c r="EE96" s="24"/>
    </row>
    <row r="97" spans="2:135" ht="12.75" customHeight="1" x14ac:dyDescent="0.25">
      <c r="B97" s="12"/>
      <c r="C97" s="12"/>
      <c r="D97" s="11"/>
      <c r="E97" s="11"/>
      <c r="F97" s="11"/>
      <c r="G97" s="11"/>
      <c r="H97" s="10" t="s">
        <v>26</v>
      </c>
      <c r="I97" s="10" t="s">
        <v>27</v>
      </c>
      <c r="J97" s="10" t="s">
        <v>28</v>
      </c>
      <c r="K97" s="11" t="s">
        <v>29</v>
      </c>
      <c r="L97" s="11"/>
      <c r="M97" s="11"/>
      <c r="N97" s="6" t="s">
        <v>26</v>
      </c>
      <c r="O97" s="6" t="s">
        <v>27</v>
      </c>
      <c r="P97" s="6" t="s">
        <v>30</v>
      </c>
      <c r="Q97" s="5" t="s">
        <v>31</v>
      </c>
      <c r="R97" s="5" t="s">
        <v>32</v>
      </c>
      <c r="S97" s="5" t="s">
        <v>33</v>
      </c>
      <c r="T97" s="11"/>
      <c r="U97" s="11"/>
      <c r="V97" s="11"/>
      <c r="W97" s="12"/>
      <c r="X97" s="11"/>
      <c r="Y97" s="11"/>
      <c r="Z97" s="11"/>
      <c r="AA97" s="9"/>
      <c r="AB97" s="11"/>
      <c r="AC97" s="72" t="s">
        <v>91</v>
      </c>
      <c r="AD97" s="11"/>
      <c r="AE97" s="4" t="s">
        <v>35</v>
      </c>
      <c r="AF97" s="4"/>
      <c r="AG97" s="4"/>
      <c r="AH97" s="4"/>
      <c r="AI97" s="11"/>
      <c r="AJ97" s="90"/>
      <c r="AK97" s="10"/>
      <c r="AL97" s="42" t="s">
        <v>68</v>
      </c>
      <c r="AM97" s="45">
        <v>3120.17</v>
      </c>
      <c r="AN97" s="24" t="s">
        <v>83</v>
      </c>
      <c r="AO97" s="24">
        <v>3120.17</v>
      </c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  <c r="DF97" s="24"/>
      <c r="DG97" s="24"/>
      <c r="DH97" s="24"/>
      <c r="DI97" s="24"/>
      <c r="DJ97" s="24"/>
      <c r="DK97" s="24"/>
      <c r="DL97" s="24"/>
      <c r="DM97" s="24"/>
      <c r="DN97" s="24"/>
      <c r="DO97" s="24"/>
      <c r="DP97" s="24"/>
      <c r="DQ97" s="24"/>
      <c r="DR97" s="24"/>
      <c r="DS97" s="24"/>
      <c r="DT97" s="24"/>
      <c r="DU97" s="24"/>
      <c r="DV97" s="24"/>
      <c r="DW97" s="24"/>
      <c r="DX97" s="24"/>
      <c r="DY97" s="24"/>
      <c r="DZ97" s="24"/>
      <c r="EA97" s="24"/>
      <c r="EB97" s="24"/>
      <c r="EC97" s="24"/>
      <c r="ED97" s="24"/>
      <c r="EE97" s="24"/>
    </row>
    <row r="98" spans="2:135" ht="23.25" customHeight="1" x14ac:dyDescent="0.25">
      <c r="B98" s="12"/>
      <c r="C98" s="12"/>
      <c r="D98" s="11"/>
      <c r="E98" s="11"/>
      <c r="F98" s="11"/>
      <c r="G98" s="11"/>
      <c r="H98" s="10"/>
      <c r="I98" s="10"/>
      <c r="J98" s="10"/>
      <c r="K98" s="11"/>
      <c r="L98" s="11"/>
      <c r="M98" s="11"/>
      <c r="N98" s="6"/>
      <c r="O98" s="6"/>
      <c r="P98" s="6"/>
      <c r="Q98" s="5"/>
      <c r="R98" s="5"/>
      <c r="S98" s="5"/>
      <c r="T98" s="11"/>
      <c r="U98" s="28" t="s">
        <v>26</v>
      </c>
      <c r="V98" s="28" t="s">
        <v>27</v>
      </c>
      <c r="W98" s="12"/>
      <c r="X98" s="11"/>
      <c r="Y98" s="11"/>
      <c r="Z98" s="11"/>
      <c r="AA98" s="9"/>
      <c r="AB98" s="11"/>
      <c r="AC98" s="74"/>
      <c r="AD98" s="11"/>
      <c r="AE98" s="20" t="s">
        <v>37</v>
      </c>
      <c r="AF98" s="18" t="s">
        <v>38</v>
      </c>
      <c r="AG98" s="18" t="s">
        <v>39</v>
      </c>
      <c r="AH98" s="20" t="s">
        <v>40</v>
      </c>
      <c r="AI98" s="11"/>
      <c r="AJ98" s="91" t="s">
        <v>92</v>
      </c>
      <c r="AK98" s="10"/>
      <c r="AL98" s="42" t="s">
        <v>85</v>
      </c>
      <c r="AM98" s="47">
        <f>AM96+AM97</f>
        <v>48043.57</v>
      </c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  <c r="DF98" s="24"/>
      <c r="DG98" s="24"/>
      <c r="DH98" s="24"/>
      <c r="DI98" s="24"/>
      <c r="DJ98" s="24"/>
      <c r="DK98" s="24"/>
      <c r="DL98" s="24"/>
      <c r="DM98" s="24"/>
      <c r="DN98" s="24"/>
      <c r="DO98" s="24"/>
      <c r="DP98" s="24"/>
      <c r="DQ98" s="24"/>
      <c r="DR98" s="24"/>
      <c r="DS98" s="24"/>
      <c r="DT98" s="24"/>
      <c r="DU98" s="24"/>
      <c r="DV98" s="24"/>
      <c r="DW98" s="24"/>
      <c r="DX98" s="24"/>
      <c r="DY98" s="24"/>
      <c r="DZ98" s="24"/>
      <c r="EA98" s="24"/>
      <c r="EB98" s="24"/>
      <c r="EC98" s="24"/>
      <c r="ED98" s="24"/>
      <c r="EE98" s="24"/>
    </row>
    <row r="99" spans="2:135" x14ac:dyDescent="0.25">
      <c r="B99" s="28">
        <f>9500+9500</f>
        <v>19000</v>
      </c>
      <c r="C99" s="28">
        <f>9500+9500</f>
        <v>19000</v>
      </c>
      <c r="D99" s="28">
        <f>218.52</f>
        <v>218.52</v>
      </c>
      <c r="E99" s="34">
        <v>0</v>
      </c>
      <c r="F99" s="34">
        <f>3755.81+3300.56+307.75</f>
        <v>7364.12</v>
      </c>
      <c r="G99" s="33">
        <f>C99+D99+E99+F99</f>
        <v>26582.639999999999</v>
      </c>
      <c r="H99" s="34">
        <v>855</v>
      </c>
      <c r="I99" s="34">
        <v>1805</v>
      </c>
      <c r="J99" s="33">
        <f>H99+I99</f>
        <v>2660</v>
      </c>
      <c r="K99" s="34">
        <v>30</v>
      </c>
      <c r="L99" s="33">
        <v>0</v>
      </c>
      <c r="M99" s="33">
        <v>0</v>
      </c>
      <c r="N99" s="33">
        <f>B99*5%/2</f>
        <v>475</v>
      </c>
      <c r="O99" s="34">
        <f>N99</f>
        <v>475</v>
      </c>
      <c r="P99" s="34">
        <f>N99+O99</f>
        <v>950</v>
      </c>
      <c r="Q99" s="34">
        <v>0</v>
      </c>
      <c r="R99" s="34">
        <v>0</v>
      </c>
      <c r="S99" s="34">
        <f>Q99+R99</f>
        <v>0</v>
      </c>
      <c r="T99" s="34">
        <f>(G99-H99-N99-U99-20833)*15%</f>
        <v>632.94599999999991</v>
      </c>
      <c r="U99" s="34">
        <v>200</v>
      </c>
      <c r="V99" s="34">
        <f>U99</f>
        <v>200</v>
      </c>
      <c r="W99" s="32">
        <v>0</v>
      </c>
      <c r="X99" s="33">
        <v>0</v>
      </c>
      <c r="Y99" s="33">
        <f>1500+1500</f>
        <v>3000</v>
      </c>
      <c r="Z99" s="33">
        <v>0</v>
      </c>
      <c r="AA99" s="33">
        <v>0</v>
      </c>
      <c r="AB99" s="33">
        <v>0</v>
      </c>
      <c r="AC99" s="33">
        <v>0</v>
      </c>
      <c r="AD99" s="33">
        <f>G99-H99-L99-M99-N99-T99-U99-W99-X99-Y99-Z99-AA99+AB99-AC99</f>
        <v>21419.694</v>
      </c>
      <c r="AE99" s="33">
        <v>0</v>
      </c>
      <c r="AF99" s="33">
        <v>0</v>
      </c>
      <c r="AG99" s="33">
        <v>0</v>
      </c>
      <c r="AH99" s="33">
        <v>0</v>
      </c>
      <c r="AI99" s="33">
        <v>0</v>
      </c>
      <c r="AJ99" s="33">
        <v>0</v>
      </c>
      <c r="AK99" s="63">
        <f>AD99+AE99+AF99+AG99+AH99+AI99</f>
        <v>21419.694</v>
      </c>
      <c r="AM99" s="92"/>
      <c r="AN99" s="24"/>
      <c r="AO99" s="24">
        <f>G99-H99-L99-M99-N99-T99-U99-Y99+AE99+AF99</f>
        <v>21419.694</v>
      </c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  <c r="DF99" s="24"/>
      <c r="DG99" s="24"/>
      <c r="DH99" s="24"/>
      <c r="DI99" s="24"/>
      <c r="DJ99" s="24"/>
      <c r="DK99" s="24"/>
      <c r="DL99" s="24"/>
      <c r="DM99" s="24"/>
      <c r="DN99" s="24"/>
      <c r="DO99" s="24"/>
      <c r="DP99" s="24"/>
      <c r="DQ99" s="24"/>
      <c r="DR99" s="24"/>
      <c r="DS99" s="24"/>
      <c r="DT99" s="24"/>
      <c r="DU99" s="24"/>
      <c r="DV99" s="24"/>
      <c r="DW99" s="24"/>
      <c r="DX99" s="24"/>
      <c r="DY99" s="24"/>
      <c r="DZ99" s="24"/>
      <c r="EA99" s="24"/>
      <c r="EB99" s="24"/>
      <c r="EC99" s="24"/>
      <c r="ED99" s="24"/>
      <c r="EE99" s="24"/>
    </row>
    <row r="100" spans="2:135" ht="14.25" customHeight="1" x14ac:dyDescent="0.25">
      <c r="B100" s="28">
        <f>13650+13650</f>
        <v>27300</v>
      </c>
      <c r="C100" s="28">
        <f>13650+13650</f>
        <v>27300</v>
      </c>
      <c r="D100" s="28">
        <f>313.99+313.99</f>
        <v>627.98</v>
      </c>
      <c r="E100" s="34">
        <v>0</v>
      </c>
      <c r="F100" s="34">
        <v>0</v>
      </c>
      <c r="G100" s="33">
        <f>C100+D100+E100+F100</f>
        <v>27927.98</v>
      </c>
      <c r="H100" s="34">
        <v>1237.5</v>
      </c>
      <c r="I100" s="34">
        <f>1900+712.5</f>
        <v>2612.5</v>
      </c>
      <c r="J100" s="33">
        <f>H100+I100</f>
        <v>3850</v>
      </c>
      <c r="K100" s="34">
        <v>30</v>
      </c>
      <c r="L100" s="33">
        <v>0</v>
      </c>
      <c r="M100" s="33">
        <v>0</v>
      </c>
      <c r="N100" s="33">
        <f>B100*5%/2</f>
        <v>682.5</v>
      </c>
      <c r="O100" s="34">
        <f>N100</f>
        <v>682.5</v>
      </c>
      <c r="P100" s="34">
        <f>N100+O100</f>
        <v>1365</v>
      </c>
      <c r="Q100" s="34">
        <v>0</v>
      </c>
      <c r="R100" s="34">
        <v>0</v>
      </c>
      <c r="S100" s="34">
        <f>Q100+R100</f>
        <v>0</v>
      </c>
      <c r="T100" s="34">
        <f>(G100-H100-N100-U100-20833)*15%</f>
        <v>746.24699999999996</v>
      </c>
      <c r="U100" s="34">
        <v>200</v>
      </c>
      <c r="V100" s="34">
        <f>U100</f>
        <v>200</v>
      </c>
      <c r="W100" s="32">
        <v>0</v>
      </c>
      <c r="X100" s="33">
        <v>0</v>
      </c>
      <c r="Y100" s="33">
        <v>0</v>
      </c>
      <c r="Z100" s="33">
        <v>0</v>
      </c>
      <c r="AA100" s="33">
        <v>0</v>
      </c>
      <c r="AB100" s="33">
        <v>0</v>
      </c>
      <c r="AC100" s="33">
        <v>0</v>
      </c>
      <c r="AD100" s="33">
        <f>G100-H100-L100-M100-N100-T100-U100-W100-X100-Y100-Z100-AA100+AB100-AC100</f>
        <v>25061.733</v>
      </c>
      <c r="AE100" s="33">
        <f>3050+3050</f>
        <v>6100</v>
      </c>
      <c r="AF100" s="33">
        <f>70.17+70.17</f>
        <v>140.34</v>
      </c>
      <c r="AG100" s="33">
        <v>0</v>
      </c>
      <c r="AH100" s="33">
        <v>0</v>
      </c>
      <c r="AI100" s="33">
        <v>0</v>
      </c>
      <c r="AJ100" s="33">
        <v>0</v>
      </c>
      <c r="AK100" s="63">
        <f>AD100+AE100+AF100+AG100+AH100+AI100</f>
        <v>31302.073</v>
      </c>
      <c r="AL100" s="42" t="s">
        <v>75</v>
      </c>
      <c r="AM100" s="44">
        <v>36464.86</v>
      </c>
      <c r="AN100" s="24" t="s">
        <v>83</v>
      </c>
      <c r="AO100" s="24">
        <f>G100-H100-L100-M100-N100-T100-U100-Y100+AE100+AF100</f>
        <v>31302.073</v>
      </c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  <c r="DF100" s="24"/>
      <c r="DG100" s="24"/>
      <c r="DH100" s="24"/>
      <c r="DI100" s="24"/>
      <c r="DJ100" s="24"/>
      <c r="DK100" s="24"/>
      <c r="DL100" s="24"/>
      <c r="DM100" s="24"/>
      <c r="DN100" s="24"/>
      <c r="DO100" s="24"/>
      <c r="DP100" s="24"/>
      <c r="DQ100" s="24"/>
      <c r="DR100" s="24"/>
      <c r="DS100" s="24"/>
      <c r="DT100" s="24"/>
      <c r="DU100" s="24"/>
      <c r="DV100" s="24"/>
      <c r="DW100" s="24"/>
      <c r="DX100" s="24"/>
      <c r="DY100" s="24"/>
      <c r="DZ100" s="24"/>
      <c r="EA100" s="24"/>
      <c r="EB100" s="24"/>
      <c r="EC100" s="24"/>
      <c r="ED100" s="24"/>
      <c r="EE100" s="24"/>
    </row>
    <row r="101" spans="2:135" ht="14.25" customHeight="1" x14ac:dyDescent="0.25">
      <c r="B101" s="63">
        <f>6825+6825</f>
        <v>13650</v>
      </c>
      <c r="C101" s="28">
        <f>6825+6825</f>
        <v>13650</v>
      </c>
      <c r="D101" s="28">
        <f>157.01+157.01</f>
        <v>314.02</v>
      </c>
      <c r="E101" s="34">
        <v>0</v>
      </c>
      <c r="F101" s="34">
        <v>0</v>
      </c>
      <c r="G101" s="33">
        <f>C101+D101+E101+F101</f>
        <v>13964.02</v>
      </c>
      <c r="H101" s="34">
        <v>607.5</v>
      </c>
      <c r="I101" s="34">
        <v>1282.5</v>
      </c>
      <c r="J101" s="33">
        <f>H101+I101</f>
        <v>1890</v>
      </c>
      <c r="K101" s="34">
        <v>10</v>
      </c>
      <c r="L101" s="75">
        <v>0</v>
      </c>
      <c r="M101" s="75">
        <v>0</v>
      </c>
      <c r="N101" s="33">
        <f>B101*5%/2</f>
        <v>341.25</v>
      </c>
      <c r="O101" s="75">
        <f>N101</f>
        <v>341.25</v>
      </c>
      <c r="P101" s="34">
        <f>N101+O101</f>
        <v>682.5</v>
      </c>
      <c r="Q101" s="34">
        <v>0</v>
      </c>
      <c r="R101" s="34">
        <v>0</v>
      </c>
      <c r="S101" s="34">
        <f>Q101+R101</f>
        <v>0</v>
      </c>
      <c r="T101" s="75">
        <v>0</v>
      </c>
      <c r="U101" s="75">
        <v>200</v>
      </c>
      <c r="V101" s="75">
        <f>U101</f>
        <v>200</v>
      </c>
      <c r="W101" s="69">
        <v>0</v>
      </c>
      <c r="X101" s="75">
        <f>0</f>
        <v>0</v>
      </c>
      <c r="Y101" s="75">
        <f>1000+1000</f>
        <v>2000</v>
      </c>
      <c r="Z101" s="33">
        <v>0</v>
      </c>
      <c r="AA101" s="33">
        <v>0</v>
      </c>
      <c r="AB101" s="33">
        <v>0</v>
      </c>
      <c r="AC101" s="33">
        <v>0</v>
      </c>
      <c r="AD101" s="33">
        <f>G101-H101-L101-M101-N101-T101-U101-W101-X101-Y101-Z101-AA101+AB101-AC101</f>
        <v>10815.27</v>
      </c>
      <c r="AE101" s="33">
        <v>0</v>
      </c>
      <c r="AF101" s="33">
        <v>0</v>
      </c>
      <c r="AG101" s="33">
        <v>0</v>
      </c>
      <c r="AH101" s="33">
        <v>0</v>
      </c>
      <c r="AI101" s="33">
        <v>0</v>
      </c>
      <c r="AJ101" s="33">
        <v>0</v>
      </c>
      <c r="AK101" s="63">
        <f>AD101+AE101+AF101+AG101+AH101+AI101</f>
        <v>10815.27</v>
      </c>
      <c r="AL101" s="42" t="s">
        <v>68</v>
      </c>
      <c r="AM101" s="45">
        <v>3120.17</v>
      </c>
      <c r="AN101" s="24" t="s">
        <v>83</v>
      </c>
      <c r="AO101" s="24">
        <f>G101-H101-L101-M101-N101-T101-U101-Y101+AE101+AF101</f>
        <v>10815.27</v>
      </c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  <c r="DF101" s="24"/>
      <c r="DG101" s="24"/>
      <c r="DH101" s="24"/>
      <c r="DI101" s="24"/>
      <c r="DJ101" s="24"/>
      <c r="DK101" s="24"/>
      <c r="DL101" s="24"/>
      <c r="DM101" s="24"/>
      <c r="DN101" s="24"/>
      <c r="DO101" s="24"/>
      <c r="DP101" s="24"/>
      <c r="DQ101" s="24"/>
      <c r="DR101" s="24"/>
      <c r="DS101" s="24"/>
      <c r="DT101" s="24"/>
      <c r="DU101" s="24"/>
      <c r="DV101" s="24"/>
      <c r="DW101" s="24"/>
      <c r="DX101" s="24"/>
      <c r="DY101" s="24"/>
      <c r="DZ101" s="24"/>
      <c r="EA101" s="24"/>
      <c r="EB101" s="24"/>
      <c r="EC101" s="24"/>
      <c r="ED101" s="24"/>
      <c r="EE101" s="24"/>
    </row>
    <row r="102" spans="2:135" x14ac:dyDescent="0.25">
      <c r="B102" s="63">
        <f>6825+6825</f>
        <v>13650</v>
      </c>
      <c r="C102" s="28">
        <f>6825+6825</f>
        <v>13650</v>
      </c>
      <c r="D102" s="28">
        <f>157.01+157.01</f>
        <v>314.02</v>
      </c>
      <c r="E102" s="34">
        <v>0</v>
      </c>
      <c r="F102" s="34">
        <v>245.32</v>
      </c>
      <c r="G102" s="33">
        <f>C102+D102+E102+F102</f>
        <v>14209.34</v>
      </c>
      <c r="H102" s="34">
        <v>607.5</v>
      </c>
      <c r="I102" s="34">
        <v>1282.5</v>
      </c>
      <c r="J102" s="33">
        <f>H102+I102</f>
        <v>1890</v>
      </c>
      <c r="K102" s="34">
        <v>10</v>
      </c>
      <c r="L102" s="75">
        <v>0</v>
      </c>
      <c r="M102" s="75">
        <v>0</v>
      </c>
      <c r="N102" s="33">
        <f>B102*5%/2</f>
        <v>341.25</v>
      </c>
      <c r="O102" s="75">
        <f>N102</f>
        <v>341.25</v>
      </c>
      <c r="P102" s="34">
        <f>N102+O102</f>
        <v>682.5</v>
      </c>
      <c r="Q102" s="34">
        <v>0</v>
      </c>
      <c r="R102" s="34">
        <v>0</v>
      </c>
      <c r="S102" s="34">
        <f>Q102+R102</f>
        <v>0</v>
      </c>
      <c r="T102" s="75">
        <v>0</v>
      </c>
      <c r="U102" s="75">
        <v>200</v>
      </c>
      <c r="V102" s="75">
        <f>U102</f>
        <v>200</v>
      </c>
      <c r="W102" s="69">
        <v>0</v>
      </c>
      <c r="X102" s="75">
        <v>0</v>
      </c>
      <c r="Y102" s="75">
        <f>1000+1000</f>
        <v>2000</v>
      </c>
      <c r="Z102" s="33">
        <v>0</v>
      </c>
      <c r="AA102" s="33">
        <v>0</v>
      </c>
      <c r="AB102" s="33">
        <v>0</v>
      </c>
      <c r="AC102" s="33">
        <v>0</v>
      </c>
      <c r="AD102" s="33">
        <f>G102-H102-L102-M102-N102-T102-U102-W102-X102-Y102-Z102-AA102+AB102-AC102</f>
        <v>11060.59</v>
      </c>
      <c r="AE102" s="33">
        <v>0</v>
      </c>
      <c r="AF102" s="33">
        <v>0</v>
      </c>
      <c r="AG102" s="33">
        <v>0</v>
      </c>
      <c r="AH102" s="33">
        <v>0</v>
      </c>
      <c r="AI102" s="33">
        <v>0</v>
      </c>
      <c r="AJ102" s="33">
        <v>0</v>
      </c>
      <c r="AK102" s="63">
        <f>AD102+AE102+AF102+AG102+AH102+AI102</f>
        <v>11060.59</v>
      </c>
      <c r="AL102" s="42" t="s">
        <v>85</v>
      </c>
      <c r="AM102" s="47">
        <f>AM100+AM101</f>
        <v>39585.03</v>
      </c>
      <c r="AN102" s="24"/>
      <c r="AO102" s="24">
        <f>G102-H102-L102-M102-N102-T102-U102-Y102+AE102+AF102</f>
        <v>11060.59</v>
      </c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  <c r="DF102" s="24"/>
      <c r="DG102" s="24"/>
      <c r="DH102" s="24"/>
      <c r="DI102" s="24"/>
      <c r="DJ102" s="24"/>
      <c r="DK102" s="24"/>
      <c r="DL102" s="24"/>
      <c r="DM102" s="24"/>
      <c r="DN102" s="24"/>
      <c r="DO102" s="24"/>
      <c r="DP102" s="24"/>
      <c r="DQ102" s="24"/>
      <c r="DR102" s="24"/>
      <c r="DS102" s="24"/>
      <c r="DT102" s="24"/>
      <c r="DU102" s="24"/>
      <c r="DV102" s="24"/>
      <c r="DW102" s="24"/>
      <c r="DX102" s="24"/>
      <c r="DY102" s="24"/>
      <c r="DZ102" s="24"/>
      <c r="EA102" s="24"/>
      <c r="EB102" s="24"/>
      <c r="EC102" s="24"/>
      <c r="ED102" s="24"/>
      <c r="EE102" s="24"/>
    </row>
    <row r="103" spans="2:135" s="24" customFormat="1" ht="12.75" x14ac:dyDescent="0.2">
      <c r="B103" s="28">
        <f>6782+6782</f>
        <v>13564</v>
      </c>
      <c r="C103" s="28">
        <f>6782+6782</f>
        <v>13564</v>
      </c>
      <c r="D103" s="28">
        <f>156+156</f>
        <v>312</v>
      </c>
      <c r="E103" s="34">
        <v>0</v>
      </c>
      <c r="F103" s="34">
        <f>243.75</f>
        <v>243.75</v>
      </c>
      <c r="G103" s="33">
        <f>C103+D103+E103+F103</f>
        <v>14119.75</v>
      </c>
      <c r="H103" s="34">
        <v>607.5</v>
      </c>
      <c r="I103" s="34">
        <v>1282.5</v>
      </c>
      <c r="J103" s="33">
        <f>H103+I103</f>
        <v>1890</v>
      </c>
      <c r="K103" s="34">
        <v>10</v>
      </c>
      <c r="L103" s="75">
        <v>0</v>
      </c>
      <c r="M103" s="75">
        <v>0</v>
      </c>
      <c r="N103" s="33">
        <f>B103*5%/2</f>
        <v>339.1</v>
      </c>
      <c r="O103" s="75">
        <f>N103</f>
        <v>339.1</v>
      </c>
      <c r="P103" s="34">
        <f>N103+O103</f>
        <v>678.2</v>
      </c>
      <c r="Q103" s="34">
        <v>0</v>
      </c>
      <c r="R103" s="34">
        <v>0</v>
      </c>
      <c r="S103" s="34">
        <f>Q103+R103</f>
        <v>0</v>
      </c>
      <c r="T103" s="75">
        <v>0</v>
      </c>
      <c r="U103" s="75">
        <v>200</v>
      </c>
      <c r="V103" s="75">
        <f>U103</f>
        <v>200</v>
      </c>
      <c r="W103" s="69">
        <v>0</v>
      </c>
      <c r="X103" s="75">
        <v>0</v>
      </c>
      <c r="Y103" s="75">
        <v>0</v>
      </c>
      <c r="Z103" s="33">
        <v>0</v>
      </c>
      <c r="AA103" s="33">
        <v>0</v>
      </c>
      <c r="AB103" s="33">
        <v>57.83</v>
      </c>
      <c r="AC103" s="33">
        <v>0</v>
      </c>
      <c r="AD103" s="33">
        <f>G103-H103-L103-M103-N103-T103-U103-W103-X103-Y103-Z103-AA103+AB103-AC103</f>
        <v>13030.98</v>
      </c>
      <c r="AE103" s="33">
        <v>0</v>
      </c>
      <c r="AF103" s="33">
        <v>0</v>
      </c>
      <c r="AG103" s="33">
        <v>0</v>
      </c>
      <c r="AH103" s="33">
        <v>0</v>
      </c>
      <c r="AI103" s="33">
        <v>0</v>
      </c>
      <c r="AJ103" s="33">
        <v>0</v>
      </c>
      <c r="AK103" s="63">
        <f>AD103+AE103+AF103+AG103+AH103+AI103</f>
        <v>13030.98</v>
      </c>
      <c r="AM103" s="92"/>
      <c r="AO103" s="24">
        <f>G103-H103-N103-U103+AB103</f>
        <v>13030.98</v>
      </c>
    </row>
    <row r="104" spans="2:135" s="24" customFormat="1" ht="12.75" x14ac:dyDescent="0.2">
      <c r="B104" s="70" t="s">
        <v>86</v>
      </c>
      <c r="C104" s="78">
        <f t="shared" ref="C104:AC104" si="31">SUM(C99:C103)</f>
        <v>87164</v>
      </c>
      <c r="D104" s="49">
        <f t="shared" si="31"/>
        <v>1786.54</v>
      </c>
      <c r="E104" s="49">
        <f t="shared" si="31"/>
        <v>0</v>
      </c>
      <c r="F104" s="49">
        <f t="shared" si="31"/>
        <v>7853.19</v>
      </c>
      <c r="G104" s="49">
        <f t="shared" si="31"/>
        <v>96803.73</v>
      </c>
      <c r="H104" s="49">
        <f t="shared" si="31"/>
        <v>3915</v>
      </c>
      <c r="I104" s="49">
        <f t="shared" si="31"/>
        <v>8265</v>
      </c>
      <c r="J104" s="49">
        <f t="shared" si="31"/>
        <v>12180</v>
      </c>
      <c r="K104" s="49">
        <f t="shared" si="31"/>
        <v>90</v>
      </c>
      <c r="L104" s="49">
        <f t="shared" si="31"/>
        <v>0</v>
      </c>
      <c r="M104" s="49">
        <f t="shared" si="31"/>
        <v>0</v>
      </c>
      <c r="N104" s="49">
        <f t="shared" si="31"/>
        <v>2179.1</v>
      </c>
      <c r="O104" s="49">
        <f t="shared" si="31"/>
        <v>2179.1</v>
      </c>
      <c r="P104" s="49">
        <f t="shared" si="31"/>
        <v>4358.2</v>
      </c>
      <c r="Q104" s="49">
        <f t="shared" si="31"/>
        <v>0</v>
      </c>
      <c r="R104" s="49">
        <f t="shared" si="31"/>
        <v>0</v>
      </c>
      <c r="S104" s="49">
        <f t="shared" si="31"/>
        <v>0</v>
      </c>
      <c r="T104" s="49">
        <f t="shared" si="31"/>
        <v>1379.1929999999998</v>
      </c>
      <c r="U104" s="49">
        <f t="shared" si="31"/>
        <v>1000</v>
      </c>
      <c r="V104" s="49">
        <f t="shared" si="31"/>
        <v>1000</v>
      </c>
      <c r="W104" s="78">
        <f t="shared" si="31"/>
        <v>0</v>
      </c>
      <c r="X104" s="49">
        <f t="shared" si="31"/>
        <v>0</v>
      </c>
      <c r="Y104" s="49">
        <f t="shared" si="31"/>
        <v>7000</v>
      </c>
      <c r="Z104" s="49">
        <f t="shared" si="31"/>
        <v>0</v>
      </c>
      <c r="AA104" s="49">
        <f t="shared" si="31"/>
        <v>0</v>
      </c>
      <c r="AB104" s="49">
        <f t="shared" si="31"/>
        <v>57.83</v>
      </c>
      <c r="AC104" s="49">
        <f t="shared" si="31"/>
        <v>0</v>
      </c>
      <c r="AD104" s="49">
        <f>SUM(AD99:AD103)-0.01</f>
        <v>81388.256999999998</v>
      </c>
      <c r="AE104" s="49">
        <f t="shared" ref="AE104:AJ104" si="32">SUM(AE99:AE103)</f>
        <v>6100</v>
      </c>
      <c r="AF104" s="49">
        <f t="shared" si="32"/>
        <v>140.34</v>
      </c>
      <c r="AG104" s="49">
        <f t="shared" si="32"/>
        <v>0</v>
      </c>
      <c r="AH104" s="49">
        <f t="shared" si="32"/>
        <v>0</v>
      </c>
      <c r="AI104" s="49">
        <f t="shared" si="32"/>
        <v>0</v>
      </c>
      <c r="AJ104" s="49">
        <f t="shared" si="32"/>
        <v>0</v>
      </c>
      <c r="AK104" s="49">
        <f>SUM(AK99:AK103)-0.01</f>
        <v>87628.596999999994</v>
      </c>
      <c r="AL104" s="42" t="s">
        <v>72</v>
      </c>
      <c r="AM104" s="60">
        <f>AM102+AM98</f>
        <v>87628.6</v>
      </c>
      <c r="AO104" s="24">
        <f>SUM(AO99:AO103)</f>
        <v>87628.606999999989</v>
      </c>
    </row>
    <row r="105" spans="2:135" s="24" customFormat="1" ht="12" x14ac:dyDescent="0.2">
      <c r="B105" s="30"/>
      <c r="C105" s="30"/>
      <c r="D105" s="53"/>
      <c r="E105" s="53"/>
      <c r="F105" s="53"/>
      <c r="G105" s="15"/>
      <c r="H105" s="15"/>
      <c r="I105" s="53"/>
      <c r="J105" s="53"/>
      <c r="K105" s="53"/>
      <c r="L105" s="53"/>
      <c r="M105" s="53"/>
      <c r="N105" s="53"/>
      <c r="O105" s="30"/>
      <c r="P105" s="30"/>
      <c r="Q105" s="53"/>
      <c r="T105" s="53"/>
      <c r="U105" s="30"/>
      <c r="V105" s="30"/>
      <c r="W105" s="30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30"/>
      <c r="AK105" s="53" t="s">
        <v>22</v>
      </c>
      <c r="AL105" s="23"/>
      <c r="AM105" s="23"/>
      <c r="AN105" s="24" t="s">
        <v>22</v>
      </c>
    </row>
    <row r="106" spans="2:135" s="24" customFormat="1" ht="12" x14ac:dyDescent="0.2">
      <c r="B106" s="70" t="s">
        <v>86</v>
      </c>
      <c r="C106" s="93">
        <f t="shared" ref="C106:AJ106" si="33">C104+C89+C79+C61+C41</f>
        <v>1573895.3199999994</v>
      </c>
      <c r="D106" s="93">
        <f t="shared" si="33"/>
        <v>14999.27</v>
      </c>
      <c r="E106" s="93">
        <f t="shared" si="33"/>
        <v>5.99</v>
      </c>
      <c r="F106" s="93">
        <f t="shared" si="33"/>
        <v>24777.769999999997</v>
      </c>
      <c r="G106" s="93">
        <f t="shared" si="33"/>
        <v>1613850.8599999999</v>
      </c>
      <c r="H106" s="93">
        <f t="shared" si="33"/>
        <v>47295</v>
      </c>
      <c r="I106" s="93">
        <f t="shared" si="33"/>
        <v>99845</v>
      </c>
      <c r="J106" s="93">
        <f t="shared" si="33"/>
        <v>147140</v>
      </c>
      <c r="K106" s="93">
        <f t="shared" si="33"/>
        <v>1330</v>
      </c>
      <c r="L106" s="93">
        <f t="shared" si="33"/>
        <v>35416.549999999996</v>
      </c>
      <c r="M106" s="93">
        <f t="shared" si="33"/>
        <v>0</v>
      </c>
      <c r="N106" s="93">
        <f t="shared" si="33"/>
        <v>32915.497499999998</v>
      </c>
      <c r="O106" s="93">
        <f t="shared" si="33"/>
        <v>32915.497499999998</v>
      </c>
      <c r="P106" s="93">
        <f t="shared" si="33"/>
        <v>65830.985000000015</v>
      </c>
      <c r="Q106" s="93">
        <f t="shared" si="33"/>
        <v>0</v>
      </c>
      <c r="R106" s="93">
        <f t="shared" si="33"/>
        <v>0</v>
      </c>
      <c r="S106" s="93">
        <f t="shared" si="33"/>
        <v>0</v>
      </c>
      <c r="T106" s="93">
        <f t="shared" si="33"/>
        <v>143373.7585</v>
      </c>
      <c r="U106" s="93">
        <f t="shared" si="33"/>
        <v>10200</v>
      </c>
      <c r="V106" s="93">
        <f t="shared" si="33"/>
        <v>10100</v>
      </c>
      <c r="W106" s="93">
        <f t="shared" si="33"/>
        <v>21943.040000000001</v>
      </c>
      <c r="X106" s="93">
        <f t="shared" si="33"/>
        <v>0</v>
      </c>
      <c r="Y106" s="93">
        <f t="shared" si="33"/>
        <v>27100</v>
      </c>
      <c r="Z106" s="93">
        <f t="shared" si="33"/>
        <v>30573.07</v>
      </c>
      <c r="AA106" s="93">
        <f t="shared" si="33"/>
        <v>1146.98</v>
      </c>
      <c r="AB106" s="93">
        <f t="shared" si="33"/>
        <v>169.64999999999998</v>
      </c>
      <c r="AC106" s="93">
        <f t="shared" si="33"/>
        <v>455.6</v>
      </c>
      <c r="AD106" s="93">
        <f t="shared" si="33"/>
        <v>1266908.2239999999</v>
      </c>
      <c r="AE106" s="93">
        <f t="shared" si="33"/>
        <v>88070.92</v>
      </c>
      <c r="AF106" s="93">
        <f t="shared" si="33"/>
        <v>1466.63</v>
      </c>
      <c r="AG106" s="93">
        <f t="shared" si="33"/>
        <v>6000</v>
      </c>
      <c r="AH106" s="93">
        <f t="shared" si="33"/>
        <v>2000</v>
      </c>
      <c r="AI106" s="93">
        <f t="shared" si="33"/>
        <v>0</v>
      </c>
      <c r="AJ106" s="93">
        <f t="shared" si="33"/>
        <v>0</v>
      </c>
      <c r="AK106" s="93">
        <f>AK104+AK89+AK79+AK68+AK61+AK41+0.01</f>
        <v>1370771.9339999999</v>
      </c>
      <c r="AL106" s="30"/>
      <c r="AM106" s="30"/>
    </row>
    <row r="107" spans="2:135" s="24" customFormat="1" ht="12" x14ac:dyDescent="0.2">
      <c r="B107" s="30"/>
      <c r="C107" s="30"/>
      <c r="D107" s="53"/>
      <c r="E107" s="53"/>
      <c r="F107" s="53"/>
      <c r="G107" s="15"/>
      <c r="H107" s="15"/>
      <c r="I107" s="53"/>
      <c r="J107" s="53"/>
      <c r="K107" s="53"/>
      <c r="L107" s="53"/>
      <c r="M107" s="53"/>
      <c r="N107" s="53"/>
      <c r="O107" s="53"/>
      <c r="P107" s="53"/>
      <c r="Q107" s="94"/>
      <c r="T107" s="53"/>
      <c r="U107" s="53"/>
      <c r="V107" s="53"/>
      <c r="W107" s="30"/>
      <c r="X107" s="53"/>
      <c r="Y107" s="53"/>
      <c r="Z107" s="53"/>
      <c r="AA107" s="53"/>
      <c r="AB107" s="53"/>
      <c r="AC107" s="53"/>
      <c r="AD107" s="53"/>
      <c r="AE107" s="53"/>
      <c r="AF107" s="95"/>
      <c r="AG107" s="95"/>
      <c r="AH107" s="95"/>
      <c r="AI107" s="95"/>
      <c r="AJ107" s="30"/>
      <c r="AK107" s="95"/>
      <c r="AL107" s="30"/>
      <c r="AM107" s="30"/>
    </row>
    <row r="108" spans="2:135" s="24" customFormat="1" ht="12" x14ac:dyDescent="0.2">
      <c r="B108" s="30"/>
      <c r="C108" s="30"/>
      <c r="D108" s="53"/>
      <c r="E108" s="53"/>
      <c r="F108" s="53"/>
      <c r="G108" s="15">
        <f>48365.57+48438.16</f>
        <v>96803.73000000001</v>
      </c>
      <c r="T108" s="53" t="s">
        <v>22</v>
      </c>
      <c r="U108" s="53"/>
      <c r="V108" s="53"/>
      <c r="W108" s="30"/>
      <c r="X108" s="53"/>
      <c r="Y108" s="53"/>
      <c r="Z108" s="53"/>
      <c r="AA108" s="53"/>
      <c r="AB108" s="53"/>
      <c r="AC108" s="53"/>
      <c r="AD108" s="53">
        <f>44923.4+36464.86</f>
        <v>81388.260000000009</v>
      </c>
      <c r="AE108" s="53"/>
      <c r="AF108" s="95"/>
      <c r="AG108" s="95"/>
      <c r="AH108" s="95"/>
      <c r="AI108" s="95"/>
      <c r="AJ108" s="30"/>
      <c r="AK108" s="16">
        <f>87628.6+18713.97+13955.75+6326.15+201657.92+1042489.54</f>
        <v>1370771.9300000002</v>
      </c>
      <c r="AL108" s="42" t="s">
        <v>66</v>
      </c>
      <c r="AM108" s="30">
        <f>AM96+AM85+AM74+AM66+AM52+AM31</f>
        <v>448286.82999999996</v>
      </c>
      <c r="AN108" s="24" t="s">
        <v>87</v>
      </c>
      <c r="AO108" s="30"/>
    </row>
    <row r="109" spans="2:135" s="24" customFormat="1" ht="12" x14ac:dyDescent="0.2">
      <c r="B109" s="30"/>
      <c r="C109" s="30"/>
      <c r="D109" s="53"/>
      <c r="E109" s="53"/>
      <c r="F109" s="53"/>
      <c r="H109" s="15"/>
      <c r="I109" s="53"/>
      <c r="J109" s="53"/>
      <c r="K109" s="2" t="s">
        <v>101</v>
      </c>
      <c r="L109" s="2"/>
      <c r="M109" s="2"/>
      <c r="N109" s="2" t="s">
        <v>102</v>
      </c>
      <c r="O109" s="2"/>
      <c r="P109" s="2"/>
      <c r="Q109" s="96" t="s">
        <v>103</v>
      </c>
      <c r="T109" s="53"/>
      <c r="U109" s="53"/>
      <c r="V109" s="53"/>
      <c r="W109" s="30"/>
      <c r="X109" s="53"/>
      <c r="Y109" s="53"/>
      <c r="Z109" s="53"/>
      <c r="AA109" s="53"/>
      <c r="AB109" s="53"/>
      <c r="AC109" s="53"/>
      <c r="AD109" s="53">
        <f>21419.69+25061.73+10815.27+11060.59+13030.98</f>
        <v>81388.259999999995</v>
      </c>
      <c r="AE109" s="53"/>
      <c r="AF109" s="97" t="s">
        <v>22</v>
      </c>
      <c r="AG109" s="97"/>
      <c r="AH109" s="98" t="s">
        <v>22</v>
      </c>
      <c r="AI109" s="99"/>
      <c r="AJ109" s="99"/>
      <c r="AK109" s="98"/>
      <c r="AL109" s="42" t="s">
        <v>66</v>
      </c>
      <c r="AM109" s="30">
        <v>0</v>
      </c>
      <c r="AN109" s="24" t="s">
        <v>84</v>
      </c>
      <c r="AO109" s="30"/>
    </row>
    <row r="110" spans="2:135" s="24" customFormat="1" ht="12" x14ac:dyDescent="0.2">
      <c r="B110" s="30"/>
      <c r="C110" s="30"/>
      <c r="D110" s="53"/>
      <c r="E110" s="53"/>
      <c r="F110" s="53"/>
      <c r="H110" s="100" t="s">
        <v>42</v>
      </c>
      <c r="I110" s="101"/>
      <c r="J110" s="101"/>
      <c r="K110" s="102">
        <v>418.22</v>
      </c>
      <c r="L110" s="103">
        <v>418.23</v>
      </c>
      <c r="M110" s="102">
        <f>K110+L110</f>
        <v>836.45</v>
      </c>
      <c r="N110" s="104">
        <v>418.23</v>
      </c>
      <c r="O110" s="105">
        <v>418.23</v>
      </c>
      <c r="P110" s="105">
        <f>N110+O110</f>
        <v>836.46</v>
      </c>
      <c r="Q110" s="105">
        <f>K110-N110</f>
        <v>-9.9999999999909051E-3</v>
      </c>
      <c r="T110" s="53"/>
      <c r="U110" s="53"/>
      <c r="V110" s="53"/>
      <c r="W110" s="30"/>
      <c r="X110" s="53"/>
      <c r="Y110" s="53"/>
      <c r="Z110" s="53"/>
      <c r="AA110" s="53"/>
      <c r="AB110" s="53"/>
      <c r="AC110" s="53"/>
      <c r="AD110" s="53" t="s">
        <v>22</v>
      </c>
      <c r="AE110" s="53"/>
      <c r="AF110" s="95"/>
      <c r="AG110" s="95"/>
      <c r="AH110" s="106" t="s">
        <v>22</v>
      </c>
      <c r="AI110" s="95"/>
      <c r="AJ110" s="30"/>
      <c r="AK110" s="98" t="s">
        <v>22</v>
      </c>
      <c r="AL110" s="42" t="s">
        <v>68</v>
      </c>
      <c r="AM110" s="107">
        <f>AM97+AM86+AM75+AM53+AM32</f>
        <v>53053.689999999995</v>
      </c>
      <c r="AN110" s="24" t="s">
        <v>87</v>
      </c>
      <c r="AO110" s="30"/>
    </row>
    <row r="111" spans="2:135" s="24" customFormat="1" ht="12" x14ac:dyDescent="0.2">
      <c r="B111" s="30"/>
      <c r="C111" s="30"/>
      <c r="D111" s="53"/>
      <c r="E111" s="53"/>
      <c r="F111" s="53"/>
      <c r="H111" s="108" t="s">
        <v>50</v>
      </c>
      <c r="I111" s="101"/>
      <c r="J111" s="101"/>
      <c r="K111" s="102">
        <v>628.41999999999996</v>
      </c>
      <c r="L111" s="103">
        <v>628.42999999999995</v>
      </c>
      <c r="M111" s="102">
        <f>K111+L111</f>
        <v>1256.8499999999999</v>
      </c>
      <c r="N111" s="104">
        <v>628.42999999999995</v>
      </c>
      <c r="O111" s="105">
        <v>628.42999999999995</v>
      </c>
      <c r="P111" s="105">
        <f>N111+O111</f>
        <v>1256.8599999999999</v>
      </c>
      <c r="Q111" s="105">
        <f>K111-N111</f>
        <v>-9.9999999999909051E-3</v>
      </c>
      <c r="T111" s="53"/>
      <c r="U111" s="53"/>
      <c r="V111" s="53"/>
      <c r="W111" s="30"/>
      <c r="X111" s="53"/>
      <c r="Y111" s="53"/>
      <c r="Z111" s="53"/>
      <c r="AA111" s="53"/>
      <c r="AB111" s="53"/>
      <c r="AC111" s="53"/>
      <c r="AD111" s="53"/>
      <c r="AE111" s="53"/>
      <c r="AF111" s="95"/>
      <c r="AG111" s="95"/>
      <c r="AH111" s="95"/>
      <c r="AI111" s="95"/>
      <c r="AJ111" s="30"/>
      <c r="AK111" s="98" t="s">
        <v>22</v>
      </c>
      <c r="AL111" s="42" t="s">
        <v>28</v>
      </c>
      <c r="AM111" s="30">
        <f>SUM(AM108:AM110)</f>
        <v>501340.51999999996</v>
      </c>
      <c r="AO111" s="30"/>
    </row>
    <row r="112" spans="2:135" s="24" customFormat="1" ht="12" x14ac:dyDescent="0.2">
      <c r="B112" s="30"/>
      <c r="C112" s="30"/>
      <c r="D112" s="53"/>
      <c r="E112" s="53"/>
      <c r="F112" s="53"/>
      <c r="H112" s="100" t="s">
        <v>69</v>
      </c>
      <c r="I112" s="101"/>
      <c r="J112" s="101"/>
      <c r="K112" s="102">
        <v>453.32</v>
      </c>
      <c r="L112" s="103">
        <v>453.33</v>
      </c>
      <c r="M112" s="102">
        <f>K112+L112</f>
        <v>906.65</v>
      </c>
      <c r="N112" s="104">
        <v>453.32</v>
      </c>
      <c r="O112" s="105">
        <v>453.33</v>
      </c>
      <c r="P112" s="105">
        <f>N112+O112</f>
        <v>906.65</v>
      </c>
      <c r="Q112" s="105">
        <f>K112-N112</f>
        <v>0</v>
      </c>
      <c r="T112" s="53"/>
      <c r="U112" s="53"/>
      <c r="V112" s="53"/>
      <c r="W112" s="30"/>
      <c r="X112" s="53"/>
      <c r="Y112" s="53"/>
      <c r="Z112" s="53"/>
      <c r="AA112" s="53"/>
      <c r="AB112" s="53"/>
      <c r="AC112" s="53"/>
      <c r="AD112" s="53"/>
      <c r="AE112" s="53"/>
      <c r="AF112" s="95"/>
      <c r="AG112" s="95"/>
      <c r="AH112" s="95"/>
      <c r="AI112" s="95"/>
      <c r="AJ112" s="30"/>
      <c r="AK112" s="98" t="s">
        <v>22</v>
      </c>
      <c r="AM112" s="30" t="s">
        <v>22</v>
      </c>
      <c r="AO112" s="30"/>
    </row>
    <row r="113" spans="2:41" s="24" customFormat="1" ht="12" x14ac:dyDescent="0.2">
      <c r="B113" s="30"/>
      <c r="C113" s="30"/>
      <c r="D113" s="53"/>
      <c r="E113" s="53"/>
      <c r="F113" s="53"/>
      <c r="H113" s="100" t="s">
        <v>79</v>
      </c>
      <c r="I113" s="101"/>
      <c r="J113" s="101"/>
      <c r="K113" s="102">
        <v>628.41999999999996</v>
      </c>
      <c r="L113" s="103">
        <v>628.42999999999995</v>
      </c>
      <c r="M113" s="102">
        <f>K113+L113</f>
        <v>1256.8499999999999</v>
      </c>
      <c r="N113" s="104">
        <v>628.42999999999995</v>
      </c>
      <c r="O113" s="105">
        <v>628.42999999999995</v>
      </c>
      <c r="P113" s="105">
        <f>N113+O113</f>
        <v>1256.8599999999999</v>
      </c>
      <c r="Q113" s="105">
        <f>K113-N113</f>
        <v>-9.9999999999909051E-3</v>
      </c>
      <c r="T113" s="53"/>
      <c r="U113" s="53"/>
      <c r="V113" s="53"/>
      <c r="W113" s="30"/>
      <c r="X113" s="53"/>
      <c r="Y113" s="53"/>
      <c r="Z113" s="53"/>
      <c r="AA113" s="53"/>
      <c r="AB113" s="53"/>
      <c r="AC113" s="53"/>
      <c r="AD113" s="53"/>
      <c r="AE113" s="53"/>
      <c r="AF113" s="95"/>
      <c r="AG113" s="95"/>
      <c r="AH113" s="95"/>
      <c r="AI113" s="95"/>
      <c r="AJ113" s="30"/>
      <c r="AK113" s="98" t="s">
        <v>22</v>
      </c>
      <c r="AL113" s="42" t="s">
        <v>75</v>
      </c>
      <c r="AM113" s="30">
        <f>AM100+AM88+AM78+AM67+AM57+AM36</f>
        <v>376863.47</v>
      </c>
      <c r="AN113" s="24" t="s">
        <v>87</v>
      </c>
      <c r="AO113" s="30"/>
    </row>
    <row r="114" spans="2:41" s="24" customFormat="1" ht="12" x14ac:dyDescent="0.2">
      <c r="B114" s="30"/>
      <c r="C114" s="30"/>
      <c r="D114" s="53"/>
      <c r="E114" s="53"/>
      <c r="F114" s="53"/>
      <c r="H114" s="53"/>
      <c r="I114" s="53"/>
      <c r="J114" s="53"/>
      <c r="K114" s="53"/>
      <c r="L114" s="53"/>
      <c r="M114" s="53"/>
      <c r="N114" s="94"/>
      <c r="T114" s="53"/>
      <c r="U114" s="53"/>
      <c r="V114" s="53"/>
      <c r="W114" s="30"/>
      <c r="X114" s="53"/>
      <c r="Y114" s="53"/>
      <c r="Z114" s="53"/>
      <c r="AA114" s="53"/>
      <c r="AB114" s="53"/>
      <c r="AC114" s="53"/>
      <c r="AD114" s="53"/>
      <c r="AE114" s="53"/>
      <c r="AF114" s="95"/>
      <c r="AG114" s="95"/>
      <c r="AH114" s="95"/>
      <c r="AI114" s="95"/>
      <c r="AJ114" s="30"/>
      <c r="AK114" s="98" t="s">
        <v>22</v>
      </c>
      <c r="AL114" s="42" t="s">
        <v>75</v>
      </c>
      <c r="AM114" s="30">
        <f>AM59+AM38</f>
        <v>0</v>
      </c>
      <c r="AN114" s="24" t="s">
        <v>84</v>
      </c>
      <c r="AO114" s="30"/>
    </row>
    <row r="115" spans="2:41" s="24" customFormat="1" ht="12" x14ac:dyDescent="0.2">
      <c r="B115" s="30"/>
      <c r="C115" s="30"/>
      <c r="D115" s="53"/>
      <c r="E115" s="53"/>
      <c r="F115" s="53"/>
      <c r="H115" s="53">
        <f>H106+K106+N106+U106</f>
        <v>91740.497499999998</v>
      </c>
      <c r="I115" s="53"/>
      <c r="J115" s="53"/>
      <c r="K115" s="53"/>
      <c r="L115" s="53"/>
      <c r="M115" s="53"/>
      <c r="N115" s="94"/>
      <c r="T115" s="53"/>
      <c r="U115" s="53"/>
      <c r="V115" s="53"/>
      <c r="W115" s="30"/>
      <c r="X115" s="53"/>
      <c r="Y115" s="53"/>
      <c r="Z115" s="53"/>
      <c r="AA115" s="53"/>
      <c r="AB115" s="53"/>
      <c r="AC115" s="53"/>
      <c r="AD115" s="53"/>
      <c r="AE115" s="53"/>
      <c r="AF115" s="95"/>
      <c r="AG115" s="95"/>
      <c r="AH115" s="95"/>
      <c r="AI115" s="95"/>
      <c r="AJ115" s="30"/>
      <c r="AK115" s="98" t="s">
        <v>22</v>
      </c>
      <c r="AL115" s="42" t="s">
        <v>68</v>
      </c>
      <c r="AM115" s="107">
        <f>AM101+AM89+AM58+AM37</f>
        <v>44495.360000000001</v>
      </c>
      <c r="AN115" s="24" t="s">
        <v>87</v>
      </c>
      <c r="AO115" s="30"/>
    </row>
    <row r="116" spans="2:41" s="24" customFormat="1" x14ac:dyDescent="0.25">
      <c r="B116" s="30"/>
      <c r="C116" s="30"/>
      <c r="D116" s="53"/>
      <c r="E116" s="53"/>
      <c r="F116" s="53"/>
      <c r="G116" s="15">
        <v>1621427.01</v>
      </c>
      <c r="H116" s="124">
        <v>91660.5</v>
      </c>
      <c r="T116" s="53"/>
      <c r="U116" s="53"/>
      <c r="V116" s="53"/>
      <c r="W116" s="30"/>
      <c r="X116" s="53"/>
      <c r="Y116" s="53"/>
      <c r="Z116" s="53"/>
      <c r="AA116" s="53"/>
      <c r="AB116" s="53"/>
      <c r="AC116" s="53"/>
      <c r="AD116" s="53"/>
      <c r="AE116" s="53"/>
      <c r="AF116" s="95"/>
      <c r="AG116" s="95"/>
      <c r="AH116" s="95"/>
      <c r="AI116" s="95"/>
      <c r="AJ116" s="30"/>
      <c r="AK116" s="98" t="s">
        <v>22</v>
      </c>
      <c r="AL116" s="42" t="s">
        <v>28</v>
      </c>
      <c r="AM116" s="30">
        <f>SUM(AM113:AM115)</f>
        <v>421358.82999999996</v>
      </c>
      <c r="AN116" s="24" t="s">
        <v>22</v>
      </c>
      <c r="AO116" s="30"/>
    </row>
    <row r="117" spans="2:41" s="24" customFormat="1" ht="12" x14ac:dyDescent="0.2">
      <c r="B117" s="30"/>
      <c r="C117" s="30"/>
      <c r="D117" s="53"/>
      <c r="E117" s="53"/>
      <c r="F117" s="53"/>
      <c r="G117" s="15"/>
      <c r="H117" s="15">
        <f>H115-H116</f>
        <v>79.997499999997672</v>
      </c>
      <c r="I117" s="53"/>
      <c r="J117" s="53"/>
      <c r="K117" s="53"/>
      <c r="L117" s="53"/>
      <c r="M117" s="53"/>
      <c r="N117" s="53"/>
      <c r="O117" s="53"/>
      <c r="P117" s="53"/>
      <c r="Q117" s="94"/>
      <c r="T117" s="53"/>
      <c r="U117" s="53"/>
      <c r="V117" s="53"/>
      <c r="W117" s="30"/>
      <c r="X117" s="53"/>
      <c r="Y117" s="53"/>
      <c r="Z117" s="53"/>
      <c r="AA117" s="53"/>
      <c r="AB117" s="53"/>
      <c r="AC117" s="53"/>
      <c r="AD117" s="53"/>
      <c r="AE117" s="53"/>
      <c r="AF117" s="95"/>
      <c r="AG117" s="95"/>
      <c r="AH117" s="95"/>
      <c r="AI117" s="95"/>
      <c r="AJ117" s="30"/>
      <c r="AK117" s="98" t="s">
        <v>22</v>
      </c>
      <c r="AM117" s="30"/>
      <c r="AO117" s="30"/>
    </row>
    <row r="118" spans="2:41" s="24" customFormat="1" ht="12" x14ac:dyDescent="0.2">
      <c r="B118" s="30"/>
      <c r="C118" s="30"/>
      <c r="D118" s="53"/>
      <c r="E118" s="53"/>
      <c r="F118" s="53"/>
      <c r="G118" s="15">
        <f>G106-G116</f>
        <v>-7576.1500000001397</v>
      </c>
      <c r="H118" s="15"/>
      <c r="I118" s="53"/>
      <c r="J118" s="53"/>
      <c r="K118" s="53"/>
      <c r="L118" s="53"/>
      <c r="M118" s="53"/>
      <c r="N118" s="53"/>
      <c r="O118" s="53"/>
      <c r="P118" s="53"/>
      <c r="Q118" s="94"/>
      <c r="T118" s="53"/>
      <c r="U118" s="53"/>
      <c r="V118" s="53"/>
      <c r="W118" s="30"/>
      <c r="X118" s="53"/>
      <c r="Y118" s="53"/>
      <c r="Z118" s="53"/>
      <c r="AA118" s="53"/>
      <c r="AB118" s="53"/>
      <c r="AC118" s="53"/>
      <c r="AD118" s="53"/>
      <c r="AE118" s="53"/>
      <c r="AF118" s="95"/>
      <c r="AG118" s="95"/>
      <c r="AH118" s="95"/>
      <c r="AI118" s="95"/>
      <c r="AJ118" s="30"/>
      <c r="AK118" s="98" t="s">
        <v>22</v>
      </c>
      <c r="AL118" s="13" t="s">
        <v>22</v>
      </c>
      <c r="AM118" s="15" t="s">
        <v>22</v>
      </c>
      <c r="AO118" s="30"/>
    </row>
    <row r="119" spans="2:41" s="24" customFormat="1" ht="12" x14ac:dyDescent="0.2">
      <c r="B119" s="30"/>
      <c r="C119" s="30"/>
      <c r="D119" s="53"/>
      <c r="E119" s="53"/>
      <c r="F119" s="53"/>
      <c r="G119" s="15"/>
      <c r="H119" s="15"/>
      <c r="I119" s="53"/>
      <c r="J119" s="53"/>
      <c r="K119" s="53"/>
      <c r="L119" s="53"/>
      <c r="M119" s="53"/>
      <c r="N119" s="53"/>
      <c r="O119" s="53"/>
      <c r="P119" s="53"/>
      <c r="Q119" s="94"/>
      <c r="T119" s="53"/>
      <c r="U119" s="53"/>
      <c r="V119" s="53"/>
      <c r="W119" s="30"/>
      <c r="X119" s="53"/>
      <c r="Y119" s="53"/>
      <c r="Z119" s="53"/>
      <c r="AA119" s="53"/>
      <c r="AB119" s="53"/>
      <c r="AC119" s="53"/>
      <c r="AD119" s="53"/>
      <c r="AE119" s="53"/>
      <c r="AF119" s="95"/>
      <c r="AG119" s="95"/>
      <c r="AH119" s="95"/>
      <c r="AI119" s="95"/>
      <c r="AJ119" s="30"/>
      <c r="AK119" s="98" t="s">
        <v>22</v>
      </c>
      <c r="AL119" s="13" t="s">
        <v>104</v>
      </c>
      <c r="AM119" s="15">
        <f>AM111+AM116</f>
        <v>922699.34999999986</v>
      </c>
      <c r="AO119" s="30"/>
    </row>
    <row r="120" spans="2:41" s="24" customFormat="1" ht="12" x14ac:dyDescent="0.2">
      <c r="B120" s="30"/>
      <c r="C120" s="30"/>
      <c r="D120" s="53"/>
      <c r="E120" s="53"/>
      <c r="F120" s="53"/>
      <c r="G120" s="15"/>
      <c r="H120" s="15"/>
      <c r="I120" s="53"/>
      <c r="J120" s="53"/>
      <c r="K120" s="53"/>
      <c r="L120" s="53"/>
      <c r="M120" s="53"/>
      <c r="N120" s="53"/>
      <c r="O120" s="53"/>
      <c r="P120" s="53"/>
      <c r="Q120" s="94"/>
      <c r="T120" s="53"/>
      <c r="U120" s="53"/>
      <c r="V120" s="53"/>
      <c r="W120" s="30"/>
      <c r="X120" s="53"/>
      <c r="Y120" s="53"/>
      <c r="Z120" s="53"/>
      <c r="AA120" s="53"/>
      <c r="AB120" s="53"/>
      <c r="AC120" s="53"/>
      <c r="AD120" s="53"/>
      <c r="AE120" s="53"/>
      <c r="AF120" s="95"/>
      <c r="AG120" s="95"/>
      <c r="AH120" s="95"/>
      <c r="AI120" s="95"/>
      <c r="AJ120" s="30"/>
      <c r="AK120" s="98" t="s">
        <v>22</v>
      </c>
      <c r="AL120" s="13" t="s">
        <v>84</v>
      </c>
      <c r="AM120" s="14">
        <v>0</v>
      </c>
      <c r="AO120" s="30"/>
    </row>
    <row r="121" spans="2:41" s="24" customFormat="1" ht="12" x14ac:dyDescent="0.2">
      <c r="B121" s="30"/>
      <c r="C121" s="30"/>
      <c r="D121" s="53"/>
      <c r="E121" s="53"/>
      <c r="F121" s="53"/>
      <c r="G121" s="15"/>
      <c r="H121" s="15"/>
      <c r="I121" s="53"/>
      <c r="J121" s="53"/>
      <c r="K121" s="53"/>
      <c r="L121" s="53"/>
      <c r="M121" s="53"/>
      <c r="N121" s="53"/>
      <c r="O121" s="53"/>
      <c r="P121" s="53"/>
      <c r="Q121" s="94"/>
      <c r="T121" s="53"/>
      <c r="U121" s="53"/>
      <c r="V121" s="53"/>
      <c r="W121" s="30"/>
      <c r="X121" s="53"/>
      <c r="Y121" s="53"/>
      <c r="Z121" s="53"/>
      <c r="AA121" s="53"/>
      <c r="AB121" s="53"/>
      <c r="AC121" s="53"/>
      <c r="AD121" s="53"/>
      <c r="AE121" s="53"/>
      <c r="AF121" s="95"/>
      <c r="AG121" s="95"/>
      <c r="AH121" s="95"/>
      <c r="AI121" s="95"/>
      <c r="AJ121" s="30"/>
      <c r="AK121" s="30"/>
      <c r="AL121" s="13" t="s">
        <v>105</v>
      </c>
      <c r="AM121" s="109">
        <f>AM41</f>
        <v>448072.58149999985</v>
      </c>
      <c r="AO121" s="30"/>
    </row>
    <row r="122" spans="2:41" s="24" customFormat="1" ht="12.75" x14ac:dyDescent="0.2">
      <c r="B122" s="30"/>
      <c r="C122" s="30"/>
      <c r="D122" s="53"/>
      <c r="E122" s="53"/>
      <c r="F122" s="53"/>
      <c r="G122" s="15"/>
      <c r="H122" s="15"/>
      <c r="I122" s="53"/>
      <c r="J122" s="53"/>
      <c r="K122" s="53"/>
      <c r="L122" s="53"/>
      <c r="M122" s="53"/>
      <c r="N122" s="53"/>
      <c r="O122" s="53"/>
      <c r="P122" s="53"/>
      <c r="Q122" s="94"/>
      <c r="T122" s="53"/>
      <c r="U122" s="53"/>
      <c r="V122" s="53"/>
      <c r="W122" s="30"/>
      <c r="X122" s="53"/>
      <c r="Y122" s="53"/>
      <c r="Z122" s="53"/>
      <c r="AA122" s="53"/>
      <c r="AB122" s="53"/>
      <c r="AC122" s="53"/>
      <c r="AD122" s="53"/>
      <c r="AE122" s="53"/>
      <c r="AF122" s="95"/>
      <c r="AG122" s="95"/>
      <c r="AH122" s="95"/>
      <c r="AI122" s="30"/>
      <c r="AJ122" s="30"/>
      <c r="AL122" s="110" t="s">
        <v>106</v>
      </c>
      <c r="AM122" s="111">
        <f>AM119+AM120+AM121</f>
        <v>1370771.9314999997</v>
      </c>
      <c r="AN122" s="24" t="s">
        <v>22</v>
      </c>
      <c r="AO122" s="30"/>
    </row>
    <row r="123" spans="2:41" s="24" customFormat="1" ht="12.75" x14ac:dyDescent="0.2">
      <c r="B123" s="30"/>
      <c r="C123" s="30"/>
      <c r="D123" s="53"/>
      <c r="E123" s="53"/>
      <c r="F123" s="53"/>
      <c r="G123" s="15"/>
      <c r="H123" s="15"/>
      <c r="I123" s="53"/>
      <c r="J123" s="53"/>
      <c r="K123" s="53"/>
      <c r="L123" s="53"/>
      <c r="M123" s="53"/>
      <c r="N123" s="53"/>
      <c r="O123" s="53"/>
      <c r="P123" s="53"/>
      <c r="Q123" s="94"/>
      <c r="T123" s="53"/>
      <c r="U123" s="53"/>
      <c r="V123" s="53"/>
      <c r="W123" s="30"/>
      <c r="X123" s="53"/>
      <c r="Y123" s="53"/>
      <c r="Z123" s="53"/>
      <c r="AA123" s="53"/>
      <c r="AB123" s="53"/>
      <c r="AC123" s="53"/>
      <c r="AD123" s="53"/>
      <c r="AE123" s="53"/>
      <c r="AF123" s="95"/>
      <c r="AG123" s="95"/>
      <c r="AH123" s="95"/>
      <c r="AI123" s="30"/>
      <c r="AJ123" s="30"/>
      <c r="AL123" s="39"/>
      <c r="AM123" s="39"/>
      <c r="AO123" s="30"/>
    </row>
    <row r="124" spans="2:41" s="24" customFormat="1" ht="12" x14ac:dyDescent="0.2">
      <c r="B124" s="30"/>
      <c r="C124" s="30"/>
      <c r="D124" s="53"/>
      <c r="E124" s="53"/>
      <c r="F124" s="53"/>
      <c r="G124" s="15"/>
      <c r="H124" s="15"/>
      <c r="I124" s="53"/>
      <c r="J124" s="53"/>
      <c r="K124" s="53"/>
      <c r="L124" s="53"/>
      <c r="M124" s="53"/>
      <c r="N124" s="53"/>
      <c r="O124" s="53"/>
      <c r="P124" s="53"/>
      <c r="Q124" s="94"/>
      <c r="R124" s="53"/>
      <c r="S124" s="53"/>
      <c r="T124" s="53"/>
      <c r="U124" s="30"/>
      <c r="V124" s="53"/>
      <c r="W124" s="53"/>
      <c r="X124" s="53"/>
      <c r="Y124" s="53"/>
      <c r="Z124" s="53"/>
      <c r="AA124" s="53"/>
      <c r="AB124" s="53"/>
      <c r="AC124" s="53"/>
      <c r="AD124" s="95"/>
      <c r="AE124" s="95"/>
      <c r="AF124" s="95"/>
      <c r="AG124" s="30"/>
      <c r="AH124" s="30"/>
      <c r="AM124" s="30"/>
      <c r="AO124" s="30"/>
    </row>
    <row r="125" spans="2:41" s="24" customFormat="1" ht="12" x14ac:dyDescent="0.2">
      <c r="B125" s="30"/>
      <c r="C125" s="30"/>
      <c r="D125" s="53"/>
      <c r="E125" s="53"/>
      <c r="F125" s="53"/>
      <c r="G125" s="15"/>
      <c r="H125" s="15"/>
      <c r="I125" s="53"/>
      <c r="J125" s="53"/>
      <c r="K125" s="53"/>
      <c r="L125" s="53"/>
      <c r="M125" s="53"/>
      <c r="N125" s="53"/>
      <c r="O125" s="53"/>
      <c r="P125" s="53"/>
      <c r="Q125" s="94"/>
      <c r="R125" s="53"/>
      <c r="S125" s="53"/>
      <c r="T125" s="53"/>
      <c r="U125" s="30"/>
      <c r="V125" s="53"/>
      <c r="W125" s="53"/>
      <c r="X125" s="53"/>
      <c r="Y125" s="53"/>
      <c r="Z125" s="53"/>
      <c r="AA125" s="53"/>
      <c r="AB125" s="53"/>
      <c r="AC125" s="53"/>
      <c r="AD125" s="95"/>
      <c r="AE125" s="95"/>
      <c r="AF125" s="95"/>
      <c r="AG125" s="30"/>
      <c r="AH125" s="30"/>
      <c r="AM125" s="30" t="s">
        <v>22</v>
      </c>
      <c r="AN125" s="24" t="s">
        <v>22</v>
      </c>
      <c r="AO125" s="30"/>
    </row>
    <row r="126" spans="2:41" s="24" customFormat="1" ht="12" x14ac:dyDescent="0.2">
      <c r="B126" s="30"/>
      <c r="C126" s="30"/>
      <c r="D126" s="53"/>
      <c r="E126" s="53"/>
      <c r="F126" s="53"/>
      <c r="G126" s="15"/>
      <c r="H126" s="15"/>
      <c r="I126" s="53"/>
      <c r="J126" s="53"/>
      <c r="K126" s="53"/>
      <c r="L126" s="53"/>
      <c r="M126" s="53"/>
      <c r="N126" s="53"/>
      <c r="O126" s="53"/>
      <c r="P126" s="53"/>
      <c r="Q126" s="94"/>
      <c r="R126" s="53"/>
      <c r="S126" s="53"/>
      <c r="T126" s="53"/>
      <c r="U126" s="30"/>
      <c r="V126" s="53"/>
      <c r="W126" s="53"/>
      <c r="X126" s="53"/>
      <c r="Y126" s="53"/>
      <c r="Z126" s="53"/>
      <c r="AA126" s="53"/>
      <c r="AB126" s="53"/>
      <c r="AC126" s="53"/>
      <c r="AD126" s="95"/>
      <c r="AE126" s="95"/>
      <c r="AF126" s="95"/>
      <c r="AG126" s="30"/>
      <c r="AH126" s="30"/>
      <c r="AK126" s="112" t="s">
        <v>107</v>
      </c>
      <c r="AL126" s="113" t="s">
        <v>108</v>
      </c>
      <c r="AM126" s="114"/>
      <c r="AN126" s="112" t="s">
        <v>22</v>
      </c>
    </row>
    <row r="127" spans="2:41" s="24" customFormat="1" ht="15.75" customHeight="1" x14ac:dyDescent="0.2">
      <c r="B127" s="30"/>
      <c r="C127" s="30"/>
      <c r="D127" s="53"/>
      <c r="E127" s="53"/>
      <c r="F127" s="53"/>
      <c r="G127" s="15"/>
      <c r="H127" s="15"/>
      <c r="I127" s="53"/>
      <c r="J127" s="53"/>
      <c r="K127" s="53"/>
      <c r="L127" s="53"/>
      <c r="M127" s="53"/>
      <c r="N127" s="53"/>
      <c r="O127" s="53"/>
      <c r="P127" s="53"/>
      <c r="Q127" s="94"/>
      <c r="R127" s="53"/>
      <c r="S127" s="53"/>
      <c r="T127" s="53"/>
      <c r="U127" s="30"/>
      <c r="V127" s="53"/>
      <c r="W127" s="53"/>
      <c r="X127" s="53"/>
      <c r="Y127" s="53"/>
      <c r="Z127" s="53"/>
      <c r="AA127" s="53"/>
      <c r="AB127" s="53"/>
      <c r="AC127" s="53"/>
      <c r="AD127" s="95"/>
      <c r="AE127" s="95"/>
      <c r="AF127" s="95"/>
      <c r="AG127" s="30"/>
      <c r="AH127" s="30"/>
      <c r="AK127" s="112" t="s">
        <v>109</v>
      </c>
      <c r="AL127" s="1" t="s">
        <v>110</v>
      </c>
      <c r="AM127" s="1"/>
      <c r="AN127" s="1"/>
    </row>
    <row r="128" spans="2:41" s="24" customFormat="1" ht="12" x14ac:dyDescent="0.2">
      <c r="B128" s="30"/>
      <c r="C128" s="30"/>
      <c r="D128" s="53"/>
      <c r="E128" s="53"/>
      <c r="F128" s="53"/>
      <c r="G128" s="15"/>
      <c r="H128" s="15"/>
      <c r="I128" s="53"/>
      <c r="J128" s="53"/>
      <c r="K128" s="53"/>
      <c r="L128" s="53"/>
      <c r="M128" s="53"/>
      <c r="N128" s="53"/>
      <c r="O128" s="53"/>
      <c r="P128" s="53"/>
      <c r="Q128" s="94"/>
      <c r="R128" s="53"/>
      <c r="S128" s="53"/>
      <c r="T128" s="53"/>
      <c r="U128" s="30"/>
      <c r="V128" s="53"/>
      <c r="W128" s="53"/>
      <c r="X128" s="53"/>
      <c r="Y128" s="53"/>
      <c r="Z128" s="53"/>
      <c r="AA128" s="53"/>
      <c r="AB128" s="53"/>
      <c r="AC128" s="53"/>
      <c r="AD128" s="95"/>
      <c r="AE128" s="95"/>
      <c r="AF128" s="95"/>
      <c r="AG128" s="30"/>
      <c r="AH128" s="30"/>
      <c r="AK128" s="112" t="s">
        <v>111</v>
      </c>
      <c r="AL128" s="98" t="s">
        <v>112</v>
      </c>
      <c r="AM128" s="114"/>
      <c r="AN128" s="112"/>
    </row>
    <row r="129" spans="2:41" s="24" customFormat="1" ht="12" x14ac:dyDescent="0.2">
      <c r="B129" s="30"/>
      <c r="C129" s="30"/>
      <c r="D129" s="53"/>
      <c r="E129" s="53"/>
      <c r="F129" s="53"/>
      <c r="G129" s="15"/>
      <c r="H129" s="15"/>
      <c r="I129" s="53"/>
      <c r="J129" s="53"/>
      <c r="K129" s="53"/>
      <c r="L129" s="53"/>
      <c r="M129" s="53"/>
      <c r="N129" s="53"/>
      <c r="O129" s="53"/>
      <c r="P129" s="53"/>
      <c r="Q129" s="94"/>
      <c r="R129" s="53"/>
      <c r="S129" s="53"/>
      <c r="T129" s="53"/>
      <c r="U129" s="30"/>
      <c r="V129" s="53"/>
      <c r="W129" s="53"/>
      <c r="X129" s="53"/>
      <c r="Y129" s="53"/>
      <c r="Z129" s="53"/>
      <c r="AA129" s="53"/>
      <c r="AB129" s="53"/>
      <c r="AC129" s="53"/>
      <c r="AD129" s="95"/>
      <c r="AE129" s="95"/>
      <c r="AF129" s="95"/>
      <c r="AG129" s="30"/>
      <c r="AH129" s="30"/>
      <c r="AK129" s="112" t="s">
        <v>113</v>
      </c>
      <c r="AL129" s="98" t="s">
        <v>114</v>
      </c>
      <c r="AM129" s="114"/>
      <c r="AN129" s="112"/>
    </row>
    <row r="130" spans="2:41" s="24" customFormat="1" ht="12.75" x14ac:dyDescent="0.2">
      <c r="B130" s="30"/>
      <c r="C130" s="30"/>
      <c r="D130" s="53"/>
      <c r="E130" s="53"/>
      <c r="F130" s="53"/>
      <c r="G130" s="15"/>
      <c r="H130" s="15"/>
      <c r="I130" s="53"/>
      <c r="J130" s="53"/>
      <c r="K130" s="53"/>
      <c r="L130" s="53"/>
      <c r="M130" s="53"/>
      <c r="N130" s="53"/>
      <c r="O130" s="53"/>
      <c r="P130" s="53"/>
      <c r="Q130" s="94"/>
      <c r="R130" s="53"/>
      <c r="S130" s="53"/>
      <c r="T130" s="53"/>
      <c r="U130" s="30"/>
      <c r="V130" s="53"/>
      <c r="W130" s="53"/>
      <c r="X130" s="53"/>
      <c r="Y130" s="53"/>
      <c r="Z130" s="53"/>
      <c r="AA130" s="53"/>
      <c r="AB130" s="53"/>
      <c r="AC130" s="53"/>
      <c r="AD130" s="95"/>
      <c r="AE130" s="95"/>
      <c r="AF130" s="95"/>
      <c r="AG130" s="30"/>
      <c r="AH130" s="30"/>
      <c r="AK130" s="112" t="s">
        <v>111</v>
      </c>
      <c r="AL130" s="115" t="s">
        <v>115</v>
      </c>
      <c r="AM130" s="114"/>
      <c r="AN130" s="112"/>
    </row>
    <row r="131" spans="2:41" s="24" customFormat="1" ht="12.75" x14ac:dyDescent="0.2">
      <c r="B131" s="30"/>
      <c r="C131" s="30"/>
      <c r="D131" s="53"/>
      <c r="E131" s="53"/>
      <c r="F131" s="53"/>
      <c r="G131" s="15"/>
      <c r="H131" s="15"/>
      <c r="I131" s="53"/>
      <c r="J131" s="53"/>
      <c r="K131" s="53"/>
      <c r="L131" s="53"/>
      <c r="M131" s="53"/>
      <c r="N131" s="53"/>
      <c r="O131" s="53"/>
      <c r="P131" s="53"/>
      <c r="Q131" s="94"/>
      <c r="R131" s="53"/>
      <c r="S131" s="53"/>
      <c r="T131" s="53"/>
      <c r="U131" s="30"/>
      <c r="V131" s="53"/>
      <c r="W131" s="53"/>
      <c r="X131" s="53"/>
      <c r="Y131" s="53"/>
      <c r="Z131" s="53"/>
      <c r="AA131" s="53"/>
      <c r="AB131" s="53"/>
      <c r="AC131" s="53"/>
      <c r="AD131" s="95"/>
      <c r="AE131" s="95"/>
      <c r="AF131" s="95"/>
      <c r="AG131" s="30"/>
      <c r="AH131" s="30"/>
      <c r="AK131" s="112" t="s">
        <v>109</v>
      </c>
      <c r="AL131" s="115" t="s">
        <v>116</v>
      </c>
      <c r="AM131" s="114"/>
      <c r="AN131" s="112"/>
    </row>
    <row r="132" spans="2:41" s="24" customFormat="1" ht="12" x14ac:dyDescent="0.2">
      <c r="B132" s="30"/>
      <c r="C132" s="30"/>
      <c r="D132" s="53"/>
      <c r="E132" s="53"/>
      <c r="F132" s="53"/>
      <c r="G132" s="15"/>
      <c r="H132" s="15"/>
      <c r="I132" s="53"/>
      <c r="J132" s="53"/>
      <c r="K132" s="53"/>
      <c r="L132" s="53"/>
      <c r="M132" s="53"/>
      <c r="N132" s="53"/>
      <c r="O132" s="53"/>
      <c r="P132" s="53"/>
      <c r="Q132" s="94"/>
      <c r="R132" s="53"/>
      <c r="S132" s="53"/>
      <c r="T132" s="53"/>
      <c r="U132" s="30"/>
      <c r="V132" s="53"/>
      <c r="W132" s="53"/>
      <c r="X132" s="53"/>
      <c r="Y132" s="53"/>
      <c r="Z132" s="53"/>
      <c r="AA132" s="53"/>
      <c r="AB132" s="53"/>
      <c r="AC132" s="53"/>
      <c r="AD132" s="95"/>
      <c r="AE132" s="95"/>
      <c r="AF132" s="95"/>
      <c r="AG132" s="30"/>
      <c r="AH132" s="30"/>
      <c r="AK132" s="112" t="s">
        <v>117</v>
      </c>
      <c r="AL132" s="98" t="s">
        <v>118</v>
      </c>
      <c r="AM132" s="114"/>
      <c r="AN132" s="112"/>
      <c r="AO132" s="112"/>
    </row>
    <row r="133" spans="2:41" s="24" customFormat="1" ht="12" x14ac:dyDescent="0.2">
      <c r="B133" s="30"/>
      <c r="C133" s="30"/>
      <c r="D133" s="53"/>
      <c r="E133" s="53"/>
      <c r="F133" s="53"/>
      <c r="G133" s="15"/>
      <c r="H133" s="15"/>
      <c r="I133" s="53"/>
      <c r="J133" s="53"/>
      <c r="K133" s="53"/>
      <c r="L133" s="53"/>
      <c r="M133" s="53"/>
      <c r="N133" s="53"/>
      <c r="O133" s="53"/>
      <c r="P133" s="53"/>
      <c r="Q133" s="94"/>
      <c r="R133" s="53"/>
      <c r="S133" s="53"/>
      <c r="T133" s="53"/>
      <c r="U133" s="30"/>
      <c r="V133" s="53"/>
      <c r="W133" s="53"/>
      <c r="X133" s="53"/>
      <c r="Y133" s="53"/>
      <c r="Z133" s="53"/>
      <c r="AA133" s="53"/>
      <c r="AB133" s="53"/>
      <c r="AC133" s="53"/>
      <c r="AD133" s="95"/>
      <c r="AE133" s="95"/>
      <c r="AF133" s="95"/>
      <c r="AG133" s="30"/>
      <c r="AH133" s="30"/>
      <c r="AK133" s="112" t="s">
        <v>119</v>
      </c>
      <c r="AL133" s="98" t="s">
        <v>120</v>
      </c>
      <c r="AM133" s="114"/>
      <c r="AN133" s="112"/>
      <c r="AO133" s="112"/>
    </row>
    <row r="134" spans="2:41" s="24" customFormat="1" ht="12" x14ac:dyDescent="0.2">
      <c r="B134" s="30"/>
      <c r="C134" s="30"/>
      <c r="D134" s="53"/>
      <c r="E134" s="53"/>
      <c r="F134" s="53"/>
      <c r="G134" s="15"/>
      <c r="H134" s="15"/>
      <c r="I134" s="53"/>
      <c r="J134" s="53"/>
      <c r="K134" s="53"/>
      <c r="L134" s="53"/>
      <c r="M134" s="53"/>
      <c r="N134" s="53"/>
      <c r="O134" s="53"/>
      <c r="P134" s="53"/>
      <c r="Q134" s="94"/>
      <c r="R134" s="53"/>
      <c r="S134" s="53"/>
      <c r="T134" s="53"/>
      <c r="U134" s="30"/>
      <c r="V134" s="53"/>
      <c r="W134" s="53"/>
      <c r="X134" s="53"/>
      <c r="Y134" s="53"/>
      <c r="Z134" s="53"/>
      <c r="AA134" s="53"/>
      <c r="AB134" s="53"/>
      <c r="AC134" s="53"/>
      <c r="AD134" s="95"/>
      <c r="AE134" s="95"/>
      <c r="AF134" s="95"/>
      <c r="AG134" s="30"/>
      <c r="AH134" s="30"/>
      <c r="AK134" s="112" t="s">
        <v>121</v>
      </c>
      <c r="AL134" s="98" t="s">
        <v>122</v>
      </c>
      <c r="AM134" s="114"/>
      <c r="AN134" s="112"/>
      <c r="AO134" s="112"/>
    </row>
    <row r="135" spans="2:41" s="24" customFormat="1" ht="12" x14ac:dyDescent="0.2">
      <c r="B135" s="30"/>
      <c r="C135" s="30"/>
      <c r="D135" s="53"/>
      <c r="E135" s="53"/>
      <c r="F135" s="53"/>
      <c r="G135" s="15"/>
      <c r="H135" s="15"/>
      <c r="I135" s="53"/>
      <c r="J135" s="53"/>
      <c r="K135" s="53"/>
      <c r="L135" s="53"/>
      <c r="M135" s="53"/>
      <c r="N135" s="53"/>
      <c r="O135" s="53"/>
      <c r="P135" s="53"/>
      <c r="Q135" s="94"/>
      <c r="R135" s="53"/>
      <c r="S135" s="53"/>
      <c r="T135" s="53"/>
      <c r="U135" s="30"/>
      <c r="V135" s="53"/>
      <c r="W135" s="53"/>
      <c r="X135" s="53"/>
      <c r="Y135" s="53"/>
      <c r="Z135" s="53"/>
      <c r="AA135" s="53"/>
      <c r="AB135" s="53"/>
      <c r="AC135" s="53"/>
      <c r="AD135" s="95"/>
      <c r="AE135" s="95"/>
      <c r="AF135" s="95"/>
      <c r="AG135" s="30"/>
      <c r="AH135" s="30"/>
      <c r="AK135" s="112" t="s">
        <v>123</v>
      </c>
      <c r="AL135" s="98" t="s">
        <v>124</v>
      </c>
      <c r="AM135" s="114"/>
      <c r="AN135" s="112"/>
      <c r="AO135" s="112"/>
    </row>
    <row r="136" spans="2:41" s="24" customFormat="1" ht="12" x14ac:dyDescent="0.2">
      <c r="B136" s="30"/>
      <c r="C136" s="30"/>
      <c r="D136" s="53"/>
      <c r="E136" s="53"/>
      <c r="F136" s="53"/>
      <c r="G136" s="15"/>
      <c r="H136" s="15"/>
      <c r="I136" s="53"/>
      <c r="J136" s="53"/>
      <c r="K136" s="53"/>
      <c r="L136" s="53"/>
      <c r="M136" s="53"/>
      <c r="N136" s="53"/>
      <c r="O136" s="53"/>
      <c r="P136" s="53"/>
      <c r="Q136" s="94"/>
      <c r="R136" s="53"/>
      <c r="S136" s="53"/>
      <c r="T136" s="53"/>
      <c r="U136" s="30"/>
      <c r="V136" s="53"/>
      <c r="W136" s="53"/>
      <c r="X136" s="53"/>
      <c r="Y136" s="53"/>
      <c r="Z136" s="53"/>
      <c r="AA136" s="53"/>
      <c r="AB136" s="53"/>
      <c r="AC136" s="53"/>
      <c r="AD136" s="95"/>
      <c r="AE136" s="95"/>
      <c r="AF136" s="95"/>
      <c r="AG136" s="30"/>
      <c r="AH136" s="30"/>
      <c r="AK136" s="112" t="s">
        <v>125</v>
      </c>
      <c r="AL136" s="98" t="s">
        <v>126</v>
      </c>
      <c r="AM136" s="114"/>
      <c r="AN136" s="112"/>
      <c r="AO136" s="112"/>
    </row>
    <row r="137" spans="2:41" s="24" customFormat="1" ht="12" x14ac:dyDescent="0.2">
      <c r="B137" s="30"/>
      <c r="C137" s="30"/>
      <c r="D137" s="53"/>
      <c r="E137" s="53"/>
      <c r="F137" s="53"/>
      <c r="G137" s="15"/>
      <c r="H137" s="15"/>
      <c r="I137" s="53"/>
      <c r="J137" s="53"/>
      <c r="K137" s="53"/>
      <c r="L137" s="53"/>
      <c r="M137" s="53"/>
      <c r="N137" s="53"/>
      <c r="O137" s="53"/>
      <c r="P137" s="53"/>
      <c r="Q137" s="94"/>
      <c r="R137" s="53"/>
      <c r="S137" s="53"/>
      <c r="T137" s="53"/>
      <c r="U137" s="30"/>
      <c r="V137" s="53"/>
      <c r="W137" s="53"/>
      <c r="X137" s="53"/>
      <c r="Y137" s="53"/>
      <c r="Z137" s="53"/>
      <c r="AA137" s="53"/>
      <c r="AB137" s="53"/>
      <c r="AC137" s="53"/>
      <c r="AD137" s="95"/>
      <c r="AE137" s="95"/>
      <c r="AF137" s="95"/>
      <c r="AG137" s="30"/>
      <c r="AH137" s="30"/>
      <c r="AM137" s="30"/>
    </row>
    <row r="138" spans="2:41" s="24" customFormat="1" ht="12" x14ac:dyDescent="0.2">
      <c r="B138" s="30"/>
      <c r="C138" s="30"/>
      <c r="D138" s="53"/>
      <c r="E138" s="53"/>
      <c r="F138" s="53"/>
      <c r="G138" s="15"/>
      <c r="H138" s="15"/>
      <c r="I138" s="53"/>
      <c r="J138" s="53"/>
      <c r="K138" s="53"/>
      <c r="L138" s="53"/>
      <c r="M138" s="53"/>
      <c r="N138" s="53"/>
      <c r="O138" s="53"/>
      <c r="P138" s="53"/>
      <c r="Q138" s="94"/>
      <c r="R138" s="53"/>
      <c r="S138" s="53"/>
      <c r="T138" s="53"/>
      <c r="U138" s="30"/>
      <c r="V138" s="53"/>
      <c r="W138" s="53"/>
      <c r="X138" s="53"/>
      <c r="Y138" s="53"/>
      <c r="Z138" s="53"/>
      <c r="AA138" s="53"/>
      <c r="AB138" s="53"/>
      <c r="AC138" s="53"/>
      <c r="AD138" s="95"/>
      <c r="AE138" s="95"/>
      <c r="AF138" s="95"/>
      <c r="AG138" s="30"/>
      <c r="AH138" s="30"/>
      <c r="AM138" s="30"/>
    </row>
  </sheetData>
  <mergeCells count="199">
    <mergeCell ref="K109:M109"/>
    <mergeCell ref="N109:P109"/>
    <mergeCell ref="AL127:AN127"/>
    <mergeCell ref="AD96:AD98"/>
    <mergeCell ref="AE96:AH96"/>
    <mergeCell ref="AI96:AI98"/>
    <mergeCell ref="AK96:AK98"/>
    <mergeCell ref="H97:H98"/>
    <mergeCell ref="I97:I98"/>
    <mergeCell ref="J97:J98"/>
    <mergeCell ref="K97:K98"/>
    <mergeCell ref="N97:N98"/>
    <mergeCell ref="O97:O98"/>
    <mergeCell ref="P97:P98"/>
    <mergeCell ref="Q97:Q98"/>
    <mergeCell ref="R97:R98"/>
    <mergeCell ref="S97:S98"/>
    <mergeCell ref="AE97:AH97"/>
    <mergeCell ref="N96:S96"/>
    <mergeCell ref="T96:T98"/>
    <mergeCell ref="U96:V97"/>
    <mergeCell ref="W96:W98"/>
    <mergeCell ref="X96:X98"/>
    <mergeCell ref="Y96:Y98"/>
    <mergeCell ref="Z96:Z98"/>
    <mergeCell ref="AA96:AA98"/>
    <mergeCell ref="AB96:AB98"/>
    <mergeCell ref="B96:B98"/>
    <mergeCell ref="C96:C98"/>
    <mergeCell ref="D96:D98"/>
    <mergeCell ref="E96:E98"/>
    <mergeCell ref="F96:F98"/>
    <mergeCell ref="G96:G98"/>
    <mergeCell ref="H96:K96"/>
    <mergeCell ref="L96:L98"/>
    <mergeCell ref="M96:M98"/>
    <mergeCell ref="AD84:AD86"/>
    <mergeCell ref="AE84:AH85"/>
    <mergeCell ref="H85:H86"/>
    <mergeCell ref="I85:I86"/>
    <mergeCell ref="J85:J86"/>
    <mergeCell ref="K85:K86"/>
    <mergeCell ref="N85:N86"/>
    <mergeCell ref="O85:O86"/>
    <mergeCell ref="P85:P86"/>
    <mergeCell ref="Q85:Q86"/>
    <mergeCell ref="R85:R86"/>
    <mergeCell ref="S85:S86"/>
    <mergeCell ref="U85:U86"/>
    <mergeCell ref="V85:V86"/>
    <mergeCell ref="N84:S84"/>
    <mergeCell ref="T84:T86"/>
    <mergeCell ref="U84:V84"/>
    <mergeCell ref="W84:W86"/>
    <mergeCell ref="X84:X86"/>
    <mergeCell ref="Y84:Y86"/>
    <mergeCell ref="Z84:Z86"/>
    <mergeCell ref="AA84:AA86"/>
    <mergeCell ref="AB84:AB86"/>
    <mergeCell ref="B84:B86"/>
    <mergeCell ref="C84:C86"/>
    <mergeCell ref="D84:D86"/>
    <mergeCell ref="E84:E86"/>
    <mergeCell ref="F84:F86"/>
    <mergeCell ref="G84:G86"/>
    <mergeCell ref="H84:K84"/>
    <mergeCell ref="L84:L86"/>
    <mergeCell ref="M84:M86"/>
    <mergeCell ref="AD74:AD76"/>
    <mergeCell ref="AE74:AH75"/>
    <mergeCell ref="AI74:AI76"/>
    <mergeCell ref="AK74:AK76"/>
    <mergeCell ref="H75:H76"/>
    <mergeCell ref="I75:I76"/>
    <mergeCell ref="J75:J76"/>
    <mergeCell ref="K75:K76"/>
    <mergeCell ref="N75:N76"/>
    <mergeCell ref="O75:O76"/>
    <mergeCell ref="P75:P76"/>
    <mergeCell ref="Q75:Q76"/>
    <mergeCell ref="R75:R76"/>
    <mergeCell ref="S75:S76"/>
    <mergeCell ref="N74:S74"/>
    <mergeCell ref="T74:T76"/>
    <mergeCell ref="U74:V75"/>
    <mergeCell ref="W74:W76"/>
    <mergeCell ref="X74:X76"/>
    <mergeCell ref="Y74:Y76"/>
    <mergeCell ref="Z74:Z76"/>
    <mergeCell ref="AA74:AA76"/>
    <mergeCell ref="AB74:AB76"/>
    <mergeCell ref="B74:B76"/>
    <mergeCell ref="C74:C76"/>
    <mergeCell ref="D74:D76"/>
    <mergeCell ref="E74:E76"/>
    <mergeCell ref="F74:F76"/>
    <mergeCell ref="G74:G76"/>
    <mergeCell ref="H74:K74"/>
    <mergeCell ref="L74:L76"/>
    <mergeCell ref="M74:M76"/>
    <mergeCell ref="AD64:AD66"/>
    <mergeCell ref="AE64:AH65"/>
    <mergeCell ref="AI64:AI66"/>
    <mergeCell ref="AK64:AK66"/>
    <mergeCell ref="H65:H66"/>
    <mergeCell ref="I65:I66"/>
    <mergeCell ref="J65:J66"/>
    <mergeCell ref="K65:K66"/>
    <mergeCell ref="N65:N66"/>
    <mergeCell ref="O65:O66"/>
    <mergeCell ref="P65:P66"/>
    <mergeCell ref="Q65:Q66"/>
    <mergeCell ref="R65:R66"/>
    <mergeCell ref="S65:S66"/>
    <mergeCell ref="N64:S64"/>
    <mergeCell ref="T64:T66"/>
    <mergeCell ref="U64:V65"/>
    <mergeCell ref="W64:W66"/>
    <mergeCell ref="X64:X66"/>
    <mergeCell ref="Y64:Y66"/>
    <mergeCell ref="Z64:Z66"/>
    <mergeCell ref="AA64:AA66"/>
    <mergeCell ref="AB64:AB66"/>
    <mergeCell ref="B64:B66"/>
    <mergeCell ref="C64:C66"/>
    <mergeCell ref="D64:D66"/>
    <mergeCell ref="E64:E66"/>
    <mergeCell ref="F64:F66"/>
    <mergeCell ref="G64:G66"/>
    <mergeCell ref="H64:K64"/>
    <mergeCell ref="L64:L66"/>
    <mergeCell ref="M64:M66"/>
    <mergeCell ref="AD47:AD49"/>
    <mergeCell ref="AE47:AH47"/>
    <mergeCell ref="AI47:AI49"/>
    <mergeCell ref="AJ47:AJ49"/>
    <mergeCell ref="AK47:AK49"/>
    <mergeCell ref="H48:H49"/>
    <mergeCell ref="I48:I49"/>
    <mergeCell ref="J48:J49"/>
    <mergeCell ref="K48:K49"/>
    <mergeCell ref="N48:N49"/>
    <mergeCell ref="O48:O49"/>
    <mergeCell ref="P48:P49"/>
    <mergeCell ref="Q48:Q49"/>
    <mergeCell ref="R48:R49"/>
    <mergeCell ref="S48:S49"/>
    <mergeCell ref="N47:S47"/>
    <mergeCell ref="T47:T49"/>
    <mergeCell ref="U47:V48"/>
    <mergeCell ref="W47:W49"/>
    <mergeCell ref="X47:X49"/>
    <mergeCell ref="Y47:Y49"/>
    <mergeCell ref="Z47:Z49"/>
    <mergeCell ref="AA47:AA49"/>
    <mergeCell ref="AB47:AB49"/>
    <mergeCell ref="B47:B49"/>
    <mergeCell ref="C47:C49"/>
    <mergeCell ref="D47:D49"/>
    <mergeCell ref="E47:E49"/>
    <mergeCell ref="F47:F49"/>
    <mergeCell ref="G47:G49"/>
    <mergeCell ref="H47:K47"/>
    <mergeCell ref="L47:L49"/>
    <mergeCell ref="M47:M49"/>
    <mergeCell ref="AD4:AD6"/>
    <mergeCell ref="AE4:AH4"/>
    <mergeCell ref="AI4:AI6"/>
    <mergeCell ref="AJ4:AJ6"/>
    <mergeCell ref="AK4:AK6"/>
    <mergeCell ref="H5:H6"/>
    <mergeCell ref="I5:I6"/>
    <mergeCell ref="J5:J6"/>
    <mergeCell ref="K5:K6"/>
    <mergeCell ref="N5:N6"/>
    <mergeCell ref="O5:O6"/>
    <mergeCell ref="P5:P6"/>
    <mergeCell ref="Q5:Q6"/>
    <mergeCell ref="R5:R6"/>
    <mergeCell ref="S5:S6"/>
    <mergeCell ref="AE5:AH5"/>
    <mergeCell ref="N4:S4"/>
    <mergeCell ref="T4:T6"/>
    <mergeCell ref="U4:V5"/>
    <mergeCell ref="W4:W6"/>
    <mergeCell ref="X4:X6"/>
    <mergeCell ref="Y4:Y6"/>
    <mergeCell ref="Z4:Z6"/>
    <mergeCell ref="AA4:AA6"/>
    <mergeCell ref="AB4:AB6"/>
    <mergeCell ref="B4:B6"/>
    <mergeCell ref="C4:C6"/>
    <mergeCell ref="D4:D6"/>
    <mergeCell ref="E4:E6"/>
    <mergeCell ref="F4:F6"/>
    <mergeCell ref="G4:G6"/>
    <mergeCell ref="H4:K4"/>
    <mergeCell ref="L4:L6"/>
    <mergeCell ref="M4:M6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55"/>
  <sheetViews>
    <sheetView zoomScaleNormal="100" workbookViewId="0">
      <pane xSplit="1" ySplit="1" topLeftCell="L50" activePane="bottomRight" state="frozen"/>
      <selection pane="topRight" activeCell="L1" sqref="L1"/>
      <selection pane="bottomLeft" activeCell="A2" sqref="A2"/>
      <selection pane="bottomRight" activeCell="O6" sqref="O6"/>
    </sheetView>
  </sheetViews>
  <sheetFormatPr defaultColWidth="8.7109375" defaultRowHeight="15" x14ac:dyDescent="0.25"/>
  <cols>
    <col min="1" max="1" width="36.140625" customWidth="1"/>
    <col min="2" max="3" width="12.42578125" customWidth="1"/>
    <col min="7" max="7" width="16.28515625" customWidth="1"/>
    <col min="10" max="10" width="11.28515625" customWidth="1"/>
    <col min="20" max="20" width="13.140625" customWidth="1"/>
    <col min="30" max="30" width="12.42578125" customWidth="1"/>
    <col min="37" max="37" width="11.42578125" customWidth="1"/>
  </cols>
  <sheetData>
    <row r="1" spans="1:103" ht="35.25" customHeight="1" x14ac:dyDescent="0.25">
      <c r="A1" s="40" t="s">
        <v>127</v>
      </c>
      <c r="B1" s="40" t="s">
        <v>3</v>
      </c>
      <c r="C1" s="40" t="s">
        <v>128</v>
      </c>
      <c r="D1" s="116" t="s">
        <v>129</v>
      </c>
      <c r="E1" s="116" t="s">
        <v>130</v>
      </c>
      <c r="F1" s="116" t="s">
        <v>131</v>
      </c>
      <c r="G1" s="116" t="s">
        <v>132</v>
      </c>
      <c r="H1" s="34" t="s">
        <v>133</v>
      </c>
      <c r="I1" s="34" t="s">
        <v>134</v>
      </c>
      <c r="J1" s="34" t="s">
        <v>135</v>
      </c>
      <c r="K1" s="21" t="s">
        <v>29</v>
      </c>
      <c r="L1" s="116" t="s">
        <v>136</v>
      </c>
      <c r="M1" s="116" t="s">
        <v>137</v>
      </c>
      <c r="N1" s="28" t="s">
        <v>138</v>
      </c>
      <c r="O1" s="28" t="s">
        <v>139</v>
      </c>
      <c r="P1" s="28" t="s">
        <v>140</v>
      </c>
      <c r="Q1" s="117" t="s">
        <v>141</v>
      </c>
      <c r="R1" s="117" t="s">
        <v>142</v>
      </c>
      <c r="S1" s="117" t="s">
        <v>143</v>
      </c>
      <c r="T1" s="21" t="s">
        <v>144</v>
      </c>
      <c r="U1" s="118" t="s">
        <v>145</v>
      </c>
      <c r="V1" s="118" t="s">
        <v>146</v>
      </c>
      <c r="W1" s="119" t="s">
        <v>147</v>
      </c>
      <c r="X1" s="21" t="s">
        <v>148</v>
      </c>
      <c r="Y1" s="21" t="s">
        <v>149</v>
      </c>
      <c r="Z1" s="21" t="s">
        <v>150</v>
      </c>
      <c r="AA1" s="118" t="s">
        <v>151</v>
      </c>
      <c r="AB1" s="21" t="s">
        <v>152</v>
      </c>
      <c r="AC1" s="26" t="s">
        <v>153</v>
      </c>
      <c r="AD1" s="120" t="s">
        <v>154</v>
      </c>
      <c r="AE1" s="20" t="s">
        <v>155</v>
      </c>
      <c r="AF1" s="18" t="s">
        <v>156</v>
      </c>
      <c r="AG1" s="121" t="s">
        <v>157</v>
      </c>
      <c r="AH1" s="122" t="s">
        <v>40</v>
      </c>
      <c r="AI1" s="21" t="s">
        <v>158</v>
      </c>
      <c r="AJ1" s="119" t="s">
        <v>159</v>
      </c>
      <c r="AK1" s="123" t="s">
        <v>160</v>
      </c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  <c r="BE1" s="24"/>
      <c r="BF1" s="24"/>
      <c r="BG1" s="24"/>
      <c r="BH1" s="24"/>
      <c r="BI1" s="24"/>
      <c r="BJ1" s="24"/>
      <c r="BK1" s="24"/>
      <c r="BL1" s="24"/>
      <c r="BM1" s="24"/>
      <c r="BN1" s="24"/>
      <c r="BO1" s="24"/>
      <c r="BP1" s="24"/>
      <c r="BQ1" s="24"/>
      <c r="BR1" s="24"/>
      <c r="BS1" s="24"/>
      <c r="BT1" s="24"/>
      <c r="BU1" s="24"/>
      <c r="BV1" s="24"/>
      <c r="BW1" s="24"/>
      <c r="BX1" s="24"/>
      <c r="BY1" s="24"/>
      <c r="BZ1" s="24"/>
      <c r="CA1" s="24"/>
      <c r="CB1" s="24"/>
      <c r="CC1" s="24"/>
      <c r="CD1" s="24"/>
      <c r="CE1" s="24"/>
      <c r="CF1" s="24"/>
      <c r="CG1" s="24"/>
      <c r="CH1" s="24"/>
      <c r="CI1" s="24"/>
      <c r="CJ1" s="24"/>
      <c r="CK1" s="24"/>
      <c r="CL1" s="24"/>
      <c r="CM1" s="24"/>
      <c r="CN1" s="24"/>
      <c r="CO1" s="24"/>
      <c r="CP1" s="24"/>
      <c r="CQ1" s="24"/>
      <c r="CR1" s="24"/>
      <c r="CS1" s="24"/>
      <c r="CT1" s="24"/>
      <c r="CU1" s="24"/>
      <c r="CV1" s="24"/>
      <c r="CW1" s="24"/>
      <c r="CX1" s="24"/>
      <c r="CY1" s="24"/>
    </row>
    <row r="2" spans="1:103" x14ac:dyDescent="0.25">
      <c r="A2" s="31" t="s">
        <v>41</v>
      </c>
      <c r="B2" s="32">
        <f>17550+17550</f>
        <v>35100</v>
      </c>
      <c r="C2" s="32">
        <f>17550-126.16-504.63+17550-529.86</f>
        <v>33939.35</v>
      </c>
      <c r="D2" s="33">
        <f>402.19+399.67</f>
        <v>801.86</v>
      </c>
      <c r="E2" s="33">
        <v>0</v>
      </c>
      <c r="F2" s="33">
        <v>0</v>
      </c>
      <c r="G2" s="33">
        <f t="shared" ref="G2:G28" si="0">C2+D2+E2+F2</f>
        <v>34741.21</v>
      </c>
      <c r="H2" s="33">
        <v>1350</v>
      </c>
      <c r="I2" s="34">
        <f>1900+950</f>
        <v>2850</v>
      </c>
      <c r="J2" s="33">
        <f t="shared" ref="J2:J42" si="1">H2+I2</f>
        <v>4200</v>
      </c>
      <c r="K2" s="33">
        <v>30</v>
      </c>
      <c r="L2" s="33">
        <f>1845.8</f>
        <v>1845.8</v>
      </c>
      <c r="M2" s="33">
        <v>0</v>
      </c>
      <c r="N2" s="33">
        <f>B2*5%/2</f>
        <v>877.5</v>
      </c>
      <c r="O2" s="33">
        <f t="shared" ref="O2:O27" si="2">N2</f>
        <v>877.5</v>
      </c>
      <c r="P2" s="33">
        <f>N2+O2</f>
        <v>1755</v>
      </c>
      <c r="Q2" s="33">
        <v>0</v>
      </c>
      <c r="R2" s="33">
        <v>0</v>
      </c>
      <c r="S2" s="33">
        <v>0</v>
      </c>
      <c r="T2" s="35">
        <f>(G2-H2-N2-Q2-U2-20833)*15%</f>
        <v>1722.1064999999999</v>
      </c>
      <c r="U2" s="33">
        <v>200</v>
      </c>
      <c r="V2" s="33">
        <f t="shared" ref="V2:V42" si="3">U2</f>
        <v>200</v>
      </c>
      <c r="W2" s="32">
        <v>0</v>
      </c>
      <c r="X2" s="33">
        <v>0</v>
      </c>
      <c r="Y2" s="33">
        <v>0</v>
      </c>
      <c r="Z2" s="33">
        <v>0</v>
      </c>
      <c r="AA2" s="33">
        <v>72.680000000000007</v>
      </c>
      <c r="AB2" s="33">
        <v>0</v>
      </c>
      <c r="AC2" s="33">
        <v>0</v>
      </c>
      <c r="AD2" s="33">
        <f t="shared" ref="AD2:AD19" si="4">G2-L2-M2-W2-X2-Y2-Z2-AA2-H2-N2-T2-U2</f>
        <v>28673.123499999994</v>
      </c>
      <c r="AE2" s="33">
        <f>5200+5200</f>
        <v>10400</v>
      </c>
      <c r="AF2" s="33">
        <f>119.63+119.63</f>
        <v>239.26</v>
      </c>
      <c r="AG2" s="36">
        <f>1000+1000</f>
        <v>2000</v>
      </c>
      <c r="AH2" s="37">
        <v>0</v>
      </c>
      <c r="AI2" s="36">
        <v>0</v>
      </c>
      <c r="AJ2" s="34">
        <v>0</v>
      </c>
      <c r="AK2" s="38">
        <f t="shared" ref="AK2:AK26" si="5">AD2+AE2+AF2+AG2</f>
        <v>41312.383499999996</v>
      </c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</row>
    <row r="3" spans="1:103" x14ac:dyDescent="0.25">
      <c r="A3" s="31" t="s">
        <v>42</v>
      </c>
      <c r="B3" s="32">
        <f>8364.5+8364.5</f>
        <v>16729</v>
      </c>
      <c r="C3" s="32">
        <f>8364.5-1.34+8364.5-28.06</f>
        <v>16699.599999999999</v>
      </c>
      <c r="D3" s="33">
        <f>192.41+192.41</f>
        <v>384.82</v>
      </c>
      <c r="E3" s="33">
        <v>0</v>
      </c>
      <c r="F3" s="33">
        <v>0</v>
      </c>
      <c r="G3" s="33">
        <f t="shared" si="0"/>
        <v>17084.419999999998</v>
      </c>
      <c r="H3" s="33">
        <v>742.5</v>
      </c>
      <c r="I3" s="34">
        <v>1567.5</v>
      </c>
      <c r="J3" s="33">
        <f t="shared" si="1"/>
        <v>2310</v>
      </c>
      <c r="K3" s="33">
        <v>30</v>
      </c>
      <c r="L3" s="33">
        <v>1430.49</v>
      </c>
      <c r="M3" s="33">
        <v>0</v>
      </c>
      <c r="N3" s="33">
        <f>B3*5%/2</f>
        <v>418.22500000000002</v>
      </c>
      <c r="O3" s="33">
        <f t="shared" si="2"/>
        <v>418.22500000000002</v>
      </c>
      <c r="P3" s="33">
        <f>N3+O3+0.01</f>
        <v>836.46</v>
      </c>
      <c r="Q3" s="33">
        <v>0</v>
      </c>
      <c r="R3" s="33">
        <v>0</v>
      </c>
      <c r="S3" s="33">
        <v>0</v>
      </c>
      <c r="T3" s="33">
        <v>0</v>
      </c>
      <c r="U3" s="33">
        <v>200</v>
      </c>
      <c r="V3" s="33">
        <f t="shared" si="3"/>
        <v>200</v>
      </c>
      <c r="W3" s="32">
        <v>950</v>
      </c>
      <c r="X3" s="33">
        <v>0</v>
      </c>
      <c r="Y3" s="33">
        <f>500+500</f>
        <v>1000</v>
      </c>
      <c r="Z3" s="33">
        <v>0</v>
      </c>
      <c r="AA3" s="33">
        <v>0</v>
      </c>
      <c r="AB3" s="33">
        <v>0</v>
      </c>
      <c r="AC3" s="33">
        <v>0</v>
      </c>
      <c r="AD3" s="33">
        <f t="shared" si="4"/>
        <v>12343.204999999998</v>
      </c>
      <c r="AE3" s="33">
        <v>0</v>
      </c>
      <c r="AF3" s="33">
        <v>0</v>
      </c>
      <c r="AG3" s="36">
        <v>0</v>
      </c>
      <c r="AH3" s="33">
        <v>0</v>
      </c>
      <c r="AI3" s="33">
        <v>0</v>
      </c>
      <c r="AJ3" s="33">
        <v>0</v>
      </c>
      <c r="AK3" s="38">
        <f t="shared" si="5"/>
        <v>12343.204999999998</v>
      </c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</row>
    <row r="4" spans="1:103" s="39" customFormat="1" ht="12.75" x14ac:dyDescent="0.2">
      <c r="A4" s="31" t="s">
        <v>43</v>
      </c>
      <c r="B4" s="28">
        <f>16000</f>
        <v>16000</v>
      </c>
      <c r="C4" s="32">
        <f>8000-1533.55-122.69+8000-141.86</f>
        <v>14201.9</v>
      </c>
      <c r="D4" s="33">
        <v>176.67</v>
      </c>
      <c r="E4" s="33">
        <v>0</v>
      </c>
      <c r="F4" s="33">
        <v>0</v>
      </c>
      <c r="G4" s="33">
        <f t="shared" si="0"/>
        <v>14378.57</v>
      </c>
      <c r="H4" s="33">
        <v>720</v>
      </c>
      <c r="I4" s="34">
        <v>1520</v>
      </c>
      <c r="J4" s="33">
        <f t="shared" si="1"/>
        <v>2240</v>
      </c>
      <c r="K4" s="34">
        <v>30</v>
      </c>
      <c r="L4" s="33">
        <v>0</v>
      </c>
      <c r="M4" s="33">
        <v>0</v>
      </c>
      <c r="N4" s="33">
        <f>B4*5%/2</f>
        <v>400</v>
      </c>
      <c r="O4" s="33">
        <f t="shared" si="2"/>
        <v>400</v>
      </c>
      <c r="P4" s="34">
        <f t="shared" ref="P4:P10" si="6">N4+O4</f>
        <v>800</v>
      </c>
      <c r="Q4" s="33">
        <v>0</v>
      </c>
      <c r="R4" s="33">
        <v>0</v>
      </c>
      <c r="S4" s="33">
        <v>0</v>
      </c>
      <c r="T4" s="33">
        <v>0</v>
      </c>
      <c r="U4" s="33">
        <v>200</v>
      </c>
      <c r="V4" s="33">
        <f t="shared" si="3"/>
        <v>200</v>
      </c>
      <c r="W4" s="32">
        <v>0</v>
      </c>
      <c r="X4" s="33">
        <v>0</v>
      </c>
      <c r="Y4" s="33">
        <v>0</v>
      </c>
      <c r="Z4" s="33">
        <v>0</v>
      </c>
      <c r="AA4" s="33">
        <v>230.03</v>
      </c>
      <c r="AB4" s="33">
        <v>0</v>
      </c>
      <c r="AC4" s="33">
        <v>0</v>
      </c>
      <c r="AD4" s="33">
        <f t="shared" si="4"/>
        <v>12828.539999999999</v>
      </c>
      <c r="AE4" s="33">
        <v>0</v>
      </c>
      <c r="AF4" s="33">
        <v>0</v>
      </c>
      <c r="AG4" s="36">
        <v>0</v>
      </c>
      <c r="AH4" s="37">
        <v>0</v>
      </c>
      <c r="AI4" s="36">
        <v>0</v>
      </c>
      <c r="AJ4" s="34">
        <v>0</v>
      </c>
      <c r="AK4" s="38">
        <f t="shared" si="5"/>
        <v>12828.539999999999</v>
      </c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</row>
    <row r="5" spans="1:103" s="39" customFormat="1" ht="12.75" x14ac:dyDescent="0.2">
      <c r="A5" s="31" t="s">
        <v>44</v>
      </c>
      <c r="B5" s="28">
        <f>12500+12500</f>
        <v>25000</v>
      </c>
      <c r="C5" s="32">
        <f>12500-3833.88-203.68+12500-1916.94</f>
        <v>19045.5</v>
      </c>
      <c r="D5" s="33">
        <v>287.54000000000002</v>
      </c>
      <c r="E5" s="33">
        <v>0</v>
      </c>
      <c r="F5" s="33">
        <v>149.76</v>
      </c>
      <c r="G5" s="33">
        <f t="shared" si="0"/>
        <v>19482.8</v>
      </c>
      <c r="H5" s="33">
        <f>900+225</f>
        <v>1125</v>
      </c>
      <c r="I5" s="34">
        <f>1900+475</f>
        <v>2375</v>
      </c>
      <c r="J5" s="33">
        <f t="shared" si="1"/>
        <v>3500</v>
      </c>
      <c r="K5" s="34">
        <v>30</v>
      </c>
      <c r="L5" s="33">
        <v>0</v>
      </c>
      <c r="M5" s="33">
        <v>0</v>
      </c>
      <c r="N5" s="33">
        <f>B5*5%/2</f>
        <v>625</v>
      </c>
      <c r="O5" s="33">
        <f t="shared" si="2"/>
        <v>625</v>
      </c>
      <c r="P5" s="34">
        <f t="shared" si="6"/>
        <v>1250</v>
      </c>
      <c r="Q5" s="33">
        <v>0</v>
      </c>
      <c r="R5" s="33">
        <v>0</v>
      </c>
      <c r="S5" s="33">
        <v>0</v>
      </c>
      <c r="T5" s="33">
        <v>0</v>
      </c>
      <c r="U5" s="33">
        <v>200</v>
      </c>
      <c r="V5" s="33">
        <f t="shared" si="3"/>
        <v>200</v>
      </c>
      <c r="W5" s="32"/>
      <c r="X5" s="33"/>
      <c r="Y5" s="33"/>
      <c r="Z5" s="33">
        <v>0</v>
      </c>
      <c r="AA5" s="33">
        <v>6.66</v>
      </c>
      <c r="AB5" s="33">
        <v>0</v>
      </c>
      <c r="AC5" s="33">
        <v>0</v>
      </c>
      <c r="AD5" s="33">
        <f t="shared" si="4"/>
        <v>17526.14</v>
      </c>
      <c r="AE5" s="33">
        <v>0</v>
      </c>
      <c r="AF5" s="33">
        <v>0</v>
      </c>
      <c r="AG5" s="36">
        <v>0</v>
      </c>
      <c r="AH5" s="37"/>
      <c r="AI5" s="36"/>
      <c r="AJ5" s="34"/>
      <c r="AK5" s="38">
        <f t="shared" si="5"/>
        <v>17526.14</v>
      </c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</row>
    <row r="6" spans="1:103" x14ac:dyDescent="0.25">
      <c r="A6" s="31" t="s">
        <v>45</v>
      </c>
      <c r="B6" s="28">
        <f>9083.75+9083.75</f>
        <v>18167.5</v>
      </c>
      <c r="C6" s="32">
        <f>9083.75+9083.75-348.26-7.25</f>
        <v>17811.990000000002</v>
      </c>
      <c r="D6" s="33">
        <v>208.94</v>
      </c>
      <c r="E6" s="33">
        <v>0</v>
      </c>
      <c r="F6" s="33">
        <v>0</v>
      </c>
      <c r="G6" s="33">
        <f t="shared" si="0"/>
        <v>18020.93</v>
      </c>
      <c r="H6" s="33">
        <v>810</v>
      </c>
      <c r="I6" s="34">
        <v>1710</v>
      </c>
      <c r="J6" s="33">
        <f t="shared" si="1"/>
        <v>2520</v>
      </c>
      <c r="K6" s="34">
        <v>30</v>
      </c>
      <c r="L6" s="33">
        <v>784.46</v>
      </c>
      <c r="M6" s="33">
        <v>0</v>
      </c>
      <c r="N6" s="33">
        <f>B6*5%/2</f>
        <v>454.1875</v>
      </c>
      <c r="O6" s="33">
        <f t="shared" si="2"/>
        <v>454.1875</v>
      </c>
      <c r="P6" s="34">
        <f t="shared" si="6"/>
        <v>908.375</v>
      </c>
      <c r="Q6" s="33">
        <v>0</v>
      </c>
      <c r="R6" s="33">
        <v>0</v>
      </c>
      <c r="S6" s="33">
        <v>0</v>
      </c>
      <c r="T6" s="33">
        <v>0</v>
      </c>
      <c r="U6" s="33">
        <v>200</v>
      </c>
      <c r="V6" s="33">
        <f t="shared" si="3"/>
        <v>200</v>
      </c>
      <c r="W6" s="32">
        <v>0</v>
      </c>
      <c r="X6" s="33">
        <v>0</v>
      </c>
      <c r="Y6" s="33">
        <v>0</v>
      </c>
      <c r="Z6" s="33">
        <v>0</v>
      </c>
      <c r="AA6" s="33">
        <v>0</v>
      </c>
      <c r="AB6" s="33">
        <v>0</v>
      </c>
      <c r="AC6" s="33">
        <v>0</v>
      </c>
      <c r="AD6" s="33">
        <f t="shared" si="4"/>
        <v>15772.282500000001</v>
      </c>
      <c r="AE6" s="33">
        <v>0</v>
      </c>
      <c r="AF6" s="33">
        <v>0</v>
      </c>
      <c r="AG6" s="36">
        <v>0</v>
      </c>
      <c r="AH6" s="37">
        <v>0</v>
      </c>
      <c r="AI6" s="36">
        <v>0</v>
      </c>
      <c r="AJ6" s="34">
        <v>0</v>
      </c>
      <c r="AK6" s="38">
        <f t="shared" si="5"/>
        <v>15772.282500000001</v>
      </c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</row>
    <row r="7" spans="1:103" x14ac:dyDescent="0.25">
      <c r="A7" s="31" t="s">
        <v>46</v>
      </c>
      <c r="B7" s="28">
        <f>150000+30000+50000</f>
        <v>230000</v>
      </c>
      <c r="C7" s="32">
        <f>B7</f>
        <v>230000</v>
      </c>
      <c r="D7" s="33">
        <v>0</v>
      </c>
      <c r="E7" s="33">
        <v>0</v>
      </c>
      <c r="F7" s="33">
        <v>0</v>
      </c>
      <c r="G7" s="33">
        <f t="shared" si="0"/>
        <v>230000</v>
      </c>
      <c r="H7" s="33">
        <f>900+450</f>
        <v>1350</v>
      </c>
      <c r="I7" s="34">
        <f>1900+950</f>
        <v>2850</v>
      </c>
      <c r="J7" s="33">
        <f t="shared" si="1"/>
        <v>4200</v>
      </c>
      <c r="K7" s="34">
        <v>30</v>
      </c>
      <c r="L7" s="33">
        <v>0</v>
      </c>
      <c r="M7" s="33">
        <v>0</v>
      </c>
      <c r="N7" s="33">
        <v>2500</v>
      </c>
      <c r="O7" s="33">
        <f t="shared" si="2"/>
        <v>2500</v>
      </c>
      <c r="P7" s="34">
        <f t="shared" si="6"/>
        <v>5000</v>
      </c>
      <c r="Q7" s="33">
        <v>0</v>
      </c>
      <c r="R7" s="33">
        <v>0</v>
      </c>
      <c r="S7" s="33">
        <f>Q7+R7</f>
        <v>0</v>
      </c>
      <c r="T7" s="33">
        <f>(G7-H7-N7-U7-166667)*30%+33541.8</f>
        <v>51326.7</v>
      </c>
      <c r="U7" s="33">
        <v>200</v>
      </c>
      <c r="V7" s="33">
        <f t="shared" si="3"/>
        <v>200</v>
      </c>
      <c r="W7" s="32">
        <v>0</v>
      </c>
      <c r="X7" s="33">
        <v>0</v>
      </c>
      <c r="Y7" s="33">
        <v>0</v>
      </c>
      <c r="Z7" s="33">
        <v>0</v>
      </c>
      <c r="AA7" s="33">
        <v>0</v>
      </c>
      <c r="AB7" s="33">
        <v>0</v>
      </c>
      <c r="AC7" s="33">
        <v>0</v>
      </c>
      <c r="AD7" s="33">
        <f t="shared" si="4"/>
        <v>174623.3</v>
      </c>
      <c r="AE7" s="33">
        <v>0</v>
      </c>
      <c r="AF7" s="33">
        <v>0</v>
      </c>
      <c r="AG7" s="36">
        <v>0</v>
      </c>
      <c r="AH7" s="37">
        <v>0</v>
      </c>
      <c r="AI7" s="36">
        <v>0</v>
      </c>
      <c r="AJ7" s="34">
        <v>0</v>
      </c>
      <c r="AK7" s="38">
        <f t="shared" si="5"/>
        <v>174623.3</v>
      </c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</row>
    <row r="8" spans="1:103" x14ac:dyDescent="0.25">
      <c r="A8" s="31" t="s">
        <v>47</v>
      </c>
      <c r="B8" s="28">
        <f>10706+10706</f>
        <v>21412</v>
      </c>
      <c r="C8" s="32">
        <f>10706-205.22+10706</f>
        <v>21206.78</v>
      </c>
      <c r="D8" s="33">
        <v>246.26</v>
      </c>
      <c r="E8" s="33">
        <v>0</v>
      </c>
      <c r="F8" s="33">
        <f>769.58+641.31</f>
        <v>1410.8899999999999</v>
      </c>
      <c r="G8" s="33">
        <f t="shared" si="0"/>
        <v>22863.929999999997</v>
      </c>
      <c r="H8" s="33">
        <v>967.5</v>
      </c>
      <c r="I8" s="34">
        <f>1900+142.5</f>
        <v>2042.5</v>
      </c>
      <c r="J8" s="33">
        <f t="shared" si="1"/>
        <v>3010</v>
      </c>
      <c r="K8" s="34">
        <v>30</v>
      </c>
      <c r="L8" s="33">
        <v>0</v>
      </c>
      <c r="M8" s="33">
        <v>0</v>
      </c>
      <c r="N8" s="33">
        <f t="shared" ref="N8:N17" si="7">B8*5%/2</f>
        <v>535.30000000000007</v>
      </c>
      <c r="O8" s="33">
        <f t="shared" si="2"/>
        <v>535.30000000000007</v>
      </c>
      <c r="P8" s="34">
        <f t="shared" si="6"/>
        <v>1070.6000000000001</v>
      </c>
      <c r="Q8" s="33">
        <v>0</v>
      </c>
      <c r="R8" s="33">
        <v>0</v>
      </c>
      <c r="S8" s="33">
        <v>0</v>
      </c>
      <c r="T8" s="35">
        <f>(G8-H8-N8-Q8-U8-20833)*15%</f>
        <v>49.219499999999606</v>
      </c>
      <c r="U8" s="33">
        <v>200</v>
      </c>
      <c r="V8" s="33">
        <f t="shared" si="3"/>
        <v>200</v>
      </c>
      <c r="W8" s="32">
        <v>3680.46</v>
      </c>
      <c r="X8" s="33">
        <v>0</v>
      </c>
      <c r="Y8" s="33">
        <f>1500+1500</f>
        <v>3000</v>
      </c>
      <c r="Z8" s="33">
        <v>0</v>
      </c>
      <c r="AA8" s="33">
        <v>0</v>
      </c>
      <c r="AB8" s="33">
        <v>0</v>
      </c>
      <c r="AC8" s="33">
        <v>0</v>
      </c>
      <c r="AD8" s="33">
        <f t="shared" si="4"/>
        <v>14431.450499999999</v>
      </c>
      <c r="AE8" s="33">
        <f>2550+2550</f>
        <v>5100</v>
      </c>
      <c r="AF8" s="33">
        <v>58.67</v>
      </c>
      <c r="AG8" s="36">
        <v>0</v>
      </c>
      <c r="AH8" s="37">
        <v>0</v>
      </c>
      <c r="AI8" s="36">
        <v>0</v>
      </c>
      <c r="AJ8" s="34">
        <v>0</v>
      </c>
      <c r="AK8" s="38">
        <f t="shared" si="5"/>
        <v>19590.120499999997</v>
      </c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</row>
    <row r="9" spans="1:103" ht="14.25" customHeight="1" x14ac:dyDescent="0.25">
      <c r="A9" s="31" t="s">
        <v>48</v>
      </c>
      <c r="B9" s="28">
        <f>9500+9500</f>
        <v>19000</v>
      </c>
      <c r="C9" s="32">
        <f>9500-9.1-273.15+9500-1.52-91.05</f>
        <v>18625.18</v>
      </c>
      <c r="D9" s="33">
        <v>0</v>
      </c>
      <c r="E9" s="33">
        <v>0</v>
      </c>
      <c r="F9" s="33">
        <v>0</v>
      </c>
      <c r="G9" s="33">
        <f t="shared" si="0"/>
        <v>18625.18</v>
      </c>
      <c r="H9" s="33">
        <v>855</v>
      </c>
      <c r="I9" s="34">
        <v>1805</v>
      </c>
      <c r="J9" s="33">
        <f t="shared" si="1"/>
        <v>2660</v>
      </c>
      <c r="K9" s="33">
        <v>30</v>
      </c>
      <c r="L9" s="33">
        <v>1753.51</v>
      </c>
      <c r="M9" s="33">
        <v>0</v>
      </c>
      <c r="N9" s="33">
        <f t="shared" si="7"/>
        <v>475</v>
      </c>
      <c r="O9" s="33">
        <f t="shared" si="2"/>
        <v>475</v>
      </c>
      <c r="P9" s="34">
        <f t="shared" si="6"/>
        <v>950</v>
      </c>
      <c r="Q9" s="33">
        <v>0</v>
      </c>
      <c r="R9" s="33">
        <v>0</v>
      </c>
      <c r="S9" s="33">
        <v>0</v>
      </c>
      <c r="T9" s="33">
        <v>0</v>
      </c>
      <c r="U9" s="33">
        <v>200</v>
      </c>
      <c r="V9" s="33">
        <f t="shared" si="3"/>
        <v>200</v>
      </c>
      <c r="W9" s="32">
        <v>0</v>
      </c>
      <c r="X9" s="33">
        <v>0</v>
      </c>
      <c r="Y9" s="33">
        <v>0</v>
      </c>
      <c r="Z9" s="33">
        <v>0</v>
      </c>
      <c r="AA9" s="33">
        <v>0</v>
      </c>
      <c r="AB9" s="33">
        <v>0</v>
      </c>
      <c r="AC9" s="33">
        <v>0</v>
      </c>
      <c r="AD9" s="33">
        <f t="shared" si="4"/>
        <v>15341.670000000002</v>
      </c>
      <c r="AE9" s="33">
        <f>3100+3100</f>
        <v>6200</v>
      </c>
      <c r="AF9" s="33">
        <v>0</v>
      </c>
      <c r="AG9" s="36">
        <v>0</v>
      </c>
      <c r="AH9" s="37">
        <v>0</v>
      </c>
      <c r="AI9" s="36">
        <v>0</v>
      </c>
      <c r="AJ9" s="34">
        <v>0</v>
      </c>
      <c r="AK9" s="38">
        <f t="shared" si="5"/>
        <v>21541.670000000002</v>
      </c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</row>
    <row r="10" spans="1:103" ht="14.25" customHeight="1" x14ac:dyDescent="0.25">
      <c r="A10" s="31" t="s">
        <v>49</v>
      </c>
      <c r="B10" s="28">
        <f>7585+7585</f>
        <v>15170</v>
      </c>
      <c r="C10" s="32">
        <f>7585-32.72+7585-26.66</f>
        <v>15110.619999999999</v>
      </c>
      <c r="D10" s="33">
        <v>174.04</v>
      </c>
      <c r="E10" s="33">
        <v>0</v>
      </c>
      <c r="F10" s="33">
        <v>0</v>
      </c>
      <c r="G10" s="33">
        <f t="shared" si="0"/>
        <v>15284.66</v>
      </c>
      <c r="H10" s="33">
        <v>675</v>
      </c>
      <c r="I10" s="34">
        <v>1425</v>
      </c>
      <c r="J10" s="33">
        <f t="shared" si="1"/>
        <v>2100</v>
      </c>
      <c r="K10" s="34">
        <v>30</v>
      </c>
      <c r="L10" s="33">
        <v>1384.35</v>
      </c>
      <c r="M10" s="33">
        <v>0</v>
      </c>
      <c r="N10" s="33">
        <f t="shared" si="7"/>
        <v>379.25</v>
      </c>
      <c r="O10" s="33">
        <f t="shared" si="2"/>
        <v>379.25</v>
      </c>
      <c r="P10" s="34">
        <f t="shared" si="6"/>
        <v>758.5</v>
      </c>
      <c r="Q10" s="33">
        <v>0</v>
      </c>
      <c r="R10" s="33">
        <v>0</v>
      </c>
      <c r="S10" s="33">
        <v>0</v>
      </c>
      <c r="T10" s="33">
        <v>0</v>
      </c>
      <c r="U10" s="33">
        <v>200</v>
      </c>
      <c r="V10" s="33">
        <f t="shared" si="3"/>
        <v>200</v>
      </c>
      <c r="W10" s="32">
        <v>398.91</v>
      </c>
      <c r="X10" s="33">
        <v>0</v>
      </c>
      <c r="Y10" s="27">
        <f>1000+1000</f>
        <v>2000</v>
      </c>
      <c r="Z10" s="33">
        <v>0</v>
      </c>
      <c r="AA10" s="33">
        <v>72.7</v>
      </c>
      <c r="AB10" s="33">
        <v>0</v>
      </c>
      <c r="AC10" s="33">
        <v>0</v>
      </c>
      <c r="AD10" s="33">
        <f t="shared" si="4"/>
        <v>10174.449999999999</v>
      </c>
      <c r="AE10" s="33">
        <v>0</v>
      </c>
      <c r="AF10" s="33">
        <v>0</v>
      </c>
      <c r="AG10" s="36">
        <v>0</v>
      </c>
      <c r="AH10" s="37">
        <v>0</v>
      </c>
      <c r="AI10" s="36">
        <v>0</v>
      </c>
      <c r="AJ10" s="34">
        <v>0</v>
      </c>
      <c r="AK10" s="38">
        <f t="shared" si="5"/>
        <v>10174.449999999999</v>
      </c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</row>
    <row r="11" spans="1:103" x14ac:dyDescent="0.25">
      <c r="A11" s="31" t="s">
        <v>50</v>
      </c>
      <c r="B11" s="40">
        <f>12568.5+12568.5</f>
        <v>25137</v>
      </c>
      <c r="C11" s="32">
        <f>12568.5-112.43+12568.5-88.34</f>
        <v>24936.23</v>
      </c>
      <c r="D11" s="33">
        <f>289.1+289.1</f>
        <v>578.20000000000005</v>
      </c>
      <c r="E11" s="33">
        <v>0</v>
      </c>
      <c r="F11" s="33">
        <v>0</v>
      </c>
      <c r="G11" s="33">
        <f t="shared" si="0"/>
        <v>25514.43</v>
      </c>
      <c r="H11" s="33">
        <v>1125</v>
      </c>
      <c r="I11" s="34">
        <f>1900+475</f>
        <v>2375</v>
      </c>
      <c r="J11" s="33">
        <f t="shared" si="1"/>
        <v>3500</v>
      </c>
      <c r="K11" s="33">
        <v>30</v>
      </c>
      <c r="L11" s="33">
        <v>1845.8</v>
      </c>
      <c r="M11" s="33">
        <v>0</v>
      </c>
      <c r="N11" s="33">
        <f t="shared" si="7"/>
        <v>628.42500000000007</v>
      </c>
      <c r="O11" s="33">
        <f t="shared" si="2"/>
        <v>628.42500000000007</v>
      </c>
      <c r="P11" s="34">
        <f>N11+O11+0.01</f>
        <v>1256.8600000000001</v>
      </c>
      <c r="Q11" s="33">
        <v>0</v>
      </c>
      <c r="R11" s="33">
        <v>0</v>
      </c>
      <c r="S11" s="33">
        <v>0</v>
      </c>
      <c r="T11" s="35">
        <f>(G11-H11-N11-Q11-U11-20833)*15%</f>
        <v>409.20075000000014</v>
      </c>
      <c r="U11" s="33">
        <v>200</v>
      </c>
      <c r="V11" s="33">
        <f t="shared" si="3"/>
        <v>200</v>
      </c>
      <c r="W11" s="32">
        <v>0</v>
      </c>
      <c r="X11" s="33">
        <v>0</v>
      </c>
      <c r="Y11" s="33">
        <v>0</v>
      </c>
      <c r="Z11" s="33">
        <v>0</v>
      </c>
      <c r="AA11" s="33">
        <v>0</v>
      </c>
      <c r="AB11" s="33">
        <v>0</v>
      </c>
      <c r="AC11" s="33">
        <v>0</v>
      </c>
      <c r="AD11" s="33">
        <f t="shared" si="4"/>
        <v>21306.004250000002</v>
      </c>
      <c r="AE11" s="33">
        <v>0</v>
      </c>
      <c r="AF11" s="33">
        <v>0</v>
      </c>
      <c r="AG11" s="36">
        <v>0</v>
      </c>
      <c r="AH11" s="37">
        <v>0</v>
      </c>
      <c r="AI11" s="36">
        <v>0</v>
      </c>
      <c r="AJ11" s="34">
        <v>0</v>
      </c>
      <c r="AK11" s="38">
        <f t="shared" si="5"/>
        <v>21306.004250000002</v>
      </c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</row>
    <row r="12" spans="1:103" x14ac:dyDescent="0.25">
      <c r="A12" s="31" t="s">
        <v>51</v>
      </c>
      <c r="B12" s="28">
        <f>9646+9646</f>
        <v>19292</v>
      </c>
      <c r="C12" s="32">
        <f>9646-739.63-134.05-554.7+9646-1479.26-115.56</f>
        <v>16268.800000000005</v>
      </c>
      <c r="D12" s="33">
        <v>221.88</v>
      </c>
      <c r="E12" s="33">
        <v>0</v>
      </c>
      <c r="F12" s="33">
        <f>231.12+173.34</f>
        <v>404.46000000000004</v>
      </c>
      <c r="G12" s="33">
        <f t="shared" si="0"/>
        <v>16895.140000000003</v>
      </c>
      <c r="H12" s="34">
        <v>877.5</v>
      </c>
      <c r="I12" s="34">
        <v>1852.5</v>
      </c>
      <c r="J12" s="33">
        <f t="shared" si="1"/>
        <v>2730</v>
      </c>
      <c r="K12" s="34">
        <v>30</v>
      </c>
      <c r="L12" s="33">
        <v>1799.65</v>
      </c>
      <c r="M12" s="33">
        <v>0</v>
      </c>
      <c r="N12" s="33">
        <f t="shared" si="7"/>
        <v>482.3</v>
      </c>
      <c r="O12" s="33">
        <f t="shared" si="2"/>
        <v>482.3</v>
      </c>
      <c r="P12" s="34">
        <f t="shared" ref="P12:P27" si="8">N12+O12</f>
        <v>964.6</v>
      </c>
      <c r="Q12" s="33">
        <v>0</v>
      </c>
      <c r="R12" s="33">
        <v>0</v>
      </c>
      <c r="S12" s="33">
        <f>Q12+R12</f>
        <v>0</v>
      </c>
      <c r="T12" s="33">
        <v>0</v>
      </c>
      <c r="U12" s="33">
        <v>200</v>
      </c>
      <c r="V12" s="33">
        <f t="shared" si="3"/>
        <v>200</v>
      </c>
      <c r="W12" s="32">
        <f>1717.05</f>
        <v>1717.05</v>
      </c>
      <c r="X12" s="33">
        <v>0</v>
      </c>
      <c r="Y12" s="33">
        <v>0</v>
      </c>
      <c r="Z12" s="33">
        <v>0</v>
      </c>
      <c r="AA12" s="33">
        <v>76.34</v>
      </c>
      <c r="AB12" s="33">
        <v>0</v>
      </c>
      <c r="AC12" s="33">
        <v>0</v>
      </c>
      <c r="AD12" s="33">
        <f t="shared" si="4"/>
        <v>11742.300000000005</v>
      </c>
      <c r="AE12" s="33">
        <f>2300-176.36+2300-352.72</f>
        <v>4070.9199999999992</v>
      </c>
      <c r="AF12" s="33">
        <v>52.91</v>
      </c>
      <c r="AG12" s="36">
        <v>0</v>
      </c>
      <c r="AH12" s="37">
        <v>0</v>
      </c>
      <c r="AI12" s="36">
        <v>0</v>
      </c>
      <c r="AJ12" s="34">
        <v>0</v>
      </c>
      <c r="AK12" s="38">
        <f t="shared" si="5"/>
        <v>15866.130000000005</v>
      </c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</row>
    <row r="13" spans="1:103" x14ac:dyDescent="0.25">
      <c r="A13" s="31" t="s">
        <v>52</v>
      </c>
      <c r="B13" s="28">
        <f>35000+35000</f>
        <v>70000</v>
      </c>
      <c r="C13" s="32">
        <f>35000-866.6-167.73+35000-2683.71-777.15-110.7</f>
        <v>65394.109999999993</v>
      </c>
      <c r="D13" s="33">
        <v>779.94</v>
      </c>
      <c r="E13" s="33">
        <v>0</v>
      </c>
      <c r="F13" s="33">
        <v>0</v>
      </c>
      <c r="G13" s="33">
        <f t="shared" si="0"/>
        <v>66174.049999999988</v>
      </c>
      <c r="H13" s="33">
        <v>1350</v>
      </c>
      <c r="I13" s="34">
        <v>2850</v>
      </c>
      <c r="J13" s="33">
        <f t="shared" si="1"/>
        <v>4200</v>
      </c>
      <c r="K13" s="34">
        <v>30</v>
      </c>
      <c r="L13" s="33">
        <v>1845.8</v>
      </c>
      <c r="M13" s="33">
        <v>0</v>
      </c>
      <c r="N13" s="33">
        <f t="shared" si="7"/>
        <v>1750</v>
      </c>
      <c r="O13" s="33">
        <f t="shared" si="2"/>
        <v>1750</v>
      </c>
      <c r="P13" s="34">
        <f t="shared" si="8"/>
        <v>3500</v>
      </c>
      <c r="Q13" s="33">
        <v>0</v>
      </c>
      <c r="R13" s="33">
        <v>0</v>
      </c>
      <c r="S13" s="33">
        <v>0</v>
      </c>
      <c r="T13" s="33">
        <f>(G13-H13-N13-Q13-U13-33333)*20%+1875</f>
        <v>7783.2099999999982</v>
      </c>
      <c r="U13" s="33">
        <v>200</v>
      </c>
      <c r="V13" s="33">
        <f t="shared" si="3"/>
        <v>200</v>
      </c>
      <c r="W13" s="33">
        <v>3826.05</v>
      </c>
      <c r="X13" s="33">
        <v>0</v>
      </c>
      <c r="Y13" s="33">
        <v>0</v>
      </c>
      <c r="Z13" s="33">
        <f>10000+8157.16</f>
        <v>18157.16</v>
      </c>
      <c r="AA13" s="33">
        <v>0</v>
      </c>
      <c r="AB13" s="33">
        <v>0</v>
      </c>
      <c r="AC13" s="33">
        <v>0</v>
      </c>
      <c r="AD13" s="33">
        <f t="shared" si="4"/>
        <v>31261.82999999998</v>
      </c>
      <c r="AE13" s="33">
        <v>0</v>
      </c>
      <c r="AF13" s="33">
        <v>0</v>
      </c>
      <c r="AG13" s="36">
        <f>1000+1000</f>
        <v>2000</v>
      </c>
      <c r="AH13" s="37">
        <v>0</v>
      </c>
      <c r="AI13" s="36">
        <v>0</v>
      </c>
      <c r="AJ13" s="34">
        <v>0</v>
      </c>
      <c r="AK13" s="38">
        <f t="shared" si="5"/>
        <v>33261.82999999998</v>
      </c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</row>
    <row r="14" spans="1:103" x14ac:dyDescent="0.25">
      <c r="A14" s="31" t="s">
        <v>53</v>
      </c>
      <c r="B14" s="28">
        <f>7040+7040</f>
        <v>14080</v>
      </c>
      <c r="C14" s="32">
        <f>7040-809.72-75.35+7040-269.9-3.37</f>
        <v>12921.66</v>
      </c>
      <c r="D14" s="33">
        <v>80.98</v>
      </c>
      <c r="E14" s="33">
        <v>0</v>
      </c>
      <c r="F14" s="33">
        <f>506.1+701.79+114.04+759.15+161.95</f>
        <v>2243.0299999999997</v>
      </c>
      <c r="G14" s="33">
        <f t="shared" si="0"/>
        <v>15245.669999999998</v>
      </c>
      <c r="H14" s="33">
        <v>630</v>
      </c>
      <c r="I14" s="34">
        <v>1330</v>
      </c>
      <c r="J14" s="33">
        <f t="shared" si="1"/>
        <v>1960</v>
      </c>
      <c r="K14" s="34">
        <v>10</v>
      </c>
      <c r="L14" s="33">
        <v>1292.06</v>
      </c>
      <c r="M14" s="33">
        <v>0</v>
      </c>
      <c r="N14" s="33">
        <f t="shared" si="7"/>
        <v>352</v>
      </c>
      <c r="O14" s="33">
        <f t="shared" si="2"/>
        <v>352</v>
      </c>
      <c r="P14" s="34">
        <f t="shared" si="8"/>
        <v>704</v>
      </c>
      <c r="Q14" s="33">
        <v>0</v>
      </c>
      <c r="R14" s="33">
        <v>0</v>
      </c>
      <c r="S14" s="33">
        <v>0</v>
      </c>
      <c r="T14" s="33">
        <v>0</v>
      </c>
      <c r="U14" s="33">
        <v>200</v>
      </c>
      <c r="V14" s="33">
        <f t="shared" si="3"/>
        <v>200</v>
      </c>
      <c r="W14" s="32">
        <v>0</v>
      </c>
      <c r="X14" s="33">
        <v>0</v>
      </c>
      <c r="Y14" s="33">
        <v>0</v>
      </c>
      <c r="Z14" s="33">
        <v>0</v>
      </c>
      <c r="AA14" s="33">
        <v>44.98</v>
      </c>
      <c r="AB14" s="33">
        <v>0</v>
      </c>
      <c r="AC14" s="33">
        <v>0</v>
      </c>
      <c r="AD14" s="33">
        <f t="shared" si="4"/>
        <v>12726.63</v>
      </c>
      <c r="AE14" s="33">
        <v>0</v>
      </c>
      <c r="AF14" s="33">
        <v>0</v>
      </c>
      <c r="AG14" s="36">
        <v>0</v>
      </c>
      <c r="AH14" s="37">
        <v>0</v>
      </c>
      <c r="AI14" s="36">
        <v>0</v>
      </c>
      <c r="AJ14" s="34">
        <v>0</v>
      </c>
      <c r="AK14" s="38">
        <f t="shared" si="5"/>
        <v>12726.63</v>
      </c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</row>
    <row r="15" spans="1:103" x14ac:dyDescent="0.25">
      <c r="A15" s="31" t="s">
        <v>54</v>
      </c>
      <c r="B15" s="28">
        <f>10570+10570</f>
        <v>21140</v>
      </c>
      <c r="C15" s="32">
        <f>10570-810.48-99.62+10570-258.34</f>
        <v>19971.560000000001</v>
      </c>
      <c r="D15" s="33">
        <v>228.56</v>
      </c>
      <c r="E15" s="33">
        <v>0</v>
      </c>
      <c r="F15" s="33">
        <v>0</v>
      </c>
      <c r="G15" s="33">
        <f t="shared" si="0"/>
        <v>20200.120000000003</v>
      </c>
      <c r="H15" s="33">
        <v>945</v>
      </c>
      <c r="I15" s="34">
        <f>1900+95</f>
        <v>1995</v>
      </c>
      <c r="J15" s="33">
        <f t="shared" si="1"/>
        <v>2940</v>
      </c>
      <c r="K15" s="34">
        <v>30</v>
      </c>
      <c r="L15" s="33">
        <v>1845.8</v>
      </c>
      <c r="M15" s="33">
        <f>0</f>
        <v>0</v>
      </c>
      <c r="N15" s="33">
        <f t="shared" si="7"/>
        <v>528.5</v>
      </c>
      <c r="O15" s="33">
        <f t="shared" si="2"/>
        <v>528.5</v>
      </c>
      <c r="P15" s="34">
        <f t="shared" si="8"/>
        <v>1057</v>
      </c>
      <c r="Q15" s="33">
        <v>0</v>
      </c>
      <c r="R15" s="33">
        <v>0</v>
      </c>
      <c r="S15" s="33">
        <v>0</v>
      </c>
      <c r="T15" s="34">
        <v>0</v>
      </c>
      <c r="U15" s="33">
        <v>200</v>
      </c>
      <c r="V15" s="33">
        <f t="shared" si="3"/>
        <v>200</v>
      </c>
      <c r="W15" s="32">
        <v>1611.71</v>
      </c>
      <c r="X15" s="33">
        <v>0</v>
      </c>
      <c r="Y15" s="33">
        <f>1000+1000</f>
        <v>2000</v>
      </c>
      <c r="Z15" s="33">
        <v>0</v>
      </c>
      <c r="AA15" s="33">
        <v>0</v>
      </c>
      <c r="AB15" s="33">
        <v>0</v>
      </c>
      <c r="AC15" s="33">
        <v>0</v>
      </c>
      <c r="AD15" s="33">
        <f t="shared" si="4"/>
        <v>13069.110000000004</v>
      </c>
      <c r="AE15" s="33">
        <v>0</v>
      </c>
      <c r="AF15" s="33">
        <v>0</v>
      </c>
      <c r="AG15" s="36">
        <v>0</v>
      </c>
      <c r="AH15" s="37">
        <v>0</v>
      </c>
      <c r="AI15" s="36">
        <v>0</v>
      </c>
      <c r="AJ15" s="34">
        <v>0</v>
      </c>
      <c r="AK15" s="38">
        <f t="shared" si="5"/>
        <v>13069.110000000004</v>
      </c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</row>
    <row r="16" spans="1:103" s="42" customFormat="1" ht="12.75" customHeight="1" x14ac:dyDescent="0.2">
      <c r="A16" s="31" t="s">
        <v>55</v>
      </c>
      <c r="B16" s="28">
        <f>8382+8382</f>
        <v>16764</v>
      </c>
      <c r="C16" s="32">
        <f>8382-1928.13-17.41+8382-13.39</f>
        <v>14805.07</v>
      </c>
      <c r="D16" s="33">
        <f>192.82+189.92</f>
        <v>382.74</v>
      </c>
      <c r="E16" s="33">
        <v>0</v>
      </c>
      <c r="F16" s="33">
        <f>1405.95+1405.95</f>
        <v>2811.9</v>
      </c>
      <c r="G16" s="34">
        <f t="shared" si="0"/>
        <v>17999.71</v>
      </c>
      <c r="H16" s="33">
        <v>765</v>
      </c>
      <c r="I16" s="34">
        <v>1615</v>
      </c>
      <c r="J16" s="33">
        <f t="shared" si="1"/>
        <v>2380</v>
      </c>
      <c r="K16" s="34">
        <v>30</v>
      </c>
      <c r="L16" s="33">
        <v>1522.78</v>
      </c>
      <c r="M16" s="33">
        <v>0</v>
      </c>
      <c r="N16" s="33">
        <f t="shared" si="7"/>
        <v>419.1</v>
      </c>
      <c r="O16" s="33">
        <f t="shared" si="2"/>
        <v>419.1</v>
      </c>
      <c r="P16" s="34">
        <f t="shared" si="8"/>
        <v>838.2</v>
      </c>
      <c r="Q16" s="33">
        <v>0</v>
      </c>
      <c r="R16" s="33">
        <v>0</v>
      </c>
      <c r="S16" s="33">
        <v>0</v>
      </c>
      <c r="T16" s="33">
        <v>0</v>
      </c>
      <c r="U16" s="33">
        <v>200</v>
      </c>
      <c r="V16" s="34">
        <f t="shared" si="3"/>
        <v>200</v>
      </c>
      <c r="W16" s="32">
        <v>1748.92</v>
      </c>
      <c r="X16" s="37">
        <v>0</v>
      </c>
      <c r="Y16" s="37">
        <f>1000+1000</f>
        <v>2000</v>
      </c>
      <c r="Z16" s="33">
        <v>0</v>
      </c>
      <c r="AA16" s="33">
        <v>0</v>
      </c>
      <c r="AB16" s="33">
        <v>0</v>
      </c>
      <c r="AC16" s="33">
        <v>0</v>
      </c>
      <c r="AD16" s="33">
        <f t="shared" si="4"/>
        <v>11343.91</v>
      </c>
      <c r="AE16" s="33">
        <v>0</v>
      </c>
      <c r="AF16" s="33">
        <v>0</v>
      </c>
      <c r="AG16" s="36">
        <v>0</v>
      </c>
      <c r="AH16" s="37">
        <v>0</v>
      </c>
      <c r="AI16" s="36">
        <v>0</v>
      </c>
      <c r="AJ16" s="34">
        <v>0</v>
      </c>
      <c r="AK16" s="38">
        <f t="shared" si="5"/>
        <v>11343.91</v>
      </c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</row>
    <row r="17" spans="1:103" x14ac:dyDescent="0.25">
      <c r="A17" s="31" t="s">
        <v>56</v>
      </c>
      <c r="B17" s="28">
        <f>11260+11260</f>
        <v>22520</v>
      </c>
      <c r="C17" s="32">
        <f>11260-19.79+11260-46.77</f>
        <v>22453.439999999999</v>
      </c>
      <c r="D17" s="33">
        <v>259.01</v>
      </c>
      <c r="E17" s="33">
        <v>0</v>
      </c>
      <c r="F17" s="33">
        <f>741.95+741.95</f>
        <v>1483.9</v>
      </c>
      <c r="G17" s="33">
        <f t="shared" si="0"/>
        <v>24196.35</v>
      </c>
      <c r="H17" s="33">
        <f>900+112.5</f>
        <v>1012.5</v>
      </c>
      <c r="I17" s="34">
        <f>1900+237.5</f>
        <v>2137.5</v>
      </c>
      <c r="J17" s="33">
        <f t="shared" si="1"/>
        <v>3150</v>
      </c>
      <c r="K17" s="34">
        <v>30</v>
      </c>
      <c r="L17" s="33">
        <v>1845.8</v>
      </c>
      <c r="M17" s="33">
        <v>0</v>
      </c>
      <c r="N17" s="33">
        <f t="shared" si="7"/>
        <v>563</v>
      </c>
      <c r="O17" s="33">
        <f t="shared" si="2"/>
        <v>563</v>
      </c>
      <c r="P17" s="34">
        <f t="shared" si="8"/>
        <v>1126</v>
      </c>
      <c r="Q17" s="33">
        <v>0</v>
      </c>
      <c r="R17" s="33">
        <v>0</v>
      </c>
      <c r="S17" s="33">
        <v>0</v>
      </c>
      <c r="T17" s="33">
        <f>(G17-H17-N17-U17-20833)*15%</f>
        <v>238.17749999999978</v>
      </c>
      <c r="U17" s="33">
        <v>200</v>
      </c>
      <c r="V17" s="33">
        <f t="shared" si="3"/>
        <v>200</v>
      </c>
      <c r="W17" s="32">
        <v>1417</v>
      </c>
      <c r="X17" s="33">
        <v>0</v>
      </c>
      <c r="Y17" s="33">
        <v>0</v>
      </c>
      <c r="Z17" s="33">
        <v>0</v>
      </c>
      <c r="AA17" s="33">
        <v>0</v>
      </c>
      <c r="AB17" s="33">
        <v>0</v>
      </c>
      <c r="AC17" s="33">
        <v>0</v>
      </c>
      <c r="AD17" s="33">
        <f t="shared" si="4"/>
        <v>18919.872499999998</v>
      </c>
      <c r="AE17" s="33">
        <f>1900+1900</f>
        <v>3800</v>
      </c>
      <c r="AF17" s="33">
        <v>43.71</v>
      </c>
      <c r="AG17" s="36">
        <v>0</v>
      </c>
      <c r="AH17" s="37">
        <v>0</v>
      </c>
      <c r="AI17" s="36">
        <v>0</v>
      </c>
      <c r="AJ17" s="34">
        <v>0</v>
      </c>
      <c r="AK17" s="38">
        <f t="shared" si="5"/>
        <v>22763.582499999997</v>
      </c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</row>
    <row r="18" spans="1:103" x14ac:dyDescent="0.25">
      <c r="A18" s="31" t="s">
        <v>57</v>
      </c>
      <c r="B18" s="28">
        <f>62500+62500</f>
        <v>125000</v>
      </c>
      <c r="C18" s="32">
        <f>B18</f>
        <v>125000</v>
      </c>
      <c r="D18" s="33">
        <v>0</v>
      </c>
      <c r="E18" s="33">
        <v>0</v>
      </c>
      <c r="F18" s="33">
        <v>0</v>
      </c>
      <c r="G18" s="33">
        <f t="shared" si="0"/>
        <v>125000</v>
      </c>
      <c r="H18" s="33">
        <f>900+450</f>
        <v>1350</v>
      </c>
      <c r="I18" s="34">
        <f>1900+950</f>
        <v>2850</v>
      </c>
      <c r="J18" s="33">
        <f t="shared" si="1"/>
        <v>4200</v>
      </c>
      <c r="K18" s="34">
        <v>30</v>
      </c>
      <c r="L18" s="33">
        <v>0</v>
      </c>
      <c r="M18" s="33">
        <v>0</v>
      </c>
      <c r="N18" s="33">
        <f>5000/2</f>
        <v>2500</v>
      </c>
      <c r="O18" s="33">
        <f t="shared" si="2"/>
        <v>2500</v>
      </c>
      <c r="P18" s="34">
        <f t="shared" si="8"/>
        <v>5000</v>
      </c>
      <c r="Q18" s="33">
        <v>0</v>
      </c>
      <c r="R18" s="33">
        <v>0</v>
      </c>
      <c r="S18" s="33">
        <v>0</v>
      </c>
      <c r="T18" s="33">
        <f>(G18-H18-N18-U18-66667)*25%+8541.8</f>
        <v>22112.55</v>
      </c>
      <c r="U18" s="33">
        <v>200</v>
      </c>
      <c r="V18" s="33">
        <f t="shared" si="3"/>
        <v>200</v>
      </c>
      <c r="W18" s="32">
        <v>0</v>
      </c>
      <c r="X18" s="33">
        <v>0</v>
      </c>
      <c r="Y18" s="33">
        <v>0</v>
      </c>
      <c r="Z18" s="33">
        <v>0</v>
      </c>
      <c r="AA18" s="33">
        <v>0</v>
      </c>
      <c r="AB18" s="33">
        <v>0</v>
      </c>
      <c r="AC18" s="33">
        <v>0</v>
      </c>
      <c r="AD18" s="33">
        <f t="shared" si="4"/>
        <v>98837.45</v>
      </c>
      <c r="AE18" s="33">
        <v>0</v>
      </c>
      <c r="AF18" s="33">
        <v>0</v>
      </c>
      <c r="AG18" s="36">
        <v>0</v>
      </c>
      <c r="AH18" s="37">
        <v>0</v>
      </c>
      <c r="AI18" s="36">
        <v>0</v>
      </c>
      <c r="AJ18" s="34">
        <v>0</v>
      </c>
      <c r="AK18" s="38">
        <f t="shared" si="5"/>
        <v>98837.45</v>
      </c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</row>
    <row r="19" spans="1:103" x14ac:dyDescent="0.25">
      <c r="A19" s="43" t="s">
        <v>58</v>
      </c>
      <c r="B19" s="28">
        <f>150000+30000+50000</f>
        <v>230000</v>
      </c>
      <c r="C19" s="32">
        <f>B19</f>
        <v>230000</v>
      </c>
      <c r="D19" s="33">
        <v>0</v>
      </c>
      <c r="E19" s="33">
        <v>0</v>
      </c>
      <c r="F19" s="33">
        <v>0</v>
      </c>
      <c r="G19" s="33">
        <f t="shared" si="0"/>
        <v>230000</v>
      </c>
      <c r="H19" s="33">
        <f>900+450</f>
        <v>1350</v>
      </c>
      <c r="I19" s="34">
        <f>1900+950</f>
        <v>2850</v>
      </c>
      <c r="J19" s="33">
        <f t="shared" si="1"/>
        <v>4200</v>
      </c>
      <c r="K19" s="34">
        <v>30</v>
      </c>
      <c r="L19" s="33">
        <v>0</v>
      </c>
      <c r="M19" s="33">
        <v>0</v>
      </c>
      <c r="N19" s="33">
        <f>5000/2</f>
        <v>2500</v>
      </c>
      <c r="O19" s="33">
        <f t="shared" si="2"/>
        <v>2500</v>
      </c>
      <c r="P19" s="34">
        <f t="shared" si="8"/>
        <v>5000</v>
      </c>
      <c r="Q19" s="33">
        <v>0</v>
      </c>
      <c r="R19" s="33">
        <v>0</v>
      </c>
      <c r="S19" s="33">
        <v>0</v>
      </c>
      <c r="T19" s="33">
        <f>(G19-H19-N19-U19-166667)*30%+33541.8</f>
        <v>51326.7</v>
      </c>
      <c r="U19" s="33">
        <v>200</v>
      </c>
      <c r="V19" s="33">
        <f t="shared" si="3"/>
        <v>200</v>
      </c>
      <c r="W19" s="32">
        <v>0</v>
      </c>
      <c r="X19" s="33">
        <v>0</v>
      </c>
      <c r="Y19" s="33">
        <v>0</v>
      </c>
      <c r="Z19" s="33">
        <v>0</v>
      </c>
      <c r="AA19" s="33">
        <v>0</v>
      </c>
      <c r="AB19" s="33">
        <v>0</v>
      </c>
      <c r="AC19" s="33">
        <v>0</v>
      </c>
      <c r="AD19" s="33">
        <f t="shared" si="4"/>
        <v>174623.3</v>
      </c>
      <c r="AE19" s="33">
        <v>0</v>
      </c>
      <c r="AF19" s="33">
        <v>0</v>
      </c>
      <c r="AG19" s="36">
        <v>0</v>
      </c>
      <c r="AH19" s="37">
        <v>0</v>
      </c>
      <c r="AI19" s="36">
        <v>0</v>
      </c>
      <c r="AJ19" s="34">
        <v>0</v>
      </c>
      <c r="AK19" s="38">
        <f t="shared" si="5"/>
        <v>174623.3</v>
      </c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</row>
    <row r="20" spans="1:103" x14ac:dyDescent="0.25">
      <c r="A20" s="31" t="s">
        <v>59</v>
      </c>
      <c r="B20" s="28">
        <f>8750+8750</f>
        <v>17500</v>
      </c>
      <c r="C20" s="32">
        <f>8750+8750</f>
        <v>17500</v>
      </c>
      <c r="D20" s="33">
        <v>201.29</v>
      </c>
      <c r="E20" s="33">
        <v>0</v>
      </c>
      <c r="F20" s="33">
        <f>1100.79+1048.38</f>
        <v>2149.17</v>
      </c>
      <c r="G20" s="33">
        <f t="shared" si="0"/>
        <v>19850.46</v>
      </c>
      <c r="H20" s="33">
        <v>787.5</v>
      </c>
      <c r="I20" s="34">
        <v>1662.5</v>
      </c>
      <c r="J20" s="33">
        <f t="shared" si="1"/>
        <v>2450</v>
      </c>
      <c r="K20" s="33">
        <v>30</v>
      </c>
      <c r="L20" s="33">
        <v>0</v>
      </c>
      <c r="M20" s="33">
        <v>0</v>
      </c>
      <c r="N20" s="33">
        <f t="shared" ref="N20:N27" si="9">B20*5%/2</f>
        <v>437.5</v>
      </c>
      <c r="O20" s="33">
        <f t="shared" si="2"/>
        <v>437.5</v>
      </c>
      <c r="P20" s="34">
        <f t="shared" si="8"/>
        <v>875</v>
      </c>
      <c r="Q20" s="33">
        <v>0</v>
      </c>
      <c r="R20" s="33">
        <v>0</v>
      </c>
      <c r="S20" s="33">
        <v>0</v>
      </c>
      <c r="T20" s="27">
        <v>0</v>
      </c>
      <c r="U20" s="33">
        <v>200</v>
      </c>
      <c r="V20" s="33">
        <f t="shared" si="3"/>
        <v>200</v>
      </c>
      <c r="W20" s="32">
        <v>0</v>
      </c>
      <c r="X20" s="33">
        <v>0</v>
      </c>
      <c r="Y20" s="33">
        <v>0</v>
      </c>
      <c r="Z20" s="33">
        <v>0</v>
      </c>
      <c r="AA20" s="33">
        <v>0</v>
      </c>
      <c r="AB20" s="36">
        <v>111.82</v>
      </c>
      <c r="AC20" s="33">
        <v>0</v>
      </c>
      <c r="AD20" s="33">
        <f>G20-L20-M20-W20-X20-Y20-Z20-AA20-H20-N20-T20-U20+AB20+AC20</f>
        <v>18537.28</v>
      </c>
      <c r="AE20" s="33">
        <v>0</v>
      </c>
      <c r="AF20" s="33">
        <v>0</v>
      </c>
      <c r="AG20" s="36">
        <v>0</v>
      </c>
      <c r="AH20" s="37">
        <v>0</v>
      </c>
      <c r="AI20" s="36">
        <v>0</v>
      </c>
      <c r="AJ20" s="34">
        <v>0</v>
      </c>
      <c r="AK20" s="38">
        <f t="shared" si="5"/>
        <v>18537.28</v>
      </c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</row>
    <row r="21" spans="1:103" x14ac:dyDescent="0.25">
      <c r="A21" s="31" t="s">
        <v>60</v>
      </c>
      <c r="B21" s="28">
        <f>12355+12355</f>
        <v>24710</v>
      </c>
      <c r="C21" s="32">
        <f>12355-11.84+12355</f>
        <v>24698.16</v>
      </c>
      <c r="D21" s="33">
        <v>284.20999999999998</v>
      </c>
      <c r="E21" s="33">
        <v>0</v>
      </c>
      <c r="F21" s="33">
        <v>0</v>
      </c>
      <c r="G21" s="33">
        <f t="shared" si="0"/>
        <v>24982.37</v>
      </c>
      <c r="H21" s="33">
        <f>900+202.5</f>
        <v>1102.5</v>
      </c>
      <c r="I21" s="34">
        <f>1900+427.5</f>
        <v>2327.5</v>
      </c>
      <c r="J21" s="33">
        <f t="shared" si="1"/>
        <v>3430</v>
      </c>
      <c r="K21" s="33">
        <v>30</v>
      </c>
      <c r="L21" s="33">
        <v>0</v>
      </c>
      <c r="M21" s="33">
        <v>0</v>
      </c>
      <c r="N21" s="33">
        <f t="shared" si="9"/>
        <v>617.75</v>
      </c>
      <c r="O21" s="33">
        <f t="shared" si="2"/>
        <v>617.75</v>
      </c>
      <c r="P21" s="34">
        <f t="shared" si="8"/>
        <v>1235.5</v>
      </c>
      <c r="Q21" s="33">
        <v>0</v>
      </c>
      <c r="R21" s="33">
        <v>0</v>
      </c>
      <c r="S21" s="33">
        <v>0</v>
      </c>
      <c r="T21" s="27">
        <f>(G21-H21-N21-Q21-U21-20833)*15%</f>
        <v>334.36799999999982</v>
      </c>
      <c r="U21" s="33">
        <v>200</v>
      </c>
      <c r="V21" s="33">
        <f t="shared" si="3"/>
        <v>200</v>
      </c>
      <c r="W21" s="32">
        <v>2412.8200000000002</v>
      </c>
      <c r="X21" s="33">
        <v>0</v>
      </c>
      <c r="Y21" s="33">
        <v>0</v>
      </c>
      <c r="Z21" s="33">
        <v>0</v>
      </c>
      <c r="AA21" s="33">
        <v>0</v>
      </c>
      <c r="AB21" s="33">
        <v>0</v>
      </c>
      <c r="AC21" s="33">
        <v>0</v>
      </c>
      <c r="AD21" s="33">
        <f>G21-L21-M21-W21-X21-Y21-Z21-AA21-H21-N21-T21-U21</f>
        <v>20314.932000000001</v>
      </c>
      <c r="AE21" s="33">
        <f>1400+1400</f>
        <v>2800</v>
      </c>
      <c r="AF21" s="33">
        <v>32.21</v>
      </c>
      <c r="AG21" s="36">
        <f>1000+1000</f>
        <v>2000</v>
      </c>
      <c r="AH21" s="37">
        <v>0</v>
      </c>
      <c r="AI21" s="36">
        <v>0</v>
      </c>
      <c r="AJ21" s="34">
        <v>0</v>
      </c>
      <c r="AK21" s="38">
        <f t="shared" si="5"/>
        <v>25147.142</v>
      </c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</row>
    <row r="22" spans="1:103" x14ac:dyDescent="0.25">
      <c r="A22" s="31" t="s">
        <v>61</v>
      </c>
      <c r="B22" s="28">
        <f>10000+10000</f>
        <v>20000</v>
      </c>
      <c r="C22" s="32">
        <f>10000-19.17+10000-14.38</f>
        <v>19966.45</v>
      </c>
      <c r="D22" s="33">
        <v>230.04</v>
      </c>
      <c r="E22" s="33">
        <v>0</v>
      </c>
      <c r="F22" s="33">
        <f>958.5+1138.22</f>
        <v>2096.7200000000003</v>
      </c>
      <c r="G22" s="33">
        <f t="shared" si="0"/>
        <v>22293.210000000003</v>
      </c>
      <c r="H22" s="33">
        <v>900</v>
      </c>
      <c r="I22" s="34">
        <v>1900</v>
      </c>
      <c r="J22" s="33">
        <f t="shared" si="1"/>
        <v>2800</v>
      </c>
      <c r="K22" s="33">
        <v>30</v>
      </c>
      <c r="L22" s="33">
        <v>0</v>
      </c>
      <c r="M22" s="33">
        <v>0</v>
      </c>
      <c r="N22" s="33">
        <f t="shared" si="9"/>
        <v>500</v>
      </c>
      <c r="O22" s="33">
        <f t="shared" si="2"/>
        <v>500</v>
      </c>
      <c r="P22" s="34">
        <f t="shared" si="8"/>
        <v>1000</v>
      </c>
      <c r="Q22" s="33">
        <v>0</v>
      </c>
      <c r="R22" s="33">
        <v>0</v>
      </c>
      <c r="S22" s="33">
        <v>0</v>
      </c>
      <c r="T22" s="27">
        <v>0</v>
      </c>
      <c r="U22" s="33">
        <v>200</v>
      </c>
      <c r="V22" s="33">
        <f t="shared" si="3"/>
        <v>200</v>
      </c>
      <c r="W22" s="32">
        <v>0</v>
      </c>
      <c r="X22" s="33">
        <v>0</v>
      </c>
      <c r="Y22" s="33">
        <v>0</v>
      </c>
      <c r="Z22" s="33">
        <v>0</v>
      </c>
      <c r="AA22" s="33">
        <v>0</v>
      </c>
      <c r="AB22" s="33">
        <v>0</v>
      </c>
      <c r="AC22" s="33">
        <v>0</v>
      </c>
      <c r="AD22" s="33">
        <f>G22-L22-M22-W22-X22-Y22-Z22-AA22-H22-N22-T22-U22</f>
        <v>20693.210000000003</v>
      </c>
      <c r="AE22" s="33">
        <v>0</v>
      </c>
      <c r="AF22" s="33">
        <v>0</v>
      </c>
      <c r="AG22" s="36">
        <v>0</v>
      </c>
      <c r="AH22" s="37">
        <v>0</v>
      </c>
      <c r="AI22" s="36">
        <v>0</v>
      </c>
      <c r="AJ22" s="34">
        <v>0</v>
      </c>
      <c r="AK22" s="38">
        <f t="shared" si="5"/>
        <v>20693.210000000003</v>
      </c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</row>
    <row r="23" spans="1:103" x14ac:dyDescent="0.25">
      <c r="A23" s="31" t="s">
        <v>62</v>
      </c>
      <c r="B23" s="28">
        <f>9500+9500</f>
        <v>19000</v>
      </c>
      <c r="C23" s="32">
        <f>9500-728.43-9.1+9500-3277.94-4.55-275.88</f>
        <v>14704.100000000002</v>
      </c>
      <c r="D23" s="33">
        <v>0</v>
      </c>
      <c r="E23" s="33">
        <v>0</v>
      </c>
      <c r="F23" s="33">
        <f>796.69+341.44</f>
        <v>1138.1300000000001</v>
      </c>
      <c r="G23" s="33">
        <f t="shared" si="0"/>
        <v>15842.230000000003</v>
      </c>
      <c r="H23" s="33">
        <v>855</v>
      </c>
      <c r="I23" s="34">
        <v>1805</v>
      </c>
      <c r="J23" s="33">
        <f t="shared" si="1"/>
        <v>2660</v>
      </c>
      <c r="K23" s="33">
        <v>30</v>
      </c>
      <c r="L23" s="33">
        <v>0</v>
      </c>
      <c r="M23" s="33">
        <v>0</v>
      </c>
      <c r="N23" s="33">
        <f t="shared" si="9"/>
        <v>475</v>
      </c>
      <c r="O23" s="33">
        <f t="shared" si="2"/>
        <v>475</v>
      </c>
      <c r="P23" s="34">
        <f t="shared" si="8"/>
        <v>950</v>
      </c>
      <c r="Q23" s="33">
        <v>0</v>
      </c>
      <c r="R23" s="33">
        <v>0</v>
      </c>
      <c r="S23" s="33">
        <v>0</v>
      </c>
      <c r="T23" s="27">
        <v>0</v>
      </c>
      <c r="U23" s="33">
        <v>200</v>
      </c>
      <c r="V23" s="33">
        <f t="shared" si="3"/>
        <v>200</v>
      </c>
      <c r="W23" s="32">
        <v>0</v>
      </c>
      <c r="X23" s="33">
        <v>0</v>
      </c>
      <c r="Y23" s="33">
        <v>0</v>
      </c>
      <c r="Z23" s="33">
        <v>0</v>
      </c>
      <c r="AA23" s="33">
        <v>91.05</v>
      </c>
      <c r="AB23" s="33">
        <v>0</v>
      </c>
      <c r="AC23" s="33">
        <v>0</v>
      </c>
      <c r="AD23" s="33">
        <f>G23-L23-M23-W23-X23-Y23-Z23-AA23-H23-N23-T23-U23</f>
        <v>14221.180000000004</v>
      </c>
      <c r="AE23" s="33">
        <v>0</v>
      </c>
      <c r="AF23" s="33">
        <v>0</v>
      </c>
      <c r="AG23" s="36">
        <v>0</v>
      </c>
      <c r="AH23" s="37">
        <v>0</v>
      </c>
      <c r="AI23" s="36">
        <v>0</v>
      </c>
      <c r="AJ23" s="34">
        <v>0</v>
      </c>
      <c r="AK23" s="38">
        <f t="shared" si="5"/>
        <v>14221.180000000004</v>
      </c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</row>
    <row r="24" spans="1:103" x14ac:dyDescent="0.25">
      <c r="A24" s="31" t="s">
        <v>63</v>
      </c>
      <c r="B24" s="28">
        <f>8658+8658</f>
        <v>17316</v>
      </c>
      <c r="C24" s="32">
        <f>8658-5.53+8658</f>
        <v>17310.47</v>
      </c>
      <c r="D24" s="33">
        <f>199.15+199.15</f>
        <v>398.3</v>
      </c>
      <c r="E24" s="33">
        <v>0</v>
      </c>
      <c r="F24" s="33">
        <v>0</v>
      </c>
      <c r="G24" s="33">
        <f t="shared" si="0"/>
        <v>17708.77</v>
      </c>
      <c r="H24" s="33">
        <v>787.5</v>
      </c>
      <c r="I24" s="34">
        <v>1662.5</v>
      </c>
      <c r="J24" s="33">
        <f t="shared" si="1"/>
        <v>2450</v>
      </c>
      <c r="K24" s="33">
        <v>30</v>
      </c>
      <c r="L24" s="33">
        <v>0</v>
      </c>
      <c r="M24" s="33">
        <v>0</v>
      </c>
      <c r="N24" s="33">
        <f t="shared" si="9"/>
        <v>432.90000000000003</v>
      </c>
      <c r="O24" s="33">
        <f t="shared" si="2"/>
        <v>432.90000000000003</v>
      </c>
      <c r="P24" s="34">
        <f t="shared" si="8"/>
        <v>865.80000000000007</v>
      </c>
      <c r="Q24" s="33">
        <v>0</v>
      </c>
      <c r="R24" s="33">
        <v>0</v>
      </c>
      <c r="S24" s="33">
        <v>0</v>
      </c>
      <c r="T24" s="27">
        <v>0</v>
      </c>
      <c r="U24" s="33">
        <v>200</v>
      </c>
      <c r="V24" s="33">
        <f t="shared" si="3"/>
        <v>200</v>
      </c>
      <c r="W24" s="32">
        <v>0</v>
      </c>
      <c r="X24" s="33">
        <v>0</v>
      </c>
      <c r="Y24" s="33">
        <v>0</v>
      </c>
      <c r="Z24" s="33">
        <v>0</v>
      </c>
      <c r="AA24" s="33">
        <v>0</v>
      </c>
      <c r="AB24" s="33">
        <v>0</v>
      </c>
      <c r="AC24" s="33">
        <v>0</v>
      </c>
      <c r="AD24" s="33">
        <f>G24-L24-M24-W24-X24-Y24-Z24-AA24-H24-N24-T24-U24</f>
        <v>16288.369999999999</v>
      </c>
      <c r="AE24" s="33">
        <v>0</v>
      </c>
      <c r="AF24" s="33">
        <v>0</v>
      </c>
      <c r="AG24" s="36">
        <v>0</v>
      </c>
      <c r="AH24" s="37">
        <v>0</v>
      </c>
      <c r="AI24" s="36">
        <v>0</v>
      </c>
      <c r="AJ24" s="34">
        <v>0</v>
      </c>
      <c r="AK24" s="38">
        <f t="shared" si="5"/>
        <v>16288.369999999999</v>
      </c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</row>
    <row r="25" spans="1:103" x14ac:dyDescent="0.25">
      <c r="A25" s="31" t="s">
        <v>64</v>
      </c>
      <c r="B25" s="28">
        <f>10911+10911</f>
        <v>21822</v>
      </c>
      <c r="C25" s="32">
        <f>10911-17.43+10911</f>
        <v>21804.57</v>
      </c>
      <c r="D25" s="33">
        <v>250.99</v>
      </c>
      <c r="E25" s="33">
        <v>0</v>
      </c>
      <c r="F25" s="33">
        <v>1045.8</v>
      </c>
      <c r="G25" s="33">
        <f t="shared" si="0"/>
        <v>23101.360000000001</v>
      </c>
      <c r="H25" s="33">
        <v>990</v>
      </c>
      <c r="I25" s="33">
        <f>1900+190</f>
        <v>2090</v>
      </c>
      <c r="J25" s="33">
        <f t="shared" si="1"/>
        <v>3080</v>
      </c>
      <c r="K25" s="33">
        <v>30</v>
      </c>
      <c r="L25" s="33">
        <v>1799.65</v>
      </c>
      <c r="M25" s="33">
        <v>0</v>
      </c>
      <c r="N25" s="33">
        <f t="shared" si="9"/>
        <v>545.55000000000007</v>
      </c>
      <c r="O25" s="33">
        <f t="shared" si="2"/>
        <v>545.55000000000007</v>
      </c>
      <c r="P25" s="34">
        <f t="shared" si="8"/>
        <v>1091.1000000000001</v>
      </c>
      <c r="Q25" s="33">
        <v>0</v>
      </c>
      <c r="R25" s="33">
        <v>0</v>
      </c>
      <c r="S25" s="33">
        <v>0</v>
      </c>
      <c r="T25" s="27">
        <f>(G25-H25-N25-Q25-U25-20833)*15%</f>
        <v>79.921500000000194</v>
      </c>
      <c r="U25" s="33">
        <v>200</v>
      </c>
      <c r="V25" s="33">
        <f t="shared" si="3"/>
        <v>200</v>
      </c>
      <c r="W25" s="33">
        <v>1293.73</v>
      </c>
      <c r="X25" s="33">
        <v>0</v>
      </c>
      <c r="Y25" s="33">
        <v>0</v>
      </c>
      <c r="Z25" s="33">
        <v>0</v>
      </c>
      <c r="AA25" s="33">
        <v>0</v>
      </c>
      <c r="AB25" s="33">
        <v>0</v>
      </c>
      <c r="AC25" s="33">
        <v>455.6</v>
      </c>
      <c r="AD25" s="33">
        <f>G25-L25-M25-W25-X25-Y25-Z25-AA25-H25-N25-T25-U25+AC25+AB25</f>
        <v>18648.108499999998</v>
      </c>
      <c r="AE25" s="33">
        <f>3150+3150</f>
        <v>6300</v>
      </c>
      <c r="AF25" s="33">
        <f>72.47+72.47</f>
        <v>144.94</v>
      </c>
      <c r="AG25" s="36">
        <v>0</v>
      </c>
      <c r="AH25" s="37">
        <v>0</v>
      </c>
      <c r="AI25" s="37">
        <v>0</v>
      </c>
      <c r="AJ25" s="34">
        <v>0</v>
      </c>
      <c r="AK25" s="38">
        <f t="shared" si="5"/>
        <v>25093.048499999997</v>
      </c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</row>
    <row r="26" spans="1:103" x14ac:dyDescent="0.25">
      <c r="A26" s="31" t="s">
        <v>65</v>
      </c>
      <c r="B26" s="28">
        <f>20000+20000</f>
        <v>40000</v>
      </c>
      <c r="C26" s="32">
        <f>20000-230.03+20000-35.14</f>
        <v>39734.83</v>
      </c>
      <c r="D26" s="33">
        <v>452.58</v>
      </c>
      <c r="E26" s="33">
        <v>0</v>
      </c>
      <c r="F26" s="33">
        <v>0</v>
      </c>
      <c r="G26" s="33">
        <f t="shared" si="0"/>
        <v>40187.410000000003</v>
      </c>
      <c r="H26" s="33">
        <f>900+450</f>
        <v>1350</v>
      </c>
      <c r="I26" s="34">
        <f>1900+950</f>
        <v>2850</v>
      </c>
      <c r="J26" s="33">
        <f t="shared" si="1"/>
        <v>4200</v>
      </c>
      <c r="K26" s="34">
        <v>30</v>
      </c>
      <c r="L26" s="33">
        <v>0</v>
      </c>
      <c r="M26" s="33">
        <v>0</v>
      </c>
      <c r="N26" s="33">
        <f t="shared" si="9"/>
        <v>1000</v>
      </c>
      <c r="O26" s="33">
        <f t="shared" si="2"/>
        <v>1000</v>
      </c>
      <c r="P26" s="34">
        <f t="shared" si="8"/>
        <v>2000</v>
      </c>
      <c r="Q26" s="33">
        <v>0</v>
      </c>
      <c r="R26" s="33">
        <v>0</v>
      </c>
      <c r="S26" s="33">
        <v>0</v>
      </c>
      <c r="T26" s="35">
        <f>(G26-H26-N26-Q26-U26-33333)*20%+1875</f>
        <v>2735.8820000000005</v>
      </c>
      <c r="U26" s="33">
        <v>200</v>
      </c>
      <c r="V26" s="33">
        <f t="shared" si="3"/>
        <v>200</v>
      </c>
      <c r="W26" s="32">
        <v>0</v>
      </c>
      <c r="X26" s="33">
        <v>0</v>
      </c>
      <c r="Y26" s="33">
        <f>2300+2300</f>
        <v>4600</v>
      </c>
      <c r="Z26" s="33">
        <v>0</v>
      </c>
      <c r="AA26" s="33">
        <v>0</v>
      </c>
      <c r="AB26" s="33">
        <v>0</v>
      </c>
      <c r="AC26" s="33">
        <v>0</v>
      </c>
      <c r="AD26" s="33">
        <f t="shared" ref="AD26:AD41" si="10">G26-L26-M26-W26-X26-Y26-Z26-AA26-H26-N26-T26-U26</f>
        <v>30301.528000000002</v>
      </c>
      <c r="AE26" s="33">
        <f>10000+10000</f>
        <v>20000</v>
      </c>
      <c r="AF26" s="33">
        <v>230.06</v>
      </c>
      <c r="AG26" s="36">
        <v>0</v>
      </c>
      <c r="AH26" s="37">
        <v>0</v>
      </c>
      <c r="AI26" s="37">
        <v>0</v>
      </c>
      <c r="AJ26" s="34">
        <v>0</v>
      </c>
      <c r="AK26" s="38">
        <f t="shared" si="5"/>
        <v>50531.588000000003</v>
      </c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</row>
    <row r="27" spans="1:103" x14ac:dyDescent="0.25">
      <c r="A27" s="31" t="s">
        <v>67</v>
      </c>
      <c r="B27" s="28">
        <f>10500+10500</f>
        <v>21000</v>
      </c>
      <c r="C27" s="32">
        <f>10500-1006.39-603.84+10500</f>
        <v>19389.77</v>
      </c>
      <c r="D27" s="33">
        <f>241.54+241.54</f>
        <v>483.08</v>
      </c>
      <c r="E27" s="33">
        <v>0</v>
      </c>
      <c r="F27" s="33">
        <f>377.4</f>
        <v>377.4</v>
      </c>
      <c r="G27" s="33">
        <f t="shared" si="0"/>
        <v>20250.250000000004</v>
      </c>
      <c r="H27" s="33">
        <v>945</v>
      </c>
      <c r="I27" s="34">
        <f>1900+95</f>
        <v>1995</v>
      </c>
      <c r="J27" s="33">
        <f t="shared" si="1"/>
        <v>2940</v>
      </c>
      <c r="K27" s="33">
        <v>30</v>
      </c>
      <c r="L27" s="33">
        <v>0</v>
      </c>
      <c r="M27" s="27">
        <v>0</v>
      </c>
      <c r="N27" s="33">
        <f t="shared" si="9"/>
        <v>525</v>
      </c>
      <c r="O27" s="33">
        <f t="shared" si="2"/>
        <v>525</v>
      </c>
      <c r="P27" s="34">
        <f t="shared" si="8"/>
        <v>1050</v>
      </c>
      <c r="Q27" s="33">
        <v>0</v>
      </c>
      <c r="R27" s="33">
        <v>0</v>
      </c>
      <c r="S27" s="33">
        <v>0</v>
      </c>
      <c r="T27" s="33">
        <v>0</v>
      </c>
      <c r="U27" s="33">
        <v>200</v>
      </c>
      <c r="V27" s="33">
        <f t="shared" si="3"/>
        <v>200</v>
      </c>
      <c r="W27" s="32">
        <v>0</v>
      </c>
      <c r="X27" s="33">
        <v>0</v>
      </c>
      <c r="Y27" s="33">
        <v>0</v>
      </c>
      <c r="Z27" s="33">
        <v>0</v>
      </c>
      <c r="AA27" s="33">
        <v>0</v>
      </c>
      <c r="AB27" s="33">
        <v>0</v>
      </c>
      <c r="AC27" s="33">
        <v>0</v>
      </c>
      <c r="AD27" s="33">
        <f t="shared" si="10"/>
        <v>18580.250000000004</v>
      </c>
      <c r="AE27" s="33">
        <v>0</v>
      </c>
      <c r="AF27" s="33">
        <v>0</v>
      </c>
      <c r="AG27" s="36">
        <v>0</v>
      </c>
      <c r="AH27" s="37">
        <f>500+500</f>
        <v>1000</v>
      </c>
      <c r="AI27" s="37">
        <v>0</v>
      </c>
      <c r="AJ27" s="34">
        <v>0</v>
      </c>
      <c r="AK27" s="38">
        <f>AD27+AE27+AF27+AG27+AH27</f>
        <v>19580.250000000004</v>
      </c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</row>
    <row r="28" spans="1:103" x14ac:dyDescent="0.25">
      <c r="A28" s="31" t="s">
        <v>69</v>
      </c>
      <c r="B28" s="28">
        <f>9066.5+9066.5</f>
        <v>18133</v>
      </c>
      <c r="C28" s="32">
        <f>9066.5-133.25+9066.5-68.07</f>
        <v>17931.68</v>
      </c>
      <c r="D28" s="33">
        <f>208.56+208.56</f>
        <v>417.12</v>
      </c>
      <c r="E28" s="33">
        <v>0</v>
      </c>
      <c r="F28" s="33">
        <v>0</v>
      </c>
      <c r="G28" s="33">
        <f t="shared" si="0"/>
        <v>18348.8</v>
      </c>
      <c r="H28" s="33">
        <v>810</v>
      </c>
      <c r="I28" s="34">
        <v>1710</v>
      </c>
      <c r="J28" s="33">
        <f t="shared" si="1"/>
        <v>2520</v>
      </c>
      <c r="K28" s="34">
        <v>30</v>
      </c>
      <c r="L28" s="33">
        <v>1661.22</v>
      </c>
      <c r="M28" s="27">
        <v>0</v>
      </c>
      <c r="N28" s="33">
        <f>B28*5%/2-0.01</f>
        <v>453.31500000000005</v>
      </c>
      <c r="O28" s="33">
        <f>N28+0.01</f>
        <v>453.32500000000005</v>
      </c>
      <c r="P28" s="34">
        <f>N28+O28+0.01</f>
        <v>906.65000000000009</v>
      </c>
      <c r="Q28" s="33">
        <v>0</v>
      </c>
      <c r="R28" s="33">
        <v>0</v>
      </c>
      <c r="S28" s="33">
        <v>0</v>
      </c>
      <c r="T28" s="33">
        <v>0</v>
      </c>
      <c r="U28" s="33">
        <v>200</v>
      </c>
      <c r="V28" s="33">
        <f t="shared" si="3"/>
        <v>200</v>
      </c>
      <c r="W28" s="32">
        <v>0</v>
      </c>
      <c r="X28" s="33">
        <v>0</v>
      </c>
      <c r="Y28" s="33">
        <v>0</v>
      </c>
      <c r="Z28" s="33">
        <v>0</v>
      </c>
      <c r="AA28" s="33">
        <v>0</v>
      </c>
      <c r="AB28" s="33">
        <v>0</v>
      </c>
      <c r="AC28" s="33">
        <v>0</v>
      </c>
      <c r="AD28" s="33">
        <f t="shared" si="10"/>
        <v>15224.264999999998</v>
      </c>
      <c r="AE28" s="33">
        <v>0</v>
      </c>
      <c r="AF28" s="33">
        <v>0</v>
      </c>
      <c r="AG28" s="36">
        <v>0</v>
      </c>
      <c r="AH28" s="37">
        <v>0</v>
      </c>
      <c r="AI28" s="37">
        <v>0</v>
      </c>
      <c r="AJ28" s="34">
        <v>0</v>
      </c>
      <c r="AK28" s="38">
        <f>AD28+AE28+AF28+AG28</f>
        <v>15224.264999999998</v>
      </c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</row>
    <row r="29" spans="1:103" x14ac:dyDescent="0.25">
      <c r="A29" s="43" t="s">
        <v>71</v>
      </c>
      <c r="B29" s="25">
        <f>8000+8000</f>
        <v>16000</v>
      </c>
      <c r="C29" s="32">
        <f>8000+8000-1840.26-14.06</f>
        <v>14145.68</v>
      </c>
      <c r="D29" s="33">
        <v>184.03</v>
      </c>
      <c r="E29" s="33">
        <v>0</v>
      </c>
      <c r="F29" s="33">
        <v>0</v>
      </c>
      <c r="G29" s="27">
        <f>C29+E29+F29+D29</f>
        <v>14329.710000000001</v>
      </c>
      <c r="H29" s="33">
        <v>720</v>
      </c>
      <c r="I29" s="34">
        <v>1520</v>
      </c>
      <c r="J29" s="33">
        <f t="shared" si="1"/>
        <v>2240</v>
      </c>
      <c r="K29" s="34">
        <v>30</v>
      </c>
      <c r="L29" s="33">
        <v>738.32</v>
      </c>
      <c r="M29" s="27">
        <v>0</v>
      </c>
      <c r="N29" s="33">
        <f t="shared" ref="N29:N42" si="11">B29*5%/2</f>
        <v>400</v>
      </c>
      <c r="O29" s="33">
        <f t="shared" ref="O29:O42" si="12">N29</f>
        <v>400</v>
      </c>
      <c r="P29" s="19">
        <f t="shared" ref="P29:P34" si="13">N29+O29</f>
        <v>800</v>
      </c>
      <c r="Q29" s="33">
        <v>0</v>
      </c>
      <c r="R29" s="33">
        <v>0</v>
      </c>
      <c r="S29" s="33">
        <v>0</v>
      </c>
      <c r="T29" s="27">
        <v>0</v>
      </c>
      <c r="U29" s="33">
        <v>200</v>
      </c>
      <c r="V29" s="27">
        <f t="shared" si="3"/>
        <v>200</v>
      </c>
      <c r="W29" s="46">
        <v>0</v>
      </c>
      <c r="X29" s="33">
        <v>0</v>
      </c>
      <c r="Y29" s="33">
        <v>0</v>
      </c>
      <c r="Z29" s="33">
        <v>0</v>
      </c>
      <c r="AA29" s="33">
        <v>153.36000000000001</v>
      </c>
      <c r="AB29" s="33">
        <v>0</v>
      </c>
      <c r="AC29" s="33">
        <v>0</v>
      </c>
      <c r="AD29" s="33">
        <f t="shared" si="10"/>
        <v>12118.03</v>
      </c>
      <c r="AE29" s="33">
        <v>0</v>
      </c>
      <c r="AF29" s="33">
        <v>0</v>
      </c>
      <c r="AG29" s="36">
        <v>0</v>
      </c>
      <c r="AH29" s="37">
        <v>0</v>
      </c>
      <c r="AI29" s="37">
        <v>0</v>
      </c>
      <c r="AJ29" s="34">
        <v>0</v>
      </c>
      <c r="AK29" s="38">
        <f>AD29+AE29+AF29+AG29</f>
        <v>12118.03</v>
      </c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42"/>
      <c r="BG29" s="42"/>
      <c r="BH29" s="42"/>
      <c r="BI29" s="42"/>
      <c r="BJ29" s="42"/>
      <c r="BK29" s="42"/>
      <c r="BL29" s="42"/>
      <c r="BM29" s="42"/>
      <c r="BN29" s="42"/>
      <c r="BO29" s="42"/>
      <c r="BP29" s="42"/>
      <c r="BQ29" s="42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</row>
    <row r="30" spans="1:103" x14ac:dyDescent="0.25">
      <c r="A30" s="31" t="s">
        <v>73</v>
      </c>
      <c r="B30" s="28">
        <f>15000+15000</f>
        <v>30000</v>
      </c>
      <c r="C30" s="32">
        <f>15000-117.41+15000-57.51</f>
        <v>29825.08</v>
      </c>
      <c r="D30" s="33">
        <v>0</v>
      </c>
      <c r="E30" s="33">
        <v>0</v>
      </c>
      <c r="F30" s="33">
        <v>179.71</v>
      </c>
      <c r="G30" s="33">
        <f t="shared" ref="G30:G46" si="14">C30+D30+E30+F30</f>
        <v>30004.79</v>
      </c>
      <c r="H30" s="27">
        <v>1350</v>
      </c>
      <c r="I30" s="27">
        <v>2850</v>
      </c>
      <c r="J30" s="27">
        <f t="shared" si="1"/>
        <v>4200</v>
      </c>
      <c r="K30" s="27">
        <v>30</v>
      </c>
      <c r="L30" s="27">
        <v>1523.08</v>
      </c>
      <c r="M30" s="27">
        <v>0</v>
      </c>
      <c r="N30" s="33">
        <f t="shared" si="11"/>
        <v>750</v>
      </c>
      <c r="O30" s="27">
        <f t="shared" si="12"/>
        <v>750</v>
      </c>
      <c r="P30" s="19">
        <f t="shared" si="13"/>
        <v>1500</v>
      </c>
      <c r="Q30" s="33">
        <v>0</v>
      </c>
      <c r="R30" s="33">
        <v>0</v>
      </c>
      <c r="S30" s="33">
        <v>0</v>
      </c>
      <c r="T30" s="33">
        <f>(G30-H30-N30-Q30-U30-20833)*15%</f>
        <v>1030.7685000000001</v>
      </c>
      <c r="U30" s="33">
        <v>200</v>
      </c>
      <c r="V30" s="27">
        <f t="shared" si="3"/>
        <v>200</v>
      </c>
      <c r="W30" s="27">
        <v>0</v>
      </c>
      <c r="X30" s="27">
        <v>0</v>
      </c>
      <c r="Y30" s="27">
        <f>1000+1000</f>
        <v>2000</v>
      </c>
      <c r="Z30" s="27">
        <v>0</v>
      </c>
      <c r="AA30" s="27">
        <v>0</v>
      </c>
      <c r="AB30" s="33">
        <v>0</v>
      </c>
      <c r="AC30" s="33">
        <v>0</v>
      </c>
      <c r="AD30" s="33">
        <f t="shared" si="10"/>
        <v>23150.941500000001</v>
      </c>
      <c r="AE30" s="33">
        <v>0</v>
      </c>
      <c r="AF30" s="33">
        <v>0</v>
      </c>
      <c r="AG30" s="36">
        <v>0</v>
      </c>
      <c r="AH30" s="27">
        <v>0</v>
      </c>
      <c r="AI30" s="27">
        <v>0</v>
      </c>
      <c r="AJ30" s="34">
        <v>0</v>
      </c>
      <c r="AK30" s="38">
        <f>AD30+AE30+AF30+AG30</f>
        <v>23150.941500000001</v>
      </c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</row>
    <row r="31" spans="1:103" x14ac:dyDescent="0.25">
      <c r="A31" s="31" t="s">
        <v>74</v>
      </c>
      <c r="B31" s="28">
        <f>7196+7196</f>
        <v>14392</v>
      </c>
      <c r="C31" s="32">
        <f>7196-551.77-210.36-68.97+7196-551.77-45.98</f>
        <v>12963.15</v>
      </c>
      <c r="D31" s="33">
        <v>165.53</v>
      </c>
      <c r="E31" s="33">
        <v>0</v>
      </c>
      <c r="F31" s="33">
        <v>0</v>
      </c>
      <c r="G31" s="33">
        <f t="shared" si="14"/>
        <v>13128.68</v>
      </c>
      <c r="H31" s="33">
        <v>652.5</v>
      </c>
      <c r="I31" s="34">
        <v>1377.5</v>
      </c>
      <c r="J31" s="33">
        <f t="shared" si="1"/>
        <v>2030</v>
      </c>
      <c r="K31" s="34">
        <v>10</v>
      </c>
      <c r="L31" s="33">
        <v>1338.2</v>
      </c>
      <c r="M31" s="34">
        <v>0</v>
      </c>
      <c r="N31" s="33">
        <f t="shared" si="11"/>
        <v>359.8</v>
      </c>
      <c r="O31" s="33">
        <f t="shared" si="12"/>
        <v>359.8</v>
      </c>
      <c r="P31" s="34">
        <f t="shared" si="13"/>
        <v>719.6</v>
      </c>
      <c r="Q31" s="33">
        <v>0</v>
      </c>
      <c r="R31" s="33">
        <v>0</v>
      </c>
      <c r="S31" s="33">
        <v>0</v>
      </c>
      <c r="T31" s="33">
        <v>0</v>
      </c>
      <c r="U31" s="33">
        <v>200</v>
      </c>
      <c r="V31" s="33">
        <f t="shared" si="3"/>
        <v>200</v>
      </c>
      <c r="W31" s="32">
        <v>396.58</v>
      </c>
      <c r="X31" s="33">
        <v>0</v>
      </c>
      <c r="Y31" s="33">
        <v>0</v>
      </c>
      <c r="Z31" s="33">
        <v>0</v>
      </c>
      <c r="AA31" s="33">
        <v>22.99</v>
      </c>
      <c r="AB31" s="33">
        <v>0</v>
      </c>
      <c r="AC31" s="33">
        <v>0</v>
      </c>
      <c r="AD31" s="33">
        <f t="shared" si="10"/>
        <v>10158.61</v>
      </c>
      <c r="AE31" s="33">
        <v>0</v>
      </c>
      <c r="AF31" s="33">
        <v>0</v>
      </c>
      <c r="AG31" s="36">
        <v>0</v>
      </c>
      <c r="AH31" s="37">
        <v>0</v>
      </c>
      <c r="AI31" s="28">
        <v>0</v>
      </c>
      <c r="AJ31" s="34">
        <v>0</v>
      </c>
      <c r="AK31" s="38">
        <f>AD31+AE31+AF31+AG31</f>
        <v>10158.61</v>
      </c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</row>
    <row r="32" spans="1:103" x14ac:dyDescent="0.25">
      <c r="A32" s="31" t="s">
        <v>76</v>
      </c>
      <c r="B32" s="28">
        <f>11570+11570</f>
        <v>23140</v>
      </c>
      <c r="C32" s="32">
        <f>11570-110.89+11570-59.14</f>
        <v>22969.97</v>
      </c>
      <c r="D32" s="33">
        <f>261.81+266.14</f>
        <v>527.95000000000005</v>
      </c>
      <c r="E32" s="33">
        <v>0</v>
      </c>
      <c r="F32" s="33">
        <v>831.68</v>
      </c>
      <c r="G32" s="33">
        <f t="shared" si="14"/>
        <v>24329.600000000002</v>
      </c>
      <c r="H32" s="33">
        <f>900+135</f>
        <v>1035</v>
      </c>
      <c r="I32" s="34">
        <f>1900+285</f>
        <v>2185</v>
      </c>
      <c r="J32" s="33">
        <f t="shared" si="1"/>
        <v>3220</v>
      </c>
      <c r="K32" s="34">
        <v>30</v>
      </c>
      <c r="L32" s="33">
        <v>0</v>
      </c>
      <c r="M32" s="33">
        <v>0</v>
      </c>
      <c r="N32" s="33">
        <f t="shared" si="11"/>
        <v>578.5</v>
      </c>
      <c r="O32" s="33">
        <f t="shared" si="12"/>
        <v>578.5</v>
      </c>
      <c r="P32" s="34">
        <f t="shared" si="13"/>
        <v>1157</v>
      </c>
      <c r="Q32" s="33">
        <v>0</v>
      </c>
      <c r="R32" s="33">
        <v>0</v>
      </c>
      <c r="S32" s="33">
        <v>0</v>
      </c>
      <c r="T32" s="33">
        <f>(G32-H32-N32-Q32-U32-20833)*15%</f>
        <v>252.46500000000032</v>
      </c>
      <c r="U32" s="33">
        <v>200</v>
      </c>
      <c r="V32" s="33">
        <f t="shared" si="3"/>
        <v>200</v>
      </c>
      <c r="W32" s="32">
        <v>309.3</v>
      </c>
      <c r="X32" s="33">
        <v>0</v>
      </c>
      <c r="Y32" s="33">
        <v>0</v>
      </c>
      <c r="Z32" s="33">
        <f>4750+4750</f>
        <v>9500</v>
      </c>
      <c r="AA32" s="33">
        <v>0</v>
      </c>
      <c r="AB32" s="33">
        <v>0</v>
      </c>
      <c r="AC32" s="33">
        <v>0</v>
      </c>
      <c r="AD32" s="33">
        <f t="shared" si="10"/>
        <v>12454.335000000003</v>
      </c>
      <c r="AE32" s="33">
        <f>500+500</f>
        <v>1000</v>
      </c>
      <c r="AF32" s="33">
        <v>11.5</v>
      </c>
      <c r="AG32" s="36">
        <v>0</v>
      </c>
      <c r="AH32" s="37">
        <f>500+500</f>
        <v>1000</v>
      </c>
      <c r="AI32" s="37">
        <v>0</v>
      </c>
      <c r="AJ32" s="34">
        <v>0</v>
      </c>
      <c r="AK32" s="38">
        <f>AD32+AE32+AF32+AG32+AH32</f>
        <v>14465.835000000003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</row>
    <row r="33" spans="1:103" x14ac:dyDescent="0.25">
      <c r="A33" s="31" t="s">
        <v>77</v>
      </c>
      <c r="B33" s="28">
        <f>7500+7500</f>
        <v>15000</v>
      </c>
      <c r="C33" s="32">
        <f>7500-287.54-4.79+7500-8.39</f>
        <v>14699.28</v>
      </c>
      <c r="D33" s="33">
        <f>172.51+21.56</f>
        <v>194.07</v>
      </c>
      <c r="E33" s="33">
        <v>0</v>
      </c>
      <c r="F33" s="33">
        <v>314.48</v>
      </c>
      <c r="G33" s="33">
        <f t="shared" si="14"/>
        <v>15207.83</v>
      </c>
      <c r="H33" s="33">
        <v>675</v>
      </c>
      <c r="I33" s="34">
        <v>1425</v>
      </c>
      <c r="J33" s="33">
        <f t="shared" si="1"/>
        <v>2100</v>
      </c>
      <c r="K33" s="34">
        <v>30</v>
      </c>
      <c r="L33" s="33">
        <v>1845.8</v>
      </c>
      <c r="M33" s="33">
        <v>0</v>
      </c>
      <c r="N33" s="33">
        <f t="shared" si="11"/>
        <v>375</v>
      </c>
      <c r="O33" s="33">
        <f t="shared" si="12"/>
        <v>375</v>
      </c>
      <c r="P33" s="34">
        <f t="shared" si="13"/>
        <v>750</v>
      </c>
      <c r="Q33" s="33">
        <v>0</v>
      </c>
      <c r="R33" s="33">
        <v>0</v>
      </c>
      <c r="S33" s="33">
        <v>0</v>
      </c>
      <c r="T33" s="33">
        <v>0</v>
      </c>
      <c r="U33" s="33">
        <v>200</v>
      </c>
      <c r="V33" s="33">
        <f t="shared" si="3"/>
        <v>200</v>
      </c>
      <c r="W33" s="32">
        <v>318.44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f t="shared" si="10"/>
        <v>11793.59</v>
      </c>
      <c r="AE33" s="33"/>
      <c r="AF33" s="33"/>
      <c r="AG33" s="36"/>
      <c r="AH33" s="37"/>
      <c r="AI33" s="37"/>
      <c r="AJ33" s="34"/>
      <c r="AK33" s="38">
        <f>AD33+AE33+AF33+AG33</f>
        <v>11793.59</v>
      </c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</row>
    <row r="34" spans="1:103" x14ac:dyDescent="0.25">
      <c r="A34" s="31" t="s">
        <v>78</v>
      </c>
      <c r="B34" s="28">
        <f>11880+11880</f>
        <v>23760</v>
      </c>
      <c r="C34" s="32">
        <f>11880+11880-37.96</f>
        <v>23722.04</v>
      </c>
      <c r="D34" s="33">
        <v>273.29000000000002</v>
      </c>
      <c r="E34" s="33">
        <v>0</v>
      </c>
      <c r="F34" s="33">
        <v>0</v>
      </c>
      <c r="G34" s="33">
        <f t="shared" si="14"/>
        <v>23995.33</v>
      </c>
      <c r="H34" s="33">
        <v>1080</v>
      </c>
      <c r="I34" s="34">
        <f>1900+380</f>
        <v>2280</v>
      </c>
      <c r="J34" s="33">
        <f t="shared" si="1"/>
        <v>3360</v>
      </c>
      <c r="K34" s="34">
        <v>30</v>
      </c>
      <c r="L34" s="33">
        <v>1845.8</v>
      </c>
      <c r="M34" s="33">
        <v>0</v>
      </c>
      <c r="N34" s="33">
        <f t="shared" si="11"/>
        <v>594</v>
      </c>
      <c r="O34" s="33">
        <f t="shared" si="12"/>
        <v>594</v>
      </c>
      <c r="P34" s="34">
        <f t="shared" si="13"/>
        <v>1188</v>
      </c>
      <c r="Q34" s="33">
        <v>0</v>
      </c>
      <c r="R34" s="33">
        <v>0</v>
      </c>
      <c r="S34" s="33">
        <v>0</v>
      </c>
      <c r="T34" s="33">
        <f>(G34-H34-N34-Q34-U34-20833)*15%</f>
        <v>193.24950000000027</v>
      </c>
      <c r="U34" s="33">
        <v>200</v>
      </c>
      <c r="V34" s="33">
        <f t="shared" si="3"/>
        <v>200</v>
      </c>
      <c r="W34" s="32">
        <v>0</v>
      </c>
      <c r="X34" s="33">
        <v>0</v>
      </c>
      <c r="Y34" s="33">
        <f>1500+1500</f>
        <v>3000</v>
      </c>
      <c r="Z34" s="33">
        <v>0</v>
      </c>
      <c r="AA34" s="33">
        <v>0</v>
      </c>
      <c r="AB34" s="33">
        <v>0</v>
      </c>
      <c r="AC34" s="33">
        <v>0</v>
      </c>
      <c r="AD34" s="33">
        <f t="shared" si="10"/>
        <v>17082.280500000001</v>
      </c>
      <c r="AE34" s="33">
        <v>0</v>
      </c>
      <c r="AF34" s="33">
        <v>0</v>
      </c>
      <c r="AG34" s="36">
        <v>0</v>
      </c>
      <c r="AH34" s="37">
        <v>0</v>
      </c>
      <c r="AI34" s="37">
        <v>0</v>
      </c>
      <c r="AJ34" s="28">
        <v>0</v>
      </c>
      <c r="AK34" s="38">
        <f>AD34+AE34+AF34+AG34</f>
        <v>17082.280500000001</v>
      </c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</row>
    <row r="35" spans="1:103" x14ac:dyDescent="0.25">
      <c r="A35" s="31" t="s">
        <v>79</v>
      </c>
      <c r="B35" s="28">
        <f>12568.5+12568.5</f>
        <v>25137</v>
      </c>
      <c r="C35" s="32">
        <f>12568.5-265.01-240.92+12568.5-963.72-44.17</f>
        <v>23623.18</v>
      </c>
      <c r="D35" s="33">
        <v>278.26</v>
      </c>
      <c r="E35" s="33">
        <v>0</v>
      </c>
      <c r="F35" s="33">
        <v>0</v>
      </c>
      <c r="G35" s="33">
        <f t="shared" si="14"/>
        <v>23901.439999999999</v>
      </c>
      <c r="H35" s="33">
        <v>1125</v>
      </c>
      <c r="I35" s="34">
        <f>1900+475</f>
        <v>2375</v>
      </c>
      <c r="J35" s="33">
        <f t="shared" si="1"/>
        <v>3500</v>
      </c>
      <c r="K35" s="34">
        <v>30</v>
      </c>
      <c r="L35" s="33">
        <v>1845.8</v>
      </c>
      <c r="M35" s="33">
        <v>0</v>
      </c>
      <c r="N35" s="33">
        <f t="shared" si="11"/>
        <v>628.42500000000007</v>
      </c>
      <c r="O35" s="33">
        <f t="shared" si="12"/>
        <v>628.42500000000007</v>
      </c>
      <c r="P35" s="34">
        <f>N35+O35+0.01</f>
        <v>1256.8600000000001</v>
      </c>
      <c r="Q35" s="33">
        <v>0</v>
      </c>
      <c r="R35" s="33">
        <v>0</v>
      </c>
      <c r="S35" s="33">
        <v>0</v>
      </c>
      <c r="T35" s="33">
        <f>(G35-H35-N35-Q35-U35-20833)*15%</f>
        <v>167.25224999999992</v>
      </c>
      <c r="U35" s="33">
        <v>200</v>
      </c>
      <c r="V35" s="33">
        <f t="shared" si="3"/>
        <v>200</v>
      </c>
      <c r="W35" s="32">
        <v>920.61</v>
      </c>
      <c r="X35" s="33">
        <v>0</v>
      </c>
      <c r="Y35" s="33">
        <v>0</v>
      </c>
      <c r="Z35" s="33">
        <v>0</v>
      </c>
      <c r="AA35" s="33">
        <v>120.47</v>
      </c>
      <c r="AB35" s="33">
        <v>0</v>
      </c>
      <c r="AC35" s="33">
        <v>0</v>
      </c>
      <c r="AD35" s="33">
        <f t="shared" si="10"/>
        <v>18893.882749999997</v>
      </c>
      <c r="AE35" s="33">
        <v>0</v>
      </c>
      <c r="AF35" s="33">
        <v>0</v>
      </c>
      <c r="AG35" s="36">
        <v>0</v>
      </c>
      <c r="AH35" s="37">
        <v>0</v>
      </c>
      <c r="AI35" s="37">
        <v>0</v>
      </c>
      <c r="AJ35" s="34">
        <v>0</v>
      </c>
      <c r="AK35" s="38">
        <f>AD35+AE35+AF35+AG35</f>
        <v>18893.882749999997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</row>
    <row r="36" spans="1:103" x14ac:dyDescent="0.25">
      <c r="A36" s="31" t="s">
        <v>161</v>
      </c>
      <c r="B36" s="63">
        <f>8893+8893</f>
        <v>17786</v>
      </c>
      <c r="C36" s="28">
        <f>8893+8893-681.89</f>
        <v>17104.11</v>
      </c>
      <c r="D36" s="28">
        <v>204.58</v>
      </c>
      <c r="E36" s="28">
        <v>0</v>
      </c>
      <c r="F36" s="28">
        <v>0</v>
      </c>
      <c r="G36" s="33">
        <f t="shared" si="14"/>
        <v>17308.690000000002</v>
      </c>
      <c r="H36" s="33">
        <v>810</v>
      </c>
      <c r="I36" s="33">
        <v>1710</v>
      </c>
      <c r="J36" s="33">
        <f t="shared" si="1"/>
        <v>2520</v>
      </c>
      <c r="K36" s="33">
        <v>30</v>
      </c>
      <c r="L36" s="33">
        <v>0</v>
      </c>
      <c r="M36" s="33">
        <v>0</v>
      </c>
      <c r="N36" s="33">
        <f t="shared" si="11"/>
        <v>444.65000000000003</v>
      </c>
      <c r="O36" s="33">
        <f t="shared" si="12"/>
        <v>444.65000000000003</v>
      </c>
      <c r="P36" s="34">
        <f t="shared" ref="P36:P42" si="15">N36+O36</f>
        <v>889.30000000000007</v>
      </c>
      <c r="Q36" s="34">
        <v>0</v>
      </c>
      <c r="R36" s="34">
        <v>0</v>
      </c>
      <c r="S36" s="33">
        <v>0</v>
      </c>
      <c r="T36" s="33">
        <v>0</v>
      </c>
      <c r="U36" s="34">
        <v>200</v>
      </c>
      <c r="V36" s="34">
        <f t="shared" si="3"/>
        <v>200</v>
      </c>
      <c r="W36" s="28">
        <v>941.46</v>
      </c>
      <c r="X36" s="34">
        <v>0</v>
      </c>
      <c r="Y36" s="34">
        <v>0</v>
      </c>
      <c r="Z36" s="37">
        <v>0</v>
      </c>
      <c r="AA36" s="33">
        <v>0</v>
      </c>
      <c r="AB36" s="33"/>
      <c r="AC36" s="33"/>
      <c r="AD36" s="33">
        <f t="shared" si="10"/>
        <v>14912.580000000004</v>
      </c>
      <c r="AE36" s="33">
        <f>+AF36</f>
        <v>0</v>
      </c>
      <c r="AF36" s="33">
        <v>0</v>
      </c>
      <c r="AG36" s="33">
        <v>0</v>
      </c>
      <c r="AH36" s="34">
        <v>0</v>
      </c>
      <c r="AI36" s="33">
        <v>0</v>
      </c>
      <c r="AJ36" s="33">
        <v>0</v>
      </c>
      <c r="AK36" s="63">
        <f t="shared" ref="AK36:AK55" si="16">AD36+AE36+AF36+AG36+AH36+AI36</f>
        <v>14912.580000000004</v>
      </c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</row>
    <row r="37" spans="1:103" x14ac:dyDescent="0.25">
      <c r="A37" s="31" t="s">
        <v>162</v>
      </c>
      <c r="B37" s="63">
        <f>9000+9000</f>
        <v>18000</v>
      </c>
      <c r="C37" s="28">
        <f>9000+9000-690.1</f>
        <v>17309.900000000001</v>
      </c>
      <c r="D37" s="28">
        <v>207.02</v>
      </c>
      <c r="E37" s="28">
        <v>0</v>
      </c>
      <c r="F37" s="28">
        <v>0</v>
      </c>
      <c r="G37" s="33">
        <f t="shared" si="14"/>
        <v>17516.920000000002</v>
      </c>
      <c r="H37" s="33">
        <v>810</v>
      </c>
      <c r="I37" s="33">
        <v>1710</v>
      </c>
      <c r="J37" s="33">
        <f t="shared" si="1"/>
        <v>2520</v>
      </c>
      <c r="K37" s="33">
        <v>30</v>
      </c>
      <c r="L37" s="33">
        <f>1661.22</f>
        <v>1661.22</v>
      </c>
      <c r="M37" s="33">
        <v>0</v>
      </c>
      <c r="N37" s="33">
        <f t="shared" si="11"/>
        <v>450</v>
      </c>
      <c r="O37" s="33">
        <f t="shared" si="12"/>
        <v>450</v>
      </c>
      <c r="P37" s="34">
        <f t="shared" si="15"/>
        <v>900</v>
      </c>
      <c r="Q37" s="34">
        <v>0</v>
      </c>
      <c r="R37" s="34">
        <v>0</v>
      </c>
      <c r="S37" s="33">
        <v>0</v>
      </c>
      <c r="T37" s="33">
        <v>0</v>
      </c>
      <c r="U37" s="34">
        <v>200</v>
      </c>
      <c r="V37" s="34">
        <f t="shared" si="3"/>
        <v>200</v>
      </c>
      <c r="W37" s="34">
        <v>0</v>
      </c>
      <c r="X37" s="64">
        <v>0</v>
      </c>
      <c r="Y37" s="34">
        <v>0</v>
      </c>
      <c r="Z37" s="37">
        <v>0</v>
      </c>
      <c r="AA37" s="33">
        <v>0</v>
      </c>
      <c r="AB37" s="33"/>
      <c r="AC37" s="33"/>
      <c r="AD37" s="33">
        <f t="shared" si="10"/>
        <v>14395.700000000003</v>
      </c>
      <c r="AE37" s="33">
        <v>0</v>
      </c>
      <c r="AF37" s="33">
        <v>0</v>
      </c>
      <c r="AG37" s="33">
        <v>0</v>
      </c>
      <c r="AH37" s="34">
        <v>0</v>
      </c>
      <c r="AI37" s="33">
        <v>0</v>
      </c>
      <c r="AJ37" s="33">
        <v>0</v>
      </c>
      <c r="AK37" s="63">
        <f t="shared" si="16"/>
        <v>14395.700000000003</v>
      </c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</row>
    <row r="38" spans="1:103" x14ac:dyDescent="0.25">
      <c r="A38" s="31" t="s">
        <v>163</v>
      </c>
      <c r="B38" s="63">
        <f>11000+11000</f>
        <v>22000</v>
      </c>
      <c r="C38" s="28">
        <f>11000-35.14+11000-36.9</f>
        <v>21927.96</v>
      </c>
      <c r="D38" s="28">
        <f>251.45+253.03</f>
        <v>504.48</v>
      </c>
      <c r="E38" s="28">
        <v>0</v>
      </c>
      <c r="F38" s="28">
        <v>0</v>
      </c>
      <c r="G38" s="33">
        <f t="shared" si="14"/>
        <v>22432.44</v>
      </c>
      <c r="H38" s="33">
        <v>990</v>
      </c>
      <c r="I38" s="33">
        <f>1900+190</f>
        <v>2090</v>
      </c>
      <c r="J38" s="33">
        <f t="shared" si="1"/>
        <v>3080</v>
      </c>
      <c r="K38" s="33">
        <v>30</v>
      </c>
      <c r="L38" s="33">
        <v>0</v>
      </c>
      <c r="M38" s="33">
        <v>0</v>
      </c>
      <c r="N38" s="33">
        <f t="shared" si="11"/>
        <v>550</v>
      </c>
      <c r="O38" s="33">
        <f t="shared" si="12"/>
        <v>550</v>
      </c>
      <c r="P38" s="34">
        <f t="shared" si="15"/>
        <v>1100</v>
      </c>
      <c r="Q38" s="34">
        <v>0</v>
      </c>
      <c r="R38" s="34">
        <v>0</v>
      </c>
      <c r="S38" s="33">
        <v>0</v>
      </c>
      <c r="T38" s="33">
        <v>0</v>
      </c>
      <c r="U38" s="34">
        <v>200</v>
      </c>
      <c r="V38" s="34">
        <f t="shared" si="3"/>
        <v>200</v>
      </c>
      <c r="W38" s="34">
        <v>0</v>
      </c>
      <c r="X38" s="64">
        <v>0</v>
      </c>
      <c r="Y38" s="34">
        <v>0</v>
      </c>
      <c r="Z38" s="37">
        <v>0</v>
      </c>
      <c r="AA38" s="33">
        <v>0</v>
      </c>
      <c r="AB38" s="33"/>
      <c r="AC38" s="33"/>
      <c r="AD38" s="33">
        <f t="shared" si="10"/>
        <v>20692.439999999999</v>
      </c>
      <c r="AE38" s="33">
        <v>0</v>
      </c>
      <c r="AF38" s="33">
        <v>0</v>
      </c>
      <c r="AG38" s="33">
        <v>0</v>
      </c>
      <c r="AH38" s="34">
        <v>0</v>
      </c>
      <c r="AI38" s="33">
        <v>0</v>
      </c>
      <c r="AJ38" s="33">
        <v>0</v>
      </c>
      <c r="AK38" s="63">
        <f t="shared" si="16"/>
        <v>20692.439999999999</v>
      </c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</row>
    <row r="39" spans="1:103" x14ac:dyDescent="0.25">
      <c r="A39" s="31" t="s">
        <v>164</v>
      </c>
      <c r="B39" s="28">
        <f>14000+14000</f>
        <v>28000</v>
      </c>
      <c r="C39" s="28">
        <f>14000-2.24+14000</f>
        <v>27997.760000000002</v>
      </c>
      <c r="D39" s="28">
        <f>161.03+322.06</f>
        <v>483.09000000000003</v>
      </c>
      <c r="E39" s="28">
        <v>0</v>
      </c>
      <c r="F39" s="28">
        <v>0</v>
      </c>
      <c r="G39" s="33">
        <f t="shared" si="14"/>
        <v>28480.850000000002</v>
      </c>
      <c r="H39" s="33">
        <v>1260</v>
      </c>
      <c r="I39" s="33">
        <f>1900+760</f>
        <v>2660</v>
      </c>
      <c r="J39" s="33">
        <f t="shared" si="1"/>
        <v>3920</v>
      </c>
      <c r="K39" s="33">
        <v>30</v>
      </c>
      <c r="L39" s="33">
        <v>0</v>
      </c>
      <c r="M39" s="33">
        <v>0</v>
      </c>
      <c r="N39" s="33">
        <f t="shared" si="11"/>
        <v>700</v>
      </c>
      <c r="O39" s="33">
        <f t="shared" si="12"/>
        <v>700</v>
      </c>
      <c r="P39" s="34">
        <f t="shared" si="15"/>
        <v>1400</v>
      </c>
      <c r="Q39" s="34">
        <v>0</v>
      </c>
      <c r="R39" s="34">
        <v>0</v>
      </c>
      <c r="S39" s="33">
        <v>0</v>
      </c>
      <c r="T39" s="34">
        <f>(G39-H39-N39-U39-20833)*15%</f>
        <v>823.17750000000035</v>
      </c>
      <c r="U39" s="34">
        <v>200</v>
      </c>
      <c r="V39" s="34">
        <f t="shared" si="3"/>
        <v>200</v>
      </c>
      <c r="W39" s="28">
        <v>0</v>
      </c>
      <c r="X39" s="34">
        <v>0</v>
      </c>
      <c r="Y39" s="34">
        <v>0</v>
      </c>
      <c r="Z39" s="37">
        <v>0</v>
      </c>
      <c r="AA39" s="33">
        <v>0</v>
      </c>
      <c r="AB39" s="33"/>
      <c r="AC39" s="33"/>
      <c r="AD39" s="33">
        <f t="shared" si="10"/>
        <v>25497.672500000001</v>
      </c>
      <c r="AE39" s="33">
        <v>0</v>
      </c>
      <c r="AF39" s="33">
        <v>0</v>
      </c>
      <c r="AG39" s="33">
        <v>0</v>
      </c>
      <c r="AH39" s="34">
        <v>0</v>
      </c>
      <c r="AI39" s="33">
        <v>0</v>
      </c>
      <c r="AJ39" s="33">
        <v>0</v>
      </c>
      <c r="AK39" s="63">
        <f t="shared" si="16"/>
        <v>25497.672500000001</v>
      </c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</row>
    <row r="40" spans="1:103" x14ac:dyDescent="0.25">
      <c r="A40" s="31" t="s">
        <v>165</v>
      </c>
      <c r="B40" s="28">
        <f>12500+12500</f>
        <v>25000</v>
      </c>
      <c r="C40" s="28">
        <f>12500-5.99+12500</f>
        <v>24994.010000000002</v>
      </c>
      <c r="D40" s="28">
        <v>0</v>
      </c>
      <c r="E40" s="28">
        <v>5.99</v>
      </c>
      <c r="F40" s="28">
        <v>0</v>
      </c>
      <c r="G40" s="33">
        <f t="shared" si="14"/>
        <v>25000.000000000004</v>
      </c>
      <c r="H40" s="33">
        <f>900+225</f>
        <v>1125</v>
      </c>
      <c r="I40" s="34">
        <f>1900+475</f>
        <v>2375</v>
      </c>
      <c r="J40" s="33">
        <f t="shared" si="1"/>
        <v>3500</v>
      </c>
      <c r="K40" s="34">
        <v>30</v>
      </c>
      <c r="L40" s="33">
        <v>0</v>
      </c>
      <c r="M40" s="33">
        <v>0</v>
      </c>
      <c r="N40" s="33">
        <f t="shared" si="11"/>
        <v>625</v>
      </c>
      <c r="O40" s="33">
        <f t="shared" si="12"/>
        <v>625</v>
      </c>
      <c r="P40" s="34">
        <f t="shared" si="15"/>
        <v>1250</v>
      </c>
      <c r="Q40" s="34">
        <v>0</v>
      </c>
      <c r="R40" s="34">
        <v>0</v>
      </c>
      <c r="S40" s="33">
        <v>0</v>
      </c>
      <c r="T40" s="34">
        <f>(G40-H40-N40-U40-20833)*15%</f>
        <v>332.55000000000052</v>
      </c>
      <c r="U40" s="34">
        <v>200</v>
      </c>
      <c r="V40" s="34">
        <f t="shared" si="3"/>
        <v>200</v>
      </c>
      <c r="W40" s="28">
        <v>0</v>
      </c>
      <c r="X40" s="34">
        <v>0</v>
      </c>
      <c r="Y40" s="34">
        <v>0</v>
      </c>
      <c r="Z40" s="37">
        <f>0</f>
        <v>0</v>
      </c>
      <c r="AA40" s="33">
        <v>0</v>
      </c>
      <c r="AB40" s="33"/>
      <c r="AC40" s="33"/>
      <c r="AD40" s="33">
        <f t="shared" si="10"/>
        <v>22717.450000000004</v>
      </c>
      <c r="AE40" s="33">
        <v>0</v>
      </c>
      <c r="AF40" s="33">
        <v>0</v>
      </c>
      <c r="AG40" s="33">
        <v>0</v>
      </c>
      <c r="AH40" s="34">
        <v>0</v>
      </c>
      <c r="AI40" s="33">
        <v>0</v>
      </c>
      <c r="AJ40" s="33">
        <v>0</v>
      </c>
      <c r="AK40" s="63">
        <f t="shared" si="16"/>
        <v>22717.450000000004</v>
      </c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</row>
    <row r="41" spans="1:103" x14ac:dyDescent="0.25">
      <c r="A41" s="31" t="s">
        <v>166</v>
      </c>
      <c r="B41" s="28">
        <f>14000</f>
        <v>14000</v>
      </c>
      <c r="C41" s="28">
        <f>7000-159.9-1341.85+7000-1073.48-65.97</f>
        <v>11358.800000000001</v>
      </c>
      <c r="D41" s="28">
        <f>136.86+161.02</f>
        <v>297.88</v>
      </c>
      <c r="E41" s="28">
        <v>0</v>
      </c>
      <c r="F41" s="28">
        <v>0</v>
      </c>
      <c r="G41" s="33">
        <f t="shared" si="14"/>
        <v>11656.68</v>
      </c>
      <c r="H41" s="33">
        <v>630</v>
      </c>
      <c r="I41" s="34">
        <v>1330</v>
      </c>
      <c r="J41" s="33">
        <f t="shared" si="1"/>
        <v>1960</v>
      </c>
      <c r="K41" s="34">
        <v>10</v>
      </c>
      <c r="L41" s="33">
        <v>0</v>
      </c>
      <c r="M41" s="33">
        <v>0</v>
      </c>
      <c r="N41" s="33">
        <f t="shared" si="11"/>
        <v>350</v>
      </c>
      <c r="O41" s="33">
        <f t="shared" si="12"/>
        <v>350</v>
      </c>
      <c r="P41" s="34">
        <f t="shared" si="15"/>
        <v>700</v>
      </c>
      <c r="Q41" s="34">
        <v>0</v>
      </c>
      <c r="R41" s="34">
        <v>0</v>
      </c>
      <c r="S41" s="33">
        <v>0</v>
      </c>
      <c r="T41" s="33">
        <v>0</v>
      </c>
      <c r="U41" s="34">
        <v>200</v>
      </c>
      <c r="V41" s="34">
        <f t="shared" si="3"/>
        <v>200</v>
      </c>
      <c r="W41" s="28">
        <v>0</v>
      </c>
      <c r="X41" s="34">
        <v>0</v>
      </c>
      <c r="Y41" s="34">
        <v>0</v>
      </c>
      <c r="Z41" s="37">
        <v>0</v>
      </c>
      <c r="AA41" s="33">
        <v>44.73</v>
      </c>
      <c r="AB41" s="33"/>
      <c r="AC41" s="33"/>
      <c r="AD41" s="33">
        <f t="shared" si="10"/>
        <v>10431.950000000001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  <c r="AJ41" s="33">
        <v>0</v>
      </c>
      <c r="AK41" s="63">
        <f t="shared" si="16"/>
        <v>10431.950000000001</v>
      </c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</row>
    <row r="42" spans="1:103" x14ac:dyDescent="0.25">
      <c r="A42" s="31" t="s">
        <v>167</v>
      </c>
      <c r="B42" s="28">
        <v>14000</v>
      </c>
      <c r="C42" s="28">
        <f>7000-92.81-1610.22</f>
        <v>5296.9699999999993</v>
      </c>
      <c r="D42" s="28">
        <v>156.59</v>
      </c>
      <c r="E42" s="28">
        <v>0</v>
      </c>
      <c r="F42" s="28">
        <v>0</v>
      </c>
      <c r="G42" s="33">
        <f t="shared" si="14"/>
        <v>5453.5599999999995</v>
      </c>
      <c r="H42" s="65">
        <v>630</v>
      </c>
      <c r="I42" s="65">
        <v>1330</v>
      </c>
      <c r="J42" s="65">
        <f t="shared" si="1"/>
        <v>1960</v>
      </c>
      <c r="K42" s="65">
        <v>10</v>
      </c>
      <c r="L42" s="65">
        <v>0</v>
      </c>
      <c r="M42" s="65">
        <v>0</v>
      </c>
      <c r="N42" s="65">
        <f t="shared" si="11"/>
        <v>350</v>
      </c>
      <c r="O42" s="65">
        <f t="shared" si="12"/>
        <v>350</v>
      </c>
      <c r="P42" s="66">
        <f t="shared" si="15"/>
        <v>700</v>
      </c>
      <c r="Q42" s="66"/>
      <c r="R42" s="66"/>
      <c r="S42" s="65"/>
      <c r="T42" s="67"/>
      <c r="U42" s="66">
        <v>200</v>
      </c>
      <c r="V42" s="66">
        <f t="shared" si="3"/>
        <v>200</v>
      </c>
      <c r="W42" s="34"/>
      <c r="X42" s="64"/>
      <c r="Y42" s="37"/>
      <c r="Z42" s="37"/>
      <c r="AA42" s="33">
        <v>44.73</v>
      </c>
      <c r="AB42" s="33"/>
      <c r="AC42" s="33"/>
      <c r="AD42" s="33">
        <f>G42-L42-M42-W42-X42-Y42-Z42-AA42</f>
        <v>5408.83</v>
      </c>
      <c r="AE42" s="33"/>
      <c r="AF42" s="33"/>
      <c r="AG42" s="33"/>
      <c r="AH42" s="34"/>
      <c r="AI42" s="33"/>
      <c r="AJ42" s="33"/>
      <c r="AK42" s="63">
        <f t="shared" si="16"/>
        <v>5408.83</v>
      </c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</row>
    <row r="43" spans="1:103" x14ac:dyDescent="0.25">
      <c r="A43" s="31" t="s">
        <v>168</v>
      </c>
      <c r="B43" s="28">
        <f>14600+14600</f>
        <v>29200</v>
      </c>
      <c r="C43" s="28">
        <f>14600</f>
        <v>14600</v>
      </c>
      <c r="D43" s="28">
        <v>335.86</v>
      </c>
      <c r="E43" s="28">
        <v>0</v>
      </c>
      <c r="F43" s="28">
        <v>0</v>
      </c>
      <c r="G43" s="33">
        <f t="shared" si="14"/>
        <v>14935.86</v>
      </c>
      <c r="H43" s="33">
        <v>0</v>
      </c>
      <c r="I43" s="33">
        <v>0</v>
      </c>
      <c r="J43" s="33">
        <v>0</v>
      </c>
      <c r="K43" s="33">
        <v>0</v>
      </c>
      <c r="L43" s="33">
        <v>0</v>
      </c>
      <c r="M43" s="33">
        <v>0</v>
      </c>
      <c r="N43" s="33">
        <v>0</v>
      </c>
      <c r="O43" s="33">
        <v>0</v>
      </c>
      <c r="P43" s="33">
        <v>0</v>
      </c>
      <c r="Q43" s="33">
        <v>0</v>
      </c>
      <c r="R43" s="34">
        <v>0</v>
      </c>
      <c r="S43" s="33">
        <v>0</v>
      </c>
      <c r="T43" s="33">
        <v>0</v>
      </c>
      <c r="U43" s="33">
        <v>0</v>
      </c>
      <c r="V43" s="33">
        <v>0</v>
      </c>
      <c r="W43" s="28">
        <v>0</v>
      </c>
      <c r="X43" s="34">
        <v>0</v>
      </c>
      <c r="Y43" s="34">
        <v>0</v>
      </c>
      <c r="Z43" s="37">
        <f>2915.91</f>
        <v>2915.91</v>
      </c>
      <c r="AA43" s="33">
        <v>0</v>
      </c>
      <c r="AB43" s="33"/>
      <c r="AC43" s="33"/>
      <c r="AD43" s="33">
        <f>G43-L43-M43-W43-X43-Y43-Z43-AA43</f>
        <v>12019.95</v>
      </c>
      <c r="AE43" s="33">
        <v>7900</v>
      </c>
      <c r="AF43" s="33">
        <v>181.75</v>
      </c>
      <c r="AG43" s="33">
        <v>0</v>
      </c>
      <c r="AH43" s="34">
        <v>0</v>
      </c>
      <c r="AI43" s="33">
        <v>0</v>
      </c>
      <c r="AJ43" s="33">
        <v>0</v>
      </c>
      <c r="AK43" s="63">
        <f t="shared" si="16"/>
        <v>20101.7</v>
      </c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</row>
    <row r="44" spans="1:103" s="68" customFormat="1" ht="12.75" customHeight="1" x14ac:dyDescent="0.2">
      <c r="A44" s="31" t="s">
        <v>169</v>
      </c>
      <c r="B44" s="69">
        <f>8054+8054</f>
        <v>16108</v>
      </c>
      <c r="C44" s="28">
        <f>8054-18.01+8054-6.43</f>
        <v>16083.56</v>
      </c>
      <c r="D44" s="28">
        <f>185.26+185.26</f>
        <v>370.52</v>
      </c>
      <c r="E44" s="28">
        <v>0</v>
      </c>
      <c r="F44" s="28">
        <v>0</v>
      </c>
      <c r="G44" s="33">
        <f t="shared" si="14"/>
        <v>16454.079999999998</v>
      </c>
      <c r="H44" s="33">
        <v>720</v>
      </c>
      <c r="I44" s="33">
        <v>1520</v>
      </c>
      <c r="J44" s="33">
        <f>H44+I44</f>
        <v>2240</v>
      </c>
      <c r="K44" s="33">
        <v>30</v>
      </c>
      <c r="L44" s="33">
        <v>0</v>
      </c>
      <c r="M44" s="33">
        <v>0</v>
      </c>
      <c r="N44" s="33">
        <f>B44*5%/2</f>
        <v>402.70000000000005</v>
      </c>
      <c r="O44" s="33">
        <f>N44</f>
        <v>402.70000000000005</v>
      </c>
      <c r="P44" s="33">
        <f>N44+O44</f>
        <v>805.40000000000009</v>
      </c>
      <c r="Q44" s="33">
        <v>0</v>
      </c>
      <c r="R44" s="33">
        <v>0</v>
      </c>
      <c r="S44" s="33">
        <v>0</v>
      </c>
      <c r="T44" s="33">
        <v>0</v>
      </c>
      <c r="U44" s="34">
        <v>200</v>
      </c>
      <c r="V44" s="34">
        <f>U44</f>
        <v>200</v>
      </c>
      <c r="W44" s="32">
        <v>0</v>
      </c>
      <c r="X44" s="33">
        <v>0</v>
      </c>
      <c r="Y44" s="33">
        <v>0</v>
      </c>
      <c r="Z44" s="33">
        <v>0</v>
      </c>
      <c r="AA44" s="33">
        <v>0</v>
      </c>
      <c r="AB44" s="33"/>
      <c r="AC44" s="33"/>
      <c r="AD44" s="33">
        <f>G44-L44-M44-W44-X44-Y44-Z44-AA44-H44-N44-T44-U44</f>
        <v>15131.379999999997</v>
      </c>
      <c r="AE44" s="33">
        <v>0</v>
      </c>
      <c r="AF44" s="33"/>
      <c r="AG44" s="33">
        <v>0</v>
      </c>
      <c r="AH44" s="34">
        <v>0</v>
      </c>
      <c r="AI44" s="33">
        <v>0</v>
      </c>
      <c r="AJ44" s="33">
        <v>0</v>
      </c>
      <c r="AK44" s="63">
        <f t="shared" si="16"/>
        <v>15131.379999999997</v>
      </c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</row>
    <row r="45" spans="1:103" s="68" customFormat="1" ht="12.75" customHeight="1" x14ac:dyDescent="0.2">
      <c r="A45" s="31" t="s">
        <v>170</v>
      </c>
      <c r="B45" s="69">
        <f>14800+14800</f>
        <v>29600</v>
      </c>
      <c r="C45" s="28">
        <f>14800+14800</f>
        <v>29600</v>
      </c>
      <c r="D45" s="28">
        <f>340.44+340.44</f>
        <v>680.88</v>
      </c>
      <c r="E45" s="28">
        <v>0</v>
      </c>
      <c r="F45" s="28">
        <v>0</v>
      </c>
      <c r="G45" s="33">
        <f t="shared" si="14"/>
        <v>30280.880000000001</v>
      </c>
      <c r="H45" s="33">
        <v>1327.5</v>
      </c>
      <c r="I45" s="33">
        <f>1900+902.5</f>
        <v>2802.5</v>
      </c>
      <c r="J45" s="33">
        <f>H45+I45</f>
        <v>4130</v>
      </c>
      <c r="K45" s="33">
        <v>30</v>
      </c>
      <c r="L45" s="33">
        <v>0</v>
      </c>
      <c r="M45" s="33">
        <v>0</v>
      </c>
      <c r="N45" s="33">
        <f>B45*5%/2</f>
        <v>740</v>
      </c>
      <c r="O45" s="33">
        <f>N45</f>
        <v>740</v>
      </c>
      <c r="P45" s="33">
        <f>N45+O45</f>
        <v>1480</v>
      </c>
      <c r="Q45" s="34">
        <v>0</v>
      </c>
      <c r="R45" s="34">
        <v>0</v>
      </c>
      <c r="S45" s="33">
        <v>0</v>
      </c>
      <c r="T45" s="34">
        <f>(G45-H45-N45-U45-20833)*15%</f>
        <v>1077.057</v>
      </c>
      <c r="U45" s="34">
        <v>200</v>
      </c>
      <c r="V45" s="34">
        <v>100</v>
      </c>
      <c r="W45" s="28">
        <v>0</v>
      </c>
      <c r="X45" s="33">
        <v>0</v>
      </c>
      <c r="Y45" s="33">
        <v>0</v>
      </c>
      <c r="Z45" s="33">
        <v>0</v>
      </c>
      <c r="AA45" s="33">
        <v>0</v>
      </c>
      <c r="AB45" s="33"/>
      <c r="AC45" s="33"/>
      <c r="AD45" s="33">
        <f>G45-L45-M45-W45-X45-Y45-Z45-AA45-H45-N45-T45-U45</f>
        <v>26936.323</v>
      </c>
      <c r="AE45" s="33">
        <f>7200+7200</f>
        <v>14400</v>
      </c>
      <c r="AF45" s="33">
        <f>165.64+165.64</f>
        <v>331.28</v>
      </c>
      <c r="AG45" s="33">
        <v>0</v>
      </c>
      <c r="AH45" s="34">
        <v>0</v>
      </c>
      <c r="AI45" s="33">
        <v>0</v>
      </c>
      <c r="AJ45" s="33">
        <v>0</v>
      </c>
      <c r="AK45" s="63">
        <f t="shared" si="16"/>
        <v>41667.603000000003</v>
      </c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</row>
    <row r="46" spans="1:103" x14ac:dyDescent="0.25">
      <c r="A46" s="31" t="s">
        <v>171</v>
      </c>
      <c r="B46" s="28">
        <f>7000+7000</f>
        <v>14000</v>
      </c>
      <c r="C46" s="28">
        <f>7000-68.21-805.11+7000-1073.48-49.2</f>
        <v>12004</v>
      </c>
      <c r="D46" s="28">
        <f>161.02+152.56</f>
        <v>313.58000000000004</v>
      </c>
      <c r="E46" s="28">
        <v>0</v>
      </c>
      <c r="F46" s="28">
        <v>0</v>
      </c>
      <c r="G46" s="33">
        <f t="shared" si="14"/>
        <v>12317.58</v>
      </c>
      <c r="H46" s="33">
        <v>630</v>
      </c>
      <c r="I46" s="33">
        <v>1330</v>
      </c>
      <c r="J46" s="33">
        <f>H46+I46</f>
        <v>1960</v>
      </c>
      <c r="K46" s="33">
        <v>10</v>
      </c>
      <c r="L46" s="33">
        <v>392.23</v>
      </c>
      <c r="M46" s="33"/>
      <c r="N46" s="33">
        <f>B46*5%/2</f>
        <v>350</v>
      </c>
      <c r="O46" s="33">
        <f>N46</f>
        <v>350</v>
      </c>
      <c r="P46" s="34">
        <f>N46+O46</f>
        <v>700</v>
      </c>
      <c r="Q46" s="34">
        <v>0</v>
      </c>
      <c r="R46" s="34">
        <v>0</v>
      </c>
      <c r="S46" s="33">
        <v>0</v>
      </c>
      <c r="T46" s="33"/>
      <c r="U46" s="34">
        <v>200</v>
      </c>
      <c r="V46" s="33">
        <f>U46</f>
        <v>200</v>
      </c>
      <c r="W46" s="32"/>
      <c r="X46" s="33"/>
      <c r="Y46" s="33"/>
      <c r="Z46" s="33"/>
      <c r="AA46" s="33">
        <v>44.73</v>
      </c>
      <c r="AB46" s="33"/>
      <c r="AC46" s="33"/>
      <c r="AD46" s="33">
        <f>G46-L46-M46-W46-X46-Y46-Z46-AA46-H46-N46-T46-U46</f>
        <v>10700.62</v>
      </c>
      <c r="AE46" s="33">
        <v>0</v>
      </c>
      <c r="AF46" s="33">
        <v>0</v>
      </c>
      <c r="AG46" s="33">
        <v>0</v>
      </c>
      <c r="AH46" s="34">
        <v>0</v>
      </c>
      <c r="AI46" s="33">
        <v>0</v>
      </c>
      <c r="AJ46" s="33">
        <v>0</v>
      </c>
      <c r="AK46" s="38">
        <f t="shared" si="16"/>
        <v>10700.62</v>
      </c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</row>
    <row r="47" spans="1:103" x14ac:dyDescent="0.25">
      <c r="A47" s="31" t="s">
        <v>172</v>
      </c>
      <c r="B47" s="63">
        <f>7500+7500</f>
        <v>15000</v>
      </c>
      <c r="C47" s="28">
        <f>7500-44.33</f>
        <v>7455.67</v>
      </c>
      <c r="D47" s="28">
        <v>172.51</v>
      </c>
      <c r="E47" s="28"/>
      <c r="F47" s="34"/>
      <c r="G47" s="33">
        <f>D47+C47+E47+F47</f>
        <v>7628.18</v>
      </c>
      <c r="H47" s="33">
        <v>0</v>
      </c>
      <c r="I47" s="33">
        <v>0</v>
      </c>
      <c r="J47" s="33">
        <v>0</v>
      </c>
      <c r="K47" s="33">
        <v>0</v>
      </c>
      <c r="L47" s="75">
        <v>1568.93</v>
      </c>
      <c r="M47" s="75">
        <v>0</v>
      </c>
      <c r="N47" s="33">
        <v>0</v>
      </c>
      <c r="O47" s="33">
        <v>0</v>
      </c>
      <c r="P47" s="33">
        <v>0</v>
      </c>
      <c r="Q47" s="33">
        <v>0</v>
      </c>
      <c r="R47" s="75">
        <v>0</v>
      </c>
      <c r="S47" s="75">
        <f t="shared" ref="S47:S55" si="17">Q47+R47</f>
        <v>0</v>
      </c>
      <c r="T47" s="75">
        <v>0</v>
      </c>
      <c r="U47" s="76">
        <v>0</v>
      </c>
      <c r="V47" s="76">
        <f>U47</f>
        <v>0</v>
      </c>
      <c r="W47" s="77">
        <v>0</v>
      </c>
      <c r="X47" s="77">
        <v>0</v>
      </c>
      <c r="Y47" s="77">
        <v>0</v>
      </c>
      <c r="Z47" s="37">
        <v>0</v>
      </c>
      <c r="AA47" s="33">
        <v>23.96</v>
      </c>
      <c r="AB47" s="33"/>
      <c r="AC47" s="33"/>
      <c r="AD47" s="33">
        <f>G47-L47-M47-W47-X47-Y47-Z47-AA47</f>
        <v>6035.29</v>
      </c>
      <c r="AE47" s="34">
        <v>0</v>
      </c>
      <c r="AF47" s="34">
        <v>0</v>
      </c>
      <c r="AG47" s="34">
        <v>0</v>
      </c>
      <c r="AH47" s="34">
        <v>0</v>
      </c>
      <c r="AI47" s="34">
        <v>0</v>
      </c>
      <c r="AJ47" s="34">
        <v>0</v>
      </c>
      <c r="AK47" s="63">
        <f t="shared" si="16"/>
        <v>6035.29</v>
      </c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</row>
    <row r="48" spans="1:103" x14ac:dyDescent="0.25">
      <c r="A48" s="31" t="s">
        <v>173</v>
      </c>
      <c r="B48" s="63">
        <f>8000+8000</f>
        <v>16000</v>
      </c>
      <c r="C48" s="28">
        <f>8000</f>
        <v>8000</v>
      </c>
      <c r="D48" s="28">
        <v>184.03</v>
      </c>
      <c r="E48" s="28"/>
      <c r="F48" s="34">
        <v>287.55</v>
      </c>
      <c r="G48" s="33">
        <f>D48+C48+E48+F48</f>
        <v>8471.58</v>
      </c>
      <c r="H48" s="33">
        <v>0</v>
      </c>
      <c r="I48" s="33">
        <v>0</v>
      </c>
      <c r="J48" s="33">
        <v>0</v>
      </c>
      <c r="K48" s="33">
        <v>0</v>
      </c>
      <c r="L48" s="33">
        <v>0</v>
      </c>
      <c r="M48" s="75">
        <v>0</v>
      </c>
      <c r="N48" s="33">
        <v>0</v>
      </c>
      <c r="O48" s="33">
        <v>0</v>
      </c>
      <c r="P48" s="33">
        <v>0</v>
      </c>
      <c r="Q48" s="75">
        <v>0</v>
      </c>
      <c r="R48" s="75">
        <v>0</v>
      </c>
      <c r="S48" s="75">
        <f t="shared" si="17"/>
        <v>0</v>
      </c>
      <c r="T48" s="75">
        <v>0</v>
      </c>
      <c r="U48" s="75">
        <v>0</v>
      </c>
      <c r="V48" s="75">
        <v>0</v>
      </c>
      <c r="W48" s="79">
        <v>0</v>
      </c>
      <c r="X48" s="77">
        <v>0</v>
      </c>
      <c r="Y48" s="77">
        <v>500</v>
      </c>
      <c r="Z48" s="37">
        <v>0</v>
      </c>
      <c r="AA48" s="34">
        <v>51.12</v>
      </c>
      <c r="AB48" s="33"/>
      <c r="AC48" s="33"/>
      <c r="AD48" s="33">
        <f>G48-L48-M48-W48-X48-Y48-Z48-AA48</f>
        <v>7920.46</v>
      </c>
      <c r="AE48" s="34">
        <v>0</v>
      </c>
      <c r="AF48" s="34">
        <v>0</v>
      </c>
      <c r="AG48" s="34">
        <v>0</v>
      </c>
      <c r="AH48" s="34">
        <v>0</v>
      </c>
      <c r="AI48" s="34">
        <v>0</v>
      </c>
      <c r="AJ48" s="34" t="s">
        <v>22</v>
      </c>
      <c r="AK48" s="63">
        <f t="shared" si="16"/>
        <v>7920.46</v>
      </c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</row>
    <row r="49" spans="1:103" x14ac:dyDescent="0.25">
      <c r="A49" s="31" t="s">
        <v>174</v>
      </c>
      <c r="B49" s="63">
        <f>7270+7270</f>
        <v>14540</v>
      </c>
      <c r="C49" s="28">
        <f>7270-1114.88</f>
        <v>6155.12</v>
      </c>
      <c r="D49" s="28"/>
      <c r="E49" s="34">
        <v>0</v>
      </c>
      <c r="F49" s="34">
        <v>0</v>
      </c>
      <c r="G49" s="75">
        <f t="shared" ref="G49:G55" si="18">C49+D49+E49+F49</f>
        <v>6155.12</v>
      </c>
      <c r="H49" s="86">
        <v>652.5</v>
      </c>
      <c r="I49" s="87">
        <v>1377.5</v>
      </c>
      <c r="J49" s="86">
        <f t="shared" ref="J49:J55" si="19">H49+I49</f>
        <v>2030</v>
      </c>
      <c r="K49" s="86">
        <v>10</v>
      </c>
      <c r="L49" s="86">
        <v>0</v>
      </c>
      <c r="M49" s="86">
        <v>0</v>
      </c>
      <c r="N49" s="65">
        <f t="shared" ref="N49:N55" si="20">B49*5%/2</f>
        <v>363.5</v>
      </c>
      <c r="O49" s="86">
        <f t="shared" ref="O49:O55" si="21">N49</f>
        <v>363.5</v>
      </c>
      <c r="P49" s="66">
        <f t="shared" ref="P49:P55" si="22">N49+O49</f>
        <v>727</v>
      </c>
      <c r="Q49" s="87">
        <v>0</v>
      </c>
      <c r="R49" s="87">
        <v>0</v>
      </c>
      <c r="S49" s="87">
        <f t="shared" si="17"/>
        <v>0</v>
      </c>
      <c r="T49" s="87">
        <v>0</v>
      </c>
      <c r="U49" s="87">
        <v>200</v>
      </c>
      <c r="V49" s="87">
        <f t="shared" ref="V49:V55" si="23">U49</f>
        <v>200</v>
      </c>
      <c r="W49" s="28">
        <v>0</v>
      </c>
      <c r="X49" s="76">
        <v>0</v>
      </c>
      <c r="Y49" s="34">
        <v>0</v>
      </c>
      <c r="Z49" s="34">
        <v>0</v>
      </c>
      <c r="AA49" s="34">
        <v>46.45</v>
      </c>
      <c r="AB49" s="33"/>
      <c r="AC49" s="33"/>
      <c r="AD49" s="33">
        <f>G49-L49-M49-W49-X49-Y49-Z49-AA49</f>
        <v>6108.67</v>
      </c>
      <c r="AE49" s="34">
        <v>0</v>
      </c>
      <c r="AF49" s="34">
        <v>0</v>
      </c>
      <c r="AG49" s="34">
        <v>0</v>
      </c>
      <c r="AH49" s="34">
        <v>0</v>
      </c>
      <c r="AI49" s="34">
        <f>AE49+AF49+AG49</f>
        <v>0</v>
      </c>
      <c r="AJ49" s="34">
        <f>AF49+AG49+AH49</f>
        <v>0</v>
      </c>
      <c r="AK49" s="63">
        <f t="shared" si="16"/>
        <v>6108.67</v>
      </c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</row>
    <row r="50" spans="1:103" x14ac:dyDescent="0.25">
      <c r="A50" s="31" t="s">
        <v>175</v>
      </c>
      <c r="B50" s="63">
        <f>7000+7000</f>
        <v>14000</v>
      </c>
      <c r="C50" s="28">
        <f>7000+7000-536.74</f>
        <v>13463.26</v>
      </c>
      <c r="D50" s="28">
        <f>161.02+161.02</f>
        <v>322.04000000000002</v>
      </c>
      <c r="E50" s="34">
        <v>0</v>
      </c>
      <c r="F50" s="34">
        <v>0</v>
      </c>
      <c r="G50" s="75">
        <f t="shared" si="18"/>
        <v>13785.300000000001</v>
      </c>
      <c r="H50" s="75">
        <v>630</v>
      </c>
      <c r="I50" s="76">
        <v>1330</v>
      </c>
      <c r="J50" s="75">
        <f t="shared" si="19"/>
        <v>1960</v>
      </c>
      <c r="K50" s="75">
        <v>10</v>
      </c>
      <c r="L50" s="75">
        <v>0</v>
      </c>
      <c r="M50" s="75">
        <v>0</v>
      </c>
      <c r="N50" s="33">
        <f t="shared" si="20"/>
        <v>350</v>
      </c>
      <c r="O50" s="75">
        <f t="shared" si="21"/>
        <v>350</v>
      </c>
      <c r="P50" s="34">
        <f t="shared" si="22"/>
        <v>700</v>
      </c>
      <c r="Q50" s="76">
        <v>0</v>
      </c>
      <c r="R50" s="76">
        <v>0</v>
      </c>
      <c r="S50" s="76">
        <f t="shared" si="17"/>
        <v>0</v>
      </c>
      <c r="T50" s="76">
        <v>0</v>
      </c>
      <c r="U50" s="76">
        <v>200</v>
      </c>
      <c r="V50" s="76">
        <f t="shared" si="23"/>
        <v>200</v>
      </c>
      <c r="W50" s="28">
        <v>0</v>
      </c>
      <c r="X50" s="34">
        <v>0</v>
      </c>
      <c r="Y50" s="34">
        <v>0</v>
      </c>
      <c r="Z50" s="34">
        <v>0</v>
      </c>
      <c r="AA50" s="34">
        <v>0</v>
      </c>
      <c r="AB50" s="33"/>
      <c r="AC50" s="33"/>
      <c r="AD50" s="33">
        <f>G50-H50-L50-M50-N50-T50-U50-W50-X50-Y50-Z50-AA50-AB50-AC50</f>
        <v>12605.300000000001</v>
      </c>
      <c r="AE50" s="34">
        <v>0</v>
      </c>
      <c r="AF50" s="34">
        <v>0</v>
      </c>
      <c r="AG50" s="34">
        <v>0</v>
      </c>
      <c r="AH50" s="34">
        <v>0</v>
      </c>
      <c r="AI50" s="34">
        <f>AE50+AF50+AG50</f>
        <v>0</v>
      </c>
      <c r="AJ50" s="34">
        <f>AF50+AG50+AH50</f>
        <v>0</v>
      </c>
      <c r="AK50" s="63">
        <f t="shared" si="16"/>
        <v>12605.300000000001</v>
      </c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</row>
    <row r="51" spans="1:103" x14ac:dyDescent="0.25">
      <c r="A51" s="31" t="s">
        <v>176</v>
      </c>
      <c r="B51" s="28">
        <f>9500+9500</f>
        <v>19000</v>
      </c>
      <c r="C51" s="28">
        <f>9500+9500</f>
        <v>19000</v>
      </c>
      <c r="D51" s="28">
        <f>218.52</f>
        <v>218.52</v>
      </c>
      <c r="E51" s="34">
        <v>0</v>
      </c>
      <c r="F51" s="34">
        <f>3755.81+3300.56+307.75</f>
        <v>7364.12</v>
      </c>
      <c r="G51" s="33">
        <f t="shared" si="18"/>
        <v>26582.639999999999</v>
      </c>
      <c r="H51" s="34">
        <v>855</v>
      </c>
      <c r="I51" s="34">
        <v>1805</v>
      </c>
      <c r="J51" s="33">
        <f t="shared" si="19"/>
        <v>2660</v>
      </c>
      <c r="K51" s="34">
        <v>30</v>
      </c>
      <c r="L51" s="33">
        <v>0</v>
      </c>
      <c r="M51" s="33">
        <v>0</v>
      </c>
      <c r="N51" s="33">
        <f t="shared" si="20"/>
        <v>475</v>
      </c>
      <c r="O51" s="34">
        <f t="shared" si="21"/>
        <v>475</v>
      </c>
      <c r="P51" s="34">
        <f t="shared" si="22"/>
        <v>950</v>
      </c>
      <c r="Q51" s="34">
        <v>0</v>
      </c>
      <c r="R51" s="34">
        <v>0</v>
      </c>
      <c r="S51" s="34">
        <f t="shared" si="17"/>
        <v>0</v>
      </c>
      <c r="T51" s="34">
        <f>(G51-H51-N51-U51-20833)*15%</f>
        <v>632.94599999999991</v>
      </c>
      <c r="U51" s="34">
        <v>200</v>
      </c>
      <c r="V51" s="34">
        <f t="shared" si="23"/>
        <v>200</v>
      </c>
      <c r="W51" s="32">
        <v>0</v>
      </c>
      <c r="X51" s="33">
        <v>0</v>
      </c>
      <c r="Y51" s="33">
        <f>1500+1500</f>
        <v>3000</v>
      </c>
      <c r="Z51" s="33">
        <v>0</v>
      </c>
      <c r="AA51" s="33">
        <v>0</v>
      </c>
      <c r="AB51" s="33">
        <v>0</v>
      </c>
      <c r="AC51" s="33">
        <v>0</v>
      </c>
      <c r="AD51" s="33">
        <f>G51-H51-L51-M51-N51-T51-U51-W51-X51-Y51-Z51-AA51+AB51-AC51</f>
        <v>21419.694</v>
      </c>
      <c r="AE51" s="33">
        <v>0</v>
      </c>
      <c r="AF51" s="33">
        <v>0</v>
      </c>
      <c r="AG51" s="33">
        <v>0</v>
      </c>
      <c r="AH51" s="33">
        <v>0</v>
      </c>
      <c r="AI51" s="33">
        <v>0</v>
      </c>
      <c r="AJ51" s="33">
        <v>0</v>
      </c>
      <c r="AK51" s="63">
        <f t="shared" si="16"/>
        <v>21419.694</v>
      </c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</row>
    <row r="52" spans="1:103" ht="14.25" customHeight="1" x14ac:dyDescent="0.25">
      <c r="A52" s="31" t="s">
        <v>177</v>
      </c>
      <c r="B52" s="28">
        <f>13650+13650</f>
        <v>27300</v>
      </c>
      <c r="C52" s="28">
        <f>13650+13650</f>
        <v>27300</v>
      </c>
      <c r="D52" s="28">
        <f>313.99+313.99</f>
        <v>627.98</v>
      </c>
      <c r="E52" s="34">
        <v>0</v>
      </c>
      <c r="F52" s="34">
        <v>0</v>
      </c>
      <c r="G52" s="33">
        <f t="shared" si="18"/>
        <v>27927.98</v>
      </c>
      <c r="H52" s="34">
        <v>1237.5</v>
      </c>
      <c r="I52" s="34">
        <f>1900+712.5</f>
        <v>2612.5</v>
      </c>
      <c r="J52" s="33">
        <f t="shared" si="19"/>
        <v>3850</v>
      </c>
      <c r="K52" s="34">
        <v>30</v>
      </c>
      <c r="L52" s="33">
        <v>0</v>
      </c>
      <c r="M52" s="33">
        <v>0</v>
      </c>
      <c r="N52" s="33">
        <f t="shared" si="20"/>
        <v>682.5</v>
      </c>
      <c r="O52" s="34">
        <f t="shared" si="21"/>
        <v>682.5</v>
      </c>
      <c r="P52" s="34">
        <f t="shared" si="22"/>
        <v>1365</v>
      </c>
      <c r="Q52" s="34">
        <v>0</v>
      </c>
      <c r="R52" s="34">
        <v>0</v>
      </c>
      <c r="S52" s="34">
        <f t="shared" si="17"/>
        <v>0</v>
      </c>
      <c r="T52" s="34">
        <f>(G52-H52-N52-U52-20833)*15%</f>
        <v>746.24699999999996</v>
      </c>
      <c r="U52" s="34">
        <v>200</v>
      </c>
      <c r="V52" s="34">
        <f t="shared" si="23"/>
        <v>200</v>
      </c>
      <c r="W52" s="32">
        <v>0</v>
      </c>
      <c r="X52" s="33">
        <v>0</v>
      </c>
      <c r="Y52" s="33">
        <v>0</v>
      </c>
      <c r="Z52" s="33">
        <v>0</v>
      </c>
      <c r="AA52" s="33">
        <v>0</v>
      </c>
      <c r="AB52" s="33">
        <v>0</v>
      </c>
      <c r="AC52" s="33">
        <v>0</v>
      </c>
      <c r="AD52" s="33">
        <f>G52-H52-L52-M52-N52-T52-U52-W52-X52-Y52-Z52-AA52+AB52-AC52</f>
        <v>25061.733</v>
      </c>
      <c r="AE52" s="33">
        <f>3050+3050</f>
        <v>6100</v>
      </c>
      <c r="AF52" s="33">
        <f>70.17+70.17</f>
        <v>140.34</v>
      </c>
      <c r="AG52" s="33">
        <v>0</v>
      </c>
      <c r="AH52" s="33">
        <v>0</v>
      </c>
      <c r="AI52" s="33">
        <v>0</v>
      </c>
      <c r="AJ52" s="33">
        <v>0</v>
      </c>
      <c r="AK52" s="63">
        <f t="shared" si="16"/>
        <v>31302.073</v>
      </c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</row>
    <row r="53" spans="1:103" ht="14.25" customHeight="1" x14ac:dyDescent="0.25">
      <c r="A53" s="31" t="s">
        <v>178</v>
      </c>
      <c r="B53" s="63">
        <f>6825+6825</f>
        <v>13650</v>
      </c>
      <c r="C53" s="28">
        <f>6825+6825</f>
        <v>13650</v>
      </c>
      <c r="D53" s="28">
        <f>157.01+157.01</f>
        <v>314.02</v>
      </c>
      <c r="E53" s="34">
        <v>0</v>
      </c>
      <c r="F53" s="34">
        <v>0</v>
      </c>
      <c r="G53" s="33">
        <f t="shared" si="18"/>
        <v>13964.02</v>
      </c>
      <c r="H53" s="34">
        <v>607.5</v>
      </c>
      <c r="I53" s="34">
        <v>1282.5</v>
      </c>
      <c r="J53" s="33">
        <f t="shared" si="19"/>
        <v>1890</v>
      </c>
      <c r="K53" s="34">
        <v>10</v>
      </c>
      <c r="L53" s="75">
        <v>0</v>
      </c>
      <c r="M53" s="75">
        <v>0</v>
      </c>
      <c r="N53" s="33">
        <f t="shared" si="20"/>
        <v>341.25</v>
      </c>
      <c r="O53" s="75">
        <f t="shared" si="21"/>
        <v>341.25</v>
      </c>
      <c r="P53" s="34">
        <f t="shared" si="22"/>
        <v>682.5</v>
      </c>
      <c r="Q53" s="34">
        <v>0</v>
      </c>
      <c r="R53" s="34">
        <v>0</v>
      </c>
      <c r="S53" s="34">
        <f t="shared" si="17"/>
        <v>0</v>
      </c>
      <c r="T53" s="75">
        <v>0</v>
      </c>
      <c r="U53" s="75">
        <v>200</v>
      </c>
      <c r="V53" s="75">
        <f t="shared" si="23"/>
        <v>200</v>
      </c>
      <c r="W53" s="69">
        <v>0</v>
      </c>
      <c r="X53" s="75">
        <f>0</f>
        <v>0</v>
      </c>
      <c r="Y53" s="75">
        <f>1000+1000</f>
        <v>2000</v>
      </c>
      <c r="Z53" s="33">
        <v>0</v>
      </c>
      <c r="AA53" s="33">
        <v>0</v>
      </c>
      <c r="AB53" s="33">
        <v>0</v>
      </c>
      <c r="AC53" s="33">
        <v>0</v>
      </c>
      <c r="AD53" s="33">
        <f>G53-H53-L53-M53-N53-T53-U53-W53-X53-Y53-Z53-AA53+AB53-AC53</f>
        <v>10815.27</v>
      </c>
      <c r="AE53" s="33">
        <v>0</v>
      </c>
      <c r="AF53" s="33">
        <v>0</v>
      </c>
      <c r="AG53" s="33">
        <v>0</v>
      </c>
      <c r="AH53" s="33">
        <v>0</v>
      </c>
      <c r="AI53" s="33">
        <v>0</v>
      </c>
      <c r="AJ53" s="33">
        <v>0</v>
      </c>
      <c r="AK53" s="63">
        <f t="shared" si="16"/>
        <v>10815.27</v>
      </c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</row>
    <row r="54" spans="1:103" x14ac:dyDescent="0.25">
      <c r="A54" s="31" t="s">
        <v>179</v>
      </c>
      <c r="B54" s="63">
        <f>6825+6825</f>
        <v>13650</v>
      </c>
      <c r="C54" s="28">
        <f>6825+6825</f>
        <v>13650</v>
      </c>
      <c r="D54" s="28">
        <f>157.01+157.01</f>
        <v>314.02</v>
      </c>
      <c r="E54" s="34">
        <v>0</v>
      </c>
      <c r="F54" s="34">
        <v>245.32</v>
      </c>
      <c r="G54" s="33">
        <f t="shared" si="18"/>
        <v>14209.34</v>
      </c>
      <c r="H54" s="34">
        <v>607.5</v>
      </c>
      <c r="I54" s="34">
        <v>1282.5</v>
      </c>
      <c r="J54" s="33">
        <f t="shared" si="19"/>
        <v>1890</v>
      </c>
      <c r="K54" s="34">
        <v>10</v>
      </c>
      <c r="L54" s="75">
        <v>0</v>
      </c>
      <c r="M54" s="75">
        <v>0</v>
      </c>
      <c r="N54" s="33">
        <f t="shared" si="20"/>
        <v>341.25</v>
      </c>
      <c r="O54" s="75">
        <f t="shared" si="21"/>
        <v>341.25</v>
      </c>
      <c r="P54" s="34">
        <f t="shared" si="22"/>
        <v>682.5</v>
      </c>
      <c r="Q54" s="34">
        <v>0</v>
      </c>
      <c r="R54" s="34">
        <v>0</v>
      </c>
      <c r="S54" s="34">
        <f t="shared" si="17"/>
        <v>0</v>
      </c>
      <c r="T54" s="75">
        <v>0</v>
      </c>
      <c r="U54" s="75">
        <v>200</v>
      </c>
      <c r="V54" s="75">
        <f t="shared" si="23"/>
        <v>200</v>
      </c>
      <c r="W54" s="69">
        <v>0</v>
      </c>
      <c r="X54" s="75">
        <v>0</v>
      </c>
      <c r="Y54" s="75">
        <f>1000+1000</f>
        <v>2000</v>
      </c>
      <c r="Z54" s="33">
        <v>0</v>
      </c>
      <c r="AA54" s="33">
        <v>0</v>
      </c>
      <c r="AB54" s="33">
        <v>0</v>
      </c>
      <c r="AC54" s="33">
        <v>0</v>
      </c>
      <c r="AD54" s="33">
        <f>G54-H54-L54-M54-N54-T54-U54-W54-X54-Y54-Z54-AA54+AB54-AC54</f>
        <v>11060.59</v>
      </c>
      <c r="AE54" s="33">
        <v>0</v>
      </c>
      <c r="AF54" s="33">
        <v>0</v>
      </c>
      <c r="AG54" s="33">
        <v>0</v>
      </c>
      <c r="AH54" s="33">
        <v>0</v>
      </c>
      <c r="AI54" s="33">
        <v>0</v>
      </c>
      <c r="AJ54" s="33">
        <v>0</v>
      </c>
      <c r="AK54" s="63">
        <f t="shared" si="16"/>
        <v>11060.59</v>
      </c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</row>
    <row r="55" spans="1:103" s="24" customFormat="1" ht="12" x14ac:dyDescent="0.2">
      <c r="A55" s="31" t="s">
        <v>180</v>
      </c>
      <c r="B55" s="28">
        <f>6782+6782</f>
        <v>13564</v>
      </c>
      <c r="C55" s="28">
        <f>6782+6782</f>
        <v>13564</v>
      </c>
      <c r="D55" s="28">
        <f>156+156</f>
        <v>312</v>
      </c>
      <c r="E55" s="34">
        <v>0</v>
      </c>
      <c r="F55" s="34">
        <f>243.75</f>
        <v>243.75</v>
      </c>
      <c r="G55" s="33">
        <f t="shared" si="18"/>
        <v>14119.75</v>
      </c>
      <c r="H55" s="34">
        <v>607.5</v>
      </c>
      <c r="I55" s="34">
        <v>1282.5</v>
      </c>
      <c r="J55" s="33">
        <f t="shared" si="19"/>
        <v>1890</v>
      </c>
      <c r="K55" s="34">
        <v>10</v>
      </c>
      <c r="L55" s="75">
        <v>0</v>
      </c>
      <c r="M55" s="75">
        <v>0</v>
      </c>
      <c r="N55" s="33">
        <f t="shared" si="20"/>
        <v>339.1</v>
      </c>
      <c r="O55" s="75">
        <f t="shared" si="21"/>
        <v>339.1</v>
      </c>
      <c r="P55" s="34">
        <f t="shared" si="22"/>
        <v>678.2</v>
      </c>
      <c r="Q55" s="34">
        <v>0</v>
      </c>
      <c r="R55" s="34">
        <v>0</v>
      </c>
      <c r="S55" s="34">
        <f t="shared" si="17"/>
        <v>0</v>
      </c>
      <c r="T55" s="75">
        <v>0</v>
      </c>
      <c r="U55" s="75">
        <v>200</v>
      </c>
      <c r="V55" s="75">
        <f t="shared" si="23"/>
        <v>200</v>
      </c>
      <c r="W55" s="69">
        <v>0</v>
      </c>
      <c r="X55" s="75">
        <v>0</v>
      </c>
      <c r="Y55" s="75">
        <v>0</v>
      </c>
      <c r="Z55" s="33">
        <v>0</v>
      </c>
      <c r="AA55" s="33">
        <v>0</v>
      </c>
      <c r="AB55" s="33">
        <v>57.83</v>
      </c>
      <c r="AC55" s="33">
        <v>0</v>
      </c>
      <c r="AD55" s="33">
        <f>G55-H55-L55-M55-N55-T55-U55-W55-X55-Y55-Z55-AA55+AB55-AC55</f>
        <v>13030.98</v>
      </c>
      <c r="AE55" s="33">
        <v>0</v>
      </c>
      <c r="AF55" s="33">
        <v>0</v>
      </c>
      <c r="AG55" s="33">
        <v>0</v>
      </c>
      <c r="AH55" s="33">
        <v>0</v>
      </c>
      <c r="AI55" s="33">
        <v>0</v>
      </c>
      <c r="AJ55" s="33">
        <v>0</v>
      </c>
      <c r="AK55" s="63">
        <f t="shared" si="16"/>
        <v>13030.98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Ma. Eliza Delis Borja</dc:creator>
  <dc:description/>
  <cp:lastModifiedBy>Jerome R. Sabusido</cp:lastModifiedBy>
  <cp:revision>1</cp:revision>
  <dcterms:created xsi:type="dcterms:W3CDTF">2015-06-05T18:17:20Z</dcterms:created>
  <dcterms:modified xsi:type="dcterms:W3CDTF">2024-03-04T03:45:35Z</dcterms:modified>
  <dc:language>en-US</dc:language>
</cp:coreProperties>
</file>