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87F4FD52-7F86-436F-9FDE-76CB34F7EE2A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J44" i="1" l="1"/>
  <c r="AJ27" i="1"/>
  <c r="AJ47" i="1" l="1"/>
  <c r="AK22" i="2"/>
  <c r="AD22" i="2"/>
  <c r="AD20" i="2"/>
  <c r="AK20" i="2" s="1"/>
  <c r="AK7" i="2"/>
  <c r="AD7" i="2"/>
  <c r="P38" i="2" l="1"/>
  <c r="O38" i="2"/>
  <c r="P37" i="2"/>
  <c r="O37" i="2" s="1"/>
  <c r="N37" i="2"/>
  <c r="P36" i="2"/>
  <c r="O36" i="2" s="1"/>
  <c r="N36" i="2"/>
  <c r="P35" i="2"/>
  <c r="O35" i="2"/>
  <c r="N35" i="2"/>
  <c r="P34" i="2"/>
  <c r="N34" i="2"/>
  <c r="O34" i="2" s="1"/>
  <c r="P33" i="2"/>
  <c r="O33" i="2"/>
  <c r="N33" i="2"/>
  <c r="P32" i="2"/>
  <c r="O32" i="2" s="1"/>
  <c r="N32" i="2"/>
  <c r="P31" i="2"/>
  <c r="O31" i="2"/>
  <c r="P30" i="2"/>
  <c r="O30" i="2"/>
  <c r="N30" i="2"/>
  <c r="P29" i="2"/>
  <c r="O29" i="2" s="1"/>
  <c r="N29" i="2"/>
  <c r="P28" i="2"/>
  <c r="O28" i="2"/>
  <c r="N28" i="2"/>
  <c r="P27" i="2"/>
  <c r="O27" i="2" s="1"/>
  <c r="N27" i="2"/>
  <c r="P26" i="2"/>
  <c r="N26" i="2"/>
  <c r="O26" i="2" s="1"/>
  <c r="P25" i="2"/>
  <c r="O25" i="2" s="1"/>
  <c r="N25" i="2"/>
  <c r="P24" i="2"/>
  <c r="O24" i="2"/>
  <c r="N24" i="2"/>
  <c r="P23" i="2"/>
  <c r="N23" i="2"/>
  <c r="O23" i="2" s="1"/>
  <c r="N22" i="2"/>
  <c r="O22" i="2" s="1"/>
  <c r="P21" i="2"/>
  <c r="O21" i="2"/>
  <c r="N21" i="2"/>
  <c r="N20" i="2"/>
  <c r="O20" i="2" s="1"/>
  <c r="P19" i="2"/>
  <c r="O19" i="2" s="1"/>
  <c r="N19" i="2"/>
  <c r="P18" i="2"/>
  <c r="O18" i="2"/>
  <c r="N18" i="2"/>
  <c r="P17" i="2"/>
  <c r="N17" i="2"/>
  <c r="O17" i="2" s="1"/>
  <c r="P16" i="2"/>
  <c r="O16" i="2"/>
  <c r="N16" i="2"/>
  <c r="M16" i="2"/>
  <c r="P15" i="2"/>
  <c r="N15" i="2"/>
  <c r="O15" i="2" s="1"/>
  <c r="P14" i="2"/>
  <c r="O14" i="2" s="1"/>
  <c r="N14" i="2"/>
  <c r="P13" i="2"/>
  <c r="O13" i="2"/>
  <c r="N13" i="2"/>
  <c r="P12" i="2"/>
  <c r="O12" i="2"/>
  <c r="P11" i="2"/>
  <c r="O11" i="2" s="1"/>
  <c r="N11" i="2"/>
  <c r="P10" i="2"/>
  <c r="O10" i="2"/>
  <c r="N10" i="2"/>
  <c r="P9" i="2"/>
  <c r="N9" i="2"/>
  <c r="O9" i="2" s="1"/>
  <c r="P8" i="2"/>
  <c r="O8" i="2"/>
  <c r="N8" i="2"/>
  <c r="O7" i="2"/>
  <c r="P6" i="2"/>
  <c r="N6" i="2"/>
  <c r="O6" i="2" s="1"/>
  <c r="P5" i="2"/>
  <c r="O5" i="2" s="1"/>
  <c r="N5" i="2"/>
  <c r="P4" i="2"/>
  <c r="O4" i="2"/>
  <c r="N4" i="2"/>
  <c r="P3" i="2"/>
  <c r="O3" i="2"/>
  <c r="P2" i="2"/>
  <c r="O2" i="2" s="1"/>
  <c r="N2" i="2"/>
  <c r="I38" i="2"/>
  <c r="J38" i="2" s="1"/>
  <c r="I37" i="2"/>
  <c r="J37" i="2" s="1"/>
  <c r="J36" i="2"/>
  <c r="J35" i="2"/>
  <c r="I35" i="2"/>
  <c r="H35" i="2"/>
  <c r="J34" i="2"/>
  <c r="J33" i="2"/>
  <c r="J32" i="2"/>
  <c r="J31" i="2"/>
  <c r="I30" i="2"/>
  <c r="J30" i="2" s="1"/>
  <c r="I29" i="2"/>
  <c r="J29" i="2" s="1"/>
  <c r="H29" i="2"/>
  <c r="I28" i="2"/>
  <c r="J28" i="2" s="1"/>
  <c r="J27" i="2"/>
  <c r="J26" i="2"/>
  <c r="J25" i="2"/>
  <c r="I24" i="2"/>
  <c r="J24" i="2" s="1"/>
  <c r="H24" i="2"/>
  <c r="J23" i="2"/>
  <c r="I22" i="2"/>
  <c r="H22" i="2"/>
  <c r="J22" i="2" s="1"/>
  <c r="J21" i="2"/>
  <c r="I20" i="2"/>
  <c r="J20" i="2" s="1"/>
  <c r="H20" i="2"/>
  <c r="I19" i="2"/>
  <c r="H19" i="2"/>
  <c r="J19" i="2" s="1"/>
  <c r="J18" i="2"/>
  <c r="J17" i="2"/>
  <c r="I16" i="2"/>
  <c r="J16" i="2" s="1"/>
  <c r="J15" i="2"/>
  <c r="J14" i="2"/>
  <c r="J13" i="2"/>
  <c r="I12" i="2"/>
  <c r="J12" i="2" s="1"/>
  <c r="J11" i="2"/>
  <c r="J10" i="2"/>
  <c r="J9" i="2"/>
  <c r="I8" i="2"/>
  <c r="J8" i="2" s="1"/>
  <c r="I7" i="2"/>
  <c r="H7" i="2"/>
  <c r="J7" i="2" s="1"/>
  <c r="J6" i="2"/>
  <c r="I5" i="2"/>
  <c r="J5" i="2" s="1"/>
  <c r="H5" i="2"/>
  <c r="J4" i="2"/>
  <c r="J3" i="2"/>
  <c r="L2" i="2"/>
  <c r="I2" i="2"/>
  <c r="J2" i="2" s="1"/>
  <c r="G38" i="2"/>
  <c r="C38" i="2"/>
  <c r="B38" i="2"/>
  <c r="C37" i="2"/>
  <c r="G37" i="2" s="1"/>
  <c r="B37" i="2"/>
  <c r="F36" i="2"/>
  <c r="G36" i="2" s="1"/>
  <c r="C36" i="2"/>
  <c r="B36" i="2"/>
  <c r="D35" i="2"/>
  <c r="C35" i="2"/>
  <c r="G35" i="2" s="1"/>
  <c r="B35" i="2"/>
  <c r="C34" i="2"/>
  <c r="G34" i="2" s="1"/>
  <c r="B34" i="2"/>
  <c r="C33" i="2"/>
  <c r="G33" i="2" s="1"/>
  <c r="B33" i="2"/>
  <c r="C32" i="2"/>
  <c r="G32" i="2" s="1"/>
  <c r="B32" i="2"/>
  <c r="G31" i="2"/>
  <c r="C31" i="2"/>
  <c r="B31" i="2"/>
  <c r="F30" i="2"/>
  <c r="C30" i="2"/>
  <c r="G30" i="2" s="1"/>
  <c r="B30" i="2"/>
  <c r="C29" i="2"/>
  <c r="G29" i="2" s="1"/>
  <c r="B29" i="2"/>
  <c r="C28" i="2"/>
  <c r="G28" i="2" s="1"/>
  <c r="B28" i="2"/>
  <c r="C27" i="2"/>
  <c r="G27" i="2" s="1"/>
  <c r="B27" i="2"/>
  <c r="G26" i="2"/>
  <c r="F26" i="2"/>
  <c r="C26" i="2"/>
  <c r="B26" i="2"/>
  <c r="F25" i="2"/>
  <c r="C25" i="2"/>
  <c r="G25" i="2" s="1"/>
  <c r="B25" i="2"/>
  <c r="G24" i="2"/>
  <c r="F24" i="2"/>
  <c r="C24" i="2"/>
  <c r="B24" i="2"/>
  <c r="F23" i="2"/>
  <c r="C23" i="2"/>
  <c r="G23" i="2" s="1"/>
  <c r="B23" i="2"/>
  <c r="G22" i="2"/>
  <c r="B22" i="2"/>
  <c r="G21" i="2"/>
  <c r="C21" i="2"/>
  <c r="B21" i="2"/>
  <c r="G20" i="2"/>
  <c r="B20" i="2"/>
  <c r="F19" i="2"/>
  <c r="G19" i="2" s="1"/>
  <c r="C19" i="2"/>
  <c r="B19" i="2"/>
  <c r="C18" i="2"/>
  <c r="G18" i="2" s="1"/>
  <c r="B18" i="2"/>
  <c r="F17" i="2"/>
  <c r="C17" i="2"/>
  <c r="G17" i="2" s="1"/>
  <c r="B17" i="2"/>
  <c r="G16" i="2"/>
  <c r="C16" i="2"/>
  <c r="B16" i="2"/>
  <c r="F15" i="2"/>
  <c r="C15" i="2"/>
  <c r="G15" i="2" s="1"/>
  <c r="B15" i="2"/>
  <c r="C14" i="2"/>
  <c r="G14" i="2" s="1"/>
  <c r="B14" i="2"/>
  <c r="C13" i="2"/>
  <c r="G13" i="2" s="1"/>
  <c r="B13" i="2"/>
  <c r="C12" i="2"/>
  <c r="G12" i="2" s="1"/>
  <c r="B12" i="2"/>
  <c r="G11" i="2"/>
  <c r="C11" i="2"/>
  <c r="B11" i="2"/>
  <c r="C10" i="2"/>
  <c r="G10" i="2" s="1"/>
  <c r="B10" i="2"/>
  <c r="G9" i="2"/>
  <c r="C9" i="2"/>
  <c r="B9" i="2"/>
  <c r="F8" i="2"/>
  <c r="C8" i="2"/>
  <c r="G8" i="2" s="1"/>
  <c r="B8" i="2"/>
  <c r="G7" i="2"/>
  <c r="B7" i="2"/>
  <c r="C6" i="2"/>
  <c r="G6" i="2" s="1"/>
  <c r="B6" i="2"/>
  <c r="C5" i="2"/>
  <c r="G5" i="2" s="1"/>
  <c r="B5" i="2"/>
  <c r="C4" i="2"/>
  <c r="G4" i="2" s="1"/>
  <c r="B4" i="2"/>
  <c r="G3" i="2"/>
  <c r="C3" i="2"/>
  <c r="B3" i="2"/>
  <c r="C2" i="2"/>
  <c r="G2" i="2" s="1"/>
  <c r="B2" i="2"/>
  <c r="AJ117" i="1"/>
  <c r="AJ112" i="1"/>
  <c r="AJ111" i="1"/>
  <c r="AJ110" i="1"/>
  <c r="AJ113" i="1" s="1"/>
  <c r="AJ107" i="1"/>
  <c r="AJ106" i="1"/>
  <c r="AP101" i="1"/>
  <c r="AI100" i="1"/>
  <c r="AS99" i="1"/>
  <c r="F107" i="1" s="1"/>
  <c r="AR99" i="1"/>
  <c r="E107" i="1" s="1"/>
  <c r="AG98" i="1"/>
  <c r="AF98" i="1"/>
  <c r="AE98" i="1"/>
  <c r="AD98" i="1"/>
  <c r="AC98" i="1"/>
  <c r="Z98" i="1"/>
  <c r="Z99" i="1" s="1"/>
  <c r="Y98" i="1"/>
  <c r="X98" i="1"/>
  <c r="W98" i="1"/>
  <c r="V98" i="1"/>
  <c r="T98" i="1"/>
  <c r="R98" i="1"/>
  <c r="R99" i="1" s="1"/>
  <c r="M98" i="1"/>
  <c r="L98" i="1"/>
  <c r="K98" i="1"/>
  <c r="H98" i="1"/>
  <c r="F98" i="1"/>
  <c r="E98" i="1"/>
  <c r="D98" i="1"/>
  <c r="S97" i="1"/>
  <c r="J97" i="1"/>
  <c r="C97" i="1"/>
  <c r="G97" i="1" s="1"/>
  <c r="B97" i="1"/>
  <c r="AJ96" i="1"/>
  <c r="AJ98" i="1" s="1"/>
  <c r="V96" i="1"/>
  <c r="S96" i="1"/>
  <c r="P96" i="1"/>
  <c r="O96" i="1" s="1"/>
  <c r="N96" i="1"/>
  <c r="AP96" i="1" s="1"/>
  <c r="J96" i="1"/>
  <c r="G96" i="1"/>
  <c r="AA96" i="1" s="1"/>
  <c r="AH96" i="1" s="1"/>
  <c r="C96" i="1"/>
  <c r="B96" i="1"/>
  <c r="U95" i="1"/>
  <c r="U98" i="1" s="1"/>
  <c r="S95" i="1"/>
  <c r="J95" i="1"/>
  <c r="G95" i="1"/>
  <c r="C95" i="1"/>
  <c r="B95" i="1"/>
  <c r="P95" i="1" s="1"/>
  <c r="AB94" i="1"/>
  <c r="AB98" i="1" s="1"/>
  <c r="S94" i="1"/>
  <c r="I94" i="1"/>
  <c r="J94" i="1" s="1"/>
  <c r="J98" i="1" s="1"/>
  <c r="C94" i="1"/>
  <c r="G94" i="1" s="1"/>
  <c r="B94" i="1"/>
  <c r="V93" i="1"/>
  <c r="S93" i="1"/>
  <c r="J93" i="1"/>
  <c r="F93" i="1"/>
  <c r="C93" i="1"/>
  <c r="C98" i="1" s="1"/>
  <c r="B93" i="1"/>
  <c r="AL92" i="1"/>
  <c r="AJ92" i="1"/>
  <c r="AL91" i="1"/>
  <c r="AL90" i="1"/>
  <c r="AL94" i="1" s="1"/>
  <c r="AJ90" i="1"/>
  <c r="AQ89" i="1"/>
  <c r="AL89" i="1"/>
  <c r="AJ84" i="1"/>
  <c r="AH84" i="1"/>
  <c r="AA84" i="1"/>
  <c r="G84" i="1"/>
  <c r="AE83" i="1"/>
  <c r="AD83" i="1"/>
  <c r="AC83" i="1"/>
  <c r="AB83" i="1"/>
  <c r="Z83" i="1"/>
  <c r="Y83" i="1"/>
  <c r="X83" i="1"/>
  <c r="W83" i="1"/>
  <c r="V83" i="1"/>
  <c r="U83" i="1"/>
  <c r="T83" i="1"/>
  <c r="R83" i="1"/>
  <c r="Q83" i="1"/>
  <c r="M83" i="1"/>
  <c r="L83" i="1"/>
  <c r="K83" i="1"/>
  <c r="K99" i="1" s="1"/>
  <c r="I83" i="1"/>
  <c r="H83" i="1"/>
  <c r="F83" i="1"/>
  <c r="E83" i="1"/>
  <c r="D83" i="1"/>
  <c r="AG82" i="1"/>
  <c r="AG83" i="1" s="1"/>
  <c r="AF82" i="1"/>
  <c r="AF83" i="1" s="1"/>
  <c r="S82" i="1"/>
  <c r="S83" i="1" s="1"/>
  <c r="J82" i="1"/>
  <c r="J83" i="1" s="1"/>
  <c r="G82" i="1"/>
  <c r="C82" i="1"/>
  <c r="C83" i="1" s="1"/>
  <c r="B82" i="1"/>
  <c r="P82" i="1" s="1"/>
  <c r="AL79" i="1"/>
  <c r="AP78" i="1"/>
  <c r="AL78" i="1"/>
  <c r="AP77" i="1"/>
  <c r="AJ72" i="1"/>
  <c r="AA72" i="1"/>
  <c r="AG71" i="1"/>
  <c r="AF71" i="1"/>
  <c r="AE71" i="1"/>
  <c r="AD71" i="1"/>
  <c r="AC71" i="1"/>
  <c r="AB71" i="1"/>
  <c r="Z71" i="1"/>
  <c r="Y71" i="1"/>
  <c r="X71" i="1"/>
  <c r="W71" i="1"/>
  <c r="V71" i="1"/>
  <c r="U71" i="1"/>
  <c r="T71" i="1"/>
  <c r="S71" i="1"/>
  <c r="R71" i="1"/>
  <c r="Q71" i="1"/>
  <c r="M71" i="1"/>
  <c r="L71" i="1"/>
  <c r="K71" i="1"/>
  <c r="I71" i="1"/>
  <c r="H71" i="1"/>
  <c r="F71" i="1"/>
  <c r="E71" i="1"/>
  <c r="D71" i="1"/>
  <c r="C71" i="1"/>
  <c r="B71" i="1"/>
  <c r="S70" i="1"/>
  <c r="P70" i="1"/>
  <c r="P71" i="1" s="1"/>
  <c r="N70" i="1"/>
  <c r="N71" i="1" s="1"/>
  <c r="J70" i="1"/>
  <c r="J71" i="1" s="1"/>
  <c r="G70" i="1"/>
  <c r="AP70" i="1" s="1"/>
  <c r="C70" i="1"/>
  <c r="B70" i="1"/>
  <c r="AH64" i="1"/>
  <c r="AA64" i="1"/>
  <c r="G64" i="1"/>
  <c r="AJ63" i="1"/>
  <c r="AG63" i="1"/>
  <c r="AF63" i="1"/>
  <c r="AE63" i="1"/>
  <c r="AD63" i="1"/>
  <c r="AC63" i="1"/>
  <c r="Z63" i="1"/>
  <c r="Y63" i="1"/>
  <c r="X63" i="1"/>
  <c r="V63" i="1"/>
  <c r="U63" i="1"/>
  <c r="T63" i="1"/>
  <c r="R63" i="1"/>
  <c r="M63" i="1"/>
  <c r="L63" i="1"/>
  <c r="K63" i="1"/>
  <c r="H63" i="1"/>
  <c r="E63" i="1"/>
  <c r="D63" i="1"/>
  <c r="AH62" i="1"/>
  <c r="AA62" i="1"/>
  <c r="S62" i="1"/>
  <c r="P62" i="1"/>
  <c r="O62" i="1" s="1"/>
  <c r="J62" i="1"/>
  <c r="G62" i="1"/>
  <c r="AP62" i="1" s="1"/>
  <c r="C62" i="1"/>
  <c r="S61" i="1"/>
  <c r="J61" i="1"/>
  <c r="F61" i="1"/>
  <c r="F63" i="1" s="1"/>
  <c r="C61" i="1"/>
  <c r="B61" i="1"/>
  <c r="P61" i="1" s="1"/>
  <c r="AB60" i="1"/>
  <c r="S60" i="1"/>
  <c r="I60" i="1"/>
  <c r="J60" i="1" s="1"/>
  <c r="C60" i="1"/>
  <c r="G60" i="1" s="1"/>
  <c r="B60" i="1"/>
  <c r="S59" i="1"/>
  <c r="N59" i="1"/>
  <c r="J59" i="1"/>
  <c r="C59" i="1"/>
  <c r="G59" i="1" s="1"/>
  <c r="B59" i="1"/>
  <c r="P59" i="1" s="1"/>
  <c r="W58" i="1"/>
  <c r="W63" i="1" s="1"/>
  <c r="S58" i="1"/>
  <c r="I58" i="1"/>
  <c r="H58" i="1"/>
  <c r="C58" i="1"/>
  <c r="G58" i="1" s="1"/>
  <c r="B58" i="1"/>
  <c r="P58" i="1" s="1"/>
  <c r="S57" i="1"/>
  <c r="I57" i="1"/>
  <c r="J57" i="1" s="1"/>
  <c r="C57" i="1"/>
  <c r="G57" i="1" s="1"/>
  <c r="B57" i="1"/>
  <c r="S56" i="1"/>
  <c r="N56" i="1"/>
  <c r="J56" i="1"/>
  <c r="C56" i="1"/>
  <c r="G56" i="1" s="1"/>
  <c r="B56" i="1"/>
  <c r="P56" i="1" s="1"/>
  <c r="AJ55" i="1"/>
  <c r="S55" i="1"/>
  <c r="L55" i="1"/>
  <c r="J55" i="1"/>
  <c r="C55" i="1"/>
  <c r="G55" i="1" s="1"/>
  <c r="B55" i="1"/>
  <c r="AB54" i="1"/>
  <c r="S54" i="1"/>
  <c r="N54" i="1"/>
  <c r="AP54" i="1" s="1"/>
  <c r="I54" i="1"/>
  <c r="J54" i="1" s="1"/>
  <c r="G54" i="1"/>
  <c r="AA54" i="1" s="1"/>
  <c r="AH54" i="1" s="1"/>
  <c r="C54" i="1"/>
  <c r="B54" i="1"/>
  <c r="P54" i="1" s="1"/>
  <c r="AB53" i="1"/>
  <c r="AB63" i="1" s="1"/>
  <c r="S53" i="1"/>
  <c r="J53" i="1"/>
  <c r="C53" i="1"/>
  <c r="C63" i="1" s="1"/>
  <c r="B53" i="1"/>
  <c r="P53" i="1" s="1"/>
  <c r="AH45" i="1"/>
  <c r="AA45" i="1"/>
  <c r="R45" i="1"/>
  <c r="G45" i="1"/>
  <c r="AG44" i="1"/>
  <c r="AF44" i="1"/>
  <c r="AC44" i="1"/>
  <c r="Z44" i="1"/>
  <c r="Y44" i="1"/>
  <c r="X44" i="1"/>
  <c r="U44" i="1"/>
  <c r="R44" i="1"/>
  <c r="K44" i="1"/>
  <c r="E44" i="1"/>
  <c r="AQ43" i="1"/>
  <c r="S43" i="1"/>
  <c r="I43" i="1"/>
  <c r="J43" i="1" s="1"/>
  <c r="G43" i="1"/>
  <c r="AA43" i="1" s="1"/>
  <c r="AH43" i="1" s="1"/>
  <c r="C43" i="1"/>
  <c r="B43" i="1"/>
  <c r="P43" i="1" s="1"/>
  <c r="O43" i="1" s="1"/>
  <c r="AJ42" i="1"/>
  <c r="V42" i="1"/>
  <c r="S42" i="1"/>
  <c r="I42" i="1"/>
  <c r="J42" i="1" s="1"/>
  <c r="G42" i="1"/>
  <c r="C42" i="1"/>
  <c r="B42" i="1"/>
  <c r="P42" i="1" s="1"/>
  <c r="S41" i="1"/>
  <c r="P41" i="1"/>
  <c r="O41" i="1" s="1"/>
  <c r="J41" i="1"/>
  <c r="F41" i="1"/>
  <c r="C41" i="1"/>
  <c r="G41" i="1" s="1"/>
  <c r="B41" i="1"/>
  <c r="N41" i="1" s="1"/>
  <c r="AE40" i="1"/>
  <c r="AB40" i="1"/>
  <c r="S40" i="1"/>
  <c r="P40" i="1"/>
  <c r="O40" i="1" s="1"/>
  <c r="N40" i="1"/>
  <c r="J40" i="1"/>
  <c r="I40" i="1"/>
  <c r="H40" i="1"/>
  <c r="D40" i="1"/>
  <c r="D44" i="1" s="1"/>
  <c r="C40" i="1"/>
  <c r="B40" i="1"/>
  <c r="AP39" i="1"/>
  <c r="S39" i="1"/>
  <c r="P39" i="1"/>
  <c r="O39" i="1"/>
  <c r="N39" i="1"/>
  <c r="J39" i="1"/>
  <c r="G39" i="1"/>
  <c r="AL39" i="1" s="1"/>
  <c r="C39" i="1"/>
  <c r="B39" i="1"/>
  <c r="V38" i="1"/>
  <c r="S38" i="1"/>
  <c r="N38" i="1"/>
  <c r="J38" i="1"/>
  <c r="C38" i="1"/>
  <c r="G38" i="1" s="1"/>
  <c r="B38" i="1"/>
  <c r="P38" i="1" s="1"/>
  <c r="S37" i="1"/>
  <c r="J37" i="1"/>
  <c r="C37" i="1"/>
  <c r="G37" i="1" s="1"/>
  <c r="B37" i="1"/>
  <c r="V36" i="1"/>
  <c r="S36" i="1"/>
  <c r="P36" i="1"/>
  <c r="O36" i="1" s="1"/>
  <c r="J36" i="1"/>
  <c r="G36" i="1"/>
  <c r="AP36" i="1" s="1"/>
  <c r="C36" i="1"/>
  <c r="B36" i="1"/>
  <c r="AE35" i="1"/>
  <c r="AE44" i="1" s="1"/>
  <c r="S35" i="1"/>
  <c r="I35" i="1"/>
  <c r="J35" i="1" s="1"/>
  <c r="F35" i="1"/>
  <c r="G35" i="1" s="1"/>
  <c r="C35" i="1"/>
  <c r="B35" i="1"/>
  <c r="P35" i="1" s="1"/>
  <c r="AJ34" i="1"/>
  <c r="AJ37" i="1" s="1"/>
  <c r="AB34" i="1"/>
  <c r="V34" i="1"/>
  <c r="S34" i="1"/>
  <c r="N34" i="1"/>
  <c r="O34" i="1" s="1"/>
  <c r="I34" i="1"/>
  <c r="J34" i="1" s="1"/>
  <c r="H34" i="1"/>
  <c r="C34" i="1"/>
  <c r="G34" i="1" s="1"/>
  <c r="B34" i="1"/>
  <c r="P34" i="1" s="1"/>
  <c r="AB33" i="1"/>
  <c r="S33" i="1"/>
  <c r="P33" i="1"/>
  <c r="N33" i="1"/>
  <c r="AP33" i="1" s="1"/>
  <c r="J33" i="1"/>
  <c r="I33" i="1"/>
  <c r="G33" i="1"/>
  <c r="C33" i="1"/>
  <c r="B33" i="1"/>
  <c r="S32" i="1"/>
  <c r="J32" i="1"/>
  <c r="G32" i="1"/>
  <c r="C32" i="1"/>
  <c r="B32" i="1"/>
  <c r="P32" i="1" s="1"/>
  <c r="AP31" i="1"/>
  <c r="S31" i="1"/>
  <c r="P31" i="1"/>
  <c r="O31" i="1"/>
  <c r="N31" i="1"/>
  <c r="J31" i="1"/>
  <c r="G31" i="1"/>
  <c r="AL31" i="1" s="1"/>
  <c r="F31" i="1"/>
  <c r="C31" i="1"/>
  <c r="B31" i="1"/>
  <c r="S30" i="1"/>
  <c r="P30" i="1"/>
  <c r="O30" i="1" s="1"/>
  <c r="N30" i="1"/>
  <c r="J30" i="1"/>
  <c r="F30" i="1"/>
  <c r="G30" i="1" s="1"/>
  <c r="AQ30" i="1" s="1"/>
  <c r="C30" i="1"/>
  <c r="B30" i="1"/>
  <c r="AD29" i="1"/>
  <c r="AB29" i="1"/>
  <c r="S29" i="1"/>
  <c r="P29" i="1"/>
  <c r="N29" i="1"/>
  <c r="J29" i="1"/>
  <c r="I29" i="1"/>
  <c r="H29" i="1"/>
  <c r="G29" i="1"/>
  <c r="F29" i="1"/>
  <c r="C29" i="1"/>
  <c r="B29" i="1"/>
  <c r="S28" i="1"/>
  <c r="J28" i="1"/>
  <c r="G28" i="1"/>
  <c r="F28" i="1"/>
  <c r="C28" i="1"/>
  <c r="B28" i="1"/>
  <c r="P28" i="1" s="1"/>
  <c r="AI27" i="1"/>
  <c r="S27" i="1"/>
  <c r="O27" i="1"/>
  <c r="N27" i="1"/>
  <c r="J27" i="1"/>
  <c r="I27" i="1"/>
  <c r="H27" i="1"/>
  <c r="G27" i="1"/>
  <c r="G46" i="1" s="1"/>
  <c r="G47" i="1" s="1"/>
  <c r="B27" i="1"/>
  <c r="S26" i="1"/>
  <c r="J26" i="1"/>
  <c r="G26" i="1"/>
  <c r="C26" i="1"/>
  <c r="B26" i="1"/>
  <c r="AQ25" i="1"/>
  <c r="S25" i="1"/>
  <c r="Q25" i="1"/>
  <c r="O25" i="1"/>
  <c r="N25" i="1"/>
  <c r="J25" i="1"/>
  <c r="I25" i="1"/>
  <c r="H25" i="1"/>
  <c r="G25" i="1"/>
  <c r="AA25" i="1" s="1"/>
  <c r="AH25" i="1" s="1"/>
  <c r="B25" i="1"/>
  <c r="AB24" i="1"/>
  <c r="S24" i="1"/>
  <c r="N24" i="1"/>
  <c r="I24" i="1"/>
  <c r="J24" i="1" s="1"/>
  <c r="H24" i="1"/>
  <c r="F24" i="1"/>
  <c r="C24" i="1"/>
  <c r="G24" i="1" s="1"/>
  <c r="AQ24" i="1" s="1"/>
  <c r="B24" i="1"/>
  <c r="P24" i="1" s="1"/>
  <c r="O24" i="1" s="1"/>
  <c r="S23" i="1"/>
  <c r="J23" i="1"/>
  <c r="G23" i="1"/>
  <c r="C23" i="1"/>
  <c r="B23" i="1"/>
  <c r="P23" i="1" s="1"/>
  <c r="V22" i="1"/>
  <c r="S22" i="1"/>
  <c r="J22" i="1"/>
  <c r="F22" i="1"/>
  <c r="C22" i="1"/>
  <c r="G22" i="1" s="1"/>
  <c r="B22" i="1"/>
  <c r="AL21" i="1"/>
  <c r="V21" i="1"/>
  <c r="S21" i="1"/>
  <c r="M21" i="1"/>
  <c r="M44" i="1" s="1"/>
  <c r="J21" i="1"/>
  <c r="I21" i="1"/>
  <c r="G21" i="1"/>
  <c r="AA21" i="1" s="1"/>
  <c r="AH21" i="1" s="1"/>
  <c r="C21" i="1"/>
  <c r="B21" i="1"/>
  <c r="N21" i="1" s="1"/>
  <c r="AP21" i="1" s="1"/>
  <c r="S20" i="1"/>
  <c r="P20" i="1"/>
  <c r="N20" i="1"/>
  <c r="J20" i="1"/>
  <c r="F20" i="1"/>
  <c r="G20" i="1" s="1"/>
  <c r="C20" i="1"/>
  <c r="B20" i="1"/>
  <c r="AD19" i="1"/>
  <c r="W19" i="1"/>
  <c r="W44" i="1" s="1"/>
  <c r="S19" i="1"/>
  <c r="N19" i="1"/>
  <c r="J19" i="1"/>
  <c r="C19" i="1"/>
  <c r="G19" i="1" s="1"/>
  <c r="B19" i="1"/>
  <c r="P19" i="1" s="1"/>
  <c r="AB18" i="1"/>
  <c r="V18" i="1"/>
  <c r="T18" i="1"/>
  <c r="T44" i="1" s="1"/>
  <c r="S18" i="1"/>
  <c r="J18" i="1"/>
  <c r="G18" i="1"/>
  <c r="C18" i="1"/>
  <c r="B18" i="1"/>
  <c r="S17" i="1"/>
  <c r="P17" i="1"/>
  <c r="O17" i="1" s="1"/>
  <c r="J17" i="1"/>
  <c r="I17" i="1"/>
  <c r="C17" i="1"/>
  <c r="G17" i="1" s="1"/>
  <c r="B17" i="1"/>
  <c r="V16" i="1"/>
  <c r="S16" i="1"/>
  <c r="N16" i="1"/>
  <c r="J16" i="1"/>
  <c r="C16" i="1"/>
  <c r="G16" i="1" s="1"/>
  <c r="AP16" i="1" s="1"/>
  <c r="B16" i="1"/>
  <c r="P16" i="1" s="1"/>
  <c r="AB15" i="1"/>
  <c r="S15" i="1"/>
  <c r="P15" i="1"/>
  <c r="O15" i="1" s="1"/>
  <c r="J15" i="1"/>
  <c r="C15" i="1"/>
  <c r="G15" i="1" s="1"/>
  <c r="B15" i="1"/>
  <c r="N15" i="1" s="1"/>
  <c r="S14" i="1"/>
  <c r="N14" i="1"/>
  <c r="J14" i="1"/>
  <c r="C14" i="1"/>
  <c r="G14" i="1" s="1"/>
  <c r="B14" i="1"/>
  <c r="P14" i="1" s="1"/>
  <c r="O14" i="1" s="1"/>
  <c r="AB13" i="1"/>
  <c r="V13" i="1"/>
  <c r="S13" i="1"/>
  <c r="I13" i="1"/>
  <c r="J13" i="1" s="1"/>
  <c r="G13" i="1"/>
  <c r="F13" i="1"/>
  <c r="C13" i="1"/>
  <c r="B13" i="1"/>
  <c r="P13" i="1" s="1"/>
  <c r="AI12" i="1"/>
  <c r="AA12" i="1"/>
  <c r="AH12" i="1" s="1"/>
  <c r="S12" i="1"/>
  <c r="O12" i="1"/>
  <c r="I12" i="1"/>
  <c r="I44" i="1" s="1"/>
  <c r="H12" i="1"/>
  <c r="G12" i="1"/>
  <c r="AQ12" i="1" s="1"/>
  <c r="B12" i="1"/>
  <c r="S11" i="1"/>
  <c r="P11" i="1"/>
  <c r="N11" i="1"/>
  <c r="J11" i="1"/>
  <c r="C11" i="1"/>
  <c r="G11" i="1" s="1"/>
  <c r="B11" i="1"/>
  <c r="AQ10" i="1"/>
  <c r="S10" i="1"/>
  <c r="N10" i="1"/>
  <c r="I10" i="1"/>
  <c r="H10" i="1"/>
  <c r="AL10" i="1" s="1"/>
  <c r="G10" i="1"/>
  <c r="Q10" i="1" s="1"/>
  <c r="C10" i="1"/>
  <c r="B10" i="1"/>
  <c r="P10" i="1" s="1"/>
  <c r="S9" i="1"/>
  <c r="J9" i="1"/>
  <c r="C9" i="1"/>
  <c r="G9" i="1" s="1"/>
  <c r="B9" i="1"/>
  <c r="P9" i="1" s="1"/>
  <c r="AP8" i="1"/>
  <c r="S8" i="1"/>
  <c r="P8" i="1"/>
  <c r="O8" i="1" s="1"/>
  <c r="J8" i="1"/>
  <c r="G8" i="1"/>
  <c r="AL8" i="1" s="1"/>
  <c r="C8" i="1"/>
  <c r="B8" i="1"/>
  <c r="AD7" i="1"/>
  <c r="AB7" i="1"/>
  <c r="S7" i="1"/>
  <c r="N7" i="1"/>
  <c r="L7" i="1"/>
  <c r="L44" i="1" s="1"/>
  <c r="J7" i="1"/>
  <c r="I7" i="1"/>
  <c r="C7" i="1"/>
  <c r="G7" i="1" s="1"/>
  <c r="B7" i="1"/>
  <c r="AR4" i="1"/>
  <c r="AQ4" i="1"/>
  <c r="AA37" i="1" l="1"/>
  <c r="AH37" i="1" s="1"/>
  <c r="W99" i="1"/>
  <c r="AP15" i="1"/>
  <c r="AL15" i="1"/>
  <c r="N93" i="1"/>
  <c r="N98" i="1" s="1"/>
  <c r="B98" i="1"/>
  <c r="P94" i="1"/>
  <c r="N94" i="1"/>
  <c r="Q94" i="1" s="1"/>
  <c r="P97" i="1"/>
  <c r="N97" i="1"/>
  <c r="AA97" i="1" s="1"/>
  <c r="AH97" i="1" s="1"/>
  <c r="J12" i="1"/>
  <c r="J44" i="1" s="1"/>
  <c r="O23" i="1"/>
  <c r="O33" i="1"/>
  <c r="P37" i="1"/>
  <c r="O37" i="1" s="1"/>
  <c r="N37" i="1"/>
  <c r="AJ48" i="1" s="1"/>
  <c r="G40" i="1"/>
  <c r="G53" i="1"/>
  <c r="J58" i="1"/>
  <c r="J63" i="1" s="1"/>
  <c r="J99" i="1" s="1"/>
  <c r="O70" i="1"/>
  <c r="O71" i="1" s="1"/>
  <c r="T99" i="1"/>
  <c r="AC99" i="1"/>
  <c r="AQ94" i="1"/>
  <c r="AA94" i="1"/>
  <c r="AH94" i="1" s="1"/>
  <c r="AP97" i="1"/>
  <c r="AE99" i="1"/>
  <c r="AQ17" i="1"/>
  <c r="AL17" i="1"/>
  <c r="AA17" i="1"/>
  <c r="AH17" i="1" s="1"/>
  <c r="AP13" i="1"/>
  <c r="AL13" i="1"/>
  <c r="Q30" i="1"/>
  <c r="AL30" i="1" s="1"/>
  <c r="H44" i="1"/>
  <c r="H45" i="1" s="1"/>
  <c r="S63" i="1"/>
  <c r="O54" i="1"/>
  <c r="P60" i="1"/>
  <c r="O60" i="1" s="1"/>
  <c r="N60" i="1"/>
  <c r="AQ60" i="1" s="1"/>
  <c r="AG99" i="1"/>
  <c r="L99" i="1"/>
  <c r="U99" i="1"/>
  <c r="Q38" i="1"/>
  <c r="AA38" i="1" s="1"/>
  <c r="AH38" i="1" s="1"/>
  <c r="AQ38" i="1"/>
  <c r="AP14" i="1"/>
  <c r="AA14" i="1"/>
  <c r="AH14" i="1" s="1"/>
  <c r="AB44" i="1"/>
  <c r="AB99" i="1" s="1"/>
  <c r="AA15" i="1"/>
  <c r="AH15" i="1" s="1"/>
  <c r="P26" i="1"/>
  <c r="N26" i="1"/>
  <c r="AA26" i="1" s="1"/>
  <c r="AH26" i="1" s="1"/>
  <c r="O29" i="1"/>
  <c r="AL33" i="1"/>
  <c r="AJ105" i="1"/>
  <c r="G61" i="1"/>
  <c r="D99" i="1"/>
  <c r="M99" i="1"/>
  <c r="P93" i="1"/>
  <c r="AA95" i="1"/>
  <c r="AH95" i="1" s="1"/>
  <c r="X99" i="1"/>
  <c r="AL20" i="1"/>
  <c r="AA20" i="1"/>
  <c r="AH20" i="1" s="1"/>
  <c r="AP11" i="1"/>
  <c r="AL11" i="1"/>
  <c r="AA11" i="1"/>
  <c r="AH11" i="1" s="1"/>
  <c r="P57" i="1"/>
  <c r="N57" i="1"/>
  <c r="AQ57" i="1" s="1"/>
  <c r="AF99" i="1"/>
  <c r="O20" i="1"/>
  <c r="B44" i="1"/>
  <c r="AA16" i="1"/>
  <c r="AH16" i="1" s="1"/>
  <c r="G44" i="1"/>
  <c r="AA7" i="1"/>
  <c r="Q7" i="1"/>
  <c r="AQ7" i="1"/>
  <c r="AD44" i="1"/>
  <c r="AD99" i="1" s="1"/>
  <c r="O11" i="1"/>
  <c r="AL16" i="1"/>
  <c r="P18" i="1"/>
  <c r="O18" i="1" s="1"/>
  <c r="N18" i="1"/>
  <c r="AA18" i="1" s="1"/>
  <c r="AH18" i="1" s="1"/>
  <c r="AA33" i="1"/>
  <c r="AH33" i="1" s="1"/>
  <c r="AQ42" i="1"/>
  <c r="O56" i="1"/>
  <c r="P83" i="1"/>
  <c r="E99" i="1"/>
  <c r="AA24" i="1"/>
  <c r="AH24" i="1" s="1"/>
  <c r="Q24" i="1"/>
  <c r="P22" i="1"/>
  <c r="N22" i="1"/>
  <c r="AP22" i="1" s="1"/>
  <c r="AP37" i="1"/>
  <c r="AL37" i="1"/>
  <c r="J10" i="1"/>
  <c r="O10" i="1"/>
  <c r="AA10" i="1"/>
  <c r="AH10" i="1" s="1"/>
  <c r="V44" i="1"/>
  <c r="V99" i="1" s="1"/>
  <c r="O16" i="1"/>
  <c r="O19" i="1"/>
  <c r="AP20" i="1"/>
  <c r="P21" i="1"/>
  <c r="O21" i="1" s="1"/>
  <c r="AP23" i="1"/>
  <c r="AL38" i="1"/>
  <c r="AP41" i="1"/>
  <c r="AL41" i="1"/>
  <c r="AA41" i="1"/>
  <c r="AH41" i="1" s="1"/>
  <c r="P55" i="1"/>
  <c r="N55" i="1"/>
  <c r="AA55" i="1" s="1"/>
  <c r="AH55" i="1" s="1"/>
  <c r="AP56" i="1"/>
  <c r="AA56" i="1"/>
  <c r="AH56" i="1" s="1"/>
  <c r="O59" i="1"/>
  <c r="Q60" i="1"/>
  <c r="Y99" i="1"/>
  <c r="S98" i="1"/>
  <c r="S99" i="1" s="1"/>
  <c r="O95" i="1"/>
  <c r="AL24" i="1"/>
  <c r="F44" i="1"/>
  <c r="F99" i="1" s="1"/>
  <c r="S44" i="1"/>
  <c r="AL7" i="1"/>
  <c r="O9" i="1"/>
  <c r="AP18" i="1"/>
  <c r="AL18" i="1"/>
  <c r="AA19" i="1"/>
  <c r="AH19" i="1" s="1"/>
  <c r="Q19" i="1"/>
  <c r="AQ19" i="1"/>
  <c r="AL19" i="1"/>
  <c r="AL25" i="1"/>
  <c r="Q29" i="1"/>
  <c r="AA29" i="1" s="1"/>
  <c r="AH29" i="1" s="1"/>
  <c r="AA34" i="1"/>
  <c r="AH34" i="1" s="1"/>
  <c r="AQ34" i="1"/>
  <c r="Q34" i="1"/>
  <c r="AL34" i="1"/>
  <c r="O38" i="1"/>
  <c r="AP55" i="1"/>
  <c r="AP59" i="1"/>
  <c r="AA59" i="1"/>
  <c r="AH59" i="1" s="1"/>
  <c r="AA82" i="1"/>
  <c r="AP82" i="1"/>
  <c r="G83" i="1"/>
  <c r="P7" i="1"/>
  <c r="AA8" i="1"/>
  <c r="AH8" i="1" s="1"/>
  <c r="AM8" i="1" s="1"/>
  <c r="N23" i="1"/>
  <c r="AA23" i="1" s="1"/>
  <c r="AH23" i="1" s="1"/>
  <c r="N28" i="1"/>
  <c r="AL29" i="1"/>
  <c r="N35" i="1"/>
  <c r="Q35" i="1" s="1"/>
  <c r="AA35" i="1" s="1"/>
  <c r="AH35" i="1" s="1"/>
  <c r="I63" i="1"/>
  <c r="I98" i="1"/>
  <c r="I99" i="1" s="1"/>
  <c r="N9" i="1"/>
  <c r="AA9" i="1" s="1"/>
  <c r="AH9" i="1" s="1"/>
  <c r="N13" i="1"/>
  <c r="O13" i="1" s="1"/>
  <c r="AL26" i="1"/>
  <c r="AL27" i="1"/>
  <c r="AQ29" i="1"/>
  <c r="AA31" i="1"/>
  <c r="AH31" i="1" s="1"/>
  <c r="N32" i="1"/>
  <c r="AL32" i="1" s="1"/>
  <c r="AA39" i="1"/>
  <c r="AH39" i="1" s="1"/>
  <c r="N42" i="1"/>
  <c r="O42" i="1" s="1"/>
  <c r="C44" i="1"/>
  <c r="C99" i="1" s="1"/>
  <c r="N53" i="1"/>
  <c r="N58" i="1"/>
  <c r="O58" i="1" s="1"/>
  <c r="AJ58" i="1"/>
  <c r="AJ64" i="1" s="1"/>
  <c r="N61" i="1"/>
  <c r="O61" i="1" s="1"/>
  <c r="B63" i="1"/>
  <c r="AA70" i="1"/>
  <c r="G71" i="1"/>
  <c r="N82" i="1"/>
  <c r="N83" i="1" s="1"/>
  <c r="N95" i="1"/>
  <c r="AP95" i="1" s="1"/>
  <c r="Q12" i="1"/>
  <c r="AJ12" i="1" s="1"/>
  <c r="AK12" i="1" s="1"/>
  <c r="Q27" i="1"/>
  <c r="AK27" i="1" s="1"/>
  <c r="AQ27" i="1"/>
  <c r="AA36" i="1"/>
  <c r="AH36" i="1" s="1"/>
  <c r="B83" i="1"/>
  <c r="G93" i="1"/>
  <c r="AJ25" i="1"/>
  <c r="AK25" i="1" s="1"/>
  <c r="AA27" i="1"/>
  <c r="AL36" i="1"/>
  <c r="AA83" i="1" l="1"/>
  <c r="AH82" i="1"/>
  <c r="AH83" i="1" s="1"/>
  <c r="AH85" i="1" s="1"/>
  <c r="Q42" i="1"/>
  <c r="O57" i="1"/>
  <c r="O93" i="1"/>
  <c r="P98" i="1"/>
  <c r="P99" i="1" s="1"/>
  <c r="O32" i="1"/>
  <c r="AA30" i="1"/>
  <c r="AH30" i="1" s="1"/>
  <c r="H99" i="1"/>
  <c r="AA53" i="1"/>
  <c r="AP53" i="1"/>
  <c r="G63" i="1"/>
  <c r="N44" i="1"/>
  <c r="N45" i="1" s="1"/>
  <c r="AQ58" i="1"/>
  <c r="AH7" i="1"/>
  <c r="Q40" i="1"/>
  <c r="Q44" i="1" s="1"/>
  <c r="AQ40" i="1"/>
  <c r="Q58" i="1"/>
  <c r="AA46" i="1"/>
  <c r="AA47" i="1" s="1"/>
  <c r="AH27" i="1"/>
  <c r="N63" i="1"/>
  <c r="N99" i="1" s="1"/>
  <c r="AL28" i="1"/>
  <c r="AP28" i="1"/>
  <c r="O82" i="1"/>
  <c r="O83" i="1" s="1"/>
  <c r="O28" i="1"/>
  <c r="O97" i="1"/>
  <c r="AA58" i="1"/>
  <c r="AH58" i="1" s="1"/>
  <c r="AA61" i="1"/>
  <c r="AH61" i="1" s="1"/>
  <c r="AP61" i="1"/>
  <c r="AL35" i="1"/>
  <c r="AA22" i="1"/>
  <c r="AH22" i="1" s="1"/>
  <c r="AL9" i="1"/>
  <c r="O55" i="1"/>
  <c r="P63" i="1"/>
  <c r="AL12" i="1"/>
  <c r="AA28" i="1"/>
  <c r="AH28" i="1" s="1"/>
  <c r="AA13" i="1"/>
  <c r="AH13" i="1" s="1"/>
  <c r="AA32" i="1"/>
  <c r="AH32" i="1" s="1"/>
  <c r="AM32" i="1" s="1"/>
  <c r="O22" i="1"/>
  <c r="Q57" i="1"/>
  <c r="Q63" i="1" s="1"/>
  <c r="AA60" i="1"/>
  <c r="AH60" i="1" s="1"/>
  <c r="O26" i="1"/>
  <c r="AA57" i="1"/>
  <c r="AH57" i="1" s="1"/>
  <c r="AQ35" i="1"/>
  <c r="AQ99" i="1" s="1"/>
  <c r="AL22" i="1"/>
  <c r="O35" i="1"/>
  <c r="AP9" i="1"/>
  <c r="AP99" i="1" s="1"/>
  <c r="L107" i="1" s="1"/>
  <c r="AJ116" i="1"/>
  <c r="AJ108" i="1"/>
  <c r="AP32" i="1"/>
  <c r="AQ93" i="1"/>
  <c r="AL93" i="1"/>
  <c r="Q93" i="1"/>
  <c r="Q98" i="1" s="1"/>
  <c r="G98" i="1"/>
  <c r="G99" i="1" s="1"/>
  <c r="D107" i="1" s="1"/>
  <c r="AA71" i="1"/>
  <c r="AA73" i="1" s="1"/>
  <c r="AH70" i="1"/>
  <c r="AH71" i="1" s="1"/>
  <c r="AH73" i="1" s="1"/>
  <c r="O7" i="1"/>
  <c r="P44" i="1"/>
  <c r="O53" i="1"/>
  <c r="O63" i="1" s="1"/>
  <c r="AP26" i="1"/>
  <c r="O94" i="1"/>
  <c r="Q99" i="1" l="1"/>
  <c r="N107" i="1" s="1"/>
  <c r="O98" i="1"/>
  <c r="AA93" i="1"/>
  <c r="AA40" i="1"/>
  <c r="AH40" i="1" s="1"/>
  <c r="AH44" i="1" s="1"/>
  <c r="AL40" i="1"/>
  <c r="AL43" i="1" s="1"/>
  <c r="AL44" i="1" s="1"/>
  <c r="AA63" i="1"/>
  <c r="AH53" i="1"/>
  <c r="AH63" i="1" s="1"/>
  <c r="Q45" i="1"/>
  <c r="AL42" i="1"/>
  <c r="O44" i="1"/>
  <c r="AJ118" i="1"/>
  <c r="AJ119" i="1" s="1"/>
  <c r="AJ45" i="1"/>
  <c r="AA44" i="1"/>
  <c r="I107" i="1"/>
  <c r="J107" i="1" s="1"/>
  <c r="K107" i="1" s="1"/>
  <c r="M107" i="1" s="1"/>
  <c r="M108" i="1" s="1"/>
  <c r="AA42" i="1"/>
  <c r="AH42" i="1" s="1"/>
  <c r="AJ49" i="1" l="1"/>
  <c r="AG45" i="1"/>
  <c r="AH46" i="1"/>
  <c r="AH47" i="1" s="1"/>
  <c r="AH93" i="1"/>
  <c r="AH98" i="1" s="1"/>
  <c r="AH99" i="1" s="1"/>
  <c r="AA98" i="1"/>
  <c r="AA99" i="1" s="1"/>
  <c r="O99" i="1"/>
  <c r="AJ65" i="1"/>
  <c r="AH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Jing Borja</author>
  </authors>
  <commentList>
    <comment ref="B7" authorId="0" shapeId="0" xr:uid="{53C65A4D-B1E6-4C52-9484-6CF170BFC80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7" authorId="1" shapeId="0" xr:uid="{C9246471-6F47-482D-9571-23D3D06EBA2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Q7" authorId="2" shapeId="0" xr:uid="{352A6778-0CC4-4FD9-A219-B7E97F027C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8" authorId="0" shapeId="0" xr:uid="{C0BD6E0D-E52D-4161-9CA9-12416C486B5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8" authorId="0" shapeId="0" xr:uid="{AF8E1DD5-D6C0-490D-B3C9-E508B9011D0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Q8" authorId="2" shapeId="0" xr:uid="{446864A3-8A93-42AB-8B5A-381A981BE4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8" authorId="3" shapeId="0" xr:uid="{FA0AA5FD-681F-4AD8-AD16-EDFC79522E7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950.00 NEW HDMF LOAN</t>
        </r>
      </text>
    </comment>
    <comment ref="V8" authorId="1" shapeId="0" xr:uid="{CC554934-40F2-460B-83B1-8828B7CFEBA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NO CA DEDUCTION
</t>
        </r>
      </text>
    </comment>
    <comment ref="B9" authorId="0" shapeId="0" xr:uid="{687CCA69-9D33-4A9A-BC7C-71DE73C4CE13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Q9" authorId="2" shapeId="0" xr:uid="{304D91F1-51C3-4950-AAD9-5EFA389A9D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10" authorId="0" shapeId="0" xr:uid="{A2B0D937-2D11-4B21-B9B3-D74C2540C4C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Q10" authorId="2" shapeId="0" xr:uid="{D2CCFA31-47EF-4873-9F9E-976749262A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11" authorId="0" shapeId="0" xr:uid="{66492509-078F-4786-A696-32B516AA9C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11" authorId="0" shapeId="0" xr:uid="{6AC277AC-0DA3-46F3-BD7F-68BFA31165E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Q11" authorId="2" shapeId="0" xr:uid="{27B64C3E-D21D-4093-9C30-C2C02E7537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12" authorId="0" shapeId="0" xr:uid="{116378C8-F7E7-4EBA-9A68-D0DE74A0F74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Q12" authorId="2" shapeId="0" xr:uid="{9F7B5022-9C80-458D-82AB-2146A39A6B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Q13" authorId="2" shapeId="0" xr:uid="{60894A18-288F-42E2-9184-5041642752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13" authorId="0" shapeId="0" xr:uid="{00E9A58F-3789-4CAD-8713-053175CABC0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DEDUCTION 
3680.46 PAG-IBIG SALARY LOAN</t>
        </r>
      </text>
    </comment>
    <comment ref="V13" authorId="1" shapeId="0" xr:uid="{ED8F5E81-4D9D-40BD-AECE-0F5F5FEE3B8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1500.00</t>
        </r>
      </text>
    </comment>
    <comment ref="L15" authorId="1" shapeId="0" xr:uid="{F3F2A152-1C79-434B-B5C9-6783EC1E37F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AE15" authorId="0" shapeId="0" xr:uid="{D42F42F6-AE40-4A78-AE42-53564B698E2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6" authorId="0" shapeId="0" xr:uid="{70643415-955B-4C81-B539-DA31BE97F30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L16" authorId="0" shapeId="0" xr:uid="{15E71764-39B1-431A-BDCC-257F7C25617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T16" authorId="1" shapeId="0" xr:uid="{428B0853-4E52-4011-BE6A-31C6B0184D7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542.11 HDMF LOAN</t>
        </r>
      </text>
    </comment>
    <comment ref="V16" authorId="2" shapeId="0" xr:uid="{31CCEF59-999B-4A4E-978C-8E9FA4A950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c.a 1000.00
1500+1500 </t>
        </r>
      </text>
    </comment>
    <comment ref="B17" authorId="0" shapeId="0" xr:uid="{83D215E9-F410-4D24-9683-42F4A835F3B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7" authorId="0" shapeId="0" xr:uid="{D8BF3E21-F3BE-40E4-ACA4-426E1568F1F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Q17" authorId="2" shapeId="0" xr:uid="{55EE3BE1-2D29-4A53-ADBF-79689D4680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E17" authorId="0" shapeId="0" xr:uid="{C0CDAB22-F46C-46FF-9BDB-64E0178662F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8" authorId="3" shapeId="0" xr:uid="{FB038DBC-F718-4E22-A394-4CBE3CEBDD7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T18" authorId="0" shapeId="0" xr:uid="{D82C5C4E-C984-4E0F-9686-12E22F79671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HDMF SAL. LOAN
add: 1743.66 last deduction </t>
        </r>
      </text>
    </comment>
    <comment ref="V18" authorId="1" shapeId="0" xr:uid="{2D8B587C-7971-4080-8AED-A8E1CA622BD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LESS: C.A. 2,000.00
</t>
        </r>
      </text>
    </comment>
    <comment ref="L19" authorId="3" shapeId="0" xr:uid="{81D8E18E-04A5-4C2A-B692-386B48DB200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Q19" authorId="2" shapeId="0" xr:uid="{E60E5EB1-423E-4689-AFBF-8098D6E8B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19" authorId="1" shapeId="0" xr:uid="{DA351F72-B958-4F12-AE3C-01259D3E921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3826.05 HDMF SALARY LOAN</t>
        </r>
      </text>
    </comment>
    <comment ref="B20" authorId="0" shapeId="0" xr:uid="{A864AC34-4CC0-4A64-8FF8-30043AF8390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L20" authorId="2" shapeId="0" xr:uid="{5D1AF1F2-BD18-4691-8A22-9825D03EF79B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T20" authorId="1" shapeId="0" xr:uid="{4DF280B7-0F67-42FA-88B7-2641EA332F4D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814.55 1ST DEDUCTION
</t>
        </r>
      </text>
    </comment>
    <comment ref="B21" authorId="0" shapeId="0" xr:uid="{0F24219A-B539-4E75-AA33-D500638EBF5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21" authorId="1" shapeId="0" xr:uid="{5534965E-7643-4AF4-A63A-EB62FED8693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T21" authorId="0" shapeId="0" xr:uid="{C60B1F0A-AB15-48B3-AD46-E4B173F4D1E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1514.63 HDMF LOAN
NO DEDUCTION FOR MAY 2023</t>
        </r>
      </text>
    </comment>
    <comment ref="V21" authorId="2" shapeId="0" xr:uid="{A1D122C8-5766-423F-8166-3744624FD9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450.00 last ca
new c.a. oct. 15
1000.00
</t>
        </r>
      </text>
    </comment>
    <comment ref="B22" authorId="0" shapeId="0" xr:uid="{ED55E3CC-52DD-4381-811F-A59B3D12947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22" authorId="0" shapeId="0" xr:uid="{156A95B6-B95B-46AB-9F69-C6B008CBA87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T22" authorId="3" shapeId="0" xr:uid="{BA89249E-2464-4392-9CBD-2AC81A34C97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LOAN1748.92
</t>
        </r>
      </text>
    </comment>
    <comment ref="V22" authorId="3" shapeId="0" xr:uid="{9B4EF32D-C71E-4672-9B48-20427D7D5F3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24" authorId="3" shapeId="0" xr:uid="{31027F94-309C-4B10-B832-25039F2BA47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24" authorId="3" shapeId="0" xr:uid="{1FC53E7F-7B58-43FB-BD7F-D901243E9257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T24" authorId="3" shapeId="0" xr:uid="{DC7819FB-D00B-4574-BB41-82B8191FF50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 1417.00
</t>
        </r>
      </text>
    </comment>
    <comment ref="B25" authorId="2" shapeId="0" xr:uid="{C5147140-D07D-404F-A562-BD9402036E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Q25" authorId="2" shapeId="0" xr:uid="{C353FFA2-1EBE-4C4A-B09B-66A3E0C658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7" authorId="0" shapeId="0" xr:uid="{29650642-272F-4A3D-B320-3229FCDC2F2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Q27" authorId="2" shapeId="0" xr:uid="{AA400DB0-F8AC-4C49-A6E9-77C00F786D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8" authorId="0" shapeId="0" xr:uid="{0AA4A892-2032-4805-9D55-D8363667DEA0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Y28" authorId="1" shapeId="0" xr:uid="{DE473DD7-C402-4F50-8D48-051889E5F0B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13th month adj.</t>
        </r>
      </text>
    </comment>
    <comment ref="B29" authorId="3" shapeId="0" xr:uid="{5EFB790D-3D88-4606-82B3-DD29572CCD1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Q29" authorId="3" shapeId="0" xr:uid="{DC118718-93A6-4CEA-B4ED-BCD0617C420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29" authorId="3" shapeId="0" xr:uid="{5A3C72B3-596C-4B86-8565-A5EDF37120F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SAL. LOAN 1ST DEDUCTION</t>
        </r>
      </text>
    </comment>
    <comment ref="B30" authorId="0" shapeId="0" xr:uid="{80011C89-A282-4FF0-869F-CA01CCB2538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Q30" authorId="3" shapeId="0" xr:uid="{FD7DE7A3-50DB-4D3D-B038-A9E282235E9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1" authorId="0" shapeId="0" xr:uid="{BEC89802-0DF5-4E42-9B90-1AC7F53C8E3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32" authorId="0" shapeId="0" xr:uid="{87B4AA88-A386-40F4-A433-49B1D6480A01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B33" authorId="0" shapeId="0" xr:uid="{522C7459-9289-4DD9-AE49-2D380F13212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33" authorId="0" shapeId="0" xr:uid="{99C48A59-96AE-43EF-928B-76395304266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
NO DEDUCTION FOR MARCH 2023</t>
        </r>
      </text>
    </comment>
    <comment ref="Q33" authorId="3" shapeId="0" xr:uid="{EFB83876-29B6-4073-918F-771BB2C1191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33" authorId="0" shapeId="0" xr:uid="{7398D88C-FE93-49A4-A572-EF8A286646B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SAL LOAN</t>
        </r>
      </text>
    </comment>
    <comment ref="Q34" authorId="2" shapeId="0" xr:uid="{E7B0551C-FCC7-4B65-AB52-1B69C8AC3A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34" authorId="3" shapeId="0" xr:uid="{587B4B0D-402F-4CED-9690-73ABA53AA46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35" authorId="3" shapeId="0" xr:uid="{083160F9-9B56-472E-A7D9-71825E584527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L35" authorId="1" shapeId="0" xr:uid="{FF575CE5-1327-4903-B70A-E34208E0C9A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1845.80 SSS SALARY DEDUCTION</t>
        </r>
      </text>
    </comment>
    <comment ref="Q35" authorId="3" shapeId="0" xr:uid="{C54E0651-6E93-44EB-8000-13D9F154610E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6" authorId="0" shapeId="0" xr:uid="{3399FBFF-8AD4-427E-A048-79C36D116E2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36" authorId="0" shapeId="0" xr:uid="{B3064FED-39E5-4AED-AB85-5063FDA6CB1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V36" authorId="0" shapeId="0" xr:uid="{A93CCE6B-204F-4C1D-9A17-B4CD78E374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 ca 1250.00
LAST CA 1750.00</t>
        </r>
      </text>
    </comment>
    <comment ref="B37" authorId="0" shapeId="0" xr:uid="{AF7254F6-ACB5-479F-B7C3-5317E40372A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37" authorId="1" shapeId="0" xr:uid="{C7444718-4680-49B0-AA25-C687704B5C6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B38" authorId="0" shapeId="0" xr:uid="{A4879340-63D8-43E4-B677-8A38BCE23E9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8" authorId="1" shapeId="0" xr:uid="{915D8CF8-2D2F-4223-BE26-C6D2DE27CC8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Q38" authorId="3" shapeId="0" xr:uid="{DB21035E-3273-420D-9960-FF031595061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38" authorId="1" shapeId="0" xr:uid="{D0D9966E-A6B5-4D8E-9EAB-0941AB380AA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c.a. 1000.00</t>
        </r>
      </text>
    </comment>
    <comment ref="B39" authorId="0" shapeId="0" xr:uid="{7BCD03BD-E7D3-42B2-8336-BE3B49C08F9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9" authorId="0" shapeId="0" xr:uid="{5B92040D-FB24-4B03-AF72-6BFF85B98FA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T39" authorId="1" shapeId="0" xr:uid="{630A8218-BFC4-4B8D-9AE2-8B7D8075766D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
530.71</t>
        </r>
      </text>
    </comment>
    <comment ref="B40" authorId="3" shapeId="0" xr:uid="{2FA77359-F0C3-4977-BAF4-E371E3A4341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L40" authorId="1" shapeId="0" xr:uid="{47255798-11EE-4783-80D9-18B6A279889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922.89 SSS SALARY LOAN</t>
        </r>
      </text>
    </comment>
    <comment ref="Q40" authorId="3" shapeId="0" xr:uid="{5204527E-2D2C-45E4-96A2-CBEB6491866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40" authorId="1" shapeId="0" xr:uid="{35D2DBF1-8B2A-4E83-AEDF-3FEF95C0B41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41" authorId="1" shapeId="0" xr:uid="{674C58FC-039A-47E0-8896-63AD8BDC99E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T41" authorId="1" shapeId="0" xr:uid="{BED7F44B-3DA5-4E9F-9928-A5538B08B81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42" authorId="0" shapeId="0" xr:uid="{A10CEB58-2236-4274-8746-07D7028F612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Q42" authorId="3" shapeId="0" xr:uid="{9C1BC18A-7BB8-4466-B1C8-6853A2A1D78E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43" authorId="0" shapeId="0" xr:uid="{1ADF2002-2271-4A68-9D89-035B50BC3E2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L43" authorId="1" shapeId="0" xr:uid="{1B4B7566-9818-4BC1-9408-5E3B97787B0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Q43" authorId="3" shapeId="0" xr:uid="{45916FD9-2820-4AAF-9700-09B4BA98654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43" authorId="1" shapeId="0" xr:uid="{B707E7A9-7022-47EF-9107-0536735BA611}">
      <text>
        <r>
          <rPr>
            <b/>
            <sz val="9"/>
            <color indexed="81"/>
            <rFont val="Tahoma"/>
            <family val="2"/>
          </rPr>
          <t>Ma. Eliza Delis Borja:hdmf salary loan</t>
        </r>
      </text>
    </comment>
    <comment ref="L44" authorId="0" shapeId="0" xr:uid="{EAFCA921-3E77-4A86-A780-5BAF80BE9C7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23691.80+660.84 OTHERS SSS SAL LOAN BAL YARTE JEFFREY</t>
        </r>
      </text>
    </comment>
    <comment ref="T44" authorId="0" shapeId="0" xr:uid="{D387CF8E-F586-48BC-B359-8D10D5F3D87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12814.92+660.84 others deduction yarte jeffrey</t>
        </r>
      </text>
    </comment>
    <comment ref="G45" authorId="3" shapeId="0" xr:uid="{F40776E7-6953-4539-B2EE-C70D15D187C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EMPLOYEE
</t>
        </r>
      </text>
    </comment>
    <comment ref="L45" authorId="0" shapeId="0" xr:uid="{6207D7C8-96B8-4C52-93E4-FF4DD6E8180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ADD:
OTHER DEDUCTION DOMIQUIL CONST. 841.01
6/30/2023</t>
        </r>
      </text>
    </comment>
    <comment ref="AA45" authorId="0" shapeId="0" xr:uid="{D12F57BF-77F2-46BC-AEF4-442C427F595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pay.reg.</t>
        </r>
      </text>
    </comment>
    <comment ref="AH45" authorId="0" shapeId="0" xr:uid="{D38720CA-4B17-494E-900A-078437A6BD3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payroll reg.</t>
        </r>
      </text>
    </comment>
    <comment ref="G46" authorId="3" shapeId="0" xr:uid="{9BE03974-5793-4406-A59F-FF8477F8099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EXEC.</t>
        </r>
      </text>
    </comment>
    <comment ref="AA46" authorId="0" shapeId="0" xr:uid="{10D91864-79B8-4357-A33A-C0106A5D1E8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AH46" authorId="0" shapeId="0" xr:uid="{428AFA23-5033-42D1-8E28-720B5E5DFB2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B53" authorId="0" shapeId="0" xr:uid="{AAE8FD48-DAD0-415A-8035-03140A2CDDF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16786.00 old</t>
        </r>
      </text>
    </comment>
    <comment ref="T53" authorId="1" shapeId="0" xr:uid="{91261FED-84F3-4F29-89B8-A25060BF8DD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loan salary 941.46</t>
        </r>
      </text>
    </comment>
    <comment ref="L55" authorId="0" shapeId="0" xr:uid="{3AB83967-B2E5-4388-8AE9-8CCCF6E6381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SAL. LOAN 1661.22
 SSS salary loan payment for July will be deducted on August 2nd half payou</t>
        </r>
      </text>
    </comment>
    <comment ref="B57" authorId="0" shapeId="0" xr:uid="{08CAB4E7-242C-4D1C-8980-30AED759DE6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18000.00 old
19303.00 old
28000 new</t>
        </r>
      </text>
    </comment>
    <comment ref="Q57" authorId="2" shapeId="0" xr:uid="{C46591CE-37CD-4C7A-AA15-AC2E6A7717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8" authorId="3" shapeId="0" xr:uid="{3E8BEE3E-6376-4A8A-8D9E-8BEC9E14FA1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20K</t>
        </r>
      </text>
    </comment>
    <comment ref="Q58" authorId="2" shapeId="0" xr:uid="{8E6D15AF-7F78-4E20-BAF1-F6E824102B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9" authorId="0" shapeId="0" xr:uid="{00A67E1B-86B5-4682-9F9E-F03AA69E5B9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0" authorId="0" shapeId="0" xr:uid="{75C7A103-F3CB-4DB5-B9E6-B397307D043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24600.00</t>
        </r>
      </text>
    </comment>
    <comment ref="Q60" authorId="2" shapeId="0" xr:uid="{D6C3A3EA-B7D4-4E97-80D4-3ACB1E1F90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61" authorId="0" shapeId="0" xr:uid="{C8571E11-4E31-4283-B081-1677B69AED3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L61" authorId="0" shapeId="0" xr:uid="{1B38092C-7355-4AFF-A9C2-73995D9BE91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B62" authorId="0" shapeId="0" xr:uid="{31C3B047-4616-4408-B7B9-D2915259D92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L62" authorId="0" shapeId="0" xr:uid="{616E7A13-F32A-478E-B9A3-712DA15BE96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B70" authorId="3" shapeId="0" xr:uid="{94B441A5-BFE2-486F-9788-D0E3EF384CB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L70" authorId="1" shapeId="0" xr:uid="{29DEDC08-34D0-41EC-BC3A-F8B6C019E09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LOAN 1568.93</t>
        </r>
      </text>
    </comment>
    <comment ref="T70" authorId="1" shapeId="0" xr:uid="{89AA7C12-8740-400C-A22A-CDF55856528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PAG IBIG LOAN 1348.39
</t>
        </r>
      </text>
    </comment>
    <comment ref="B82" authorId="0" shapeId="0" xr:uid="{EB7C6498-DD25-49A3-BDF5-6CC6DB6999B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12000.00 old</t>
        </r>
      </text>
    </comment>
    <comment ref="U82" authorId="0" shapeId="0" xr:uid="{5A6B91EE-97A4-420E-A502-890BD6D5B2E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paid</t>
        </r>
      </text>
    </comment>
    <comment ref="B93" authorId="0" shapeId="0" xr:uid="{442357D2-6685-4A41-9C8A-35938FC15A0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15,000.00 old
18000 OLD</t>
        </r>
      </text>
    </comment>
    <comment ref="Q93" authorId="0" shapeId="0" xr:uid="{B62C228A-D657-45BE-9952-3EBE2745E63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V93" authorId="2" shapeId="0" xr:uid="{A4C89DB3-C045-485D-AA3D-788BA9A8B9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 1000
</t>
        </r>
      </text>
    </comment>
    <comment ref="B94" authorId="0" shapeId="0" xr:uid="{A8B72FA2-8D1E-4AB6-8632-3D6ADAB5278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24,300.00 old</t>
        </r>
      </text>
    </comment>
    <comment ref="Q94" authorId="0" shapeId="0" xr:uid="{B930120B-D837-4787-A6B7-285688F5EFC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B97" authorId="1" shapeId="0" xr:uid="{958D63EE-5FE3-40A9-8877-CA9906BFE6C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12350 OLD
13564.00 NEW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Unknown Author</author>
    <author>Jing Borja</author>
  </authors>
  <commentList>
    <comment ref="B2" authorId="0" shapeId="0" xr:uid="{FA692AB7-F596-4D5A-B6C5-F1A0A2322FE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2" authorId="1" shapeId="0" xr:uid="{B52F9528-6F8E-4014-AF3B-B33515265B1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T2" authorId="2" shapeId="0" xr:uid="{FC5A0918-B7D1-4EE2-BBB3-434BB16BEA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" authorId="0" shapeId="0" xr:uid="{A9AC5754-CC48-409F-A232-6036E9A24FF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3" authorId="0" shapeId="0" xr:uid="{A73F989B-27E2-424E-AA97-88D1AAB15E5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T3" authorId="2" shapeId="0" xr:uid="{6BE2931F-3DD6-41B6-B843-C4915FF69F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" authorId="3" shapeId="0" xr:uid="{00000000-0006-0000-0100-00005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Y3" authorId="3" shapeId="0" xr:uid="{00000000-0006-0000-0100-00006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4" authorId="0" shapeId="0" xr:uid="{1B9D24C2-3FC0-49AB-B931-0FCC17AA5705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T4" authorId="2" shapeId="0" xr:uid="{A183A5E1-6158-4B71-A629-4580A5B9BE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" authorId="0" shapeId="0" xr:uid="{236F6594-7D96-4BA2-9230-197A137E89F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T5" authorId="2" shapeId="0" xr:uid="{EB5F747F-CA5A-46A4-8869-C40A4A084F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6" authorId="0" shapeId="0" xr:uid="{275C3670-B02C-4243-9005-DA8E6CF980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6" authorId="0" shapeId="0" xr:uid="{B4841143-4457-442C-A540-B871DC9B8FC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T6" authorId="2" shapeId="0" xr:uid="{1F0A9F6D-5C36-4FC1-ACA4-DA22132133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7" authorId="0" shapeId="0" xr:uid="{7AE058A9-0E2D-4745-A416-F806F56A20E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T7" authorId="2" shapeId="0" xr:uid="{5772B62F-12D4-4598-98BA-FE657A8649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8" authorId="2" shapeId="0" xr:uid="{651929AD-0AE6-4B0B-980B-40FA568D18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8" authorId="3" shapeId="0" xr:uid="{00000000-0006-0000-0100-00005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Y8" authorId="3" shapeId="0" xr:uid="{00000000-0006-0000-0100-00006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L10" authorId="1" shapeId="0" xr:uid="{FB2C3405-2B4D-4A97-A405-E573C03FF57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W10" authorId="3" shapeId="0" xr:uid="{00000000-0006-0000-0100-00005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Y10" authorId="3" shapeId="0" xr:uid="{00000000-0006-0000-0100-00006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AH10" authorId="0" shapeId="0" xr:uid="{4A2CC570-B56A-4588-A1EB-C8989B3DF7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1" authorId="0" shapeId="0" xr:uid="{7D5172E2-00DB-4DE2-A9E9-B00F9C588B6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L11" authorId="0" shapeId="0" xr:uid="{722CF890-A5F9-4BE8-AC32-89E40793EDA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B12" authorId="0" shapeId="0" xr:uid="{225D99A8-7FAC-49B2-98FE-48A436C490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2" authorId="0" shapeId="0" xr:uid="{B27C2805-2A39-48ED-A076-B2CB74E8D7C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T12" authorId="2" shapeId="0" xr:uid="{831D4648-74E7-4B78-84FF-8910A69932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12" authorId="3" shapeId="0" xr:uid="{00000000-0006-0000-0100-00005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AH12" authorId="0" shapeId="0" xr:uid="{4A5E4689-177C-4217-B94F-7742F15AF5C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3" authorId="4" shapeId="0" xr:uid="{FFF4A0D8-A310-49E3-9973-C3075067E82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W13" authorId="3" shapeId="0" xr:uid="{00000000-0006-0000-0100-00005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L14" authorId="4" shapeId="0" xr:uid="{8537E6D9-22AD-4206-8C4D-85F5C8C0E1D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T14" authorId="2" shapeId="0" xr:uid="{D720938B-172B-4D35-BEF3-CEEFC5D8E7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15" authorId="0" shapeId="0" xr:uid="{54B55853-21C4-41FC-A6A2-BEF76AC58B7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L15" authorId="2" shapeId="0" xr:uid="{7B1D5C35-5AA6-46AA-86D1-D5B719C8829D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W15" authorId="3" shapeId="0" xr:uid="{00000000-0006-0000-0100-00005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Y15" authorId="3" shapeId="0" xr:uid="{00000000-0006-0000-0100-00006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B16" authorId="0" shapeId="0" xr:uid="{908F1835-8D96-42E4-8021-885DD5FDA80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16" authorId="1" shapeId="0" xr:uid="{486EC16C-7459-45D0-9275-FAEFEA6CD6A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W16" authorId="3" shapeId="0" xr:uid="{00000000-0006-0000-0100-00005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Y16" authorId="3" shapeId="0" xr:uid="{00000000-0006-0000-0100-00006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17" authorId="0" shapeId="0" xr:uid="{D432A4E0-A157-42EE-9A73-C0A953EFF0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17" authorId="0" shapeId="0" xr:uid="{F5A8238C-406A-4B88-8471-475A36A5942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W17" authorId="3" shapeId="0" xr:uid="{00000000-0006-0000-01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B19" authorId="4" shapeId="0" xr:uid="{85C084F8-9B1B-46BE-B4A0-0BFB09E93AC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19" authorId="4" shapeId="0" xr:uid="{480D46D1-7111-42CE-B04B-AEC9D57D47E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B20" authorId="2" shapeId="0" xr:uid="{871CB10E-35D6-4E3D-9605-995C8D5C6C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T20" authorId="2" shapeId="0" xr:uid="{8DA6327A-26BF-4EB8-AE75-38406DF618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1" authorId="3" shapeId="0" xr:uid="{00000000-0006-0000-01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B22" authorId="0" shapeId="0" xr:uid="{7F8A0D67-18C3-4A8F-AD79-6D62AC3C3F0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T22" authorId="2" shapeId="0" xr:uid="{995C5414-F27C-4AD6-B9F6-061A83C58D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B22" authorId="1" shapeId="0" xr:uid="{CA72F881-92F9-4023-8185-0949BE96C65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13th month adj.</t>
        </r>
      </text>
    </comment>
    <comment ref="B23" authorId="0" shapeId="0" xr:uid="{E6E6B949-DDC5-429C-A5DC-ECABF6F1DCF0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B24" authorId="4" shapeId="0" xr:uid="{A3EF42C9-02FC-4CF9-8211-35B2E8E0904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T24" authorId="4" shapeId="0" xr:uid="{D90F0039-668C-454D-BD1F-BB497B7E151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5" authorId="0" shapeId="0" xr:uid="{0F505F4B-92F6-47B6-ACB1-58AD7FC2236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T25" authorId="4" shapeId="0" xr:uid="{3AB6DD8E-6454-4A05-B291-825350D1FB1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5" authorId="3" shapeId="0" xr:uid="{00000000-0006-0000-0100-00006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B26" authorId="0" shapeId="0" xr:uid="{72887684-231B-46C1-AC5E-0B5B7708BF0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Y26" authorId="3" shapeId="0" xr:uid="{00000000-0006-0000-0100-00006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27" authorId="0" shapeId="0" xr:uid="{AA1F55A1-E9A1-47E2-BB75-171D6E84DD31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AC27" authorId="1" shapeId="0" xr:uid="{2C387A23-92DA-4C9E-8D70-445A2FAAD9C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BACK SSS SALARY LOAN</t>
        </r>
      </text>
    </comment>
    <comment ref="B28" authorId="0" shapeId="0" xr:uid="{79EEBD0D-4C75-444D-BE39-EC14FA4E614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28" authorId="0" shapeId="0" xr:uid="{DB280CA9-72BE-4071-BE10-EDFA7962B99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
NO DEDUCTION FOR MARCH 2023</t>
        </r>
      </text>
    </comment>
    <comment ref="T28" authorId="4" shapeId="0" xr:uid="{B97DDC10-06B1-4FF4-9366-98A03C624CF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28" authorId="3" shapeId="0" xr:uid="{00000000-0006-0000-0100-00006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T29" authorId="2" shapeId="0" xr:uid="{DB3EA6D4-A473-42C2-9AF6-330467950C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0" authorId="4" shapeId="0" xr:uid="{CE099E92-21E7-42F5-AD2C-C1165B65E70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L30" authorId="1" shapeId="0" xr:uid="{762ED01A-9449-46D4-A68B-E9FA288C6F6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1845.80 SSS SALARY DEDUCTION</t>
        </r>
      </text>
    </comment>
    <comment ref="T30" authorId="4" shapeId="0" xr:uid="{23A146A9-1847-4F2C-9D86-DEC1A88CBA5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30" authorId="3" shapeId="0" xr:uid="{00000000-0006-0000-0100-00006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B31" authorId="0" shapeId="0" xr:uid="{9EBEC087-7195-46B1-AF35-7819E2867AB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31" authorId="0" shapeId="0" xr:uid="{A6DB867E-267A-4BD5-859E-3D42A45300B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W31" authorId="3" shapeId="0" xr:uid="{00000000-0006-0000-0100-00006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B32" authorId="0" shapeId="0" xr:uid="{2BD9E542-CD74-4353-A364-552ED19CF5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32" authorId="1" shapeId="0" xr:uid="{3C941512-6589-45AE-8023-B6C13163D40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W32" authorId="3" shapeId="0" xr:uid="{00000000-0006-0000-0100-00006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B33" authorId="0" shapeId="0" xr:uid="{0BC70DB6-D37C-4F89-9C3F-7CB960DAC9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3" authorId="1" shapeId="0" xr:uid="{1E62FECF-8A2D-46B5-9DE3-FBDF70480FE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T33" authorId="4" shapeId="0" xr:uid="{9F63BEF1-4792-4B8F-9065-949C340E4AD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3" authorId="3" shapeId="0" xr:uid="{00000000-0006-0000-0100-00006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B34" authorId="0" shapeId="0" xr:uid="{24134895-FC38-4364-9CAB-D6145796B81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4" authorId="0" shapeId="0" xr:uid="{3EFAECDF-11EB-4C5F-B685-C67D6FF3161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35" authorId="4" shapeId="0" xr:uid="{71CB6E1B-06DF-4241-A08A-E0485030FAE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L35" authorId="1" shapeId="0" xr:uid="{90535141-DC6E-4FB1-8886-95D28B0E473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922.89 SSS SALARY LOAN</t>
        </r>
      </text>
    </comment>
    <comment ref="T35" authorId="4" shapeId="0" xr:uid="{65369A9B-FB51-47A4-855F-A1C5286E2C2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5" authorId="3" shapeId="0" xr:uid="{00000000-0006-0000-0100-000065000000}">
      <text>
        <r>
          <rPr>
            <sz val="10"/>
            <rFont val="Arial"/>
            <family val="2"/>
          </rPr>
          <t>Ma. Eliza Delis Borja:hdmf salary loan</t>
        </r>
      </text>
    </comment>
    <comment ref="L36" authorId="1" shapeId="0" xr:uid="{76C9F38F-83D9-4783-BA87-18D19561981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W36" authorId="3" shapeId="0" xr:uid="{00000000-0006-0000-0100-000066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L37" authorId="0" shapeId="0" xr:uid="{D7A4BFD5-C5CD-42D0-AAC3-B5E15C6BA51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T37" authorId="4" shapeId="0" xr:uid="{DA5EA193-EEEF-40C3-B0F3-CC2E5514AE5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8" authorId="0" shapeId="0" xr:uid="{02D04D86-4A24-4E76-A337-3567697C304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L38" authorId="1" shapeId="0" xr:uid="{DA1CEE49-1719-499B-993E-16720FA6B04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T38" authorId="4" shapeId="0" xr:uid="{4ACB85AE-8C37-4E73-ABDF-56079A8ED3F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9" authorId="3" shapeId="0" xr:uid="{00000000-0006-0000-01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T39" authorId="3" shapeId="0" xr:uid="{00000000-0006-0000-0100-00005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0" authorId="3" shapeId="0" xr:uid="{00000000-0006-0000-01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T40" authorId="3" shapeId="0" xr:uid="{00000000-0006-0000-0100-00005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1" authorId="3" shapeId="0" xr:uid="{00000000-0006-0000-01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3" authorId="3" shapeId="0" xr:uid="{00000000-0006-0000-01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43" authorId="3" shapeId="0" xr:uid="{00000000-0006-0000-01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Z43" authorId="3" shapeId="0" xr:uid="{00000000-0006-0000-0100-00007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B44" authorId="3" shapeId="0" xr:uid="{00000000-0006-0000-01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5" authorId="3" shapeId="0" xr:uid="{00000000-0006-0000-01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T45" authorId="3" shapeId="0" xr:uid="{00000000-0006-0000-0100-00005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6" authorId="3" shapeId="0" xr:uid="{00000000-0006-0000-01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46" authorId="3" shapeId="0" xr:uid="{00000000-0006-0000-01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B47" authorId="3" shapeId="0" xr:uid="{00000000-0006-0000-01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47" authorId="3" shapeId="0" xr:uid="{00000000-0006-0000-01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48" authorId="3" shapeId="0" xr:uid="{00000000-0006-0000-01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48" authorId="3" shapeId="0" xr:uid="{00000000-0006-0000-0100-00002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Y48" authorId="3" shapeId="0" xr:uid="{00000000-0006-0000-01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B49" authorId="3" shapeId="0" xr:uid="{00000000-0006-0000-01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50" authorId="3" shapeId="0" xr:uid="{00000000-0006-0000-01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X50" authorId="3" shapeId="0" xr:uid="{00000000-0006-0000-01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B51" authorId="3" shapeId="0" xr:uid="{00000000-0006-0000-01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Y51" authorId="3" shapeId="0" xr:uid="{00000000-0006-0000-0100-00007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B52" authorId="3" shapeId="0" xr:uid="{00000000-0006-0000-01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B55" authorId="3" shapeId="0" xr:uid="{00000000-0006-0000-0100-00002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B56" authorId="3" shapeId="0" xr:uid="{682A75E6-F146-46CF-AE26-A4FB4A1286FB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</commentList>
</comments>
</file>

<file path=xl/sharedStrings.xml><?xml version="1.0" encoding="utf-8"?>
<sst xmlns="http://schemas.openxmlformats.org/spreadsheetml/2006/main" count="504" uniqueCount="171">
  <si>
    <t>DURAVILLE REALTY AND DEVELOPMENT CORPORATION</t>
  </si>
  <si>
    <t xml:space="preserve">MONTHLY PAYROLL DATA 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</si>
  <si>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</si>
  <si>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</si>
  <si>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</si>
  <si>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</si>
  <si>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</si>
  <si>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</si>
  <si>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</si>
  <si>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</si>
  <si>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</si>
  <si>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</si>
  <si>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>W/ TAX 2024</t>
  </si>
  <si>
    <t>HDMF CONTRIBUTION</t>
  </si>
  <si>
    <t>HDMF LOAN</t>
  </si>
  <si>
    <t>HDMF CALAMITY</t>
  </si>
  <si>
    <t>CASH ADVANCE</t>
  </si>
  <si>
    <t>Personal Loan (MA)</t>
  </si>
  <si>
    <t>Less: 13th Month Pay over Payment</t>
  </si>
  <si>
    <t xml:space="preserve">Add: 13th Month Pay 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</si>
  <si>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</si>
  <si>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</si>
  <si>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</si>
  <si>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</si>
  <si>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</si>
  <si>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</si>
  <si>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</si>
  <si>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</si>
  <si>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</si>
  <si>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</si>
  <si>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Return</t>
  </si>
  <si>
    <t>Allowance</t>
  </si>
  <si>
    <t>SSS Salary Loan</t>
  </si>
  <si>
    <t>Regular Allowance</t>
  </si>
  <si>
    <t>Holiday/RDOT Pay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</si>
  <si>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</si>
  <si>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</si>
  <si>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</si>
  <si>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</si>
  <si>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</si>
  <si>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</si>
  <si>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</si>
  <si>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</si>
  <si>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</si>
  <si>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</si>
  <si>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</si>
  <si>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</si>
  <si>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</si>
  <si>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</si>
  <si>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</si>
  <si>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</si>
  <si>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</si>
  <si>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</si>
  <si>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</si>
  <si>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</si>
  <si>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</si>
  <si>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</si>
  <si>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</si>
  <si>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</si>
  <si>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</si>
  <si>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</si>
  <si>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</si>
  <si>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1st cut-off</t>
  </si>
  <si>
    <t>MOYANO, MARY LAYKA PEDERIO</t>
  </si>
  <si>
    <t>allowance</t>
  </si>
  <si>
    <t>NATIVIDAD, LORA RUTH FRONDA</t>
  </si>
  <si>
    <t>Cash</t>
  </si>
  <si>
    <t>PELAYO, LORENA EDEM</t>
  </si>
  <si>
    <t>TOTAL</t>
  </si>
  <si>
    <t>SAN LUIS, MARIBEL MANAOG</t>
  </si>
  <si>
    <t>SEBESON, PAULA MAE DUSONG</t>
  </si>
  <si>
    <t>2nd cut-off</t>
  </si>
  <si>
    <t>SIBUG, PATRIZIA LOU GUINTO</t>
  </si>
  <si>
    <t>TABOTABO, MARK STEPHEN PAMINTUAN</t>
  </si>
  <si>
    <t>VISMONTE, MA. CRISTINA BARBECHO</t>
  </si>
  <si>
    <t>YARTE, JEFFREY CECILIO</t>
  </si>
  <si>
    <t>executive</t>
  </si>
  <si>
    <t>ELLISTON PLACE</t>
  </si>
  <si>
    <t>Others                Adjustment</t>
  </si>
  <si>
    <t>atm</t>
  </si>
  <si>
    <t>CASH</t>
  </si>
  <si>
    <t>total</t>
  </si>
  <si>
    <t>P</t>
  </si>
  <si>
    <t>ATM</t>
  </si>
  <si>
    <t>MARY CRIS COMPLEX</t>
  </si>
  <si>
    <t>Hol. Pay 30%</t>
  </si>
  <si>
    <t>Basic Adj.</t>
  </si>
  <si>
    <t>Tax Addition</t>
  </si>
  <si>
    <t>Incentive</t>
  </si>
  <si>
    <t>WELLINGTON TANZA RESIDENCES</t>
  </si>
  <si>
    <t>Other                Deduction</t>
  </si>
  <si>
    <t>Allowance Adj.</t>
  </si>
  <si>
    <t xml:space="preserve">atm </t>
  </si>
  <si>
    <t>QUEENSTOWN HEIGHTS 2</t>
  </si>
  <si>
    <t>Other &amp; leaves</t>
  </si>
  <si>
    <t>ATM TOTAL</t>
  </si>
  <si>
    <t>EXEC.</t>
  </si>
  <si>
    <t>GRAND TOTAL</t>
  </si>
  <si>
    <t>AWOL</t>
  </si>
  <si>
    <t>WTR TO NLDC</t>
  </si>
  <si>
    <t>DRDC</t>
  </si>
  <si>
    <t>EP to HER</t>
  </si>
  <si>
    <t>WP - RESIGNED</t>
  </si>
  <si>
    <t>WP TO HER</t>
  </si>
  <si>
    <t>EP TO HER</t>
  </si>
  <si>
    <t>WTR - RESIGN 2/15/2024</t>
  </si>
  <si>
    <t>JEPOLLO, KIZIA MAE MONTESA - DEDUCT SSS, PHIC &amp; PAG-IBIG</t>
  </si>
  <si>
    <t xml:space="preserve">EP </t>
  </si>
  <si>
    <t>MALACAS, JERICO CRUZ RESIGN 2/17/2024 - DEDUCT SSS, PHIC &amp; PAG-IBIG</t>
  </si>
  <si>
    <t>Name</t>
  </si>
  <si>
    <t>Gross_Pay</t>
  </si>
  <si>
    <t>Hol._Pay_30%</t>
  </si>
  <si>
    <t>Basic pay_adjustment</t>
  </si>
  <si>
    <t>OT_Pay</t>
  </si>
  <si>
    <t>Total_Gross</t>
  </si>
  <si>
    <t>SSS_Employee_Remt</t>
  </si>
  <si>
    <t>SSS_Employer_share</t>
  </si>
  <si>
    <t>SSSS_Total</t>
  </si>
  <si>
    <t>SSS_Loan</t>
  </si>
  <si>
    <t>SSS_Calamity Loan</t>
  </si>
  <si>
    <t>PHIC_Employee</t>
  </si>
  <si>
    <t>PHIC_Rmployer_Share</t>
  </si>
  <si>
    <t>PHIC_Combi</t>
  </si>
  <si>
    <t>1%_PHIC_EMP</t>
  </si>
  <si>
    <t>1%_PHIC_ EMPLR</t>
  </si>
  <si>
    <t>1%_PHIC._COMB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</si>
  <si>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</si>
  <si>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</si>
  <si>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</si>
  <si>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</si>
  <si>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</si>
  <si>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</si>
  <si>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</si>
  <si>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</si>
  <si>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>Ad 13 Month Pay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</si>
  <si>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</si>
  <si>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</si>
  <si>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</si>
  <si>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</si>
  <si>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</si>
  <si>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</si>
  <si>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</si>
  <si>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</si>
  <si>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BERNADIT, SERAPIO MAHAYAG</t>
  </si>
  <si>
    <t>CORONEJO, JOSEPH BUENO</t>
  </si>
  <si>
    <t>DELA PASION, RECEL DELIMA</t>
  </si>
  <si>
    <t>EVANGELISTA, JOSHUA CALINISAN</t>
  </si>
  <si>
    <t>HERMO, GRAZELENE ANNE</t>
  </si>
  <si>
    <t>REQUISO, MERIAM LICAYAN</t>
  </si>
  <si>
    <t>SAMBAJON, MA. CRISTINA FAUNI</t>
  </si>
  <si>
    <t>SILONG, JIRALP VALDEZ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</si>
  <si>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</si>
  <si>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</si>
  <si>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</si>
  <si>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</si>
  <si>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</si>
  <si>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</si>
  <si>
    <t>CAPARAS, CHARLES VICTOR EDQUILA</t>
  </si>
  <si>
    <t>ESTOESTA, JOSEPH MADULID</t>
  </si>
  <si>
    <t>DELOS REYES, JOHN CARLO</t>
  </si>
  <si>
    <t>ANGELES, MA. LEOSELLE ARCENO</t>
  </si>
  <si>
    <t>EP - RESIGNED</t>
  </si>
  <si>
    <t>FOR THE MONTH OF APRIL 2024</t>
  </si>
  <si>
    <t>NT</t>
  </si>
  <si>
    <t>T</t>
  </si>
  <si>
    <t>MWE</t>
  </si>
  <si>
    <t>MWE OT</t>
  </si>
  <si>
    <t>250000 and up</t>
  </si>
  <si>
    <t>GALLARTE, MYRNA DOMAGSANG</t>
  </si>
  <si>
    <t>CELESTINO, JUHNE VILMA ALFORQUE</t>
  </si>
  <si>
    <t>ARIANNE MAE BALMES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</si>
</sst>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_-* #,##0.00_-;\-* #,##0.00_-;_-* &quot;-&quot;??_-;_-@_-"/>
  </numFmts>
  <fonts count="37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sz val="7"/>
      <color theme="1"/>
      <name val="Arial"/>
      <family val="2"/>
    </font>
    <font>
      <b/>
      <sz val="10"/>
      <color rgb="FFFF0000"/>
      <name val="Arial"/>
      <family val="2"/>
    </font>
    <font>
      <sz val="8"/>
      <color theme="1" tint="4.9989318521683403E-2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5"/>
      <color theme="1"/>
      <name val="Arial"/>
      <family val="2"/>
    </font>
    <font>
      <b/>
      <sz val="11"/>
      <color theme="1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12" fillId="0" borderId="0" applyBorder="0" applyProtection="0"/>
    <xf numFmtId="164" fontId="12" fillId="0" borderId="0" applyBorder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9">
    <xf numFmtId="0" fontId="0" fillId="0" borderId="0" xfId="0"/>
    <xf numFmtId="164" fontId="4" fillId="0" borderId="6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 wrapText="1"/>
    </xf>
    <xf numFmtId="164" fontId="4" fillId="0" borderId="3" xfId="1" applyFont="1" applyBorder="1" applyAlignment="1" applyProtection="1">
      <alignment wrapText="1"/>
    </xf>
    <xf numFmtId="0" fontId="3" fillId="0" borderId="0" xfId="0" applyFont="1"/>
    <xf numFmtId="164" fontId="4" fillId="0" borderId="5" xfId="1" applyFont="1" applyBorder="1" applyAlignment="1" applyProtection="1">
      <alignment horizontal="center" wrapText="1"/>
    </xf>
    <xf numFmtId="164" fontId="3" fillId="0" borderId="1" xfId="1" applyFont="1" applyBorder="1" applyProtection="1"/>
    <xf numFmtId="164" fontId="3" fillId="0" borderId="6" xfId="1" applyFont="1" applyBorder="1" applyProtection="1"/>
    <xf numFmtId="164" fontId="4" fillId="0" borderId="6" xfId="1" applyFont="1" applyBorder="1" applyProtection="1"/>
    <xf numFmtId="164" fontId="4" fillId="0" borderId="1" xfId="1" applyFont="1" applyBorder="1" applyProtection="1"/>
    <xf numFmtId="164" fontId="6" fillId="0" borderId="6" xfId="1" applyFont="1" applyBorder="1" applyProtection="1"/>
    <xf numFmtId="164" fontId="4" fillId="0" borderId="2" xfId="1" applyFont="1" applyBorder="1" applyProtection="1"/>
    <xf numFmtId="164" fontId="4" fillId="0" borderId="4" xfId="1" applyFont="1" applyBorder="1" applyProtection="1"/>
    <xf numFmtId="0" fontId="7" fillId="0" borderId="0" xfId="0" applyFont="1"/>
    <xf numFmtId="164" fontId="3" fillId="0" borderId="1" xfId="1" applyFont="1" applyBorder="1" applyAlignment="1" applyProtection="1">
      <alignment wrapText="1"/>
    </xf>
    <xf numFmtId="0" fontId="8" fillId="0" borderId="0" xfId="0" applyFont="1"/>
    <xf numFmtId="164" fontId="3" fillId="0" borderId="6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vertical="center" wrapText="1"/>
    </xf>
    <xf numFmtId="164" fontId="9" fillId="0" borderId="6" xfId="1" applyFont="1" applyBorder="1" applyProtection="1"/>
    <xf numFmtId="0" fontId="6" fillId="0" borderId="0" xfId="0" applyFont="1"/>
    <xf numFmtId="164" fontId="3" fillId="0" borderId="2" xfId="1" applyFont="1" applyBorder="1" applyProtection="1"/>
    <xf numFmtId="164" fontId="4" fillId="0" borderId="1" xfId="1" applyFont="1" applyBorder="1" applyAlignment="1" applyProtection="1">
      <alignment wrapText="1"/>
    </xf>
    <xf numFmtId="0" fontId="5" fillId="0" borderId="1" xfId="0" applyFont="1" applyBorder="1" applyAlignment="1">
      <alignment vertical="center" wrapText="1"/>
    </xf>
    <xf numFmtId="164" fontId="4" fillId="0" borderId="14" xfId="1" applyFont="1" applyBorder="1" applyAlignment="1" applyProtection="1">
      <alignment wrapText="1"/>
    </xf>
    <xf numFmtId="164" fontId="3" fillId="0" borderId="3" xfId="1" applyFont="1" applyBorder="1" applyAlignment="1" applyProtection="1">
      <alignment wrapText="1"/>
    </xf>
    <xf numFmtId="164" fontId="4" fillId="0" borderId="10" xfId="1" applyFont="1" applyBorder="1" applyAlignment="1" applyProtection="1">
      <alignment wrapText="1"/>
    </xf>
    <xf numFmtId="164" fontId="4" fillId="0" borderId="15" xfId="1" applyFont="1" applyBorder="1" applyProtection="1"/>
    <xf numFmtId="164" fontId="4" fillId="0" borderId="10" xfId="1" applyFont="1" applyBorder="1" applyProtection="1"/>
    <xf numFmtId="164" fontId="4" fillId="0" borderId="3" xfId="1" applyFont="1" applyBorder="1" applyProtection="1"/>
    <xf numFmtId="0" fontId="14" fillId="2" borderId="0" xfId="0" applyFont="1" applyFill="1"/>
    <xf numFmtId="0" fontId="15" fillId="0" borderId="0" xfId="0" applyFont="1"/>
    <xf numFmtId="164" fontId="14" fillId="0" borderId="0" xfId="1" applyFont="1"/>
    <xf numFmtId="0" fontId="14" fillId="0" borderId="0" xfId="0" applyFont="1"/>
    <xf numFmtId="164" fontId="16" fillId="0" borderId="0" xfId="1" applyFont="1"/>
    <xf numFmtId="0" fontId="16" fillId="0" borderId="0" xfId="0" applyFont="1"/>
    <xf numFmtId="164" fontId="16" fillId="2" borderId="1" xfId="1" applyFont="1" applyFill="1" applyBorder="1"/>
    <xf numFmtId="164" fontId="13" fillId="2" borderId="6" xfId="1" applyFont="1" applyFill="1" applyBorder="1" applyAlignment="1">
      <alignment horizontal="center"/>
    </xf>
    <xf numFmtId="14" fontId="16" fillId="0" borderId="0" xfId="1" applyNumberFormat="1" applyFont="1"/>
    <xf numFmtId="164" fontId="13" fillId="2" borderId="6" xfId="1" applyFont="1" applyFill="1" applyBorder="1"/>
    <xf numFmtId="164" fontId="13" fillId="2" borderId="1" xfId="1" applyFont="1" applyFill="1" applyBorder="1"/>
    <xf numFmtId="164" fontId="13" fillId="2" borderId="7" xfId="1" applyFont="1" applyFill="1" applyBorder="1"/>
    <xf numFmtId="164" fontId="13" fillId="2" borderId="2" xfId="1" applyFont="1" applyFill="1" applyBorder="1"/>
    <xf numFmtId="165" fontId="16" fillId="0" borderId="0" xfId="0" applyNumberFormat="1" applyFont="1"/>
    <xf numFmtId="43" fontId="16" fillId="0" borderId="0" xfId="0" applyNumberFormat="1" applyFont="1"/>
    <xf numFmtId="0" fontId="18" fillId="0" borderId="0" xfId="0" applyFont="1"/>
    <xf numFmtId="165" fontId="16" fillId="2" borderId="0" xfId="0" applyNumberFormat="1" applyFont="1" applyFill="1"/>
    <xf numFmtId="0" fontId="16" fillId="2" borderId="0" xfId="0" applyFont="1" applyFill="1"/>
    <xf numFmtId="0" fontId="19" fillId="2" borderId="0" xfId="0" applyFont="1" applyFill="1"/>
    <xf numFmtId="164" fontId="20" fillId="0" borderId="0" xfId="1" applyFont="1"/>
    <xf numFmtId="43" fontId="16" fillId="2" borderId="0" xfId="0" applyNumberFormat="1" applyFont="1" applyFill="1"/>
    <xf numFmtId="0" fontId="10" fillId="0" borderId="0" xfId="0" applyFont="1"/>
    <xf numFmtId="0" fontId="19" fillId="2" borderId="0" xfId="0" applyFont="1" applyFill="1" applyAlignment="1">
      <alignment horizontal="left"/>
    </xf>
    <xf numFmtId="0" fontId="17" fillId="0" borderId="0" xfId="0" applyFont="1"/>
    <xf numFmtId="0" fontId="16" fillId="2" borderId="0" xfId="0" applyFont="1" applyFill="1" applyAlignment="1">
      <alignment horizontal="left"/>
    </xf>
    <xf numFmtId="43" fontId="14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43" fontId="18" fillId="2" borderId="0" xfId="0" applyNumberFormat="1" applyFont="1" applyFill="1"/>
    <xf numFmtId="0" fontId="13" fillId="0" borderId="1" xfId="3" applyFont="1" applyBorder="1"/>
    <xf numFmtId="0" fontId="13" fillId="3" borderId="1" xfId="0" applyFont="1" applyFill="1" applyBorder="1"/>
    <xf numFmtId="164" fontId="6" fillId="0" borderId="1" xfId="1" applyFont="1" applyBorder="1" applyProtection="1"/>
    <xf numFmtId="164" fontId="6" fillId="0" borderId="6" xfId="1" applyFont="1" applyBorder="1" applyAlignment="1" applyProtection="1">
      <alignment horizontal="left"/>
    </xf>
    <xf numFmtId="164" fontId="31" fillId="0" borderId="1" xfId="1" applyFont="1" applyBorder="1" applyProtection="1"/>
    <xf numFmtId="164" fontId="15" fillId="0" borderId="0" xfId="1" applyFont="1"/>
    <xf numFmtId="43" fontId="14" fillId="0" borderId="0" xfId="4" applyFont="1" applyFill="1"/>
    <xf numFmtId="43" fontId="15" fillId="0" borderId="0" xfId="4" applyFont="1" applyFill="1"/>
    <xf numFmtId="43" fontId="16" fillId="0" borderId="1" xfId="4" applyFont="1" applyFill="1" applyBorder="1" applyAlignment="1">
      <alignment horizontal="center" wrapText="1"/>
    </xf>
    <xf numFmtId="43" fontId="13" fillId="0" borderId="1" xfId="4" applyFont="1" applyFill="1" applyBorder="1" applyAlignment="1">
      <alignment horizontal="center" wrapText="1"/>
    </xf>
    <xf numFmtId="43" fontId="13" fillId="0" borderId="1" xfId="4" applyFont="1" applyFill="1" applyBorder="1" applyAlignment="1">
      <alignment horizontal="center"/>
    </xf>
    <xf numFmtId="43" fontId="13" fillId="0" borderId="3" xfId="4" applyFont="1" applyFill="1" applyBorder="1" applyAlignment="1">
      <alignment horizontal="center" wrapText="1"/>
    </xf>
    <xf numFmtId="43" fontId="13" fillId="0" borderId="14" xfId="4" applyFont="1" applyFill="1" applyBorder="1" applyAlignment="1">
      <alignment horizontal="center" wrapText="1"/>
    </xf>
    <xf numFmtId="43" fontId="13" fillId="0" borderId="10" xfId="4" applyFont="1" applyFill="1" applyBorder="1" applyAlignment="1">
      <alignment horizontal="center" wrapText="1"/>
    </xf>
    <xf numFmtId="43" fontId="16" fillId="0" borderId="3" xfId="4" applyFont="1" applyFill="1" applyBorder="1" applyAlignment="1">
      <alignment horizontal="center" wrapText="1"/>
    </xf>
    <xf numFmtId="43" fontId="13" fillId="0" borderId="3" xfId="4" applyFont="1" applyFill="1" applyBorder="1" applyAlignment="1">
      <alignment wrapText="1"/>
    </xf>
    <xf numFmtId="43" fontId="13" fillId="0" borderId="14" xfId="4" applyFont="1" applyFill="1" applyBorder="1" applyAlignment="1">
      <alignment horizontal="center"/>
    </xf>
    <xf numFmtId="43" fontId="13" fillId="0" borderId="15" xfId="4" applyFont="1" applyFill="1" applyBorder="1" applyAlignment="1">
      <alignment horizontal="center"/>
    </xf>
    <xf numFmtId="43" fontId="13" fillId="0" borderId="10" xfId="4" applyFont="1" applyFill="1" applyBorder="1" applyAlignment="1">
      <alignment horizontal="center"/>
    </xf>
    <xf numFmtId="43" fontId="13" fillId="0" borderId="3" xfId="4" applyFont="1" applyFill="1" applyBorder="1" applyAlignment="1">
      <alignment horizontal="center"/>
    </xf>
    <xf numFmtId="164" fontId="19" fillId="0" borderId="0" xfId="1" applyFont="1" applyAlignment="1">
      <alignment vertical="center"/>
    </xf>
    <xf numFmtId="164" fontId="33" fillId="0" borderId="1" xfId="1" applyFont="1" applyBorder="1" applyAlignment="1">
      <alignment vertical="center"/>
    </xf>
    <xf numFmtId="43" fontId="16" fillId="0" borderId="1" xfId="4" applyFont="1" applyFill="1" applyBorder="1" applyAlignment="1">
      <alignment horizontal="center"/>
    </xf>
    <xf numFmtId="43" fontId="13" fillId="0" borderId="5" xfId="4" applyFont="1" applyFill="1" applyBorder="1" applyAlignment="1">
      <alignment horizontal="center" wrapText="1"/>
    </xf>
    <xf numFmtId="43" fontId="13" fillId="0" borderId="7" xfId="4" applyFont="1" applyFill="1" applyBorder="1" applyAlignment="1">
      <alignment horizontal="center" wrapText="1"/>
    </xf>
    <xf numFmtId="43" fontId="13" fillId="0" borderId="12" xfId="4" applyFont="1" applyFill="1" applyBorder="1" applyAlignment="1">
      <alignment horizontal="center" wrapText="1"/>
    </xf>
    <xf numFmtId="43" fontId="16" fillId="0" borderId="5" xfId="4" applyFont="1" applyFill="1" applyBorder="1" applyAlignment="1">
      <alignment horizontal="center" wrapText="1"/>
    </xf>
    <xf numFmtId="43" fontId="13" fillId="0" borderId="16" xfId="4" applyFont="1" applyFill="1" applyBorder="1" applyAlignment="1">
      <alignment horizontal="center" wrapText="1"/>
    </xf>
    <xf numFmtId="43" fontId="13" fillId="0" borderId="5" xfId="4" applyFont="1" applyFill="1" applyBorder="1" applyAlignment="1">
      <alignment horizontal="center" wrapText="1"/>
    </xf>
    <xf numFmtId="43" fontId="13" fillId="0" borderId="11" xfId="4" applyFont="1" applyFill="1" applyBorder="1" applyAlignment="1">
      <alignment horizontal="center" wrapText="1"/>
    </xf>
    <xf numFmtId="43" fontId="13" fillId="0" borderId="7" xfId="4" applyFont="1" applyFill="1" applyBorder="1" applyAlignment="1">
      <alignment horizontal="center"/>
    </xf>
    <xf numFmtId="43" fontId="13" fillId="0" borderId="8" xfId="4" applyFont="1" applyFill="1" applyBorder="1" applyAlignment="1">
      <alignment horizontal="center"/>
    </xf>
    <xf numFmtId="43" fontId="13" fillId="0" borderId="12" xfId="4" applyFont="1" applyFill="1" applyBorder="1" applyAlignment="1">
      <alignment horizontal="center"/>
    </xf>
    <xf numFmtId="43" fontId="13" fillId="0" borderId="5" xfId="4" applyFont="1" applyFill="1" applyBorder="1" applyAlignment="1">
      <alignment horizontal="center"/>
    </xf>
    <xf numFmtId="164" fontId="13" fillId="0" borderId="3" xfId="1" applyFont="1" applyBorder="1" applyAlignment="1">
      <alignment horizontal="center" vertical="center" wrapText="1"/>
    </xf>
    <xf numFmtId="43" fontId="13" fillId="0" borderId="6" xfId="4" applyFont="1" applyFill="1" applyBorder="1" applyAlignment="1">
      <alignment horizontal="center" wrapText="1"/>
    </xf>
    <xf numFmtId="43" fontId="16" fillId="0" borderId="1" xfId="4" applyFont="1" applyFill="1" applyBorder="1" applyAlignment="1"/>
    <xf numFmtId="43" fontId="16" fillId="0" borderId="6" xfId="4" applyFont="1" applyFill="1" applyBorder="1" applyAlignment="1">
      <alignment horizontal="center" wrapText="1"/>
    </xf>
    <xf numFmtId="43" fontId="13" fillId="0" borderId="6" xfId="4" applyFont="1" applyFill="1" applyBorder="1" applyAlignment="1">
      <alignment horizontal="center" wrapText="1"/>
    </xf>
    <xf numFmtId="43" fontId="13" fillId="0" borderId="2" xfId="4" applyFont="1" applyFill="1" applyBorder="1" applyAlignment="1">
      <alignment horizontal="center" wrapText="1"/>
    </xf>
    <xf numFmtId="43" fontId="13" fillId="0" borderId="1" xfId="4" applyFont="1" applyFill="1" applyBorder="1" applyAlignment="1">
      <alignment horizontal="center" wrapText="1"/>
    </xf>
    <xf numFmtId="43" fontId="13" fillId="0" borderId="6" xfId="4" applyFont="1" applyFill="1" applyBorder="1" applyAlignment="1">
      <alignment horizontal="center"/>
    </xf>
    <xf numFmtId="164" fontId="13" fillId="0" borderId="6" xfId="1" applyFont="1" applyBorder="1" applyAlignment="1">
      <alignment horizontal="center" vertical="center" wrapText="1"/>
    </xf>
    <xf numFmtId="0" fontId="13" fillId="0" borderId="1" xfId="0" applyFont="1" applyBorder="1"/>
    <xf numFmtId="43" fontId="16" fillId="0" borderId="6" xfId="4" applyFont="1" applyFill="1" applyBorder="1"/>
    <xf numFmtId="43" fontId="13" fillId="0" borderId="6" xfId="4" applyFont="1" applyFill="1" applyBorder="1"/>
    <xf numFmtId="43" fontId="13" fillId="0" borderId="1" xfId="4" applyFont="1" applyFill="1" applyBorder="1"/>
    <xf numFmtId="43" fontId="17" fillId="0" borderId="6" xfId="4" applyFont="1" applyFill="1" applyBorder="1"/>
    <xf numFmtId="43" fontId="13" fillId="0" borderId="7" xfId="4" applyFont="1" applyFill="1" applyBorder="1"/>
    <xf numFmtId="43" fontId="13" fillId="0" borderId="2" xfId="4" applyFont="1" applyFill="1" applyBorder="1"/>
    <xf numFmtId="43" fontId="16" fillId="0" borderId="1" xfId="4" applyFont="1" applyFill="1" applyBorder="1"/>
    <xf numFmtId="43" fontId="16" fillId="0" borderId="0" xfId="4" applyFont="1"/>
    <xf numFmtId="164" fontId="16" fillId="0" borderId="6" xfId="2" applyFont="1" applyBorder="1"/>
    <xf numFmtId="43" fontId="26" fillId="0" borderId="6" xfId="4" applyFont="1" applyFill="1" applyBorder="1"/>
    <xf numFmtId="164" fontId="0" fillId="0" borderId="0" xfId="1" applyFont="1"/>
    <xf numFmtId="43" fontId="13" fillId="0" borderId="4" xfId="4" applyFont="1" applyFill="1" applyBorder="1"/>
    <xf numFmtId="43" fontId="16" fillId="2" borderId="0" xfId="4" applyFont="1" applyFill="1"/>
    <xf numFmtId="0" fontId="19" fillId="0" borderId="0" xfId="0" applyFont="1"/>
    <xf numFmtId="43" fontId="13" fillId="0" borderId="6" xfId="4" applyFont="1" applyFill="1" applyBorder="1" applyAlignment="1">
      <alignment horizontal="center"/>
    </xf>
    <xf numFmtId="43" fontId="16" fillId="0" borderId="1" xfId="4" applyFont="1" applyFill="1" applyBorder="1" applyAlignment="1">
      <alignment wrapText="1"/>
    </xf>
    <xf numFmtId="43" fontId="20" fillId="0" borderId="0" xfId="4" applyFont="1"/>
    <xf numFmtId="0" fontId="13" fillId="0" borderId="1" xfId="0" applyFont="1" applyBorder="1" applyAlignment="1">
      <alignment horizontal="left"/>
    </xf>
    <xf numFmtId="43" fontId="19" fillId="2" borderId="0" xfId="4" applyFont="1" applyFill="1"/>
    <xf numFmtId="43" fontId="19" fillId="2" borderId="0" xfId="4" applyFont="1" applyFill="1" applyBorder="1"/>
    <xf numFmtId="43" fontId="19" fillId="2" borderId="8" xfId="4" applyFont="1" applyFill="1" applyBorder="1"/>
    <xf numFmtId="43" fontId="16" fillId="0" borderId="1" xfId="4" applyFont="1" applyFill="1" applyBorder="1" applyAlignment="1">
      <alignment horizontal="center"/>
    </xf>
    <xf numFmtId="43" fontId="13" fillId="0" borderId="1" xfId="4" applyFont="1" applyFill="1" applyBorder="1" applyAlignment="1">
      <alignment horizontal="center"/>
    </xf>
    <xf numFmtId="43" fontId="16" fillId="0" borderId="6" xfId="4" applyFont="1" applyFill="1" applyBorder="1" applyAlignment="1">
      <alignment horizontal="center"/>
    </xf>
    <xf numFmtId="43" fontId="21" fillId="2" borderId="0" xfId="4" applyFont="1" applyFill="1"/>
    <xf numFmtId="43" fontId="21" fillId="2" borderId="0" xfId="4" applyFont="1" applyFill="1" applyBorder="1"/>
    <xf numFmtId="164" fontId="19" fillId="0" borderId="0" xfId="1" applyFont="1"/>
    <xf numFmtId="0" fontId="16" fillId="0" borderId="0" xfId="0" applyFont="1" applyAlignment="1">
      <alignment horizontal="center"/>
    </xf>
    <xf numFmtId="43" fontId="13" fillId="0" borderId="9" xfId="4" applyFont="1" applyFill="1" applyBorder="1"/>
    <xf numFmtId="43" fontId="16" fillId="0" borderId="0" xfId="4" applyFont="1" applyFill="1"/>
    <xf numFmtId="43" fontId="13" fillId="0" borderId="0" xfId="4" applyFont="1" applyFill="1"/>
    <xf numFmtId="43" fontId="10" fillId="0" borderId="0" xfId="4" applyFont="1" applyFill="1"/>
    <xf numFmtId="43" fontId="20" fillId="2" borderId="0" xfId="4" applyFont="1" applyFill="1"/>
    <xf numFmtId="43" fontId="26" fillId="0" borderId="0" xfId="0" applyNumberFormat="1" applyFont="1"/>
    <xf numFmtId="164" fontId="1" fillId="0" borderId="0" xfId="1" applyFont="1"/>
    <xf numFmtId="43" fontId="13" fillId="0" borderId="8" xfId="4" applyFont="1" applyFill="1" applyBorder="1"/>
    <xf numFmtId="43" fontId="23" fillId="0" borderId="0" xfId="4" applyFont="1" applyFill="1"/>
    <xf numFmtId="43" fontId="34" fillId="0" borderId="0" xfId="4" applyFont="1" applyFill="1"/>
    <xf numFmtId="43" fontId="28" fillId="2" borderId="0" xfId="4" applyFont="1" applyFill="1"/>
    <xf numFmtId="43" fontId="13" fillId="0" borderId="7" xfId="4" applyFont="1" applyFill="1" applyBorder="1" applyAlignment="1">
      <alignment horizontal="center"/>
    </xf>
    <xf numFmtId="43" fontId="13" fillId="0" borderId="8" xfId="4" applyFont="1" applyFill="1" applyBorder="1" applyAlignment="1">
      <alignment horizontal="center"/>
    </xf>
    <xf numFmtId="43" fontId="13" fillId="0" borderId="1" xfId="4" applyFont="1" applyFill="1" applyBorder="1" applyAlignment="1">
      <alignment horizontal="center" vertical="center" wrapText="1"/>
    </xf>
    <xf numFmtId="43" fontId="19" fillId="2" borderId="0" xfId="4" applyFont="1" applyFill="1" applyAlignment="1">
      <alignment horizontal="left"/>
    </xf>
    <xf numFmtId="43" fontId="16" fillId="2" borderId="0" xfId="4" applyFont="1" applyFill="1" applyBorder="1"/>
    <xf numFmtId="43" fontId="16" fillId="0" borderId="9" xfId="4" applyFont="1" applyFill="1" applyBorder="1" applyAlignment="1">
      <alignment horizontal="right"/>
    </xf>
    <xf numFmtId="43" fontId="24" fillId="2" borderId="0" xfId="4" applyFont="1" applyFill="1"/>
    <xf numFmtId="164" fontId="17" fillId="0" borderId="0" xfId="1" applyFont="1"/>
    <xf numFmtId="43" fontId="16" fillId="0" borderId="3" xfId="4" applyFont="1" applyFill="1" applyBorder="1"/>
    <xf numFmtId="43" fontId="13" fillId="0" borderId="5" xfId="4" applyFont="1" applyFill="1" applyBorder="1" applyAlignment="1">
      <alignment wrapText="1"/>
    </xf>
    <xf numFmtId="43" fontId="16" fillId="0" borderId="5" xfId="4" applyFont="1" applyFill="1" applyBorder="1"/>
    <xf numFmtId="43" fontId="13" fillId="0" borderId="6" xfId="4" applyFont="1" applyFill="1" applyBorder="1" applyAlignment="1">
      <alignment wrapText="1"/>
    </xf>
    <xf numFmtId="43" fontId="16" fillId="0" borderId="0" xfId="4" applyFont="1" applyFill="1" applyAlignment="1">
      <alignment horizontal="right"/>
    </xf>
    <xf numFmtId="43" fontId="16" fillId="0" borderId="9" xfId="4" applyFont="1" applyFill="1" applyBorder="1"/>
    <xf numFmtId="43" fontId="22" fillId="2" borderId="0" xfId="4" applyFont="1" applyFill="1"/>
    <xf numFmtId="43" fontId="22" fillId="0" borderId="0" xfId="4" applyFont="1"/>
    <xf numFmtId="43" fontId="13" fillId="0" borderId="2" xfId="4" applyFont="1" applyFill="1" applyBorder="1" applyAlignment="1">
      <alignment horizontal="center"/>
    </xf>
    <xf numFmtId="43" fontId="13" fillId="0" borderId="4" xfId="4" applyFont="1" applyFill="1" applyBorder="1" applyAlignment="1">
      <alignment horizontal="center"/>
    </xf>
    <xf numFmtId="43" fontId="13" fillId="0" borderId="3" xfId="4" applyFont="1" applyFill="1" applyBorder="1" applyAlignment="1">
      <alignment horizontal="center" wrapText="1"/>
    </xf>
    <xf numFmtId="43" fontId="16" fillId="0" borderId="10" xfId="4" applyFont="1" applyFill="1" applyBorder="1"/>
    <xf numFmtId="43" fontId="13" fillId="0" borderId="3" xfId="4" applyFont="1" applyFill="1" applyBorder="1" applyAlignment="1">
      <alignment horizontal="center"/>
    </xf>
    <xf numFmtId="43" fontId="16" fillId="0" borderId="11" xfId="4" applyFont="1" applyFill="1" applyBorder="1"/>
    <xf numFmtId="43" fontId="13" fillId="0" borderId="5" xfId="4" applyFont="1" applyFill="1" applyBorder="1" applyAlignment="1">
      <alignment horizontal="center"/>
    </xf>
    <xf numFmtId="43" fontId="16" fillId="0" borderId="12" xfId="4" applyFont="1" applyFill="1" applyBorder="1" applyAlignment="1">
      <alignment horizontal="center"/>
    </xf>
    <xf numFmtId="43" fontId="16" fillId="0" borderId="10" xfId="4" applyFont="1" applyFill="1" applyBorder="1" applyAlignment="1">
      <alignment wrapText="1"/>
    </xf>
    <xf numFmtId="43" fontId="16" fillId="0" borderId="11" xfId="4" applyFont="1" applyFill="1" applyBorder="1" applyAlignment="1">
      <alignment wrapText="1"/>
    </xf>
    <xf numFmtId="43" fontId="16" fillId="0" borderId="12" xfId="4" applyFont="1" applyFill="1" applyBorder="1" applyAlignment="1">
      <alignment horizontal="center" wrapText="1"/>
    </xf>
    <xf numFmtId="43" fontId="18" fillId="0" borderId="0" xfId="4" applyFont="1"/>
    <xf numFmtId="43" fontId="15" fillId="0" borderId="13" xfId="4" applyFont="1" applyFill="1" applyBorder="1"/>
    <xf numFmtId="0" fontId="14" fillId="0" borderId="0" xfId="0" applyFont="1" applyAlignment="1">
      <alignment horizontal="right"/>
    </xf>
    <xf numFmtId="164" fontId="13" fillId="0" borderId="0" xfId="1" applyFont="1"/>
    <xf numFmtId="164" fontId="25" fillId="0" borderId="0" xfId="1" applyFont="1"/>
    <xf numFmtId="0" fontId="13" fillId="0" borderId="0" xfId="0" applyFont="1"/>
    <xf numFmtId="0" fontId="16" fillId="3" borderId="0" xfId="0" applyFont="1" applyFill="1"/>
    <xf numFmtId="0" fontId="35" fillId="3" borderId="0" xfId="1" applyNumberFormat="1" applyFont="1" applyFill="1" applyAlignment="1">
      <alignment horizontal="center"/>
    </xf>
    <xf numFmtId="43" fontId="32" fillId="3" borderId="0" xfId="0" applyNumberFormat="1" applyFont="1" applyFill="1"/>
    <xf numFmtId="164" fontId="32" fillId="3" borderId="0" xfId="1" applyFont="1" applyFill="1"/>
    <xf numFmtId="164" fontId="35" fillId="3" borderId="0" xfId="1" applyFont="1" applyFill="1" applyAlignment="1">
      <alignment horizontal="center"/>
    </xf>
    <xf numFmtId="43" fontId="16" fillId="2" borderId="8" xfId="4" applyFont="1" applyFill="1" applyBorder="1"/>
    <xf numFmtId="164" fontId="19" fillId="3" borderId="0" xfId="1" applyFont="1" applyFill="1"/>
    <xf numFmtId="164" fontId="36" fillId="3" borderId="0" xfId="1" applyFont="1" applyFill="1"/>
    <xf numFmtId="0" fontId="20" fillId="0" borderId="0" xfId="0" applyFont="1"/>
    <xf numFmtId="43" fontId="15" fillId="2" borderId="0" xfId="4" applyFont="1" applyFill="1"/>
    <xf numFmtId="43" fontId="14" fillId="2" borderId="0" xfId="4" applyFont="1" applyFill="1" applyBorder="1"/>
    <xf numFmtId="43" fontId="14" fillId="2" borderId="8" xfId="4" applyFont="1" applyFill="1" applyBorder="1"/>
    <xf numFmtId="43" fontId="27" fillId="2" borderId="0" xfId="4" applyFont="1" applyFill="1"/>
    <xf numFmtId="0" fontId="26" fillId="0" borderId="0" xfId="0" applyFont="1"/>
    <xf numFmtId="43" fontId="13" fillId="3" borderId="9" xfId="4" applyFont="1" applyFill="1" applyBorder="1"/>
    <xf numFmtId="43" fontId="13" fillId="4" borderId="9" xfId="4" applyFont="1" applyFill="1" applyBorder="1"/>
    <xf numFmtId="43" fontId="16" fillId="3" borderId="1" xfId="4" applyFont="1" applyFill="1" applyBorder="1"/>
    <xf numFmtId="43" fontId="16" fillId="3" borderId="6" xfId="4" applyFont="1" applyFill="1" applyBorder="1"/>
    <xf numFmtId="43" fontId="13" fillId="3" borderId="6" xfId="4" applyFont="1" applyFill="1" applyBorder="1"/>
    <xf numFmtId="43" fontId="13" fillId="3" borderId="1" xfId="4" applyFont="1" applyFill="1" applyBorder="1"/>
    <xf numFmtId="164" fontId="4" fillId="3" borderId="6" xfId="1" applyFont="1" applyFill="1" applyBorder="1" applyProtection="1"/>
    <xf numFmtId="164" fontId="13" fillId="3" borderId="6" xfId="1" applyFont="1" applyFill="1" applyBorder="1"/>
    <xf numFmtId="164" fontId="3" fillId="3" borderId="6" xfId="1" applyFont="1" applyFill="1" applyBorder="1" applyProtection="1"/>
    <xf numFmtId="164" fontId="13" fillId="3" borderId="7" xfId="1" applyFont="1" applyFill="1" applyBorder="1"/>
    <xf numFmtId="164" fontId="13" fillId="3" borderId="2" xfId="1" applyFont="1" applyFill="1" applyBorder="1"/>
    <xf numFmtId="164" fontId="13" fillId="3" borderId="1" xfId="1" applyFont="1" applyFill="1" applyBorder="1"/>
    <xf numFmtId="164" fontId="4" fillId="3" borderId="4" xfId="1" applyFont="1" applyFill="1" applyBorder="1" applyProtection="1"/>
    <xf numFmtId="0" fontId="3" fillId="3" borderId="0" xfId="0" applyFont="1" applyFill="1"/>
    <xf numFmtId="0" fontId="0" fillId="3" borderId="0" xfId="0" applyFill="1"/>
    <xf numFmtId="0" fontId="1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</cellXfs>
  <cellStyles count="6">
    <cellStyle name="Comma" xfId="1" builtinId="3"/>
    <cellStyle name="Comma 2" xfId="2" xr:uid="{00000000-0005-0000-0000-000006000000}"/>
    <cellStyle name="Comma 2 2" xfId="5" xr:uid="{920D5F89-752A-43FA-B4F5-994034096A6C}"/>
    <cellStyle name="Comma 3" xfId="4" xr:uid="{11113845-2957-4CAC-9B84-F6D79FC4BCD0}"/>
    <cellStyle name="Normal" xfId="0" builtinId="0"/>
    <cellStyle name="Normal 2" xfId="3" xr:uid="{9CDA9AF9-8E6A-44D9-9E8B-F4D02CAB977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29"/>
  <sheetViews>
    <sheetView zoomScaleNormal="100" workbookViewId="0">
      <pane xSplit="2" ySplit="6" topLeftCell="X85" activePane="bottomRight" state="frozen"/>
      <selection pane="topRight" activeCell="C1" sqref="C1"/>
      <selection pane="bottomLeft" activeCell="A7" sqref="A7"/>
      <selection pane="bottomRight" activeCell="Q93" sqref="Q93:AH97"/>
    </sheetView>
  </sheetViews>
  <sheetFormatPr defaultColWidth="8.85546875" defaultRowHeight="15" x14ac:dyDescent="0.25"/>
  <cols>
    <col min="1" max="1" width="33.85546875" customWidth="1"/>
    <col min="2" max="3" width="11.28515625" customWidth="1"/>
    <col min="4" max="4" width="14.28515625" bestFit="1" customWidth="1"/>
    <col min="5" max="10" width="11.28515625" customWidth="1"/>
    <col min="11" max="12" width="13.140625" bestFit="1" customWidth="1"/>
    <col min="13" max="13" width="20.7109375" bestFit="1" customWidth="1"/>
    <col min="14" max="34" width="11.28515625" customWidth="1"/>
    <col min="35" max="35" width="11.42578125" customWidth="1"/>
    <col min="36" max="36" width="13.85546875" customWidth="1"/>
    <col min="37" max="39" width="11.140625" customWidth="1"/>
    <col min="42" max="42" width="11.7109375" customWidth="1"/>
    <col min="43" max="43" width="11.140625" bestFit="1" customWidth="1"/>
  </cols>
  <sheetData>
    <row r="1" spans="1:132" x14ac:dyDescent="0.25">
      <c r="A1" s="33" t="s">
        <v>0</v>
      </c>
      <c r="B1" s="32"/>
      <c r="C1" s="32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32"/>
      <c r="S1" s="64"/>
      <c r="T1" s="64"/>
      <c r="U1" s="64"/>
      <c r="V1" s="31"/>
      <c r="W1" s="31"/>
      <c r="X1" s="31"/>
      <c r="Y1" s="31"/>
      <c r="Z1" s="31"/>
      <c r="AA1" s="31"/>
      <c r="AB1" s="31"/>
      <c r="AC1" s="31"/>
      <c r="AD1" s="32"/>
      <c r="AE1" s="32"/>
      <c r="AF1" s="33"/>
      <c r="AG1" s="33"/>
      <c r="AH1" s="33"/>
      <c r="AI1" s="33"/>
      <c r="AJ1" s="32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</row>
    <row r="2" spans="1:132" x14ac:dyDescent="0.25">
      <c r="A2" s="33" t="s">
        <v>1</v>
      </c>
      <c r="B2" s="32"/>
      <c r="C2" s="32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32"/>
      <c r="S2" s="64"/>
      <c r="T2" s="64"/>
      <c r="U2" s="64"/>
      <c r="V2" s="31"/>
      <c r="W2" s="31"/>
      <c r="X2" s="31"/>
      <c r="Y2" s="31"/>
      <c r="Z2" s="31"/>
      <c r="AA2" s="31"/>
      <c r="AB2" s="31"/>
      <c r="AC2" s="31"/>
      <c r="AD2" s="32"/>
      <c r="AE2" s="32"/>
      <c r="AF2" s="33"/>
      <c r="AG2" s="33"/>
      <c r="AH2" s="33"/>
      <c r="AI2" s="33"/>
      <c r="AJ2" s="32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</row>
    <row r="3" spans="1:132" x14ac:dyDescent="0.25">
      <c r="A3" s="33" t="s">
        <v>162</v>
      </c>
      <c r="B3" s="65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5"/>
      <c r="S3" s="66"/>
      <c r="T3" s="66"/>
      <c r="U3" s="66"/>
      <c r="V3" s="31"/>
      <c r="W3" s="31"/>
      <c r="X3" s="31"/>
      <c r="Y3" s="31"/>
      <c r="Z3" s="31"/>
      <c r="AA3" s="31"/>
      <c r="AB3" s="31"/>
      <c r="AC3" s="31"/>
      <c r="AD3" s="65"/>
      <c r="AE3" s="65"/>
      <c r="AF3" s="33"/>
      <c r="AG3" s="33"/>
      <c r="AH3" s="33"/>
      <c r="AI3" s="33"/>
      <c r="AJ3" s="32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</row>
    <row r="4" spans="1:132" ht="13.9" customHeight="1" x14ac:dyDescent="0.25">
      <c r="A4" s="67" t="s">
        <v>109</v>
      </c>
      <c r="B4" s="67" t="s">
        <v>2</v>
      </c>
      <c r="C4" s="67" t="s">
        <v>3</v>
      </c>
      <c r="D4" s="68" t="s">
        <v>4</v>
      </c>
      <c r="E4" s="68" t="s">
        <v>5</v>
      </c>
      <c r="F4" s="68" t="s">
        <v>6</v>
      </c>
      <c r="G4" s="68" t="s">
        <v>7</v>
      </c>
      <c r="H4" s="69" t="s">
        <v>8</v>
      </c>
      <c r="I4" s="69"/>
      <c r="J4" s="69"/>
      <c r="K4" s="69"/>
      <c r="L4" s="68" t="s">
        <v>9</v>
      </c>
      <c r="M4" s="68" t="s">
        <v>10</v>
      </c>
      <c r="N4" s="69" t="s">
        <v>11</v>
      </c>
      <c r="O4" s="69"/>
      <c r="P4" s="69"/>
      <c r="Q4" s="70" t="s">
        <v>12</v>
      </c>
      <c r="R4" s="71" t="s">
        <v>13</v>
      </c>
      <c r="S4" s="72"/>
      <c r="T4" s="73" t="s">
        <v>14</v>
      </c>
      <c r="U4" s="70" t="s">
        <v>15</v>
      </c>
      <c r="V4" s="70" t="s">
        <v>16</v>
      </c>
      <c r="W4" s="70" t="s">
        <v>17</v>
      </c>
      <c r="X4" s="71" t="s">
        <v>18</v>
      </c>
      <c r="Y4" s="70" t="s">
        <v>19</v>
      </c>
      <c r="Z4" s="74"/>
      <c r="AA4" s="72" t="s">
        <v>20</v>
      </c>
      <c r="AB4" s="75" t="s">
        <v>21</v>
      </c>
      <c r="AC4" s="76"/>
      <c r="AD4" s="76"/>
      <c r="AE4" s="77"/>
      <c r="AF4" s="70" t="s">
        <v>22</v>
      </c>
      <c r="AG4" s="73" t="s">
        <v>23</v>
      </c>
      <c r="AH4" s="78" t="s">
        <v>24</v>
      </c>
      <c r="AI4" s="34"/>
      <c r="AJ4" s="34"/>
      <c r="AK4" s="35"/>
      <c r="AL4" s="35"/>
      <c r="AM4" s="35"/>
      <c r="AN4" s="35"/>
      <c r="AO4" s="35"/>
      <c r="AP4" s="79"/>
      <c r="AQ4" s="79">
        <f>250000/12</f>
        <v>20833.333333333332</v>
      </c>
      <c r="AR4" s="80">
        <f>520*26</f>
        <v>13520</v>
      </c>
      <c r="AS4" s="79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</row>
    <row r="5" spans="1:132" ht="12.75" customHeight="1" x14ac:dyDescent="0.25">
      <c r="A5" s="67"/>
      <c r="B5" s="67"/>
      <c r="C5" s="67"/>
      <c r="D5" s="68"/>
      <c r="E5" s="68"/>
      <c r="F5" s="68"/>
      <c r="G5" s="68"/>
      <c r="H5" s="69" t="s">
        <v>25</v>
      </c>
      <c r="I5" s="69" t="s">
        <v>26</v>
      </c>
      <c r="J5" s="69" t="s">
        <v>27</v>
      </c>
      <c r="K5" s="70" t="s">
        <v>28</v>
      </c>
      <c r="L5" s="68"/>
      <c r="M5" s="68"/>
      <c r="N5" s="81" t="s">
        <v>25</v>
      </c>
      <c r="O5" s="81" t="s">
        <v>26</v>
      </c>
      <c r="P5" s="81" t="s">
        <v>29</v>
      </c>
      <c r="Q5" s="82"/>
      <c r="R5" s="83"/>
      <c r="S5" s="84"/>
      <c r="T5" s="85"/>
      <c r="U5" s="82"/>
      <c r="V5" s="82"/>
      <c r="W5" s="82"/>
      <c r="X5" s="86"/>
      <c r="Y5" s="82"/>
      <c r="Z5" s="87" t="s">
        <v>30</v>
      </c>
      <c r="AA5" s="88"/>
      <c r="AB5" s="89" t="s">
        <v>31</v>
      </c>
      <c r="AC5" s="90"/>
      <c r="AD5" s="90"/>
      <c r="AE5" s="91"/>
      <c r="AF5" s="82"/>
      <c r="AG5" s="85"/>
      <c r="AH5" s="92"/>
      <c r="AI5" s="34"/>
      <c r="AJ5" s="34"/>
      <c r="AK5" s="35"/>
      <c r="AL5" s="35"/>
      <c r="AM5" s="35"/>
      <c r="AN5" s="35"/>
      <c r="AO5" s="35"/>
      <c r="AP5" s="93" t="s">
        <v>163</v>
      </c>
      <c r="AQ5" s="93" t="s">
        <v>164</v>
      </c>
      <c r="AR5" s="93" t="s">
        <v>165</v>
      </c>
      <c r="AS5" s="93" t="s">
        <v>166</v>
      </c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</row>
    <row r="6" spans="1:132" ht="23.25" customHeight="1" x14ac:dyDescent="0.25">
      <c r="A6" s="67"/>
      <c r="B6" s="67"/>
      <c r="C6" s="67"/>
      <c r="D6" s="68"/>
      <c r="E6" s="68"/>
      <c r="F6" s="68"/>
      <c r="G6" s="68"/>
      <c r="H6" s="69"/>
      <c r="I6" s="69"/>
      <c r="J6" s="69"/>
      <c r="K6" s="94"/>
      <c r="L6" s="68"/>
      <c r="M6" s="68"/>
      <c r="N6" s="81"/>
      <c r="O6" s="81"/>
      <c r="P6" s="81"/>
      <c r="Q6" s="94"/>
      <c r="R6" s="95" t="s">
        <v>25</v>
      </c>
      <c r="S6" s="95" t="s">
        <v>26</v>
      </c>
      <c r="T6" s="96"/>
      <c r="U6" s="94"/>
      <c r="V6" s="94"/>
      <c r="W6" s="94"/>
      <c r="X6" s="83"/>
      <c r="Y6" s="94"/>
      <c r="Z6" s="97" t="s">
        <v>32</v>
      </c>
      <c r="AA6" s="84"/>
      <c r="AB6" s="98" t="s">
        <v>33</v>
      </c>
      <c r="AC6" s="99" t="s">
        <v>34</v>
      </c>
      <c r="AD6" s="99" t="s">
        <v>35</v>
      </c>
      <c r="AE6" s="98" t="s">
        <v>36</v>
      </c>
      <c r="AF6" s="94"/>
      <c r="AG6" s="96"/>
      <c r="AH6" s="100"/>
      <c r="AI6" s="38"/>
      <c r="AJ6" s="34"/>
      <c r="AK6" s="35"/>
      <c r="AL6" s="35"/>
      <c r="AM6" s="35"/>
      <c r="AN6" s="35"/>
      <c r="AO6" s="35"/>
      <c r="AP6" s="101">
        <v>249999.99</v>
      </c>
      <c r="AQ6" s="101" t="s">
        <v>167</v>
      </c>
      <c r="AR6" s="101"/>
      <c r="AS6" s="101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</row>
    <row r="7" spans="1:132" x14ac:dyDescent="0.25">
      <c r="A7" s="102" t="s">
        <v>37</v>
      </c>
      <c r="B7" s="103">
        <f>17550+17550</f>
        <v>35100</v>
      </c>
      <c r="C7" s="103">
        <f>17550-36.45+17550-50.46</f>
        <v>35013.090000000004</v>
      </c>
      <c r="D7" s="104">
        <v>403.7</v>
      </c>
      <c r="E7" s="104">
        <v>0</v>
      </c>
      <c r="F7" s="104">
        <v>0</v>
      </c>
      <c r="G7" s="104">
        <f t="shared" ref="G7:G13" si="0">C7+D7+E7+F7</f>
        <v>35416.79</v>
      </c>
      <c r="H7" s="104">
        <v>1350</v>
      </c>
      <c r="I7" s="105">
        <f>1900+950</f>
        <v>2850</v>
      </c>
      <c r="J7" s="104">
        <f t="shared" ref="J7:J43" si="1">H7+I7</f>
        <v>4200</v>
      </c>
      <c r="K7" s="104">
        <v>30</v>
      </c>
      <c r="L7" s="104">
        <f>1845.8</f>
        <v>1845.8</v>
      </c>
      <c r="M7" s="104">
        <v>0</v>
      </c>
      <c r="N7" s="104">
        <f>B7*5%/2</f>
        <v>877.5</v>
      </c>
      <c r="O7" s="104">
        <f>P7-N7</f>
        <v>877.5</v>
      </c>
      <c r="P7" s="104">
        <f>B7*0.05</f>
        <v>1755</v>
      </c>
      <c r="Q7" s="106">
        <f>(G7-H7-N7-R7-20833)*15%</f>
        <v>1823.4435000000001</v>
      </c>
      <c r="R7" s="104">
        <v>200</v>
      </c>
      <c r="S7" s="104">
        <f t="shared" ref="S7:S13" si="2">R7</f>
        <v>200</v>
      </c>
      <c r="T7" s="103">
        <v>0</v>
      </c>
      <c r="U7" s="104">
        <v>0</v>
      </c>
      <c r="V7" s="104">
        <v>0</v>
      </c>
      <c r="W7" s="104">
        <v>0</v>
      </c>
      <c r="X7" s="104">
        <v>0</v>
      </c>
      <c r="Y7" s="104">
        <v>0</v>
      </c>
      <c r="Z7" s="104">
        <v>0</v>
      </c>
      <c r="AA7" s="104">
        <f>G7-L7-M7-T7-U7-V7-W7-H7-N7-Q7-R7</f>
        <v>29320.046499999997</v>
      </c>
      <c r="AB7" s="104">
        <f>5200+5200</f>
        <v>10400</v>
      </c>
      <c r="AC7" s="104">
        <v>119.63</v>
      </c>
      <c r="AD7" s="107">
        <f>1000+1000</f>
        <v>2000</v>
      </c>
      <c r="AE7" s="108">
        <v>0</v>
      </c>
      <c r="AF7" s="107">
        <v>0</v>
      </c>
      <c r="AG7" s="105">
        <v>0</v>
      </c>
      <c r="AH7" s="109">
        <f>AA7+AB7+AC7+AD7+AE7+AF7+AG7</f>
        <v>41839.676499999994</v>
      </c>
      <c r="AI7" s="110"/>
      <c r="AJ7" s="110"/>
      <c r="AK7" s="43"/>
      <c r="AL7" s="44">
        <f t="shared" ref="AL7:AL42" si="3">G7-H7-L7-M7-N7-Q7-R7-T7-U7-V7-W7-X7+Y7+Z7+AB7+AC7+AD7+AE7</f>
        <v>41839.676499999994</v>
      </c>
      <c r="AM7" s="35"/>
      <c r="AN7" s="35"/>
      <c r="AO7" s="35"/>
      <c r="AQ7" s="34">
        <f>+G7-H7-N7-R7</f>
        <v>32989.29</v>
      </c>
      <c r="AR7" s="34"/>
      <c r="AS7" s="34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</row>
    <row r="8" spans="1:132" x14ac:dyDescent="0.25">
      <c r="A8" s="102" t="s">
        <v>38</v>
      </c>
      <c r="B8" s="111">
        <f>8364.5+8364.5</f>
        <v>16729</v>
      </c>
      <c r="C8" s="103">
        <f>8364.5+8364.5-32.07</f>
        <v>16696.93</v>
      </c>
      <c r="D8" s="104">
        <v>192.41</v>
      </c>
      <c r="E8" s="104">
        <v>0</v>
      </c>
      <c r="F8" s="104">
        <v>0</v>
      </c>
      <c r="G8" s="104">
        <f t="shared" si="0"/>
        <v>16889.34</v>
      </c>
      <c r="H8" s="104">
        <v>742.5</v>
      </c>
      <c r="I8" s="105">
        <v>1567.5</v>
      </c>
      <c r="J8" s="104">
        <f t="shared" si="1"/>
        <v>2310</v>
      </c>
      <c r="K8" s="104">
        <v>30</v>
      </c>
      <c r="L8" s="104">
        <v>1430.49</v>
      </c>
      <c r="M8" s="104">
        <v>0</v>
      </c>
      <c r="N8" s="112">
        <v>418.23</v>
      </c>
      <c r="O8" s="112">
        <f t="shared" ref="O8:O43" si="4">P8-N8</f>
        <v>418.22</v>
      </c>
      <c r="P8" s="104">
        <f t="shared" ref="P8:P43" si="5">B8*0.05</f>
        <v>836.45</v>
      </c>
      <c r="Q8" s="106">
        <v>0</v>
      </c>
      <c r="R8" s="104">
        <v>200</v>
      </c>
      <c r="S8" s="104">
        <f t="shared" si="2"/>
        <v>200</v>
      </c>
      <c r="T8" s="103">
        <v>950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f t="shared" ref="AA8:AA43" si="6">G8-L8-M8-T8-U8-V8-W8-H8-N8-Q8-R8</f>
        <v>13148.12</v>
      </c>
      <c r="AB8" s="104">
        <v>0</v>
      </c>
      <c r="AC8" s="104">
        <v>0</v>
      </c>
      <c r="AD8" s="107">
        <v>0</v>
      </c>
      <c r="AE8" s="104">
        <v>0</v>
      </c>
      <c r="AF8" s="104">
        <v>0</v>
      </c>
      <c r="AG8" s="104">
        <v>0</v>
      </c>
      <c r="AH8" s="109">
        <f t="shared" ref="AH8:AH11" si="7">AA8+AB8+AC8+AD8+AE8+AF8+AG8</f>
        <v>13148.12</v>
      </c>
      <c r="AI8" s="110"/>
      <c r="AJ8" s="110"/>
      <c r="AK8" s="43"/>
      <c r="AL8" s="44">
        <f t="shared" si="3"/>
        <v>13148.12</v>
      </c>
      <c r="AM8" s="44">
        <f>AL8-AH8</f>
        <v>0</v>
      </c>
      <c r="AN8" s="35"/>
      <c r="AO8" s="35"/>
      <c r="AP8" s="34">
        <f>+G8-H8-N8-R8</f>
        <v>15528.61</v>
      </c>
      <c r="AQ8" s="34"/>
      <c r="AR8" s="34"/>
      <c r="AS8" s="34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</row>
    <row r="9" spans="1:132" s="45" customFormat="1" ht="12.75" x14ac:dyDescent="0.2">
      <c r="A9" s="102" t="s">
        <v>39</v>
      </c>
      <c r="B9" s="109">
        <f>16000</f>
        <v>16000</v>
      </c>
      <c r="C9" s="103">
        <f>8000-120.13-38.34+8000-61.34-153.36</f>
        <v>15626.829999999998</v>
      </c>
      <c r="D9" s="104">
        <v>383.4</v>
      </c>
      <c r="E9" s="104">
        <v>0</v>
      </c>
      <c r="F9" s="104">
        <v>431.32</v>
      </c>
      <c r="G9" s="104">
        <f t="shared" si="0"/>
        <v>16441.55</v>
      </c>
      <c r="H9" s="104">
        <v>720</v>
      </c>
      <c r="I9" s="105">
        <v>1520</v>
      </c>
      <c r="J9" s="104">
        <f t="shared" si="1"/>
        <v>2240</v>
      </c>
      <c r="K9" s="105">
        <v>30</v>
      </c>
      <c r="L9" s="104">
        <v>0</v>
      </c>
      <c r="M9" s="104">
        <v>0</v>
      </c>
      <c r="N9" s="104">
        <f>B9*5%/2</f>
        <v>400</v>
      </c>
      <c r="O9" s="104">
        <f t="shared" si="4"/>
        <v>400</v>
      </c>
      <c r="P9" s="105">
        <f t="shared" si="5"/>
        <v>800</v>
      </c>
      <c r="Q9" s="106">
        <v>0</v>
      </c>
      <c r="R9" s="104">
        <v>200</v>
      </c>
      <c r="S9" s="104">
        <f t="shared" si="2"/>
        <v>200</v>
      </c>
      <c r="T9" s="103">
        <v>0</v>
      </c>
      <c r="U9" s="104">
        <v>0</v>
      </c>
      <c r="V9" s="104">
        <v>0</v>
      </c>
      <c r="W9" s="104">
        <v>0</v>
      </c>
      <c r="X9" s="104">
        <v>0</v>
      </c>
      <c r="Y9" s="104">
        <v>0</v>
      </c>
      <c r="Z9" s="104">
        <v>0</v>
      </c>
      <c r="AA9" s="104">
        <f t="shared" si="6"/>
        <v>15121.55</v>
      </c>
      <c r="AB9" s="104">
        <v>0</v>
      </c>
      <c r="AC9" s="104">
        <v>0</v>
      </c>
      <c r="AD9" s="107">
        <v>0</v>
      </c>
      <c r="AE9" s="108">
        <v>0</v>
      </c>
      <c r="AF9" s="107">
        <v>0</v>
      </c>
      <c r="AG9" s="105">
        <v>0</v>
      </c>
      <c r="AH9" s="109">
        <f t="shared" si="7"/>
        <v>15121.55</v>
      </c>
      <c r="AI9" s="110"/>
      <c r="AJ9" s="110"/>
      <c r="AK9" s="43"/>
      <c r="AL9" s="44">
        <f t="shared" si="3"/>
        <v>15121.55</v>
      </c>
      <c r="AM9" s="35"/>
      <c r="AN9" s="35"/>
      <c r="AO9" s="35"/>
      <c r="AP9" s="34">
        <f t="shared" ref="AP9:AP33" si="8">+G9-H9-N9-R9</f>
        <v>15121.55</v>
      </c>
      <c r="AQ9" s="34"/>
      <c r="AR9" s="34"/>
      <c r="AS9" s="34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</row>
    <row r="10" spans="1:132" s="45" customFormat="1" x14ac:dyDescent="0.25">
      <c r="A10" s="102" t="s">
        <v>40</v>
      </c>
      <c r="B10" s="109">
        <f>12500+12500</f>
        <v>25000</v>
      </c>
      <c r="C10" s="103">
        <f>12500-932.52+12500-513.19-958.47-239.62</f>
        <v>22356.2</v>
      </c>
      <c r="D10" s="104">
        <v>287.54000000000002</v>
      </c>
      <c r="E10" s="104">
        <v>1916.94</v>
      </c>
      <c r="F10" s="104">
        <v>0</v>
      </c>
      <c r="G10" s="104">
        <f t="shared" si="0"/>
        <v>24560.68</v>
      </c>
      <c r="H10" s="104">
        <f>900+225</f>
        <v>1125</v>
      </c>
      <c r="I10" s="105">
        <f>1900+475</f>
        <v>2375</v>
      </c>
      <c r="J10" s="104">
        <f t="shared" si="1"/>
        <v>3500</v>
      </c>
      <c r="K10" s="105">
        <v>30</v>
      </c>
      <c r="L10" s="104">
        <v>0</v>
      </c>
      <c r="M10" s="104">
        <v>0</v>
      </c>
      <c r="N10" s="104">
        <f>B10*5%/2</f>
        <v>625</v>
      </c>
      <c r="O10" s="104">
        <f t="shared" si="4"/>
        <v>625</v>
      </c>
      <c r="P10" s="105">
        <f t="shared" si="5"/>
        <v>1250</v>
      </c>
      <c r="Q10" s="106">
        <f t="shared" ref="Q10" si="9">(G10-H10-N10-R10-20833)*15%</f>
        <v>266.65200000000004</v>
      </c>
      <c r="R10" s="104">
        <v>200</v>
      </c>
      <c r="S10" s="104">
        <f t="shared" si="2"/>
        <v>200</v>
      </c>
      <c r="T10" s="103"/>
      <c r="U10" s="104"/>
      <c r="V10" s="104"/>
      <c r="W10" s="104">
        <v>0</v>
      </c>
      <c r="X10" s="104">
        <v>0</v>
      </c>
      <c r="Y10" s="104">
        <v>0</v>
      </c>
      <c r="Z10" s="104">
        <v>0</v>
      </c>
      <c r="AA10" s="104">
        <f t="shared" si="6"/>
        <v>22344.027999999998</v>
      </c>
      <c r="AB10" s="104">
        <v>0</v>
      </c>
      <c r="AC10" s="104">
        <v>0</v>
      </c>
      <c r="AD10" s="107">
        <v>0</v>
      </c>
      <c r="AE10" s="108"/>
      <c r="AF10" s="107"/>
      <c r="AG10" s="105"/>
      <c r="AH10" s="109">
        <f t="shared" si="7"/>
        <v>22344.027999999998</v>
      </c>
      <c r="AI10" s="110"/>
      <c r="AJ10" s="110"/>
      <c r="AK10" s="43"/>
      <c r="AL10" s="44">
        <f t="shared" si="3"/>
        <v>22344.027999999998</v>
      </c>
      <c r="AM10" s="35"/>
      <c r="AN10" s="35"/>
      <c r="AO10" s="35"/>
      <c r="AP10" s="34"/>
      <c r="AQ10" s="113">
        <f>+G10-H10-N10-R10</f>
        <v>22610.68</v>
      </c>
      <c r="AR10" s="34"/>
      <c r="AS10" s="34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</row>
    <row r="11" spans="1:132" x14ac:dyDescent="0.25">
      <c r="A11" s="102" t="s">
        <v>41</v>
      </c>
      <c r="B11" s="109">
        <f>9083.75+9083.75</f>
        <v>18167.5</v>
      </c>
      <c r="C11" s="103">
        <f>9083.75-8.71-43.53+9083.75-696.52</f>
        <v>17418.740000000002</v>
      </c>
      <c r="D11" s="104">
        <v>208.94</v>
      </c>
      <c r="E11" s="104">
        <v>0</v>
      </c>
      <c r="F11" s="104">
        <v>0</v>
      </c>
      <c r="G11" s="104">
        <f t="shared" si="0"/>
        <v>17627.68</v>
      </c>
      <c r="H11" s="104">
        <v>810</v>
      </c>
      <c r="I11" s="105">
        <v>1710</v>
      </c>
      <c r="J11" s="104">
        <f t="shared" si="1"/>
        <v>2520</v>
      </c>
      <c r="K11" s="105">
        <v>30</v>
      </c>
      <c r="L11" s="104">
        <v>784.46</v>
      </c>
      <c r="M11" s="104">
        <v>0</v>
      </c>
      <c r="N11" s="104">
        <f>B11*5%/2</f>
        <v>454.1875</v>
      </c>
      <c r="O11" s="104">
        <f t="shared" si="4"/>
        <v>454.1875</v>
      </c>
      <c r="P11" s="105">
        <f t="shared" si="5"/>
        <v>908.375</v>
      </c>
      <c r="Q11" s="106">
        <v>0</v>
      </c>
      <c r="R11" s="104">
        <v>200</v>
      </c>
      <c r="S11" s="104">
        <f t="shared" si="2"/>
        <v>200</v>
      </c>
      <c r="T11" s="103">
        <v>0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  <c r="Z11" s="104">
        <v>0</v>
      </c>
      <c r="AA11" s="104">
        <f t="shared" si="6"/>
        <v>15379.032500000001</v>
      </c>
      <c r="AB11" s="104">
        <v>0</v>
      </c>
      <c r="AC11" s="104">
        <v>0</v>
      </c>
      <c r="AD11" s="107">
        <v>0</v>
      </c>
      <c r="AE11" s="108">
        <v>0</v>
      </c>
      <c r="AF11" s="107">
        <v>0</v>
      </c>
      <c r="AG11" s="105">
        <v>0</v>
      </c>
      <c r="AH11" s="109">
        <f t="shared" si="7"/>
        <v>15379.032500000001</v>
      </c>
      <c r="AI11" s="110" t="s">
        <v>21</v>
      </c>
      <c r="AJ11" s="110"/>
      <c r="AK11" s="43"/>
      <c r="AL11" s="44">
        <f t="shared" si="3"/>
        <v>15379.032500000001</v>
      </c>
      <c r="AM11" s="35"/>
      <c r="AN11" s="35"/>
      <c r="AO11" s="35"/>
      <c r="AP11" s="34">
        <f t="shared" si="8"/>
        <v>16163.4925</v>
      </c>
      <c r="AQ11" s="34"/>
      <c r="AR11" s="34"/>
      <c r="AS11" s="34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</row>
    <row r="12" spans="1:132" x14ac:dyDescent="0.25">
      <c r="A12" s="102" t="s">
        <v>42</v>
      </c>
      <c r="B12" s="109">
        <f>150000+30000+50000</f>
        <v>230000</v>
      </c>
      <c r="C12" s="103">
        <v>230000</v>
      </c>
      <c r="D12" s="104">
        <v>0</v>
      </c>
      <c r="E12" s="104">
        <v>0</v>
      </c>
      <c r="F12" s="104">
        <v>0</v>
      </c>
      <c r="G12" s="104">
        <f t="shared" si="0"/>
        <v>230000</v>
      </c>
      <c r="H12" s="104">
        <f>900+450</f>
        <v>1350</v>
      </c>
      <c r="I12" s="105">
        <f>1900+950</f>
        <v>2850</v>
      </c>
      <c r="J12" s="104">
        <f t="shared" si="1"/>
        <v>4200</v>
      </c>
      <c r="K12" s="105">
        <v>30</v>
      </c>
      <c r="L12" s="104">
        <v>0</v>
      </c>
      <c r="M12" s="104">
        <v>0</v>
      </c>
      <c r="N12" s="104">
        <v>2500</v>
      </c>
      <c r="O12" s="104">
        <f t="shared" si="4"/>
        <v>2500</v>
      </c>
      <c r="P12" s="105">
        <v>5000</v>
      </c>
      <c r="Q12" s="104">
        <f>(G12-H12-N12-R12-166667)*30%+33541.8</f>
        <v>51326.7</v>
      </c>
      <c r="R12" s="104">
        <v>200</v>
      </c>
      <c r="S12" s="104">
        <f t="shared" si="2"/>
        <v>200</v>
      </c>
      <c r="T12" s="103">
        <v>0</v>
      </c>
      <c r="U12" s="104">
        <v>0</v>
      </c>
      <c r="V12" s="104">
        <v>0</v>
      </c>
      <c r="W12" s="104">
        <v>0</v>
      </c>
      <c r="X12" s="104">
        <v>0</v>
      </c>
      <c r="Y12" s="104">
        <v>0</v>
      </c>
      <c r="Z12" s="104">
        <v>0</v>
      </c>
      <c r="AA12" s="104">
        <f t="shared" ref="AA12:AA27" si="10">G12-L12-M12-T12-U12-V12-W12</f>
        <v>230000</v>
      </c>
      <c r="AB12" s="104">
        <v>0</v>
      </c>
      <c r="AC12" s="104">
        <v>0</v>
      </c>
      <c r="AD12" s="107">
        <v>0</v>
      </c>
      <c r="AE12" s="108">
        <v>0</v>
      </c>
      <c r="AF12" s="107">
        <v>0</v>
      </c>
      <c r="AG12" s="105">
        <v>0</v>
      </c>
      <c r="AH12" s="114">
        <f t="shared" ref="AH12:AH27" si="11">AA12+AB12+AC12+AD12+AE12+AF12-AG12</f>
        <v>230000</v>
      </c>
      <c r="AI12" s="115">
        <f>90000+50000+90000</f>
        <v>230000</v>
      </c>
      <c r="AJ12" s="115">
        <f>230000-H12-N12-Q12-R12</f>
        <v>174623.3</v>
      </c>
      <c r="AK12" s="46">
        <f>AI12-AJ12</f>
        <v>55376.700000000012</v>
      </c>
      <c r="AL12" s="44">
        <f t="shared" si="3"/>
        <v>174623.3</v>
      </c>
      <c r="AM12" s="35"/>
      <c r="AN12" s="35"/>
      <c r="AO12" s="35"/>
      <c r="AQ12" s="113">
        <f>+G12-H12-N12-R12</f>
        <v>225950</v>
      </c>
      <c r="AR12" s="34"/>
      <c r="AS12" s="34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</row>
    <row r="13" spans="1:132" x14ac:dyDescent="0.25">
      <c r="A13" s="102" t="s">
        <v>43</v>
      </c>
      <c r="B13" s="109">
        <f>10706+10706</f>
        <v>21412</v>
      </c>
      <c r="C13" s="103">
        <f>10706+10706-1641.82</f>
        <v>19770.18</v>
      </c>
      <c r="D13" s="104">
        <v>0</v>
      </c>
      <c r="E13" s="104">
        <v>0</v>
      </c>
      <c r="F13" s="104">
        <f>641.31+897.84</f>
        <v>1539.15</v>
      </c>
      <c r="G13" s="104">
        <f t="shared" si="0"/>
        <v>21309.33</v>
      </c>
      <c r="H13" s="104">
        <v>967.5</v>
      </c>
      <c r="I13" s="105">
        <f>1900+142.5</f>
        <v>2042.5</v>
      </c>
      <c r="J13" s="104">
        <f t="shared" si="1"/>
        <v>3010</v>
      </c>
      <c r="K13" s="105">
        <v>30</v>
      </c>
      <c r="L13" s="104">
        <v>0</v>
      </c>
      <c r="M13" s="104">
        <v>0</v>
      </c>
      <c r="N13" s="104">
        <f t="shared" ref="N13:N22" si="12">B13*5%/2</f>
        <v>535.30000000000007</v>
      </c>
      <c r="O13" s="104">
        <f t="shared" si="4"/>
        <v>535.30000000000007</v>
      </c>
      <c r="P13" s="105">
        <f t="shared" si="5"/>
        <v>1070.6000000000001</v>
      </c>
      <c r="Q13" s="106">
        <v>0</v>
      </c>
      <c r="R13" s="104">
        <v>200</v>
      </c>
      <c r="S13" s="104">
        <f t="shared" si="2"/>
        <v>200</v>
      </c>
      <c r="T13" s="103">
        <v>3680.46</v>
      </c>
      <c r="U13" s="104">
        <v>0</v>
      </c>
      <c r="V13" s="104">
        <f>1500+500</f>
        <v>2000</v>
      </c>
      <c r="W13" s="104">
        <v>0</v>
      </c>
      <c r="X13" s="104">
        <v>0</v>
      </c>
      <c r="Y13" s="104">
        <v>0</v>
      </c>
      <c r="Z13" s="104">
        <v>0</v>
      </c>
      <c r="AA13" s="104">
        <f t="shared" si="6"/>
        <v>13926.070000000003</v>
      </c>
      <c r="AB13" s="104">
        <f>2550+2550-391.06</f>
        <v>4708.9399999999996</v>
      </c>
      <c r="AC13" s="104">
        <v>0</v>
      </c>
      <c r="AD13" s="107">
        <v>0</v>
      </c>
      <c r="AE13" s="108">
        <v>0</v>
      </c>
      <c r="AF13" s="107">
        <v>0</v>
      </c>
      <c r="AG13" s="105">
        <v>0</v>
      </c>
      <c r="AH13" s="109">
        <f t="shared" ref="AH13:AH24" si="13">AA13+AB13+AC13+AD13+AE13+AF13+AG13</f>
        <v>18635.010000000002</v>
      </c>
      <c r="AI13" s="110"/>
      <c r="AJ13" s="110"/>
      <c r="AK13" s="43"/>
      <c r="AL13" s="44">
        <f t="shared" si="3"/>
        <v>18635.010000000002</v>
      </c>
      <c r="AM13" s="35"/>
      <c r="AN13" s="35"/>
      <c r="AO13" s="35"/>
      <c r="AP13" s="34">
        <f t="shared" ref="AP13" si="14">+G13-H13-N13-R13</f>
        <v>19606.530000000002</v>
      </c>
      <c r="AQ13" s="34"/>
      <c r="AR13" s="34"/>
      <c r="AS13" s="34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</row>
    <row r="14" spans="1:132" s="116" customFormat="1" ht="13.15" customHeight="1" x14ac:dyDescent="0.2">
      <c r="A14" s="102" t="s">
        <v>157</v>
      </c>
      <c r="B14" s="103">
        <f>10000+10000</f>
        <v>20000</v>
      </c>
      <c r="C14" s="103">
        <f>10000-763.61-383.4-1916.92+10000-311.51-399.69</f>
        <v>16224.87</v>
      </c>
      <c r="D14" s="104">
        <v>199.27</v>
      </c>
      <c r="E14" s="104">
        <v>0</v>
      </c>
      <c r="F14" s="104">
        <v>766.77</v>
      </c>
      <c r="G14" s="105">
        <f>C14+D14+E14+F14</f>
        <v>17190.91</v>
      </c>
      <c r="H14" s="104">
        <v>900</v>
      </c>
      <c r="I14" s="105">
        <v>1900</v>
      </c>
      <c r="J14" s="104">
        <f t="shared" si="1"/>
        <v>2800</v>
      </c>
      <c r="K14" s="104">
        <v>30</v>
      </c>
      <c r="L14" s="104">
        <v>0</v>
      </c>
      <c r="M14" s="104">
        <v>0</v>
      </c>
      <c r="N14" s="104">
        <f t="shared" si="12"/>
        <v>500</v>
      </c>
      <c r="O14" s="104">
        <f t="shared" si="4"/>
        <v>500</v>
      </c>
      <c r="P14" s="105">
        <f t="shared" si="5"/>
        <v>1000</v>
      </c>
      <c r="Q14" s="104">
        <v>0</v>
      </c>
      <c r="R14" s="104">
        <v>200</v>
      </c>
      <c r="S14" s="104">
        <f>R14</f>
        <v>200</v>
      </c>
      <c r="T14" s="103">
        <v>0</v>
      </c>
      <c r="U14" s="107">
        <v>0</v>
      </c>
      <c r="V14" s="107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f t="shared" si="6"/>
        <v>15590.91</v>
      </c>
      <c r="AB14" s="104"/>
      <c r="AC14" s="104"/>
      <c r="AD14" s="107"/>
      <c r="AE14" s="108"/>
      <c r="AF14" s="107"/>
      <c r="AG14" s="105"/>
      <c r="AH14" s="109">
        <f t="shared" si="13"/>
        <v>15590.91</v>
      </c>
      <c r="AI14" s="110"/>
      <c r="AJ14" s="110"/>
      <c r="AK14" s="43"/>
      <c r="AL14" s="44"/>
      <c r="AM14" s="35"/>
      <c r="AN14" s="35"/>
      <c r="AO14" s="35"/>
      <c r="AP14" s="34">
        <f t="shared" si="8"/>
        <v>15590.91</v>
      </c>
      <c r="AQ14" s="34"/>
      <c r="AR14" s="34"/>
      <c r="AS14" s="34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</row>
    <row r="15" spans="1:132" ht="14.25" customHeight="1" x14ac:dyDescent="0.25">
      <c r="A15" s="102" t="s">
        <v>44</v>
      </c>
      <c r="B15" s="109">
        <f>9500+9500</f>
        <v>19000</v>
      </c>
      <c r="C15" s="103">
        <f>9500-182.1+9500-1.52-91.05</f>
        <v>18725.330000000002</v>
      </c>
      <c r="D15" s="104">
        <v>218.52</v>
      </c>
      <c r="E15" s="104">
        <v>0</v>
      </c>
      <c r="F15" s="104">
        <v>0</v>
      </c>
      <c r="G15" s="104">
        <f t="shared" ref="G15:G32" si="15">C15+D15+E15+F15</f>
        <v>18943.850000000002</v>
      </c>
      <c r="H15" s="104">
        <v>855</v>
      </c>
      <c r="I15" s="105">
        <v>1805</v>
      </c>
      <c r="J15" s="104">
        <f t="shared" si="1"/>
        <v>2660</v>
      </c>
      <c r="K15" s="104">
        <v>30</v>
      </c>
      <c r="L15" s="104">
        <v>1753.51</v>
      </c>
      <c r="M15" s="104">
        <v>0</v>
      </c>
      <c r="N15" s="104">
        <f t="shared" si="12"/>
        <v>475</v>
      </c>
      <c r="O15" s="104">
        <f t="shared" si="4"/>
        <v>475</v>
      </c>
      <c r="P15" s="105">
        <f t="shared" si="5"/>
        <v>950</v>
      </c>
      <c r="Q15" s="104">
        <v>0</v>
      </c>
      <c r="R15" s="104">
        <v>200</v>
      </c>
      <c r="S15" s="104">
        <f t="shared" ref="S15:S43" si="16">R15</f>
        <v>200</v>
      </c>
      <c r="T15" s="103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0</v>
      </c>
      <c r="AA15" s="104">
        <f t="shared" si="6"/>
        <v>15660.340000000004</v>
      </c>
      <c r="AB15" s="104">
        <f>3100+3100</f>
        <v>6200</v>
      </c>
      <c r="AC15" s="104">
        <v>71.319999999999993</v>
      </c>
      <c r="AD15" s="107">
        <v>0</v>
      </c>
      <c r="AE15" s="108">
        <v>0</v>
      </c>
      <c r="AF15" s="107">
        <v>0</v>
      </c>
      <c r="AG15" s="105">
        <v>0</v>
      </c>
      <c r="AH15" s="109">
        <f t="shared" si="13"/>
        <v>21931.660000000003</v>
      </c>
      <c r="AI15" s="110"/>
      <c r="AJ15" s="110"/>
      <c r="AK15" s="43"/>
      <c r="AL15" s="44">
        <f t="shared" si="3"/>
        <v>21931.660000000003</v>
      </c>
      <c r="AM15" s="35"/>
      <c r="AN15" s="35"/>
      <c r="AO15" s="35"/>
      <c r="AP15" s="34">
        <f t="shared" si="8"/>
        <v>17413.850000000002</v>
      </c>
      <c r="AQ15" s="113"/>
      <c r="AR15" s="34"/>
      <c r="AS15" s="34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</row>
    <row r="16" spans="1:132" ht="14.25" customHeight="1" x14ac:dyDescent="0.25">
      <c r="A16" s="102" t="s">
        <v>45</v>
      </c>
      <c r="B16" s="109">
        <f>7585+7585</f>
        <v>15170</v>
      </c>
      <c r="C16" s="103">
        <f>7585-33.93-145.4+7585-4.85-2035.6</f>
        <v>12950.22</v>
      </c>
      <c r="D16" s="104">
        <v>174.48</v>
      </c>
      <c r="E16" s="104">
        <v>0</v>
      </c>
      <c r="F16" s="104">
        <v>181.75</v>
      </c>
      <c r="G16" s="104">
        <f t="shared" si="15"/>
        <v>13306.449999999999</v>
      </c>
      <c r="H16" s="104">
        <v>675</v>
      </c>
      <c r="I16" s="105">
        <v>1425</v>
      </c>
      <c r="J16" s="104">
        <f t="shared" si="1"/>
        <v>2100</v>
      </c>
      <c r="K16" s="105">
        <v>30</v>
      </c>
      <c r="L16" s="104">
        <v>1384.35</v>
      </c>
      <c r="M16" s="104">
        <v>0</v>
      </c>
      <c r="N16" s="104">
        <f t="shared" si="12"/>
        <v>379.25</v>
      </c>
      <c r="O16" s="104">
        <f t="shared" si="4"/>
        <v>379.25</v>
      </c>
      <c r="P16" s="105">
        <f t="shared" si="5"/>
        <v>758.5</v>
      </c>
      <c r="Q16" s="104">
        <v>0</v>
      </c>
      <c r="R16" s="104">
        <v>200</v>
      </c>
      <c r="S16" s="104">
        <f t="shared" si="16"/>
        <v>200</v>
      </c>
      <c r="T16" s="104">
        <v>542.11</v>
      </c>
      <c r="U16" s="104">
        <v>0</v>
      </c>
      <c r="V16" s="117">
        <f>1000+1000</f>
        <v>2000</v>
      </c>
      <c r="W16" s="104">
        <v>0</v>
      </c>
      <c r="X16" s="104">
        <v>0</v>
      </c>
      <c r="Y16" s="104">
        <v>0</v>
      </c>
      <c r="Z16" s="104">
        <v>0</v>
      </c>
      <c r="AA16" s="104">
        <f t="shared" si="6"/>
        <v>8125.739999999998</v>
      </c>
      <c r="AB16" s="104">
        <v>0</v>
      </c>
      <c r="AC16" s="104">
        <v>0</v>
      </c>
      <c r="AD16" s="107">
        <v>0</v>
      </c>
      <c r="AE16" s="108">
        <v>0</v>
      </c>
      <c r="AF16" s="107">
        <v>0</v>
      </c>
      <c r="AG16" s="105">
        <v>0</v>
      </c>
      <c r="AH16" s="109">
        <f t="shared" si="13"/>
        <v>8125.739999999998</v>
      </c>
      <c r="AI16" s="110"/>
      <c r="AJ16" s="110"/>
      <c r="AK16" s="43"/>
      <c r="AL16" s="44">
        <f t="shared" si="3"/>
        <v>8125.739999999998</v>
      </c>
      <c r="AM16" s="35"/>
      <c r="AN16" s="35"/>
      <c r="AO16" s="35"/>
      <c r="AP16" s="113">
        <f t="shared" si="8"/>
        <v>12052.199999999999</v>
      </c>
      <c r="AQ16" s="113"/>
      <c r="AR16" s="34"/>
      <c r="AS16" s="34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</row>
    <row r="17" spans="1:132" x14ac:dyDescent="0.25">
      <c r="A17" s="102" t="s">
        <v>46</v>
      </c>
      <c r="B17" s="118">
        <f>12568.5+12568.5</f>
        <v>25137</v>
      </c>
      <c r="C17" s="103">
        <f>12568.5-48.18-963.72+12568.5-70.27-963.72</f>
        <v>23091.109999999997</v>
      </c>
      <c r="D17" s="104">
        <v>289.10000000000002</v>
      </c>
      <c r="E17" s="104">
        <v>963.72</v>
      </c>
      <c r="F17" s="104">
        <v>0</v>
      </c>
      <c r="G17" s="104">
        <f t="shared" si="15"/>
        <v>24343.929999999997</v>
      </c>
      <c r="H17" s="104">
        <v>1125</v>
      </c>
      <c r="I17" s="105">
        <f>1900+475</f>
        <v>2375</v>
      </c>
      <c r="J17" s="104">
        <f t="shared" si="1"/>
        <v>3500</v>
      </c>
      <c r="K17" s="104">
        <v>30</v>
      </c>
      <c r="L17" s="104">
        <v>1845.8</v>
      </c>
      <c r="M17" s="104">
        <v>0</v>
      </c>
      <c r="N17" s="112">
        <v>628.42999999999995</v>
      </c>
      <c r="O17" s="112">
        <f t="shared" si="4"/>
        <v>628.42000000000019</v>
      </c>
      <c r="P17" s="105">
        <f t="shared" si="5"/>
        <v>1256.8500000000001</v>
      </c>
      <c r="Q17" s="106">
        <v>233.63</v>
      </c>
      <c r="R17" s="104">
        <v>200</v>
      </c>
      <c r="S17" s="104">
        <f t="shared" si="16"/>
        <v>200</v>
      </c>
      <c r="T17" s="103">
        <v>0</v>
      </c>
      <c r="U17" s="104">
        <v>0</v>
      </c>
      <c r="V17" s="104">
        <v>0</v>
      </c>
      <c r="W17" s="104">
        <v>0</v>
      </c>
      <c r="X17" s="104">
        <v>0</v>
      </c>
      <c r="Y17" s="104">
        <v>0</v>
      </c>
      <c r="Z17" s="104">
        <v>0</v>
      </c>
      <c r="AA17" s="104">
        <f t="shared" si="6"/>
        <v>20311.069999999996</v>
      </c>
      <c r="AB17" s="104">
        <v>0</v>
      </c>
      <c r="AC17" s="104">
        <v>0</v>
      </c>
      <c r="AD17" s="107">
        <v>0</v>
      </c>
      <c r="AE17" s="108">
        <v>0</v>
      </c>
      <c r="AF17" s="107">
        <v>0</v>
      </c>
      <c r="AG17" s="105">
        <v>0</v>
      </c>
      <c r="AH17" s="109">
        <f t="shared" si="13"/>
        <v>20311.069999999996</v>
      </c>
      <c r="AI17" s="119"/>
      <c r="AJ17" s="110"/>
      <c r="AK17" s="43"/>
      <c r="AL17" s="44">
        <f t="shared" si="3"/>
        <v>20311.069999999996</v>
      </c>
      <c r="AM17" s="35"/>
      <c r="AN17" s="35"/>
      <c r="AO17" s="35"/>
      <c r="AQ17" s="34">
        <f>+G17-H17-N17-R17</f>
        <v>22390.499999999996</v>
      </c>
      <c r="AR17" s="34"/>
      <c r="AS17" s="34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</row>
    <row r="18" spans="1:132" x14ac:dyDescent="0.25">
      <c r="A18" s="102" t="s">
        <v>47</v>
      </c>
      <c r="B18" s="109">
        <f>9646+9646</f>
        <v>19292</v>
      </c>
      <c r="C18" s="103">
        <f>9646-118.64-739.63+9646-47.77-2958.52</f>
        <v>15427.440000000002</v>
      </c>
      <c r="D18" s="104">
        <v>115.56</v>
      </c>
      <c r="E18" s="104">
        <v>0</v>
      </c>
      <c r="F18" s="104">
        <v>751.16</v>
      </c>
      <c r="G18" s="104">
        <f t="shared" si="15"/>
        <v>16294.160000000002</v>
      </c>
      <c r="H18" s="105">
        <v>877.5</v>
      </c>
      <c r="I18" s="105">
        <v>1852.5</v>
      </c>
      <c r="J18" s="104">
        <f t="shared" si="1"/>
        <v>2730</v>
      </c>
      <c r="K18" s="105">
        <v>30</v>
      </c>
      <c r="L18" s="104">
        <v>1799.65</v>
      </c>
      <c r="M18" s="104">
        <v>0</v>
      </c>
      <c r="N18" s="104">
        <f t="shared" si="12"/>
        <v>482.3</v>
      </c>
      <c r="O18" s="104">
        <f t="shared" si="4"/>
        <v>482.3</v>
      </c>
      <c r="P18" s="105">
        <f t="shared" si="5"/>
        <v>964.6</v>
      </c>
      <c r="Q18" s="104">
        <v>0</v>
      </c>
      <c r="R18" s="104">
        <v>200</v>
      </c>
      <c r="S18" s="104">
        <f t="shared" si="16"/>
        <v>200</v>
      </c>
      <c r="T18" s="103">
        <f>1717.05</f>
        <v>1717.05</v>
      </c>
      <c r="U18" s="104">
        <v>0</v>
      </c>
      <c r="V18" s="104">
        <f>2000+2000</f>
        <v>4000</v>
      </c>
      <c r="W18" s="104">
        <v>0</v>
      </c>
      <c r="X18" s="104">
        <v>0</v>
      </c>
      <c r="Y18" s="104">
        <v>0</v>
      </c>
      <c r="Z18" s="104">
        <v>0</v>
      </c>
      <c r="AA18" s="104">
        <f t="shared" si="6"/>
        <v>7217.6600000000026</v>
      </c>
      <c r="AB18" s="104">
        <f>2300-176.36+2300-705.44</f>
        <v>3718.1999999999994</v>
      </c>
      <c r="AC18" s="104">
        <v>52.91</v>
      </c>
      <c r="AD18" s="107">
        <v>0</v>
      </c>
      <c r="AE18" s="108">
        <v>0</v>
      </c>
      <c r="AF18" s="107">
        <v>0</v>
      </c>
      <c r="AG18" s="105">
        <v>0</v>
      </c>
      <c r="AH18" s="109">
        <f t="shared" si="13"/>
        <v>10988.770000000002</v>
      </c>
      <c r="AI18" s="110"/>
      <c r="AJ18" s="110"/>
      <c r="AK18" s="43"/>
      <c r="AL18" s="44">
        <f t="shared" si="3"/>
        <v>10988.770000000002</v>
      </c>
      <c r="AM18" s="35"/>
      <c r="AN18" s="35"/>
      <c r="AO18" s="35"/>
      <c r="AP18" s="113">
        <f t="shared" si="8"/>
        <v>14734.360000000002</v>
      </c>
      <c r="AQ18" s="113"/>
      <c r="AR18" s="34"/>
      <c r="AS18" s="34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</row>
    <row r="19" spans="1:132" x14ac:dyDescent="0.25">
      <c r="A19" s="102" t="s">
        <v>48</v>
      </c>
      <c r="B19" s="109">
        <f>35000+35000</f>
        <v>70000</v>
      </c>
      <c r="C19" s="103">
        <f>35000-234.82-211.34-2683.71+35000-279.55</f>
        <v>66590.58</v>
      </c>
      <c r="D19" s="104">
        <v>795.04</v>
      </c>
      <c r="E19" s="104">
        <v>0</v>
      </c>
      <c r="F19" s="104">
        <v>0</v>
      </c>
      <c r="G19" s="104">
        <f>C19+D19+E19+F19</f>
        <v>67385.62</v>
      </c>
      <c r="H19" s="104">
        <v>1350</v>
      </c>
      <c r="I19" s="105">
        <v>2850</v>
      </c>
      <c r="J19" s="104">
        <f t="shared" si="1"/>
        <v>4200</v>
      </c>
      <c r="K19" s="105">
        <v>30</v>
      </c>
      <c r="L19" s="104">
        <v>1845.8</v>
      </c>
      <c r="M19" s="104">
        <v>0</v>
      </c>
      <c r="N19" s="104">
        <f t="shared" si="12"/>
        <v>1750</v>
      </c>
      <c r="O19" s="104">
        <f t="shared" si="4"/>
        <v>1750</v>
      </c>
      <c r="P19" s="105">
        <f t="shared" si="5"/>
        <v>3500</v>
      </c>
      <c r="Q19" s="104">
        <f>(G19-H19-N19-R19-33333)*20%+1875</f>
        <v>8025.5239999999994</v>
      </c>
      <c r="R19" s="104">
        <v>200</v>
      </c>
      <c r="S19" s="104">
        <f t="shared" si="16"/>
        <v>200</v>
      </c>
      <c r="T19" s="104">
        <v>3826.05</v>
      </c>
      <c r="U19" s="104">
        <v>0</v>
      </c>
      <c r="V19" s="104">
        <v>0</v>
      </c>
      <c r="W19" s="104">
        <f>10000+8157.16</f>
        <v>18157.16</v>
      </c>
      <c r="X19" s="104">
        <v>0</v>
      </c>
      <c r="Y19" s="104">
        <v>0</v>
      </c>
      <c r="Z19" s="104">
        <v>0</v>
      </c>
      <c r="AA19" s="104">
        <f t="shared" si="6"/>
        <v>32231.085999999988</v>
      </c>
      <c r="AB19" s="104">
        <v>0</v>
      </c>
      <c r="AC19" s="104">
        <v>0</v>
      </c>
      <c r="AD19" s="107">
        <f>1000+1000</f>
        <v>2000</v>
      </c>
      <c r="AE19" s="108">
        <v>0</v>
      </c>
      <c r="AF19" s="107">
        <v>0</v>
      </c>
      <c r="AG19" s="105">
        <v>0</v>
      </c>
      <c r="AH19" s="109">
        <f t="shared" si="13"/>
        <v>34231.085999999988</v>
      </c>
      <c r="AI19" s="110"/>
      <c r="AJ19" s="110"/>
      <c r="AK19" s="43"/>
      <c r="AL19" s="44">
        <f t="shared" si="3"/>
        <v>34231.085999999996</v>
      </c>
      <c r="AM19" s="35"/>
      <c r="AN19" s="35"/>
      <c r="AO19" s="35"/>
      <c r="AQ19" s="34">
        <f>+G19-H19-N19-R19</f>
        <v>64085.619999999995</v>
      </c>
      <c r="AR19" s="34"/>
      <c r="AS19" s="34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</row>
    <row r="20" spans="1:132" x14ac:dyDescent="0.25">
      <c r="A20" s="102" t="s">
        <v>49</v>
      </c>
      <c r="B20" s="109">
        <f>7040+7040</f>
        <v>14080</v>
      </c>
      <c r="C20" s="103">
        <f>7040-49.49-33.74+7040-10.12-1079.62</f>
        <v>12907.029999999999</v>
      </c>
      <c r="D20" s="104">
        <v>158.91999999999999</v>
      </c>
      <c r="E20" s="104">
        <v>0</v>
      </c>
      <c r="F20" s="104">
        <f>506.1+506.1</f>
        <v>1012.2</v>
      </c>
      <c r="G20" s="104">
        <f t="shared" si="15"/>
        <v>14078.15</v>
      </c>
      <c r="H20" s="104">
        <v>630</v>
      </c>
      <c r="I20" s="105">
        <v>1330</v>
      </c>
      <c r="J20" s="104">
        <f t="shared" si="1"/>
        <v>1960</v>
      </c>
      <c r="K20" s="105">
        <v>10</v>
      </c>
      <c r="L20" s="104">
        <v>1292.06</v>
      </c>
      <c r="M20" s="104">
        <v>0</v>
      </c>
      <c r="N20" s="104">
        <f t="shared" si="12"/>
        <v>352</v>
      </c>
      <c r="O20" s="104">
        <f t="shared" si="4"/>
        <v>352</v>
      </c>
      <c r="P20" s="105">
        <f t="shared" si="5"/>
        <v>704</v>
      </c>
      <c r="Q20" s="104">
        <v>0</v>
      </c>
      <c r="R20" s="104">
        <v>200</v>
      </c>
      <c r="S20" s="104">
        <f t="shared" si="16"/>
        <v>200</v>
      </c>
      <c r="T20" s="103">
        <v>814.55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>
        <v>0</v>
      </c>
      <c r="AA20" s="104">
        <f t="shared" si="6"/>
        <v>10789.54</v>
      </c>
      <c r="AB20" s="104">
        <v>0</v>
      </c>
      <c r="AC20" s="104">
        <v>0</v>
      </c>
      <c r="AD20" s="107">
        <v>0</v>
      </c>
      <c r="AE20" s="108">
        <v>0</v>
      </c>
      <c r="AF20" s="107">
        <v>0</v>
      </c>
      <c r="AG20" s="105">
        <v>0</v>
      </c>
      <c r="AH20" s="109">
        <f t="shared" si="13"/>
        <v>10789.54</v>
      </c>
      <c r="AI20" s="119" t="s">
        <v>21</v>
      </c>
      <c r="AJ20" s="110"/>
      <c r="AK20" s="43"/>
      <c r="AL20" s="44">
        <f t="shared" si="3"/>
        <v>10789.54</v>
      </c>
      <c r="AM20" s="35"/>
      <c r="AN20" s="35"/>
      <c r="AO20" s="35"/>
      <c r="AP20" s="34">
        <f t="shared" si="8"/>
        <v>12896.15</v>
      </c>
      <c r="AQ20" s="34"/>
      <c r="AR20" s="34"/>
      <c r="AS20" s="34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</row>
    <row r="21" spans="1:132" x14ac:dyDescent="0.25">
      <c r="A21" s="102" t="s">
        <v>50</v>
      </c>
      <c r="B21" s="109">
        <f>10570+10570</f>
        <v>21140</v>
      </c>
      <c r="C21" s="103">
        <f>10570-614.61+10570-35.46-810.48</f>
        <v>19679.45</v>
      </c>
      <c r="D21" s="104">
        <v>243.14</v>
      </c>
      <c r="E21" s="104">
        <v>0</v>
      </c>
      <c r="F21" s="104">
        <v>0</v>
      </c>
      <c r="G21" s="104">
        <f t="shared" si="15"/>
        <v>19922.59</v>
      </c>
      <c r="H21" s="104">
        <v>945</v>
      </c>
      <c r="I21" s="105">
        <f>1900+95</f>
        <v>1995</v>
      </c>
      <c r="J21" s="104">
        <f t="shared" si="1"/>
        <v>2940</v>
      </c>
      <c r="K21" s="105">
        <v>30</v>
      </c>
      <c r="L21" s="104">
        <v>1845.8</v>
      </c>
      <c r="M21" s="104">
        <f>0</f>
        <v>0</v>
      </c>
      <c r="N21" s="104">
        <f t="shared" si="12"/>
        <v>528.5</v>
      </c>
      <c r="O21" s="104">
        <f t="shared" si="4"/>
        <v>528.5</v>
      </c>
      <c r="P21" s="105">
        <f t="shared" si="5"/>
        <v>1057</v>
      </c>
      <c r="Q21" s="105">
        <v>0</v>
      </c>
      <c r="R21" s="104">
        <v>200</v>
      </c>
      <c r="S21" s="104">
        <f t="shared" si="16"/>
        <v>200</v>
      </c>
      <c r="T21" s="103">
        <v>1611.71</v>
      </c>
      <c r="U21" s="104">
        <v>0</v>
      </c>
      <c r="V21" s="104">
        <f>1000+1000</f>
        <v>2000</v>
      </c>
      <c r="W21" s="104">
        <v>0</v>
      </c>
      <c r="X21" s="104">
        <v>0</v>
      </c>
      <c r="Y21" s="104">
        <v>0</v>
      </c>
      <c r="Z21" s="104">
        <v>0</v>
      </c>
      <c r="AA21" s="104">
        <f t="shared" si="6"/>
        <v>12791.580000000002</v>
      </c>
      <c r="AB21" s="104">
        <v>0</v>
      </c>
      <c r="AC21" s="104">
        <v>0</v>
      </c>
      <c r="AD21" s="107">
        <v>0</v>
      </c>
      <c r="AE21" s="108">
        <v>0</v>
      </c>
      <c r="AF21" s="107">
        <v>0</v>
      </c>
      <c r="AG21" s="105">
        <v>0</v>
      </c>
      <c r="AH21" s="109">
        <f t="shared" si="13"/>
        <v>12791.580000000002</v>
      </c>
      <c r="AI21" s="110"/>
      <c r="AJ21" s="110"/>
      <c r="AK21" s="43"/>
      <c r="AL21" s="44">
        <f t="shared" si="3"/>
        <v>12791.580000000002</v>
      </c>
      <c r="AM21" s="35"/>
      <c r="AN21" s="35"/>
      <c r="AO21" s="35"/>
      <c r="AP21" s="34">
        <f t="shared" si="8"/>
        <v>18249.09</v>
      </c>
      <c r="AQ21" s="34"/>
      <c r="AR21" s="34"/>
      <c r="AS21" s="34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</row>
    <row r="22" spans="1:132" s="116" customFormat="1" ht="13.15" customHeight="1" x14ac:dyDescent="0.25">
      <c r="A22" s="102" t="s">
        <v>51</v>
      </c>
      <c r="B22" s="109">
        <f>8382+8382</f>
        <v>16764</v>
      </c>
      <c r="C22" s="103">
        <f>8382-32.14+8382-28.12</f>
        <v>16703.740000000002</v>
      </c>
      <c r="D22" s="104">
        <v>192.82</v>
      </c>
      <c r="E22" s="104">
        <v>0</v>
      </c>
      <c r="F22" s="104">
        <f>1506.38+2058.71</f>
        <v>3565.09</v>
      </c>
      <c r="G22" s="105">
        <f t="shared" si="15"/>
        <v>20461.650000000001</v>
      </c>
      <c r="H22" s="104">
        <v>765</v>
      </c>
      <c r="I22" s="105">
        <v>1615</v>
      </c>
      <c r="J22" s="104">
        <f t="shared" si="1"/>
        <v>2380</v>
      </c>
      <c r="K22" s="105">
        <v>30</v>
      </c>
      <c r="L22" s="104">
        <v>1522.78</v>
      </c>
      <c r="M22" s="104">
        <v>0</v>
      </c>
      <c r="N22" s="104">
        <f t="shared" si="12"/>
        <v>419.1</v>
      </c>
      <c r="O22" s="104">
        <f t="shared" si="4"/>
        <v>419.1</v>
      </c>
      <c r="P22" s="105">
        <f t="shared" si="5"/>
        <v>838.2</v>
      </c>
      <c r="Q22" s="104">
        <v>0</v>
      </c>
      <c r="R22" s="104">
        <v>200</v>
      </c>
      <c r="S22" s="105">
        <f t="shared" si="16"/>
        <v>200</v>
      </c>
      <c r="T22" s="103">
        <v>1748.92</v>
      </c>
      <c r="U22" s="108">
        <v>0</v>
      </c>
      <c r="V22" s="108">
        <f>1000+1000</f>
        <v>2000</v>
      </c>
      <c r="W22" s="104">
        <v>0</v>
      </c>
      <c r="X22" s="104">
        <v>0</v>
      </c>
      <c r="Y22" s="104">
        <v>0</v>
      </c>
      <c r="Z22" s="104">
        <v>0</v>
      </c>
      <c r="AA22" s="104">
        <f t="shared" si="6"/>
        <v>13805.850000000004</v>
      </c>
      <c r="AB22" s="104">
        <v>0</v>
      </c>
      <c r="AC22" s="104">
        <v>0</v>
      </c>
      <c r="AD22" s="107">
        <v>0</v>
      </c>
      <c r="AE22" s="108">
        <v>0</v>
      </c>
      <c r="AF22" s="107">
        <v>0</v>
      </c>
      <c r="AG22" s="105">
        <v>0</v>
      </c>
      <c r="AH22" s="109">
        <f t="shared" si="13"/>
        <v>13805.850000000004</v>
      </c>
      <c r="AI22" s="110"/>
      <c r="AJ22" s="110"/>
      <c r="AK22" s="43"/>
      <c r="AL22" s="44">
        <f t="shared" si="3"/>
        <v>13805.850000000004</v>
      </c>
      <c r="AM22" s="35"/>
      <c r="AN22" s="35"/>
      <c r="AO22" s="35"/>
      <c r="AP22" s="113">
        <f t="shared" si="8"/>
        <v>19077.550000000003</v>
      </c>
      <c r="AQ22" s="113"/>
      <c r="AR22" s="34"/>
      <c r="AS22" s="34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</row>
    <row r="23" spans="1:132" s="116" customFormat="1" ht="13.15" customHeight="1" x14ac:dyDescent="0.25">
      <c r="A23" s="102" t="s">
        <v>158</v>
      </c>
      <c r="B23" s="109">
        <f>7500+7500</f>
        <v>15000</v>
      </c>
      <c r="C23" s="103">
        <f>7500-21.56-1150.16+7500-2300.32-143.76</f>
        <v>11384.199999999999</v>
      </c>
      <c r="D23" s="104">
        <v>172.51</v>
      </c>
      <c r="E23" s="104">
        <v>0</v>
      </c>
      <c r="F23" s="104">
        <v>0</v>
      </c>
      <c r="G23" s="105">
        <f t="shared" si="15"/>
        <v>11556.71</v>
      </c>
      <c r="H23" s="104">
        <v>675</v>
      </c>
      <c r="I23" s="105">
        <v>1425</v>
      </c>
      <c r="J23" s="104">
        <f t="shared" si="1"/>
        <v>2100</v>
      </c>
      <c r="K23" s="105">
        <v>30</v>
      </c>
      <c r="L23" s="104">
        <v>0</v>
      </c>
      <c r="M23" s="104">
        <v>0</v>
      </c>
      <c r="N23" s="104">
        <f>B23*5%/2</f>
        <v>375</v>
      </c>
      <c r="O23" s="104">
        <f t="shared" si="4"/>
        <v>375</v>
      </c>
      <c r="P23" s="105">
        <f t="shared" si="5"/>
        <v>750</v>
      </c>
      <c r="Q23" s="104">
        <v>0</v>
      </c>
      <c r="R23" s="104">
        <v>200</v>
      </c>
      <c r="S23" s="104">
        <f t="shared" si="16"/>
        <v>200</v>
      </c>
      <c r="T23" s="103">
        <v>0</v>
      </c>
      <c r="U23" s="107">
        <v>0</v>
      </c>
      <c r="V23" s="107">
        <v>0</v>
      </c>
      <c r="W23" s="104">
        <v>0</v>
      </c>
      <c r="X23" s="104">
        <v>0</v>
      </c>
      <c r="Y23" s="104">
        <v>0</v>
      </c>
      <c r="Z23" s="104">
        <v>0</v>
      </c>
      <c r="AA23" s="104">
        <f t="shared" si="6"/>
        <v>10306.709999999999</v>
      </c>
      <c r="AB23" s="104"/>
      <c r="AC23" s="104"/>
      <c r="AD23" s="107"/>
      <c r="AE23" s="108"/>
      <c r="AF23" s="107"/>
      <c r="AG23" s="105"/>
      <c r="AH23" s="109">
        <f t="shared" si="13"/>
        <v>10306.709999999999</v>
      </c>
      <c r="AI23" s="110"/>
      <c r="AJ23" s="110"/>
      <c r="AK23" s="43"/>
      <c r="AL23" s="44"/>
      <c r="AM23" s="35"/>
      <c r="AN23" s="35"/>
      <c r="AO23" s="35"/>
      <c r="AP23" s="113">
        <f t="shared" si="8"/>
        <v>10306.709999999999</v>
      </c>
      <c r="AQ23" s="113"/>
      <c r="AR23" s="34"/>
      <c r="AS23" s="34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</row>
    <row r="24" spans="1:132" x14ac:dyDescent="0.25">
      <c r="A24" s="102" t="s">
        <v>52</v>
      </c>
      <c r="B24" s="109">
        <f>11260+11260</f>
        <v>22520</v>
      </c>
      <c r="C24" s="103">
        <f>11260-16.19+11260-863.39</f>
        <v>21640.42</v>
      </c>
      <c r="D24" s="104">
        <v>259.01</v>
      </c>
      <c r="E24" s="104">
        <v>0</v>
      </c>
      <c r="F24" s="104">
        <f>1483.9+1888.6</f>
        <v>3372.5</v>
      </c>
      <c r="G24" s="104">
        <f t="shared" si="15"/>
        <v>25271.929999999997</v>
      </c>
      <c r="H24" s="104">
        <f>900+112.5</f>
        <v>1012.5</v>
      </c>
      <c r="I24" s="105">
        <f>1900+237.5</f>
        <v>2137.5</v>
      </c>
      <c r="J24" s="104">
        <f t="shared" si="1"/>
        <v>3150</v>
      </c>
      <c r="K24" s="105">
        <v>30</v>
      </c>
      <c r="L24" s="104"/>
      <c r="M24" s="104">
        <v>0</v>
      </c>
      <c r="N24" s="104">
        <f>B24*5%/2</f>
        <v>563</v>
      </c>
      <c r="O24" s="104">
        <f t="shared" si="4"/>
        <v>563</v>
      </c>
      <c r="P24" s="105">
        <f t="shared" si="5"/>
        <v>1126</v>
      </c>
      <c r="Q24" s="104">
        <f>(G24-H24-N24-R24-20833)*15%</f>
        <v>399.51449999999949</v>
      </c>
      <c r="R24" s="104">
        <v>200</v>
      </c>
      <c r="S24" s="104">
        <f t="shared" si="16"/>
        <v>200</v>
      </c>
      <c r="T24" s="103">
        <v>0</v>
      </c>
      <c r="U24" s="104">
        <v>0</v>
      </c>
      <c r="V24" s="104">
        <v>0</v>
      </c>
      <c r="W24" s="104">
        <v>0</v>
      </c>
      <c r="X24" s="104">
        <v>0</v>
      </c>
      <c r="Y24" s="104">
        <v>0</v>
      </c>
      <c r="Z24" s="104">
        <v>1845.8</v>
      </c>
      <c r="AA24" s="104">
        <f>G24-L24-M24-T24-U24-V24-W24-H24-N24-Q24-R24+Z24</f>
        <v>24942.715499999995</v>
      </c>
      <c r="AB24" s="104">
        <f>1900+1900</f>
        <v>3800</v>
      </c>
      <c r="AC24" s="104">
        <v>43.71</v>
      </c>
      <c r="AD24" s="107">
        <v>0</v>
      </c>
      <c r="AE24" s="108">
        <v>0</v>
      </c>
      <c r="AF24" s="107">
        <v>0</v>
      </c>
      <c r="AG24" s="105">
        <v>0</v>
      </c>
      <c r="AH24" s="109">
        <f t="shared" si="13"/>
        <v>28786.425499999994</v>
      </c>
      <c r="AI24" s="110" t="s">
        <v>21</v>
      </c>
      <c r="AJ24" s="110"/>
      <c r="AK24" s="43"/>
      <c r="AL24" s="44">
        <f t="shared" si="3"/>
        <v>28786.425499999994</v>
      </c>
      <c r="AM24" s="35"/>
      <c r="AN24" s="35"/>
      <c r="AO24" s="35"/>
      <c r="AQ24" s="113">
        <f>+G24-H24-N24-R24</f>
        <v>23496.429999999997</v>
      </c>
      <c r="AR24" s="34"/>
      <c r="AS24" s="34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</row>
    <row r="25" spans="1:132" x14ac:dyDescent="0.25">
      <c r="A25" s="102" t="s">
        <v>53</v>
      </c>
      <c r="B25" s="109">
        <f>62500+62500</f>
        <v>125000</v>
      </c>
      <c r="C25" s="103">
        <v>125000</v>
      </c>
      <c r="D25" s="104">
        <v>0</v>
      </c>
      <c r="E25" s="104">
        <v>0</v>
      </c>
      <c r="F25" s="104">
        <v>0</v>
      </c>
      <c r="G25" s="104">
        <f t="shared" si="15"/>
        <v>125000</v>
      </c>
      <c r="H25" s="104">
        <f>900+450</f>
        <v>1350</v>
      </c>
      <c r="I25" s="105">
        <f>1900+950</f>
        <v>2850</v>
      </c>
      <c r="J25" s="104">
        <f t="shared" si="1"/>
        <v>4200</v>
      </c>
      <c r="K25" s="105">
        <v>30</v>
      </c>
      <c r="L25" s="104">
        <v>0</v>
      </c>
      <c r="M25" s="104">
        <v>0</v>
      </c>
      <c r="N25" s="104">
        <f>5000/2</f>
        <v>2500</v>
      </c>
      <c r="O25" s="104">
        <f t="shared" si="4"/>
        <v>2500</v>
      </c>
      <c r="P25" s="105">
        <v>5000</v>
      </c>
      <c r="Q25" s="104">
        <f>(G25-H25-N25-R25-66667)*25%+8541.8</f>
        <v>22112.55</v>
      </c>
      <c r="R25" s="104">
        <v>200</v>
      </c>
      <c r="S25" s="104">
        <f t="shared" si="16"/>
        <v>200</v>
      </c>
      <c r="T25" s="103">
        <v>0</v>
      </c>
      <c r="U25" s="104">
        <v>0</v>
      </c>
      <c r="V25" s="104">
        <v>0</v>
      </c>
      <c r="W25" s="104">
        <v>0</v>
      </c>
      <c r="X25" s="104">
        <v>0</v>
      </c>
      <c r="Y25" s="104">
        <v>0</v>
      </c>
      <c r="Z25" s="104">
        <v>0</v>
      </c>
      <c r="AA25" s="104">
        <f t="shared" si="10"/>
        <v>125000</v>
      </c>
      <c r="AB25" s="104">
        <v>0</v>
      </c>
      <c r="AC25" s="104">
        <v>0</v>
      </c>
      <c r="AD25" s="107">
        <v>0</v>
      </c>
      <c r="AE25" s="108">
        <v>0</v>
      </c>
      <c r="AF25" s="107">
        <v>0</v>
      </c>
      <c r="AG25" s="105">
        <v>0</v>
      </c>
      <c r="AH25" s="114">
        <f t="shared" si="11"/>
        <v>125000</v>
      </c>
      <c r="AI25" s="115">
        <v>62500</v>
      </c>
      <c r="AJ25" s="115">
        <f>62500-H25-N25-Q25-R25</f>
        <v>36337.449999999997</v>
      </c>
      <c r="AK25" s="46">
        <f>AI25+AJ25</f>
        <v>98837.45</v>
      </c>
      <c r="AL25" s="44">
        <f t="shared" si="3"/>
        <v>98837.45</v>
      </c>
      <c r="AM25" s="35"/>
      <c r="AN25" s="35"/>
      <c r="AO25" s="35"/>
      <c r="AQ25" s="113">
        <f>+G25-H25-N25-R25</f>
        <v>120950</v>
      </c>
      <c r="AR25" s="34"/>
      <c r="AS25" s="34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</row>
    <row r="26" spans="1:132" x14ac:dyDescent="0.25">
      <c r="A26" s="102" t="s">
        <v>168</v>
      </c>
      <c r="B26" s="109">
        <f>7500+7500</f>
        <v>15000</v>
      </c>
      <c r="C26" s="103">
        <f>7500+7500-575.08</f>
        <v>14424.92</v>
      </c>
      <c r="D26" s="104">
        <v>172.51</v>
      </c>
      <c r="E26" s="104">
        <v>0</v>
      </c>
      <c r="F26" s="104">
        <v>0</v>
      </c>
      <c r="G26" s="104">
        <f t="shared" si="15"/>
        <v>14597.43</v>
      </c>
      <c r="H26" s="104">
        <v>675</v>
      </c>
      <c r="I26" s="105">
        <v>1425</v>
      </c>
      <c r="J26" s="104">
        <f>H26+I26</f>
        <v>2100</v>
      </c>
      <c r="K26" s="105">
        <v>30</v>
      </c>
      <c r="L26" s="104">
        <v>0</v>
      </c>
      <c r="M26" s="104">
        <v>0</v>
      </c>
      <c r="N26" s="104">
        <f>B26*5%/2</f>
        <v>375</v>
      </c>
      <c r="O26" s="104">
        <f t="shared" si="4"/>
        <v>375</v>
      </c>
      <c r="P26" s="105">
        <f t="shared" si="5"/>
        <v>750</v>
      </c>
      <c r="Q26" s="104">
        <v>0</v>
      </c>
      <c r="R26" s="104">
        <v>200</v>
      </c>
      <c r="S26" s="104">
        <f>R26</f>
        <v>200</v>
      </c>
      <c r="T26" s="103">
        <v>0</v>
      </c>
      <c r="U26" s="104">
        <v>0</v>
      </c>
      <c r="V26" s="104">
        <v>0</v>
      </c>
      <c r="W26" s="104">
        <v>0</v>
      </c>
      <c r="X26" s="104">
        <v>0</v>
      </c>
      <c r="Y26" s="104">
        <v>0</v>
      </c>
      <c r="Z26" s="104">
        <v>0</v>
      </c>
      <c r="AA26" s="104">
        <f t="shared" si="6"/>
        <v>13347.43</v>
      </c>
      <c r="AB26" s="104"/>
      <c r="AC26" s="104"/>
      <c r="AD26" s="107"/>
      <c r="AE26" s="108"/>
      <c r="AF26" s="107"/>
      <c r="AG26" s="105"/>
      <c r="AH26" s="109">
        <f>AA26+AB26+AC26+AD26+AE26+AF26+AG26</f>
        <v>13347.43</v>
      </c>
      <c r="AI26" s="115"/>
      <c r="AJ26" s="115"/>
      <c r="AK26" s="46"/>
      <c r="AL26" s="44">
        <f t="shared" si="3"/>
        <v>13347.43</v>
      </c>
      <c r="AM26" s="35"/>
      <c r="AN26" s="35"/>
      <c r="AO26" s="35"/>
      <c r="AP26" s="113">
        <f t="shared" ref="AP26" si="17">+G26-H26-N26-R26</f>
        <v>13347.43</v>
      </c>
      <c r="AQ26" s="113"/>
      <c r="AR26" s="34"/>
      <c r="AS26" s="34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</row>
    <row r="27" spans="1:132" x14ac:dyDescent="0.25">
      <c r="A27" s="120" t="s">
        <v>54</v>
      </c>
      <c r="B27" s="109">
        <f>150000+30000+50000</f>
        <v>230000</v>
      </c>
      <c r="C27" s="103">
        <v>230000</v>
      </c>
      <c r="D27" s="104">
        <v>0</v>
      </c>
      <c r="E27" s="104">
        <v>0</v>
      </c>
      <c r="F27" s="104">
        <v>0</v>
      </c>
      <c r="G27" s="104">
        <f t="shared" si="15"/>
        <v>230000</v>
      </c>
      <c r="H27" s="104">
        <f>900+450</f>
        <v>1350</v>
      </c>
      <c r="I27" s="105">
        <f>1900+950</f>
        <v>2850</v>
      </c>
      <c r="J27" s="104">
        <f t="shared" si="1"/>
        <v>4200</v>
      </c>
      <c r="K27" s="105">
        <v>30</v>
      </c>
      <c r="L27" s="104">
        <v>0</v>
      </c>
      <c r="M27" s="104">
        <v>0</v>
      </c>
      <c r="N27" s="104">
        <f>5000/2</f>
        <v>2500</v>
      </c>
      <c r="O27" s="104">
        <f t="shared" si="4"/>
        <v>2500</v>
      </c>
      <c r="P27" s="105">
        <v>5000</v>
      </c>
      <c r="Q27" s="104">
        <f>(G27-H27-N27-R27-166667)*30%+33541.8</f>
        <v>51326.7</v>
      </c>
      <c r="R27" s="104">
        <v>200</v>
      </c>
      <c r="S27" s="104">
        <f t="shared" si="16"/>
        <v>200</v>
      </c>
      <c r="T27" s="103">
        <v>0</v>
      </c>
      <c r="U27" s="104">
        <v>0</v>
      </c>
      <c r="V27" s="104">
        <v>0</v>
      </c>
      <c r="W27" s="104">
        <v>0</v>
      </c>
      <c r="X27" s="104">
        <v>0</v>
      </c>
      <c r="Y27" s="104">
        <v>0</v>
      </c>
      <c r="Z27" s="104">
        <v>0</v>
      </c>
      <c r="AA27" s="104">
        <f t="shared" si="10"/>
        <v>230000</v>
      </c>
      <c r="AB27" s="104">
        <v>0</v>
      </c>
      <c r="AC27" s="104">
        <v>0</v>
      </c>
      <c r="AD27" s="107">
        <v>0</v>
      </c>
      <c r="AE27" s="108">
        <v>0</v>
      </c>
      <c r="AF27" s="107">
        <v>0</v>
      </c>
      <c r="AG27" s="105">
        <v>0</v>
      </c>
      <c r="AH27" s="114">
        <f t="shared" si="11"/>
        <v>230000</v>
      </c>
      <c r="AI27" s="115">
        <f>90000+50000+90000</f>
        <v>230000</v>
      </c>
      <c r="AJ27" s="115">
        <f>230000-H27-N27-Q27-R27</f>
        <v>174623.3</v>
      </c>
      <c r="AK27" s="46">
        <f>AI27-AJ27</f>
        <v>55376.700000000012</v>
      </c>
      <c r="AL27" s="44">
        <f t="shared" si="3"/>
        <v>174623.3</v>
      </c>
      <c r="AM27" s="35"/>
      <c r="AN27" s="35"/>
      <c r="AO27" s="35"/>
      <c r="AQ27" s="113">
        <f>+G27-H27-N27-R27</f>
        <v>225950</v>
      </c>
      <c r="AR27" s="34"/>
      <c r="AS27" s="34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</row>
    <row r="28" spans="1:132" x14ac:dyDescent="0.25">
      <c r="A28" s="102" t="s">
        <v>55</v>
      </c>
      <c r="B28" s="109">
        <f>8750+8750</f>
        <v>17500</v>
      </c>
      <c r="C28" s="103">
        <f>8750+8750-1.4</f>
        <v>17498.599999999999</v>
      </c>
      <c r="D28" s="104">
        <v>201.29</v>
      </c>
      <c r="E28" s="104">
        <v>0</v>
      </c>
      <c r="F28" s="104">
        <f>995.96+1572.56</f>
        <v>2568.52</v>
      </c>
      <c r="G28" s="104">
        <f t="shared" si="15"/>
        <v>20268.41</v>
      </c>
      <c r="H28" s="104">
        <v>787.5</v>
      </c>
      <c r="I28" s="105">
        <v>1662.5</v>
      </c>
      <c r="J28" s="104">
        <f t="shared" si="1"/>
        <v>2450</v>
      </c>
      <c r="K28" s="104">
        <v>30</v>
      </c>
      <c r="L28" s="104">
        <v>0</v>
      </c>
      <c r="M28" s="104">
        <v>0</v>
      </c>
      <c r="N28" s="104">
        <f t="shared" ref="N28:N35" si="18">B28*5%/2</f>
        <v>437.5</v>
      </c>
      <c r="O28" s="104">
        <f t="shared" si="4"/>
        <v>437.5</v>
      </c>
      <c r="P28" s="105">
        <f t="shared" si="5"/>
        <v>875</v>
      </c>
      <c r="Q28" s="117">
        <v>0</v>
      </c>
      <c r="R28" s="104">
        <v>200</v>
      </c>
      <c r="S28" s="104">
        <f t="shared" si="16"/>
        <v>200</v>
      </c>
      <c r="T28" s="103">
        <v>0</v>
      </c>
      <c r="U28" s="104">
        <v>0</v>
      </c>
      <c r="V28" s="104">
        <v>0</v>
      </c>
      <c r="W28" s="104">
        <v>0</v>
      </c>
      <c r="X28" s="104">
        <v>0</v>
      </c>
      <c r="Y28" s="104">
        <v>0</v>
      </c>
      <c r="Z28" s="104">
        <v>0</v>
      </c>
      <c r="AA28" s="104">
        <f t="shared" si="6"/>
        <v>18843.41</v>
      </c>
      <c r="AB28" s="104">
        <v>0</v>
      </c>
      <c r="AC28" s="104">
        <v>0</v>
      </c>
      <c r="AD28" s="107">
        <v>0</v>
      </c>
      <c r="AE28" s="108">
        <v>0</v>
      </c>
      <c r="AF28" s="107">
        <v>0</v>
      </c>
      <c r="AG28" s="105">
        <v>0</v>
      </c>
      <c r="AH28" s="109">
        <f t="shared" ref="AH28:AH43" si="19">AA28+AB28+AC28+AD28+AE28+AF28+AG28</f>
        <v>18843.41</v>
      </c>
      <c r="AI28" s="115"/>
      <c r="AJ28" s="115"/>
      <c r="AK28" s="46"/>
      <c r="AL28" s="44">
        <f t="shared" si="3"/>
        <v>18843.41</v>
      </c>
      <c r="AM28" s="35"/>
      <c r="AN28" s="35"/>
      <c r="AO28" s="35"/>
      <c r="AP28" s="113">
        <f t="shared" ref="AP28" si="20">+G28-H28-N28-R28</f>
        <v>18843.41</v>
      </c>
      <c r="AQ28" s="113"/>
      <c r="AR28" s="34"/>
      <c r="AS28" s="34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</row>
    <row r="29" spans="1:132" x14ac:dyDescent="0.25">
      <c r="A29" s="102" t="s">
        <v>56</v>
      </c>
      <c r="B29" s="109">
        <f>12355+12355</f>
        <v>24710</v>
      </c>
      <c r="C29" s="103">
        <f>12355+12355</f>
        <v>24710</v>
      </c>
      <c r="D29" s="104">
        <v>284.20999999999998</v>
      </c>
      <c r="E29" s="104">
        <v>0</v>
      </c>
      <c r="F29" s="104">
        <f>148.02</f>
        <v>148.02000000000001</v>
      </c>
      <c r="G29" s="104">
        <f t="shared" si="15"/>
        <v>25142.23</v>
      </c>
      <c r="H29" s="104">
        <f>900+202.5</f>
        <v>1102.5</v>
      </c>
      <c r="I29" s="105">
        <f>1900+427.5</f>
        <v>2327.5</v>
      </c>
      <c r="J29" s="104">
        <f t="shared" si="1"/>
        <v>3430</v>
      </c>
      <c r="K29" s="104">
        <v>30</v>
      </c>
      <c r="L29" s="104">
        <v>0</v>
      </c>
      <c r="M29" s="104">
        <v>0</v>
      </c>
      <c r="N29" s="104">
        <f t="shared" si="18"/>
        <v>617.75</v>
      </c>
      <c r="O29" s="104">
        <f t="shared" si="4"/>
        <v>617.75</v>
      </c>
      <c r="P29" s="105">
        <f t="shared" si="5"/>
        <v>1235.5</v>
      </c>
      <c r="Q29" s="117">
        <f>(G29-H29-N29-R29-20833)*15%</f>
        <v>358.34699999999992</v>
      </c>
      <c r="R29" s="104">
        <v>200</v>
      </c>
      <c r="S29" s="104">
        <f t="shared" si="16"/>
        <v>200</v>
      </c>
      <c r="T29" s="103">
        <v>2412.8200000000002</v>
      </c>
      <c r="U29" s="104">
        <v>0</v>
      </c>
      <c r="V29" s="104">
        <v>0</v>
      </c>
      <c r="W29" s="104">
        <v>0</v>
      </c>
      <c r="X29" s="104">
        <v>0</v>
      </c>
      <c r="Y29" s="104">
        <v>0</v>
      </c>
      <c r="Z29" s="104">
        <v>0</v>
      </c>
      <c r="AA29" s="104">
        <f t="shared" si="6"/>
        <v>20450.812999999998</v>
      </c>
      <c r="AB29" s="104">
        <f>1400+1400</f>
        <v>2800</v>
      </c>
      <c r="AC29" s="104">
        <v>32.21</v>
      </c>
      <c r="AD29" s="107">
        <f>1000+1000</f>
        <v>2000</v>
      </c>
      <c r="AE29" s="108">
        <v>0</v>
      </c>
      <c r="AF29" s="107">
        <v>0</v>
      </c>
      <c r="AG29" s="105">
        <v>0</v>
      </c>
      <c r="AH29" s="109">
        <f t="shared" si="19"/>
        <v>25283.022999999997</v>
      </c>
      <c r="AI29" s="110"/>
      <c r="AJ29" s="115"/>
      <c r="AK29" s="47" t="s">
        <v>21</v>
      </c>
      <c r="AL29" s="44">
        <f t="shared" si="3"/>
        <v>25283.022999999997</v>
      </c>
      <c r="AM29" s="35"/>
      <c r="AN29" s="35"/>
      <c r="AO29" s="35"/>
      <c r="AQ29" s="113">
        <f>+G29-H29-N29-R29</f>
        <v>23221.98</v>
      </c>
      <c r="AR29" s="34"/>
      <c r="AS29" s="34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</row>
    <row r="30" spans="1:132" x14ac:dyDescent="0.25">
      <c r="A30" s="102" t="s">
        <v>57</v>
      </c>
      <c r="B30" s="109">
        <f>10000+10000</f>
        <v>20000</v>
      </c>
      <c r="C30" s="103">
        <f>10000-23.96+10000-7.99</f>
        <v>19968.05</v>
      </c>
      <c r="D30" s="104">
        <v>230.04</v>
      </c>
      <c r="E30" s="104">
        <v>0</v>
      </c>
      <c r="F30" s="104">
        <f>1078.31+1317.94</f>
        <v>2396.25</v>
      </c>
      <c r="G30" s="104">
        <f t="shared" si="15"/>
        <v>22594.34</v>
      </c>
      <c r="H30" s="104">
        <v>900</v>
      </c>
      <c r="I30" s="105">
        <v>1900</v>
      </c>
      <c r="J30" s="104">
        <f t="shared" si="1"/>
        <v>2800</v>
      </c>
      <c r="K30" s="104">
        <v>30</v>
      </c>
      <c r="L30" s="104">
        <v>0</v>
      </c>
      <c r="M30" s="104">
        <v>0</v>
      </c>
      <c r="N30" s="104">
        <f t="shared" si="18"/>
        <v>500</v>
      </c>
      <c r="O30" s="104">
        <f t="shared" si="4"/>
        <v>500</v>
      </c>
      <c r="P30" s="105">
        <f t="shared" si="5"/>
        <v>1000</v>
      </c>
      <c r="Q30" s="117">
        <f>(G30-H30-N30-R30-20833)*15%</f>
        <v>24.201000000000022</v>
      </c>
      <c r="R30" s="104">
        <v>200</v>
      </c>
      <c r="S30" s="104">
        <f t="shared" si="16"/>
        <v>200</v>
      </c>
      <c r="T30" s="103">
        <v>0</v>
      </c>
      <c r="U30" s="104">
        <v>0</v>
      </c>
      <c r="V30" s="104">
        <v>0</v>
      </c>
      <c r="W30" s="104">
        <v>0</v>
      </c>
      <c r="X30" s="104">
        <v>0</v>
      </c>
      <c r="Y30" s="104">
        <v>0</v>
      </c>
      <c r="Z30" s="104">
        <v>0</v>
      </c>
      <c r="AA30" s="104">
        <f t="shared" si="6"/>
        <v>20970.138999999999</v>
      </c>
      <c r="AB30" s="104">
        <v>0</v>
      </c>
      <c r="AC30" s="104">
        <v>0</v>
      </c>
      <c r="AD30" s="107">
        <v>0</v>
      </c>
      <c r="AE30" s="108">
        <v>0</v>
      </c>
      <c r="AF30" s="107">
        <v>0</v>
      </c>
      <c r="AG30" s="105">
        <v>0</v>
      </c>
      <c r="AH30" s="109">
        <f t="shared" si="19"/>
        <v>20970.138999999999</v>
      </c>
      <c r="AI30" s="110"/>
      <c r="AJ30" s="115"/>
      <c r="AK30" s="47"/>
      <c r="AL30" s="44">
        <f t="shared" si="3"/>
        <v>20970.138999999999</v>
      </c>
      <c r="AM30" s="35"/>
      <c r="AN30" s="35"/>
      <c r="AO30" s="35"/>
      <c r="AQ30" s="113">
        <f>+G30-H30-N30-R30</f>
        <v>20994.34</v>
      </c>
      <c r="AR30" s="34"/>
      <c r="AS30" s="34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</row>
    <row r="31" spans="1:132" x14ac:dyDescent="0.25">
      <c r="A31" s="102" t="s">
        <v>58</v>
      </c>
      <c r="B31" s="109">
        <f>9500+9500</f>
        <v>19000</v>
      </c>
      <c r="C31" s="103">
        <f>9500+9500-1.52</f>
        <v>18998.48</v>
      </c>
      <c r="D31" s="104">
        <v>218.52</v>
      </c>
      <c r="E31" s="104">
        <v>0</v>
      </c>
      <c r="F31" s="104">
        <f>910.5</f>
        <v>910.5</v>
      </c>
      <c r="G31" s="104">
        <f t="shared" si="15"/>
        <v>20127.5</v>
      </c>
      <c r="H31" s="104">
        <v>855</v>
      </c>
      <c r="I31" s="105">
        <v>1805</v>
      </c>
      <c r="J31" s="104">
        <f t="shared" si="1"/>
        <v>2660</v>
      </c>
      <c r="K31" s="104">
        <v>30</v>
      </c>
      <c r="L31" s="104">
        <v>0</v>
      </c>
      <c r="M31" s="104">
        <v>0</v>
      </c>
      <c r="N31" s="104">
        <f t="shared" si="18"/>
        <v>475</v>
      </c>
      <c r="O31" s="104">
        <f t="shared" si="4"/>
        <v>475</v>
      </c>
      <c r="P31" s="105">
        <f t="shared" si="5"/>
        <v>950</v>
      </c>
      <c r="Q31" s="117">
        <v>0</v>
      </c>
      <c r="R31" s="104">
        <v>200</v>
      </c>
      <c r="S31" s="104">
        <f t="shared" si="16"/>
        <v>200</v>
      </c>
      <c r="T31" s="103">
        <v>0</v>
      </c>
      <c r="U31" s="104">
        <v>0</v>
      </c>
      <c r="V31" s="104">
        <v>0</v>
      </c>
      <c r="W31" s="104">
        <v>0</v>
      </c>
      <c r="X31" s="104">
        <v>0</v>
      </c>
      <c r="Y31" s="104">
        <v>0</v>
      </c>
      <c r="Z31" s="104">
        <v>0</v>
      </c>
      <c r="AA31" s="104">
        <f t="shared" si="6"/>
        <v>18597.5</v>
      </c>
      <c r="AB31" s="104">
        <v>0</v>
      </c>
      <c r="AC31" s="104">
        <v>0</v>
      </c>
      <c r="AD31" s="107">
        <v>0</v>
      </c>
      <c r="AE31" s="108">
        <v>0</v>
      </c>
      <c r="AF31" s="107">
        <v>0</v>
      </c>
      <c r="AG31" s="105">
        <v>0</v>
      </c>
      <c r="AH31" s="109">
        <f t="shared" si="19"/>
        <v>18597.5</v>
      </c>
      <c r="AI31" s="110"/>
      <c r="AJ31" s="115"/>
      <c r="AK31" s="47"/>
      <c r="AL31" s="44">
        <f t="shared" si="3"/>
        <v>18597.5</v>
      </c>
      <c r="AM31" s="35"/>
      <c r="AN31" s="35"/>
      <c r="AO31" s="35"/>
      <c r="AP31" s="113">
        <f t="shared" si="8"/>
        <v>18597.5</v>
      </c>
      <c r="AQ31" s="113"/>
      <c r="AR31" s="34"/>
      <c r="AS31" s="34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</row>
    <row r="32" spans="1:132" x14ac:dyDescent="0.25">
      <c r="A32" s="102" t="s">
        <v>59</v>
      </c>
      <c r="B32" s="109">
        <f>8658+8658</f>
        <v>17316</v>
      </c>
      <c r="C32" s="103">
        <f>8658+8658-49.79</f>
        <v>17266.21</v>
      </c>
      <c r="D32" s="104">
        <v>199.15</v>
      </c>
      <c r="E32" s="104">
        <v>0</v>
      </c>
      <c r="F32" s="104">
        <v>0</v>
      </c>
      <c r="G32" s="104">
        <f t="shared" si="15"/>
        <v>17465.36</v>
      </c>
      <c r="H32" s="104">
        <v>787.5</v>
      </c>
      <c r="I32" s="105">
        <v>1662.5</v>
      </c>
      <c r="J32" s="104">
        <f t="shared" si="1"/>
        <v>2450</v>
      </c>
      <c r="K32" s="104">
        <v>30</v>
      </c>
      <c r="L32" s="104">
        <v>0</v>
      </c>
      <c r="M32" s="104">
        <v>0</v>
      </c>
      <c r="N32" s="104">
        <f t="shared" si="18"/>
        <v>432.90000000000003</v>
      </c>
      <c r="O32" s="104">
        <f t="shared" si="4"/>
        <v>432.90000000000003</v>
      </c>
      <c r="P32" s="105">
        <f t="shared" si="5"/>
        <v>865.80000000000007</v>
      </c>
      <c r="Q32" s="117">
        <v>0</v>
      </c>
      <c r="R32" s="104">
        <v>200</v>
      </c>
      <c r="S32" s="104">
        <f t="shared" si="16"/>
        <v>200</v>
      </c>
      <c r="T32" s="103">
        <v>0</v>
      </c>
      <c r="U32" s="104">
        <v>0</v>
      </c>
      <c r="V32" s="104">
        <v>0</v>
      </c>
      <c r="W32" s="104">
        <v>0</v>
      </c>
      <c r="X32" s="104">
        <v>0</v>
      </c>
      <c r="Y32" s="104">
        <v>0</v>
      </c>
      <c r="Z32" s="104">
        <v>0</v>
      </c>
      <c r="AA32" s="104">
        <f t="shared" si="6"/>
        <v>16044.960000000001</v>
      </c>
      <c r="AB32" s="104">
        <v>0</v>
      </c>
      <c r="AC32" s="104">
        <v>0</v>
      </c>
      <c r="AD32" s="107">
        <v>0</v>
      </c>
      <c r="AE32" s="108">
        <v>0</v>
      </c>
      <c r="AF32" s="107">
        <v>0</v>
      </c>
      <c r="AG32" s="105">
        <v>0</v>
      </c>
      <c r="AH32" s="109">
        <f t="shared" si="19"/>
        <v>16044.960000000001</v>
      </c>
      <c r="AI32" s="110"/>
      <c r="AJ32" s="115"/>
      <c r="AK32" s="47"/>
      <c r="AL32" s="44">
        <f t="shared" si="3"/>
        <v>16044.960000000001</v>
      </c>
      <c r="AM32" s="44">
        <f>AL32-AH32</f>
        <v>0</v>
      </c>
      <c r="AN32" s="35"/>
      <c r="AO32" s="35"/>
      <c r="AP32" s="113">
        <f t="shared" si="8"/>
        <v>16044.960000000001</v>
      </c>
      <c r="AQ32" s="113"/>
      <c r="AR32" s="34"/>
      <c r="AS32" s="34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</row>
    <row r="33" spans="1:132" x14ac:dyDescent="0.25">
      <c r="A33" s="102" t="s">
        <v>60</v>
      </c>
      <c r="B33" s="109">
        <f>10911+10911</f>
        <v>21822</v>
      </c>
      <c r="C33" s="103">
        <f>10911+10911</f>
        <v>21822</v>
      </c>
      <c r="D33" s="104">
        <v>250.99</v>
      </c>
      <c r="E33" s="104">
        <v>0</v>
      </c>
      <c r="F33" s="104">
        <v>0</v>
      </c>
      <c r="G33" s="104">
        <f>C33+D33+E33+F33</f>
        <v>22072.99</v>
      </c>
      <c r="H33" s="104">
        <v>990</v>
      </c>
      <c r="I33" s="104">
        <f>1900+190</f>
        <v>2090</v>
      </c>
      <c r="J33" s="104">
        <f t="shared" si="1"/>
        <v>3080</v>
      </c>
      <c r="K33" s="104">
        <v>30</v>
      </c>
      <c r="L33" s="104">
        <v>0</v>
      </c>
      <c r="M33" s="104">
        <v>0</v>
      </c>
      <c r="N33" s="104">
        <f t="shared" si="18"/>
        <v>545.55000000000007</v>
      </c>
      <c r="O33" s="104">
        <f t="shared" si="4"/>
        <v>545.55000000000007</v>
      </c>
      <c r="P33" s="105">
        <f t="shared" si="5"/>
        <v>1091.1000000000001</v>
      </c>
      <c r="Q33" s="117">
        <v>0</v>
      </c>
      <c r="R33" s="104">
        <v>200</v>
      </c>
      <c r="S33" s="104">
        <f t="shared" si="16"/>
        <v>200</v>
      </c>
      <c r="T33" s="104">
        <v>1293.73</v>
      </c>
      <c r="U33" s="104">
        <v>0</v>
      </c>
      <c r="V33" s="104">
        <v>0</v>
      </c>
      <c r="W33" s="104">
        <v>0</v>
      </c>
      <c r="X33" s="104">
        <v>0</v>
      </c>
      <c r="Y33" s="104">
        <v>0</v>
      </c>
      <c r="Z33" s="104">
        <v>0</v>
      </c>
      <c r="AA33" s="104">
        <f t="shared" si="6"/>
        <v>19043.710000000003</v>
      </c>
      <c r="AB33" s="104">
        <f>3150+3150</f>
        <v>6300</v>
      </c>
      <c r="AC33" s="104">
        <v>72.47</v>
      </c>
      <c r="AD33" s="107">
        <v>0</v>
      </c>
      <c r="AE33" s="108">
        <v>0</v>
      </c>
      <c r="AF33" s="108">
        <v>0</v>
      </c>
      <c r="AG33" s="105">
        <v>0</v>
      </c>
      <c r="AH33" s="109">
        <f t="shared" si="19"/>
        <v>25416.180000000004</v>
      </c>
      <c r="AI33" s="47"/>
      <c r="AJ33" s="115"/>
      <c r="AK33" s="47"/>
      <c r="AL33" s="44">
        <f t="shared" si="3"/>
        <v>25416.180000000004</v>
      </c>
      <c r="AM33" s="35"/>
      <c r="AN33" s="35"/>
      <c r="AO33" s="35"/>
      <c r="AP33" s="113">
        <f t="shared" si="8"/>
        <v>20337.440000000002</v>
      </c>
      <c r="AQ33" s="113"/>
      <c r="AR33" s="34"/>
      <c r="AS33" s="34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</row>
    <row r="34" spans="1:132" x14ac:dyDescent="0.25">
      <c r="A34" s="102" t="s">
        <v>61</v>
      </c>
      <c r="B34" s="109">
        <f>20000+20000</f>
        <v>40000</v>
      </c>
      <c r="C34" s="103">
        <f>20000-41.53+20000-31.95</f>
        <v>39926.520000000004</v>
      </c>
      <c r="D34" s="104">
        <v>460.06</v>
      </c>
      <c r="E34" s="104">
        <v>0</v>
      </c>
      <c r="F34" s="104">
        <v>0</v>
      </c>
      <c r="G34" s="104">
        <f>C34+D34+E34+F34</f>
        <v>40386.58</v>
      </c>
      <c r="H34" s="104">
        <f>900+450</f>
        <v>1350</v>
      </c>
      <c r="I34" s="105">
        <f>1900+950</f>
        <v>2850</v>
      </c>
      <c r="J34" s="104">
        <f t="shared" si="1"/>
        <v>4200</v>
      </c>
      <c r="K34" s="105">
        <v>30</v>
      </c>
      <c r="L34" s="104">
        <v>0</v>
      </c>
      <c r="M34" s="104">
        <v>0</v>
      </c>
      <c r="N34" s="104">
        <f t="shared" si="18"/>
        <v>1000</v>
      </c>
      <c r="O34" s="104">
        <f t="shared" si="4"/>
        <v>1000</v>
      </c>
      <c r="P34" s="105">
        <f t="shared" si="5"/>
        <v>2000</v>
      </c>
      <c r="Q34" s="106">
        <f>(G34-H34-N34-R34-33333)*20%+1875</f>
        <v>2775.7160000000003</v>
      </c>
      <c r="R34" s="104">
        <v>200</v>
      </c>
      <c r="S34" s="104">
        <f t="shared" si="16"/>
        <v>200</v>
      </c>
      <c r="T34" s="103">
        <v>0</v>
      </c>
      <c r="U34" s="104">
        <v>0</v>
      </c>
      <c r="V34" s="104">
        <f>2300+2300</f>
        <v>4600</v>
      </c>
      <c r="W34" s="104">
        <v>0</v>
      </c>
      <c r="X34" s="104">
        <v>0</v>
      </c>
      <c r="Y34" s="104">
        <v>0</v>
      </c>
      <c r="Z34" s="104">
        <v>0</v>
      </c>
      <c r="AA34" s="104">
        <f t="shared" si="6"/>
        <v>30460.864000000001</v>
      </c>
      <c r="AB34" s="104">
        <f>10000+10000</f>
        <v>20000</v>
      </c>
      <c r="AC34" s="104">
        <v>230.06</v>
      </c>
      <c r="AD34" s="107">
        <v>0</v>
      </c>
      <c r="AE34" s="108">
        <v>0</v>
      </c>
      <c r="AF34" s="108">
        <v>0</v>
      </c>
      <c r="AG34" s="105">
        <v>0</v>
      </c>
      <c r="AH34" s="109">
        <f t="shared" si="19"/>
        <v>50690.923999999999</v>
      </c>
      <c r="AI34" s="121" t="s">
        <v>62</v>
      </c>
      <c r="AJ34" s="121">
        <f>301629.68-14807.85</f>
        <v>286821.83</v>
      </c>
      <c r="AK34" s="47"/>
      <c r="AL34" s="44">
        <f t="shared" si="3"/>
        <v>50690.923999999999</v>
      </c>
      <c r="AM34" s="35"/>
      <c r="AN34" s="35"/>
      <c r="AO34" s="35"/>
      <c r="AQ34" s="113">
        <f>+G34-H34-N34-R34</f>
        <v>37836.58</v>
      </c>
      <c r="AR34" s="34"/>
      <c r="AS34" s="34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</row>
    <row r="35" spans="1:132" x14ac:dyDescent="0.25">
      <c r="A35" s="102" t="s">
        <v>63</v>
      </c>
      <c r="B35" s="109">
        <f>10500+10500</f>
        <v>21000</v>
      </c>
      <c r="C35" s="103">
        <f>10500+10500</f>
        <v>21000</v>
      </c>
      <c r="D35" s="104">
        <v>241.54</v>
      </c>
      <c r="E35" s="104">
        <v>0</v>
      </c>
      <c r="F35" s="104">
        <f>629+1258</f>
        <v>1887</v>
      </c>
      <c r="G35" s="104">
        <f>C35+D35+E35+F35</f>
        <v>23128.54</v>
      </c>
      <c r="H35" s="104">
        <v>945</v>
      </c>
      <c r="I35" s="105">
        <f>1900+95</f>
        <v>1995</v>
      </c>
      <c r="J35" s="104">
        <f t="shared" si="1"/>
        <v>2940</v>
      </c>
      <c r="K35" s="104">
        <v>30</v>
      </c>
      <c r="L35" s="104">
        <v>1845.8</v>
      </c>
      <c r="M35" s="117">
        <v>0</v>
      </c>
      <c r="N35" s="104">
        <f t="shared" si="18"/>
        <v>525</v>
      </c>
      <c r="O35" s="104">
        <f t="shared" si="4"/>
        <v>525</v>
      </c>
      <c r="P35" s="105">
        <f t="shared" si="5"/>
        <v>1050</v>
      </c>
      <c r="Q35" s="117">
        <f>(G35-H35-N35-R35-20833)*15%</f>
        <v>93.831000000000131</v>
      </c>
      <c r="R35" s="104">
        <v>200</v>
      </c>
      <c r="S35" s="104">
        <f t="shared" si="16"/>
        <v>200</v>
      </c>
      <c r="T35" s="103">
        <v>0</v>
      </c>
      <c r="U35" s="104">
        <v>0</v>
      </c>
      <c r="V35" s="104">
        <v>0</v>
      </c>
      <c r="W35" s="104">
        <v>0</v>
      </c>
      <c r="X35" s="104">
        <v>0</v>
      </c>
      <c r="Y35" s="104">
        <v>0</v>
      </c>
      <c r="Z35" s="104">
        <v>0</v>
      </c>
      <c r="AA35" s="104">
        <f t="shared" si="6"/>
        <v>19518.909</v>
      </c>
      <c r="AB35" s="104">
        <v>0</v>
      </c>
      <c r="AC35" s="104">
        <v>0</v>
      </c>
      <c r="AD35" s="107">
        <v>0</v>
      </c>
      <c r="AE35" s="108">
        <f>500+500</f>
        <v>1000</v>
      </c>
      <c r="AF35" s="108">
        <v>0</v>
      </c>
      <c r="AG35" s="105">
        <v>0</v>
      </c>
      <c r="AH35" s="109">
        <f t="shared" si="19"/>
        <v>20518.909</v>
      </c>
      <c r="AI35" s="121" t="s">
        <v>64</v>
      </c>
      <c r="AJ35" s="122">
        <v>34557.449999999997</v>
      </c>
      <c r="AK35" s="47"/>
      <c r="AL35" s="44">
        <f t="shared" si="3"/>
        <v>20518.909</v>
      </c>
      <c r="AM35" s="35"/>
      <c r="AN35" s="35"/>
      <c r="AO35" s="35"/>
      <c r="AQ35" s="113">
        <f>+G35-H35-N35-R35</f>
        <v>21458.54</v>
      </c>
      <c r="AR35" s="34"/>
      <c r="AS35" s="34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</row>
    <row r="36" spans="1:132" x14ac:dyDescent="0.25">
      <c r="A36" s="102" t="s">
        <v>65</v>
      </c>
      <c r="B36" s="109">
        <f>9066.5+9066.5</f>
        <v>18133</v>
      </c>
      <c r="C36" s="103">
        <f>9066.5-69.52+9066.5-75.31</f>
        <v>17988.169999999998</v>
      </c>
      <c r="D36" s="104">
        <v>208.56</v>
      </c>
      <c r="E36" s="104">
        <v>0</v>
      </c>
      <c r="F36" s="104">
        <v>0</v>
      </c>
      <c r="G36" s="104">
        <f>C36+D36+E36+F36</f>
        <v>18196.73</v>
      </c>
      <c r="H36" s="104">
        <v>810</v>
      </c>
      <c r="I36" s="105">
        <v>1710</v>
      </c>
      <c r="J36" s="104">
        <f t="shared" si="1"/>
        <v>2520</v>
      </c>
      <c r="K36" s="105">
        <v>30</v>
      </c>
      <c r="L36" s="104">
        <v>1661.22</v>
      </c>
      <c r="M36" s="117">
        <v>0</v>
      </c>
      <c r="N36" s="104">
        <v>453.32</v>
      </c>
      <c r="O36" s="104">
        <f t="shared" si="4"/>
        <v>453.3300000000001</v>
      </c>
      <c r="P36" s="105">
        <f t="shared" si="5"/>
        <v>906.65000000000009</v>
      </c>
      <c r="Q36" s="104">
        <v>0</v>
      </c>
      <c r="R36" s="104">
        <v>200</v>
      </c>
      <c r="S36" s="104">
        <f t="shared" si="16"/>
        <v>200</v>
      </c>
      <c r="T36" s="103">
        <v>0</v>
      </c>
      <c r="U36" s="104">
        <v>0</v>
      </c>
      <c r="V36" s="104">
        <f>1500+1500</f>
        <v>3000</v>
      </c>
      <c r="W36" s="104">
        <v>0</v>
      </c>
      <c r="X36" s="104">
        <v>0</v>
      </c>
      <c r="Y36" s="104">
        <v>0</v>
      </c>
      <c r="Z36" s="104">
        <v>0</v>
      </c>
      <c r="AA36" s="104">
        <f t="shared" si="6"/>
        <v>12072.189999999999</v>
      </c>
      <c r="AB36" s="104">
        <v>0</v>
      </c>
      <c r="AC36" s="104">
        <v>0</v>
      </c>
      <c r="AD36" s="107">
        <v>0</v>
      </c>
      <c r="AE36" s="108">
        <v>0</v>
      </c>
      <c r="AF36" s="108">
        <v>0</v>
      </c>
      <c r="AG36" s="105">
        <v>0</v>
      </c>
      <c r="AH36" s="109">
        <f t="shared" si="19"/>
        <v>12072.189999999999</v>
      </c>
      <c r="AI36" s="121" t="s">
        <v>66</v>
      </c>
      <c r="AJ36" s="123">
        <v>14807.85</v>
      </c>
      <c r="AK36" s="47"/>
      <c r="AL36" s="44">
        <f t="shared" si="3"/>
        <v>12072.19</v>
      </c>
      <c r="AM36" s="116"/>
      <c r="AN36" s="116"/>
      <c r="AO36" s="116"/>
      <c r="AP36" s="113">
        <f t="shared" ref="AP36:AP37" si="21">+G36-H36-N36-R36</f>
        <v>16733.41</v>
      </c>
      <c r="AQ36" s="113"/>
      <c r="AR36" s="34"/>
      <c r="AS36" s="34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</row>
    <row r="37" spans="1:132" x14ac:dyDescent="0.25">
      <c r="A37" s="120" t="s">
        <v>67</v>
      </c>
      <c r="B37" s="124">
        <f>8000+8000</f>
        <v>16000</v>
      </c>
      <c r="C37" s="103">
        <f>8000-26.84-3067.1</f>
        <v>4906.0599999999995</v>
      </c>
      <c r="D37" s="104">
        <v>184.03</v>
      </c>
      <c r="E37" s="104">
        <v>0</v>
      </c>
      <c r="F37" s="104">
        <v>0</v>
      </c>
      <c r="G37" s="117">
        <f>C37+E37+F37+D37</f>
        <v>5090.0899999999992</v>
      </c>
      <c r="H37" s="104">
        <v>720</v>
      </c>
      <c r="I37" s="105">
        <v>1520</v>
      </c>
      <c r="J37" s="104">
        <f t="shared" si="1"/>
        <v>2240</v>
      </c>
      <c r="K37" s="105">
        <v>30</v>
      </c>
      <c r="L37" s="104">
        <v>738.32</v>
      </c>
      <c r="M37" s="117">
        <v>0</v>
      </c>
      <c r="N37" s="104">
        <f t="shared" ref="N37:N42" si="22">B37*5%/2</f>
        <v>400</v>
      </c>
      <c r="O37" s="104">
        <f t="shared" si="4"/>
        <v>400</v>
      </c>
      <c r="P37" s="125">
        <f t="shared" si="5"/>
        <v>800</v>
      </c>
      <c r="Q37" s="117">
        <v>0</v>
      </c>
      <c r="R37" s="104">
        <v>200</v>
      </c>
      <c r="S37" s="117">
        <f t="shared" si="16"/>
        <v>200</v>
      </c>
      <c r="T37" s="126">
        <v>0</v>
      </c>
      <c r="U37" s="104">
        <v>0</v>
      </c>
      <c r="V37" s="104">
        <v>0</v>
      </c>
      <c r="W37" s="104">
        <v>0</v>
      </c>
      <c r="X37" s="104">
        <v>0</v>
      </c>
      <c r="Y37" s="104">
        <v>0</v>
      </c>
      <c r="Z37" s="104">
        <v>0</v>
      </c>
      <c r="AA37" s="104">
        <f t="shared" si="6"/>
        <v>3031.7699999999995</v>
      </c>
      <c r="AB37" s="104">
        <v>0</v>
      </c>
      <c r="AC37" s="104">
        <v>0</v>
      </c>
      <c r="AD37" s="107">
        <v>0</v>
      </c>
      <c r="AE37" s="108">
        <v>0</v>
      </c>
      <c r="AF37" s="108">
        <v>0</v>
      </c>
      <c r="AG37" s="105">
        <v>0</v>
      </c>
      <c r="AH37" s="109">
        <f t="shared" si="19"/>
        <v>3031.7699999999995</v>
      </c>
      <c r="AI37" s="127" t="s">
        <v>68</v>
      </c>
      <c r="AJ37" s="128">
        <f>AJ34+AJ35+AJ36</f>
        <v>336187.13</v>
      </c>
      <c r="AK37" s="55"/>
      <c r="AL37" s="44">
        <f t="shared" si="3"/>
        <v>3031.7699999999991</v>
      </c>
      <c r="AM37" s="116"/>
      <c r="AN37" s="116"/>
      <c r="AO37" s="116"/>
      <c r="AP37" s="113">
        <f t="shared" si="21"/>
        <v>3770.0899999999992</v>
      </c>
      <c r="AQ37" s="113"/>
      <c r="AR37" s="34"/>
      <c r="AS37" s="34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</row>
    <row r="38" spans="1:132" x14ac:dyDescent="0.25">
      <c r="A38" s="102" t="s">
        <v>69</v>
      </c>
      <c r="B38" s="109">
        <f>15000+15000</f>
        <v>30000</v>
      </c>
      <c r="C38" s="103">
        <f>15000-79.07-575.08+15000-43.13</f>
        <v>29302.719999999998</v>
      </c>
      <c r="D38" s="104">
        <v>345.05</v>
      </c>
      <c r="E38" s="104">
        <v>0</v>
      </c>
      <c r="F38" s="104">
        <v>0</v>
      </c>
      <c r="G38" s="104">
        <f t="shared" ref="G38:G43" si="23">C38+D38+E38+F38</f>
        <v>29647.769999999997</v>
      </c>
      <c r="H38" s="117">
        <v>1350</v>
      </c>
      <c r="I38" s="117">
        <v>2850</v>
      </c>
      <c r="J38" s="104">
        <f t="shared" si="1"/>
        <v>4200</v>
      </c>
      <c r="K38" s="117">
        <v>30</v>
      </c>
      <c r="L38" s="117">
        <v>1523.08</v>
      </c>
      <c r="M38" s="117">
        <v>0</v>
      </c>
      <c r="N38" s="104">
        <f t="shared" si="22"/>
        <v>750</v>
      </c>
      <c r="O38" s="117">
        <f t="shared" si="4"/>
        <v>750</v>
      </c>
      <c r="P38" s="125">
        <f t="shared" si="5"/>
        <v>1500</v>
      </c>
      <c r="Q38" s="104">
        <f>(G38-H38-N38-R38-20833)*15%</f>
        <v>977.21549999999945</v>
      </c>
      <c r="R38" s="104">
        <v>200</v>
      </c>
      <c r="S38" s="117">
        <f t="shared" si="16"/>
        <v>200</v>
      </c>
      <c r="T38" s="117">
        <v>0</v>
      </c>
      <c r="U38" s="117">
        <v>0</v>
      </c>
      <c r="V38" s="117">
        <f>1000+1000</f>
        <v>2000</v>
      </c>
      <c r="W38" s="117">
        <v>0</v>
      </c>
      <c r="X38" s="104">
        <v>0</v>
      </c>
      <c r="Y38" s="104">
        <v>0</v>
      </c>
      <c r="Z38" s="104">
        <v>0</v>
      </c>
      <c r="AA38" s="104">
        <f t="shared" si="6"/>
        <v>22847.474499999997</v>
      </c>
      <c r="AB38" s="104">
        <v>0</v>
      </c>
      <c r="AC38" s="104">
        <v>0</v>
      </c>
      <c r="AD38" s="107">
        <v>0</v>
      </c>
      <c r="AE38" s="117">
        <v>0</v>
      </c>
      <c r="AF38" s="117">
        <v>0</v>
      </c>
      <c r="AG38" s="105">
        <v>0</v>
      </c>
      <c r="AH38" s="109">
        <f t="shared" si="19"/>
        <v>22847.474499999997</v>
      </c>
      <c r="AI38" s="48" t="s">
        <v>21</v>
      </c>
      <c r="AJ38" s="122" t="s">
        <v>21</v>
      </c>
      <c r="AK38" s="47"/>
      <c r="AL38" s="44">
        <f t="shared" si="3"/>
        <v>22847.474499999997</v>
      </c>
      <c r="AM38" s="35"/>
      <c r="AN38" s="35"/>
      <c r="AO38" s="35"/>
      <c r="AQ38" s="113">
        <f>+G38-H38-N38-R38</f>
        <v>27347.769999999997</v>
      </c>
      <c r="AR38" s="129"/>
      <c r="AS38" s="129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</row>
    <row r="39" spans="1:132" x14ac:dyDescent="0.25">
      <c r="A39" s="102" t="s">
        <v>70</v>
      </c>
      <c r="B39" s="109">
        <f>7196+7196</f>
        <v>14392</v>
      </c>
      <c r="C39" s="103">
        <f>7196-127.59-206.91+-551.77+7196-56.33-1655.31</f>
        <v>11794.09</v>
      </c>
      <c r="D39" s="104">
        <v>0</v>
      </c>
      <c r="E39" s="104">
        <v>0</v>
      </c>
      <c r="F39" s="104">
        <v>0</v>
      </c>
      <c r="G39" s="104">
        <f t="shared" si="23"/>
        <v>11794.09</v>
      </c>
      <c r="H39" s="104">
        <v>652.5</v>
      </c>
      <c r="I39" s="105">
        <v>1377.5</v>
      </c>
      <c r="J39" s="104">
        <f t="shared" si="1"/>
        <v>2030</v>
      </c>
      <c r="K39" s="105">
        <v>10</v>
      </c>
      <c r="L39" s="104">
        <v>1338.2</v>
      </c>
      <c r="M39" s="105">
        <v>0</v>
      </c>
      <c r="N39" s="104">
        <f t="shared" si="22"/>
        <v>359.8</v>
      </c>
      <c r="O39" s="104">
        <f t="shared" si="4"/>
        <v>359.8</v>
      </c>
      <c r="P39" s="105">
        <f t="shared" si="5"/>
        <v>719.6</v>
      </c>
      <c r="Q39" s="104">
        <v>0</v>
      </c>
      <c r="R39" s="104">
        <v>200</v>
      </c>
      <c r="S39" s="104">
        <f t="shared" si="16"/>
        <v>200</v>
      </c>
      <c r="T39" s="103">
        <v>530.71</v>
      </c>
      <c r="U39" s="104">
        <v>0</v>
      </c>
      <c r="V39" s="104">
        <v>0</v>
      </c>
      <c r="W39" s="104">
        <v>0</v>
      </c>
      <c r="X39" s="104">
        <v>0</v>
      </c>
      <c r="Y39" s="104">
        <v>0</v>
      </c>
      <c r="Z39" s="104">
        <v>0</v>
      </c>
      <c r="AA39" s="104">
        <f t="shared" si="6"/>
        <v>8712.880000000001</v>
      </c>
      <c r="AB39" s="104">
        <v>0</v>
      </c>
      <c r="AC39" s="104">
        <v>0</v>
      </c>
      <c r="AD39" s="107">
        <v>0</v>
      </c>
      <c r="AE39" s="108">
        <v>0</v>
      </c>
      <c r="AF39" s="109">
        <v>0</v>
      </c>
      <c r="AG39" s="105">
        <v>0</v>
      </c>
      <c r="AH39" s="109">
        <f t="shared" si="19"/>
        <v>8712.880000000001</v>
      </c>
      <c r="AI39" s="48" t="s">
        <v>71</v>
      </c>
      <c r="AJ39" s="122">
        <v>271908.53999999998</v>
      </c>
      <c r="AK39" s="47"/>
      <c r="AL39" s="44">
        <f t="shared" si="3"/>
        <v>8712.880000000001</v>
      </c>
      <c r="AM39" s="35"/>
      <c r="AN39" s="35"/>
      <c r="AO39" s="35"/>
      <c r="AP39" s="113">
        <f t="shared" ref="AP39" si="24">+G39-H39-N39-R39</f>
        <v>10581.79</v>
      </c>
      <c r="AQ39" s="113"/>
      <c r="AR39" s="34"/>
      <c r="AS39" s="34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</row>
    <row r="40" spans="1:132" x14ac:dyDescent="0.25">
      <c r="A40" s="102" t="s">
        <v>72</v>
      </c>
      <c r="B40" s="109">
        <f>11570+11570</f>
        <v>23140</v>
      </c>
      <c r="C40" s="103">
        <f>11570-83.17-221.78+11570-179.27</f>
        <v>22655.78</v>
      </c>
      <c r="D40" s="104">
        <f>266.14+277.22</f>
        <v>543.36</v>
      </c>
      <c r="E40" s="104">
        <v>0</v>
      </c>
      <c r="F40" s="104">
        <v>415.84</v>
      </c>
      <c r="G40" s="104">
        <f t="shared" si="23"/>
        <v>23614.98</v>
      </c>
      <c r="H40" s="104">
        <f>900+135</f>
        <v>1035</v>
      </c>
      <c r="I40" s="105">
        <f>1900+285</f>
        <v>2185</v>
      </c>
      <c r="J40" s="104">
        <f t="shared" si="1"/>
        <v>3220</v>
      </c>
      <c r="K40" s="105">
        <v>30</v>
      </c>
      <c r="L40" s="104">
        <v>922.9</v>
      </c>
      <c r="M40" s="104">
        <v>0</v>
      </c>
      <c r="N40" s="104">
        <f t="shared" si="22"/>
        <v>578.5</v>
      </c>
      <c r="O40" s="104">
        <f t="shared" si="4"/>
        <v>578.5</v>
      </c>
      <c r="P40" s="105">
        <f t="shared" si="5"/>
        <v>1157</v>
      </c>
      <c r="Q40" s="104">
        <f>(G40-H40-N40-R40-20833)*15%</f>
        <v>145.27199999999993</v>
      </c>
      <c r="R40" s="104">
        <v>200</v>
      </c>
      <c r="S40" s="104">
        <f t="shared" si="16"/>
        <v>200</v>
      </c>
      <c r="T40" s="103">
        <v>309.3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0</v>
      </c>
      <c r="AA40" s="104">
        <f t="shared" si="6"/>
        <v>20424.007999999998</v>
      </c>
      <c r="AB40" s="104">
        <f>500+500</f>
        <v>1000</v>
      </c>
      <c r="AC40" s="104">
        <v>11.5</v>
      </c>
      <c r="AD40" s="107">
        <v>0</v>
      </c>
      <c r="AE40" s="108">
        <f>500+500</f>
        <v>1000</v>
      </c>
      <c r="AF40" s="108">
        <v>0</v>
      </c>
      <c r="AG40" s="105">
        <v>0</v>
      </c>
      <c r="AH40" s="109">
        <f t="shared" si="19"/>
        <v>22435.507999999998</v>
      </c>
      <c r="AI40" s="121" t="s">
        <v>31</v>
      </c>
      <c r="AJ40" s="122">
        <v>33003.5</v>
      </c>
      <c r="AK40" s="47"/>
      <c r="AL40" s="44">
        <f t="shared" si="3"/>
        <v>22435.507999999998</v>
      </c>
      <c r="AM40" s="35"/>
      <c r="AN40" s="35"/>
      <c r="AO40" s="35"/>
      <c r="AQ40" s="113">
        <f>+G40-H40-N40-R40</f>
        <v>21801.48</v>
      </c>
      <c r="AR40" s="34"/>
      <c r="AS40" s="34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</row>
    <row r="41" spans="1:132" x14ac:dyDescent="0.25">
      <c r="A41" s="102" t="s">
        <v>73</v>
      </c>
      <c r="B41" s="109">
        <f>7500+7500</f>
        <v>15000</v>
      </c>
      <c r="C41" s="103">
        <f>7500-1.2-575.08+7500-5.99-575.08</f>
        <v>13842.650000000001</v>
      </c>
      <c r="D41" s="104">
        <v>172.51</v>
      </c>
      <c r="E41" s="104">
        <v>0</v>
      </c>
      <c r="F41" s="104">
        <f>89.85+673.88+575.08</f>
        <v>1338.81</v>
      </c>
      <c r="G41" s="104">
        <f t="shared" si="23"/>
        <v>15353.970000000001</v>
      </c>
      <c r="H41" s="104">
        <v>675</v>
      </c>
      <c r="I41" s="105">
        <v>1425</v>
      </c>
      <c r="J41" s="104">
        <f t="shared" si="1"/>
        <v>2100</v>
      </c>
      <c r="K41" s="105">
        <v>30</v>
      </c>
      <c r="L41" s="104">
        <v>1845.8</v>
      </c>
      <c r="M41" s="104">
        <v>0</v>
      </c>
      <c r="N41" s="104">
        <f t="shared" si="22"/>
        <v>375</v>
      </c>
      <c r="O41" s="104">
        <f t="shared" si="4"/>
        <v>375</v>
      </c>
      <c r="P41" s="105">
        <f t="shared" si="5"/>
        <v>750</v>
      </c>
      <c r="Q41" s="104">
        <v>0</v>
      </c>
      <c r="R41" s="104">
        <v>200</v>
      </c>
      <c r="S41" s="104">
        <f t="shared" si="16"/>
        <v>200</v>
      </c>
      <c r="T41" s="103">
        <v>318.44</v>
      </c>
      <c r="U41" s="104">
        <v>0</v>
      </c>
      <c r="V41" s="104">
        <v>0</v>
      </c>
      <c r="W41" s="104">
        <v>0</v>
      </c>
      <c r="X41" s="104">
        <v>0</v>
      </c>
      <c r="Y41" s="104">
        <v>0</v>
      </c>
      <c r="Z41" s="104">
        <v>0</v>
      </c>
      <c r="AA41" s="104">
        <f t="shared" si="6"/>
        <v>11939.730000000001</v>
      </c>
      <c r="AB41" s="104"/>
      <c r="AC41" s="104"/>
      <c r="AD41" s="107"/>
      <c r="AE41" s="108"/>
      <c r="AF41" s="108"/>
      <c r="AG41" s="105"/>
      <c r="AH41" s="109">
        <f t="shared" si="19"/>
        <v>11939.730000000001</v>
      </c>
      <c r="AI41" s="121" t="s">
        <v>66</v>
      </c>
      <c r="AJ41" s="123">
        <v>0</v>
      </c>
      <c r="AK41" s="50" t="s">
        <v>21</v>
      </c>
      <c r="AL41" s="44">
        <f t="shared" si="3"/>
        <v>11939.730000000001</v>
      </c>
      <c r="AM41" s="35"/>
      <c r="AN41" s="35"/>
      <c r="AO41" s="35"/>
      <c r="AP41" s="113">
        <f t="shared" ref="AP41" si="25">+G41-H41-N41-R41</f>
        <v>14103.970000000001</v>
      </c>
      <c r="AQ41" s="113"/>
      <c r="AR41" s="34"/>
      <c r="AS41" s="34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</row>
    <row r="42" spans="1:132" x14ac:dyDescent="0.25">
      <c r="A42" s="102" t="s">
        <v>74</v>
      </c>
      <c r="B42" s="109">
        <f>11880+11880</f>
        <v>23760</v>
      </c>
      <c r="C42" s="103">
        <f>11880+11880-119.56-455.46</f>
        <v>23184.98</v>
      </c>
      <c r="D42" s="104">
        <v>273.29000000000002</v>
      </c>
      <c r="E42" s="104">
        <v>0</v>
      </c>
      <c r="F42" s="104">
        <v>498.18</v>
      </c>
      <c r="G42" s="104">
        <f t="shared" si="23"/>
        <v>23956.45</v>
      </c>
      <c r="H42" s="104">
        <v>1080</v>
      </c>
      <c r="I42" s="105">
        <f>1900+380</f>
        <v>2280</v>
      </c>
      <c r="J42" s="104">
        <f t="shared" si="1"/>
        <v>3360</v>
      </c>
      <c r="K42" s="105">
        <v>30</v>
      </c>
      <c r="L42" s="104">
        <v>1845.8</v>
      </c>
      <c r="M42" s="104">
        <v>0</v>
      </c>
      <c r="N42" s="104">
        <f t="shared" si="22"/>
        <v>594</v>
      </c>
      <c r="O42" s="104">
        <f t="shared" si="4"/>
        <v>594</v>
      </c>
      <c r="P42" s="105">
        <f t="shared" si="5"/>
        <v>1188</v>
      </c>
      <c r="Q42" s="104">
        <f>(G42-H42-N42-R42-20833)*15%</f>
        <v>187.4175000000001</v>
      </c>
      <c r="R42" s="104">
        <v>200</v>
      </c>
      <c r="S42" s="104">
        <f t="shared" si="16"/>
        <v>200</v>
      </c>
      <c r="T42" s="103">
        <v>960.85</v>
      </c>
      <c r="U42" s="104">
        <v>0</v>
      </c>
      <c r="V42" s="104">
        <f>1500+1500</f>
        <v>3000</v>
      </c>
      <c r="W42" s="104">
        <v>0</v>
      </c>
      <c r="X42" s="104">
        <v>0</v>
      </c>
      <c r="Y42" s="104">
        <v>0</v>
      </c>
      <c r="Z42" s="104">
        <v>0</v>
      </c>
      <c r="AA42" s="104">
        <f t="shared" si="6"/>
        <v>16088.382500000003</v>
      </c>
      <c r="AB42" s="104">
        <v>0</v>
      </c>
      <c r="AC42" s="104">
        <v>0</v>
      </c>
      <c r="AD42" s="107">
        <v>0</v>
      </c>
      <c r="AE42" s="108">
        <v>0</v>
      </c>
      <c r="AF42" s="108">
        <v>0</v>
      </c>
      <c r="AG42" s="109">
        <v>0</v>
      </c>
      <c r="AH42" s="109">
        <f t="shared" si="19"/>
        <v>16088.382500000003</v>
      </c>
      <c r="AI42" s="121" t="s">
        <v>68</v>
      </c>
      <c r="AJ42" s="122">
        <f>AJ39+AJ40+AJ41</f>
        <v>304912.03999999998</v>
      </c>
      <c r="AK42" s="50" t="s">
        <v>21</v>
      </c>
      <c r="AL42" s="44">
        <f t="shared" si="3"/>
        <v>16088.382500000003</v>
      </c>
      <c r="AM42" s="35"/>
      <c r="AN42" s="35"/>
      <c r="AO42" s="35"/>
      <c r="AQ42" s="113">
        <f>+G42-H42-N42-R42</f>
        <v>22082.45</v>
      </c>
      <c r="AR42" s="34"/>
      <c r="AS42" s="34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</row>
    <row r="43" spans="1:132" x14ac:dyDescent="0.25">
      <c r="A43" s="102" t="s">
        <v>75</v>
      </c>
      <c r="B43" s="109">
        <f>12568.5+12568.5</f>
        <v>25137</v>
      </c>
      <c r="C43" s="103">
        <f>12568.5-192.74-963.72+12568.5-116.44-481.86</f>
        <v>23382.240000000002</v>
      </c>
      <c r="D43" s="104">
        <v>281.14999999999998</v>
      </c>
      <c r="E43" s="104">
        <v>0</v>
      </c>
      <c r="F43" s="104">
        <v>0</v>
      </c>
      <c r="G43" s="104">
        <f t="shared" si="23"/>
        <v>23663.390000000003</v>
      </c>
      <c r="H43" s="104">
        <v>1125</v>
      </c>
      <c r="I43" s="105">
        <f>1900+475</f>
        <v>2375</v>
      </c>
      <c r="J43" s="104">
        <f t="shared" si="1"/>
        <v>3500</v>
      </c>
      <c r="K43" s="105">
        <v>30</v>
      </c>
      <c r="L43" s="104">
        <v>1845.8</v>
      </c>
      <c r="M43" s="104">
        <v>0</v>
      </c>
      <c r="N43" s="112">
        <v>628.42999999999995</v>
      </c>
      <c r="O43" s="112">
        <f t="shared" si="4"/>
        <v>628.42000000000019</v>
      </c>
      <c r="P43" s="105">
        <f t="shared" si="5"/>
        <v>1256.8500000000001</v>
      </c>
      <c r="Q43" s="104">
        <v>131.55000000000001</v>
      </c>
      <c r="R43" s="104">
        <v>200</v>
      </c>
      <c r="S43" s="104">
        <f t="shared" si="16"/>
        <v>200</v>
      </c>
      <c r="T43" s="103">
        <v>920.61</v>
      </c>
      <c r="U43" s="104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>
        <f t="shared" si="6"/>
        <v>18812.000000000004</v>
      </c>
      <c r="AB43" s="104">
        <v>0</v>
      </c>
      <c r="AC43" s="104">
        <v>0</v>
      </c>
      <c r="AD43" s="107">
        <v>0</v>
      </c>
      <c r="AE43" s="108">
        <v>0</v>
      </c>
      <c r="AF43" s="108">
        <v>0</v>
      </c>
      <c r="AG43" s="105">
        <v>0</v>
      </c>
      <c r="AH43" s="109">
        <f t="shared" si="19"/>
        <v>18812.000000000004</v>
      </c>
      <c r="AI43" s="121" t="s">
        <v>21</v>
      </c>
      <c r="AJ43" s="122" t="s">
        <v>21</v>
      </c>
      <c r="AK43" s="50" t="s">
        <v>21</v>
      </c>
      <c r="AL43" s="44">
        <f>SUM(AL7:AL42)</f>
        <v>1043153.5985000001</v>
      </c>
      <c r="AM43" s="35"/>
      <c r="AN43" s="35"/>
      <c r="AO43" s="35"/>
      <c r="AQ43" s="113">
        <f>+G43-H43-N43-R43</f>
        <v>21709.960000000003</v>
      </c>
      <c r="AR43" s="34"/>
      <c r="AS43" s="34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</row>
    <row r="44" spans="1:132" s="51" customFormat="1" ht="15.75" thickBot="1" x14ac:dyDescent="0.3">
      <c r="A44" s="130"/>
      <c r="B44" s="131">
        <f t="shared" ref="B44:AG44" si="26">SUM(B7:B43)</f>
        <v>1337421.5</v>
      </c>
      <c r="C44" s="131">
        <f t="shared" si="26"/>
        <v>1289877.83</v>
      </c>
      <c r="D44" s="131">
        <f t="shared" si="26"/>
        <v>8560.6200000000008</v>
      </c>
      <c r="E44" s="131">
        <f t="shared" si="26"/>
        <v>2880.66</v>
      </c>
      <c r="F44" s="131">
        <f t="shared" si="26"/>
        <v>21783.06</v>
      </c>
      <c r="G44" s="189">
        <f t="shared" si="26"/>
        <v>1323102.1700000002</v>
      </c>
      <c r="H44" s="131">
        <f t="shared" si="26"/>
        <v>35415</v>
      </c>
      <c r="I44" s="189">
        <f t="shared" si="26"/>
        <v>74765</v>
      </c>
      <c r="J44" s="190">
        <f t="shared" si="26"/>
        <v>110180</v>
      </c>
      <c r="K44" s="189">
        <f t="shared" si="26"/>
        <v>1070</v>
      </c>
      <c r="L44" s="190">
        <f t="shared" si="26"/>
        <v>30917.42</v>
      </c>
      <c r="M44" s="131">
        <f t="shared" si="26"/>
        <v>0</v>
      </c>
      <c r="N44" s="131">
        <f t="shared" si="26"/>
        <v>26310.547500000001</v>
      </c>
      <c r="O44" s="189">
        <f t="shared" si="26"/>
        <v>26310.527500000004</v>
      </c>
      <c r="P44" s="190">
        <f t="shared" si="26"/>
        <v>52621.074999999997</v>
      </c>
      <c r="Q44" s="190">
        <f t="shared" si="26"/>
        <v>140208.264</v>
      </c>
      <c r="R44" s="131">
        <f t="shared" si="26"/>
        <v>7400</v>
      </c>
      <c r="S44" s="189">
        <f t="shared" si="26"/>
        <v>7400</v>
      </c>
      <c r="T44" s="190">
        <f t="shared" si="26"/>
        <v>21637.309999999998</v>
      </c>
      <c r="U44" s="131">
        <f t="shared" si="26"/>
        <v>0</v>
      </c>
      <c r="V44" s="190">
        <f t="shared" si="26"/>
        <v>24600</v>
      </c>
      <c r="W44" s="190">
        <f>SUM(W7:W43)</f>
        <v>18157.16</v>
      </c>
      <c r="X44" s="131">
        <f t="shared" si="26"/>
        <v>0</v>
      </c>
      <c r="Y44" s="131">
        <f t="shared" si="26"/>
        <v>0</v>
      </c>
      <c r="Z44" s="189">
        <f t="shared" si="26"/>
        <v>1845.8</v>
      </c>
      <c r="AA44" s="131">
        <f t="shared" si="26"/>
        <v>1157218.2184999997</v>
      </c>
      <c r="AB44" s="189">
        <f>SUM(AB7:AB43)</f>
        <v>58927.14</v>
      </c>
      <c r="AC44" s="189">
        <f t="shared" si="26"/>
        <v>633.80999999999995</v>
      </c>
      <c r="AD44" s="189">
        <f t="shared" si="26"/>
        <v>6000</v>
      </c>
      <c r="AE44" s="189">
        <f t="shared" si="26"/>
        <v>2000</v>
      </c>
      <c r="AF44" s="131">
        <f t="shared" si="26"/>
        <v>0</v>
      </c>
      <c r="AG44" s="131">
        <f t="shared" si="26"/>
        <v>0</v>
      </c>
      <c r="AH44" s="131">
        <f>SUM(AH7:AH43)</f>
        <v>1224779.1684999999</v>
      </c>
      <c r="AI44" s="121" t="s">
        <v>76</v>
      </c>
      <c r="AJ44" s="123">
        <f>AH25+AH27+AH12</f>
        <v>585000</v>
      </c>
      <c r="AK44" s="50" t="s">
        <v>21</v>
      </c>
      <c r="AL44" s="44">
        <f>AL43-AH43</f>
        <v>1024341.5985000001</v>
      </c>
      <c r="AM44" s="35"/>
      <c r="AN44" s="35"/>
      <c r="AO44" s="35"/>
      <c r="AP44" s="113"/>
      <c r="AQ44" s="34"/>
      <c r="AR44" s="34"/>
      <c r="AS44" s="34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</row>
    <row r="45" spans="1:132" ht="15.75" thickTop="1" x14ac:dyDescent="0.25">
      <c r="A45" s="35"/>
      <c r="B45" s="132" t="s">
        <v>25</v>
      </c>
      <c r="C45" s="132"/>
      <c r="D45" s="133"/>
      <c r="E45" s="133"/>
      <c r="F45" s="133"/>
      <c r="G45" s="133">
        <f>376984.41</f>
        <v>376984.41</v>
      </c>
      <c r="H45" s="133">
        <f>H44-H27-H25-H12</f>
        <v>31365</v>
      </c>
      <c r="I45" s="133"/>
      <c r="J45" s="133"/>
      <c r="K45" s="133"/>
      <c r="L45" s="133"/>
      <c r="M45" s="133"/>
      <c r="N45" s="133">
        <f>N44-N27-N25-N12</f>
        <v>18810.547500000001</v>
      </c>
      <c r="O45" s="133"/>
      <c r="P45" s="133"/>
      <c r="Q45" s="133">
        <f>Q43+Q42+Q40+Q38+Q34+Q33+Q30+Q29+Q24+Q19+Q17+Q13+Q7</f>
        <v>15081.830999999998</v>
      </c>
      <c r="R45" s="133">
        <f>R44-R27-R25-R12</f>
        <v>6800</v>
      </c>
      <c r="S45" s="133" t="s">
        <v>21</v>
      </c>
      <c r="T45" s="133"/>
      <c r="U45" s="133"/>
      <c r="V45" s="133"/>
      <c r="W45" s="133"/>
      <c r="X45" s="133"/>
      <c r="Y45" s="133"/>
      <c r="Z45" s="133"/>
      <c r="AA45" s="133">
        <f>301629.68</f>
        <v>301629.68</v>
      </c>
      <c r="AB45" s="133"/>
      <c r="AC45" s="133"/>
      <c r="AD45" s="133"/>
      <c r="AE45" s="133"/>
      <c r="AF45" s="133"/>
      <c r="AG45" s="134">
        <f>AH44-AH45</f>
        <v>888592.03849999991</v>
      </c>
      <c r="AH45" s="133">
        <f>301629.68+34557.45</f>
        <v>336187.13</v>
      </c>
      <c r="AI45" s="135" t="s">
        <v>68</v>
      </c>
      <c r="AJ45" s="136">
        <f>AJ37+AJ42+AJ44</f>
        <v>1226099.17</v>
      </c>
      <c r="AK45" s="50"/>
      <c r="AL45" s="35"/>
      <c r="AM45" s="35"/>
      <c r="AN45" s="35"/>
      <c r="AO45" s="35"/>
      <c r="AP45" s="137"/>
      <c r="AQ45" s="34"/>
      <c r="AR45" s="34"/>
      <c r="AS45" s="34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</row>
    <row r="46" spans="1:132" x14ac:dyDescent="0.25">
      <c r="A46" s="35"/>
      <c r="B46" s="132"/>
      <c r="C46" s="132"/>
      <c r="D46" s="133"/>
      <c r="E46" s="133"/>
      <c r="F46" s="133"/>
      <c r="G46" s="138">
        <f>G27+G25+G12</f>
        <v>585000</v>
      </c>
      <c r="H46" s="133"/>
      <c r="I46" s="133"/>
      <c r="J46" s="133"/>
      <c r="K46" s="133"/>
      <c r="L46" s="133"/>
      <c r="M46" s="133"/>
      <c r="N46" s="133" t="s">
        <v>21</v>
      </c>
      <c r="O46" s="133"/>
      <c r="P46" s="133"/>
      <c r="Q46" s="133"/>
      <c r="R46" s="133" t="s">
        <v>21</v>
      </c>
      <c r="S46" s="133"/>
      <c r="T46" s="132"/>
      <c r="U46" s="133"/>
      <c r="V46" s="133"/>
      <c r="W46" s="133"/>
      <c r="X46" s="133"/>
      <c r="Y46" s="133"/>
      <c r="Z46" s="133"/>
      <c r="AA46" s="138">
        <f>AA27+AA25+AA12</f>
        <v>585000</v>
      </c>
      <c r="AB46" s="133"/>
      <c r="AC46" s="133"/>
      <c r="AD46" s="133"/>
      <c r="AE46" s="133" t="s">
        <v>21</v>
      </c>
      <c r="AF46" s="133"/>
      <c r="AG46" s="132"/>
      <c r="AH46" s="138">
        <f>AH44-AH45</f>
        <v>888592.03849999991</v>
      </c>
      <c r="AI46" s="110"/>
      <c r="AJ46" s="115"/>
      <c r="AK46" s="47"/>
      <c r="AL46" s="35"/>
      <c r="AM46" s="35"/>
      <c r="AN46" s="35"/>
      <c r="AO46" s="35"/>
      <c r="AP46" s="34"/>
      <c r="AQ46" s="34"/>
      <c r="AR46" s="34"/>
      <c r="AS46" s="34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</row>
    <row r="47" spans="1:132" x14ac:dyDescent="0.25">
      <c r="A47" s="35"/>
      <c r="B47" s="132"/>
      <c r="C47" s="132"/>
      <c r="D47" s="133"/>
      <c r="E47" s="133"/>
      <c r="F47" s="133"/>
      <c r="G47" s="133">
        <f>G45+G46</f>
        <v>961984.40999999992</v>
      </c>
      <c r="H47" s="133"/>
      <c r="I47" s="133"/>
      <c r="J47" s="133"/>
      <c r="K47" s="133"/>
      <c r="L47" s="133"/>
      <c r="M47" s="133"/>
      <c r="N47" s="139" t="s">
        <v>21</v>
      </c>
      <c r="O47" s="139"/>
      <c r="P47" s="139"/>
      <c r="Q47" s="139"/>
      <c r="R47" s="140"/>
      <c r="S47" s="139"/>
      <c r="T47" s="132"/>
      <c r="U47" s="133"/>
      <c r="V47" s="133"/>
      <c r="W47" s="133"/>
      <c r="X47" s="133"/>
      <c r="Y47" s="133"/>
      <c r="Z47" s="133"/>
      <c r="AA47" s="133">
        <f>AA45+AA46-AF44</f>
        <v>886629.67999999993</v>
      </c>
      <c r="AB47" s="133"/>
      <c r="AC47" s="133"/>
      <c r="AD47" s="133"/>
      <c r="AE47" s="133"/>
      <c r="AF47" s="133"/>
      <c r="AG47" s="132"/>
      <c r="AH47" s="133">
        <f>AH45+AH46</f>
        <v>1224779.1684999999</v>
      </c>
      <c r="AI47" s="110" t="s">
        <v>21</v>
      </c>
      <c r="AJ47" s="115">
        <f>AH44-AJ45</f>
        <v>-1320.001500000013</v>
      </c>
      <c r="AK47" s="50" t="s">
        <v>21</v>
      </c>
      <c r="AL47" s="35"/>
      <c r="AM47" s="35"/>
      <c r="AN47" s="35"/>
      <c r="AO47" s="35"/>
      <c r="AP47" s="34"/>
      <c r="AQ47" s="34"/>
      <c r="AR47" s="34"/>
      <c r="AS47" s="34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</row>
    <row r="48" spans="1:132" x14ac:dyDescent="0.25">
      <c r="A48" s="35"/>
      <c r="B48" s="132"/>
      <c r="C48" s="132" t="s">
        <v>21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9"/>
      <c r="O48" s="139"/>
      <c r="P48" s="139"/>
      <c r="Q48" s="139" t="s">
        <v>21</v>
      </c>
      <c r="R48" s="140"/>
      <c r="S48" s="139"/>
      <c r="T48" s="132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2"/>
      <c r="AH48" s="132"/>
      <c r="AI48" s="48"/>
      <c r="AJ48" s="115">
        <f>H37+N37+R37</f>
        <v>1320</v>
      </c>
      <c r="AK48" s="47"/>
      <c r="AL48" s="35"/>
      <c r="AM48" s="35"/>
      <c r="AN48" s="35"/>
      <c r="AO48" s="35"/>
      <c r="AP48" s="34"/>
      <c r="AQ48" s="34"/>
      <c r="AR48" s="34"/>
      <c r="AS48" s="34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</row>
    <row r="49" spans="1:132" ht="13.15" customHeight="1" x14ac:dyDescent="0.25">
      <c r="A49" s="35" t="s">
        <v>77</v>
      </c>
      <c r="B49" s="132"/>
      <c r="C49" s="132"/>
      <c r="D49" s="133"/>
      <c r="E49" s="133"/>
      <c r="F49" s="133"/>
      <c r="G49" s="133" t="s">
        <v>21</v>
      </c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2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2"/>
      <c r="AH49" s="132"/>
      <c r="AI49" s="48" t="s">
        <v>21</v>
      </c>
      <c r="AJ49" s="141">
        <f>AJ47+AJ48</f>
        <v>-1.500000013038516E-3</v>
      </c>
      <c r="AK49" s="35"/>
      <c r="AL49" s="35"/>
      <c r="AM49" s="35"/>
      <c r="AN49" s="35"/>
      <c r="AO49" s="35"/>
      <c r="AP49" s="34"/>
      <c r="AQ49" s="34"/>
      <c r="AR49" s="34"/>
      <c r="AS49" s="34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</row>
    <row r="50" spans="1:132" ht="12.75" customHeight="1" x14ac:dyDescent="0.25">
      <c r="A50" s="67" t="s">
        <v>109</v>
      </c>
      <c r="B50" s="67" t="s">
        <v>2</v>
      </c>
      <c r="C50" s="67" t="s">
        <v>3</v>
      </c>
      <c r="D50" s="68" t="s">
        <v>4</v>
      </c>
      <c r="E50" s="68" t="s">
        <v>5</v>
      </c>
      <c r="F50" s="68" t="s">
        <v>6</v>
      </c>
      <c r="G50" s="68" t="s">
        <v>7</v>
      </c>
      <c r="H50" s="69" t="s">
        <v>8</v>
      </c>
      <c r="I50" s="69"/>
      <c r="J50" s="69"/>
      <c r="K50" s="69"/>
      <c r="L50" s="68" t="s">
        <v>9</v>
      </c>
      <c r="M50" s="68" t="s">
        <v>10</v>
      </c>
      <c r="N50" s="69" t="s">
        <v>11</v>
      </c>
      <c r="O50" s="69"/>
      <c r="P50" s="69"/>
      <c r="Q50" s="70" t="s">
        <v>12</v>
      </c>
      <c r="R50" s="71" t="s">
        <v>13</v>
      </c>
      <c r="S50" s="72"/>
      <c r="T50" s="73" t="s">
        <v>14</v>
      </c>
      <c r="U50" s="70" t="s">
        <v>15</v>
      </c>
      <c r="V50" s="70" t="s">
        <v>16</v>
      </c>
      <c r="W50" s="70" t="s">
        <v>17</v>
      </c>
      <c r="X50" s="71" t="s">
        <v>18</v>
      </c>
      <c r="Y50" s="70" t="s">
        <v>19</v>
      </c>
      <c r="Z50" s="74"/>
      <c r="AA50" s="70" t="s">
        <v>20</v>
      </c>
      <c r="AB50" s="75" t="s">
        <v>31</v>
      </c>
      <c r="AC50" s="76"/>
      <c r="AD50" s="76"/>
      <c r="AE50" s="77"/>
      <c r="AF50" s="70" t="s">
        <v>78</v>
      </c>
      <c r="AG50" s="73" t="s">
        <v>23</v>
      </c>
      <c r="AH50" s="78" t="s">
        <v>24</v>
      </c>
      <c r="AI50" s="47"/>
      <c r="AJ50" s="115"/>
      <c r="AK50" s="47"/>
      <c r="AL50" s="35"/>
      <c r="AM50" s="35"/>
      <c r="AN50" s="35"/>
      <c r="AO50" s="35"/>
      <c r="AP50" s="34"/>
      <c r="AQ50" s="34"/>
      <c r="AR50" s="34"/>
      <c r="AS50" s="34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</row>
    <row r="51" spans="1:132" ht="21.75" customHeight="1" x14ac:dyDescent="0.25">
      <c r="A51" s="67"/>
      <c r="B51" s="67"/>
      <c r="C51" s="67"/>
      <c r="D51" s="68"/>
      <c r="E51" s="68"/>
      <c r="F51" s="68"/>
      <c r="G51" s="68"/>
      <c r="H51" s="69" t="s">
        <v>25</v>
      </c>
      <c r="I51" s="69" t="s">
        <v>26</v>
      </c>
      <c r="J51" s="69" t="s">
        <v>27</v>
      </c>
      <c r="K51" s="70" t="s">
        <v>28</v>
      </c>
      <c r="L51" s="68"/>
      <c r="M51" s="68"/>
      <c r="N51" s="81" t="s">
        <v>25</v>
      </c>
      <c r="O51" s="81" t="s">
        <v>26</v>
      </c>
      <c r="P51" s="81" t="s">
        <v>29</v>
      </c>
      <c r="Q51" s="82"/>
      <c r="R51" s="83"/>
      <c r="S51" s="84"/>
      <c r="T51" s="85"/>
      <c r="U51" s="82"/>
      <c r="V51" s="82"/>
      <c r="W51" s="82"/>
      <c r="X51" s="86"/>
      <c r="Y51" s="82"/>
      <c r="Z51" s="87" t="s">
        <v>30</v>
      </c>
      <c r="AA51" s="82"/>
      <c r="AB51" s="142"/>
      <c r="AC51" s="143"/>
      <c r="AD51" s="143"/>
      <c r="AE51" s="143"/>
      <c r="AF51" s="82"/>
      <c r="AG51" s="85"/>
      <c r="AH51" s="92"/>
      <c r="AI51" s="35"/>
      <c r="AJ51" s="110"/>
      <c r="AK51" s="35"/>
      <c r="AL51" s="35"/>
      <c r="AM51" s="35"/>
      <c r="AN51" s="35"/>
      <c r="AO51" s="35"/>
      <c r="AP51" s="34"/>
      <c r="AQ51" s="113"/>
      <c r="AR51" s="34"/>
      <c r="AS51" s="34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</row>
    <row r="52" spans="1:132" ht="23.25" x14ac:dyDescent="0.25">
      <c r="A52" s="67"/>
      <c r="B52" s="67"/>
      <c r="C52" s="67"/>
      <c r="D52" s="68"/>
      <c r="E52" s="68"/>
      <c r="F52" s="68"/>
      <c r="G52" s="68"/>
      <c r="H52" s="69"/>
      <c r="I52" s="69"/>
      <c r="J52" s="69"/>
      <c r="K52" s="94"/>
      <c r="L52" s="68"/>
      <c r="M52" s="68"/>
      <c r="N52" s="81"/>
      <c r="O52" s="81"/>
      <c r="P52" s="81"/>
      <c r="Q52" s="94"/>
      <c r="R52" s="95" t="s">
        <v>25</v>
      </c>
      <c r="S52" s="95" t="s">
        <v>26</v>
      </c>
      <c r="T52" s="96"/>
      <c r="U52" s="94"/>
      <c r="V52" s="94"/>
      <c r="W52" s="94"/>
      <c r="X52" s="83"/>
      <c r="Y52" s="94"/>
      <c r="Z52" s="97" t="s">
        <v>32</v>
      </c>
      <c r="AA52" s="94"/>
      <c r="AB52" s="98" t="s">
        <v>33</v>
      </c>
      <c r="AC52" s="99" t="s">
        <v>34</v>
      </c>
      <c r="AD52" s="99" t="s">
        <v>35</v>
      </c>
      <c r="AE52" s="98" t="s">
        <v>36</v>
      </c>
      <c r="AF52" s="94"/>
      <c r="AG52" s="96"/>
      <c r="AH52" s="100"/>
      <c r="AI52" s="35"/>
      <c r="AJ52" s="110"/>
      <c r="AK52" s="35"/>
      <c r="AL52" s="44"/>
      <c r="AM52" s="35"/>
      <c r="AN52" s="35"/>
      <c r="AO52" s="35"/>
      <c r="AP52" s="34"/>
      <c r="AQ52" s="34"/>
      <c r="AR52" s="34"/>
      <c r="AS52" s="34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</row>
    <row r="53" spans="1:132" x14ac:dyDescent="0.25">
      <c r="A53" s="102" t="s">
        <v>143</v>
      </c>
      <c r="B53" s="109">
        <f>8893+8893</f>
        <v>17786</v>
      </c>
      <c r="C53" s="109">
        <f>8893+8893-255.72</f>
        <v>17530.28</v>
      </c>
      <c r="D53" s="109">
        <v>204.58</v>
      </c>
      <c r="E53" s="109">
        <v>0</v>
      </c>
      <c r="F53" s="109">
        <v>0</v>
      </c>
      <c r="G53" s="104">
        <f t="shared" ref="G53:G62" si="27">C53+D53+E53+F53</f>
        <v>17734.86</v>
      </c>
      <c r="H53" s="104">
        <v>810</v>
      </c>
      <c r="I53" s="104">
        <v>1710</v>
      </c>
      <c r="J53" s="104">
        <f t="shared" ref="J53:J62" si="28">H53+I53</f>
        <v>2520</v>
      </c>
      <c r="K53" s="104">
        <v>30</v>
      </c>
      <c r="L53" s="104">
        <v>0</v>
      </c>
      <c r="M53" s="104">
        <v>0</v>
      </c>
      <c r="N53" s="104">
        <f t="shared" ref="N53:N61" si="29">B53*5%/2</f>
        <v>444.65000000000003</v>
      </c>
      <c r="O53" s="104">
        <f t="shared" ref="O53:O62" si="30">P53-N53</f>
        <v>444.65000000000003</v>
      </c>
      <c r="P53" s="105">
        <f t="shared" ref="P53:P62" si="31">B53*0.05</f>
        <v>889.30000000000007</v>
      </c>
      <c r="Q53" s="104">
        <v>0</v>
      </c>
      <c r="R53" s="105">
        <v>200</v>
      </c>
      <c r="S53" s="105">
        <f t="shared" ref="S53:S62" si="32">R53</f>
        <v>200</v>
      </c>
      <c r="T53" s="109">
        <v>941.46</v>
      </c>
      <c r="U53" s="105">
        <v>0</v>
      </c>
      <c r="V53" s="105">
        <v>0</v>
      </c>
      <c r="W53" s="108">
        <v>0</v>
      </c>
      <c r="X53" s="104">
        <v>0</v>
      </c>
      <c r="Y53" s="104"/>
      <c r="Z53" s="104"/>
      <c r="AA53" s="104">
        <f>G53-L53-M53-T53-U53-V53-W53-H53-N53-Q53-R53</f>
        <v>15338.750000000002</v>
      </c>
      <c r="AB53" s="104">
        <f>+AC53</f>
        <v>0</v>
      </c>
      <c r="AC53" s="104">
        <v>0</v>
      </c>
      <c r="AD53" s="104">
        <v>0</v>
      </c>
      <c r="AE53" s="105">
        <v>0</v>
      </c>
      <c r="AF53" s="104">
        <v>0</v>
      </c>
      <c r="AG53" s="104">
        <v>0</v>
      </c>
      <c r="AH53" s="109">
        <f>AA53+AB53+AC53+AD53+AE53+AF53+AG53</f>
        <v>15338.750000000002</v>
      </c>
      <c r="AI53" s="35"/>
      <c r="AJ53" s="110"/>
      <c r="AK53" s="44"/>
      <c r="AL53" s="44"/>
      <c r="AM53" s="35"/>
      <c r="AN53" s="35"/>
      <c r="AO53" s="35"/>
      <c r="AP53" s="113">
        <f t="shared" ref="AP53:AP62" si="33">+G53-H53-N53-R53</f>
        <v>16280.21</v>
      </c>
      <c r="AQ53" s="113"/>
      <c r="AR53" s="34"/>
      <c r="AS53" s="34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</row>
    <row r="54" spans="1:132" x14ac:dyDescent="0.25">
      <c r="A54" s="102" t="s">
        <v>169</v>
      </c>
      <c r="B54" s="109">
        <f>11500+11500</f>
        <v>23000</v>
      </c>
      <c r="C54" s="109">
        <f>6172.53+11500-11.02</f>
        <v>17661.509999999998</v>
      </c>
      <c r="D54" s="109">
        <v>0</v>
      </c>
      <c r="E54" s="109">
        <v>0</v>
      </c>
      <c r="F54" s="109">
        <v>0</v>
      </c>
      <c r="G54" s="104">
        <f>C54+D54+E54+F54</f>
        <v>17661.509999999998</v>
      </c>
      <c r="H54" s="104">
        <v>1035</v>
      </c>
      <c r="I54" s="104">
        <f>1900+285</f>
        <v>2185</v>
      </c>
      <c r="J54" s="104">
        <f>H54+I54</f>
        <v>3220</v>
      </c>
      <c r="K54" s="104">
        <v>30</v>
      </c>
      <c r="L54" s="104">
        <v>0</v>
      </c>
      <c r="M54" s="104">
        <v>0</v>
      </c>
      <c r="N54" s="104">
        <f>B54*5%/2</f>
        <v>575</v>
      </c>
      <c r="O54" s="104">
        <f t="shared" si="30"/>
        <v>575</v>
      </c>
      <c r="P54" s="105">
        <f t="shared" si="31"/>
        <v>1150</v>
      </c>
      <c r="Q54" s="104">
        <v>0</v>
      </c>
      <c r="R54" s="105">
        <v>200</v>
      </c>
      <c r="S54" s="105">
        <f>R54</f>
        <v>200</v>
      </c>
      <c r="T54" s="105">
        <v>0</v>
      </c>
      <c r="U54" s="105">
        <v>0</v>
      </c>
      <c r="V54" s="105">
        <v>0</v>
      </c>
      <c r="W54" s="108">
        <v>0</v>
      </c>
      <c r="X54" s="104">
        <v>0</v>
      </c>
      <c r="Y54" s="104"/>
      <c r="Z54" s="104"/>
      <c r="AA54" s="104">
        <f t="shared" ref="AA54:AA61" si="34">G54-L54-M54-T54-U54-V54-W54-H54-N54-Q54-R54</f>
        <v>15851.509999999998</v>
      </c>
      <c r="AB54" s="104">
        <f>+AC54</f>
        <v>0</v>
      </c>
      <c r="AC54" s="104">
        <v>0</v>
      </c>
      <c r="AD54" s="104">
        <v>0</v>
      </c>
      <c r="AE54" s="105">
        <v>0</v>
      </c>
      <c r="AF54" s="104">
        <v>0</v>
      </c>
      <c r="AG54" s="104">
        <v>0</v>
      </c>
      <c r="AH54" s="109">
        <f t="shared" ref="AH54:AH61" si="35">AA54+AB54+AC54+AD54+AE54+AF54+AG54</f>
        <v>15851.509999999998</v>
      </c>
      <c r="AI54" s="35"/>
      <c r="AJ54" s="110"/>
      <c r="AK54" s="44"/>
      <c r="AL54" s="44"/>
      <c r="AM54" s="35"/>
      <c r="AN54" s="35"/>
      <c r="AO54" s="35"/>
      <c r="AP54" s="113">
        <f t="shared" si="33"/>
        <v>15851.509999999998</v>
      </c>
      <c r="AQ54" s="113"/>
      <c r="AR54" s="34"/>
      <c r="AS54" s="34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</row>
    <row r="55" spans="1:132" x14ac:dyDescent="0.25">
      <c r="A55" s="102" t="s">
        <v>144</v>
      </c>
      <c r="B55" s="109">
        <f>9000+9000</f>
        <v>18000</v>
      </c>
      <c r="C55" s="109">
        <f>9000+9000</f>
        <v>18000</v>
      </c>
      <c r="D55" s="109">
        <v>207.02</v>
      </c>
      <c r="E55" s="109">
        <v>0</v>
      </c>
      <c r="F55" s="109">
        <v>0</v>
      </c>
      <c r="G55" s="104">
        <f t="shared" si="27"/>
        <v>18207.02</v>
      </c>
      <c r="H55" s="104">
        <v>810</v>
      </c>
      <c r="I55" s="104">
        <v>1710</v>
      </c>
      <c r="J55" s="104">
        <f t="shared" si="28"/>
        <v>2520</v>
      </c>
      <c r="K55" s="104">
        <v>30</v>
      </c>
      <c r="L55" s="104">
        <f>1661.22</f>
        <v>1661.22</v>
      </c>
      <c r="M55" s="104">
        <v>0</v>
      </c>
      <c r="N55" s="104">
        <f t="shared" si="29"/>
        <v>450</v>
      </c>
      <c r="O55" s="104">
        <f t="shared" si="30"/>
        <v>450</v>
      </c>
      <c r="P55" s="105">
        <f t="shared" si="31"/>
        <v>900</v>
      </c>
      <c r="Q55" s="104">
        <v>0</v>
      </c>
      <c r="R55" s="105">
        <v>200</v>
      </c>
      <c r="S55" s="105">
        <f t="shared" si="32"/>
        <v>200</v>
      </c>
      <c r="T55" s="105">
        <v>0</v>
      </c>
      <c r="U55" s="144">
        <v>0</v>
      </c>
      <c r="V55" s="105">
        <v>0</v>
      </c>
      <c r="W55" s="108">
        <v>0</v>
      </c>
      <c r="X55" s="104">
        <v>0</v>
      </c>
      <c r="Y55" s="104"/>
      <c r="Z55" s="104"/>
      <c r="AA55" s="104">
        <f t="shared" si="34"/>
        <v>15085.8</v>
      </c>
      <c r="AB55" s="104">
        <v>0</v>
      </c>
      <c r="AC55" s="104">
        <v>0</v>
      </c>
      <c r="AD55" s="104">
        <v>0</v>
      </c>
      <c r="AE55" s="105">
        <v>0</v>
      </c>
      <c r="AF55" s="104">
        <v>0</v>
      </c>
      <c r="AG55" s="104">
        <v>0</v>
      </c>
      <c r="AH55" s="109">
        <f t="shared" si="35"/>
        <v>15085.8</v>
      </c>
      <c r="AI55" s="145" t="s">
        <v>62</v>
      </c>
      <c r="AJ55" s="121">
        <f>87631.98-6172.53</f>
        <v>81459.45</v>
      </c>
      <c r="AK55" s="43"/>
      <c r="AL55" s="44"/>
      <c r="AM55" s="35"/>
      <c r="AN55" s="35"/>
      <c r="AO55" s="35"/>
      <c r="AP55" s="113">
        <f t="shared" si="33"/>
        <v>16747.02</v>
      </c>
      <c r="AQ55" s="113"/>
      <c r="AR55" s="34"/>
      <c r="AS55" s="34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</row>
    <row r="56" spans="1:132" x14ac:dyDescent="0.25">
      <c r="A56" s="102" t="s">
        <v>159</v>
      </c>
      <c r="B56" s="109">
        <f>7000+7000</f>
        <v>14000</v>
      </c>
      <c r="C56" s="109">
        <f>7000-124.12+7000-1073.48</f>
        <v>12802.400000000001</v>
      </c>
      <c r="D56" s="109">
        <v>161.02000000000001</v>
      </c>
      <c r="E56" s="109">
        <v>0</v>
      </c>
      <c r="F56" s="109">
        <v>0</v>
      </c>
      <c r="G56" s="104">
        <f t="shared" si="27"/>
        <v>12963.420000000002</v>
      </c>
      <c r="H56" s="104">
        <v>630</v>
      </c>
      <c r="I56" s="105">
        <v>1330</v>
      </c>
      <c r="J56" s="104">
        <f t="shared" si="28"/>
        <v>1960</v>
      </c>
      <c r="K56" s="105">
        <v>10</v>
      </c>
      <c r="L56" s="104">
        <v>0</v>
      </c>
      <c r="M56" s="104">
        <v>0</v>
      </c>
      <c r="N56" s="104">
        <f t="shared" si="29"/>
        <v>350</v>
      </c>
      <c r="O56" s="104">
        <f t="shared" si="30"/>
        <v>350</v>
      </c>
      <c r="P56" s="105">
        <f t="shared" si="31"/>
        <v>700</v>
      </c>
      <c r="Q56" s="104">
        <v>0</v>
      </c>
      <c r="R56" s="105">
        <v>200</v>
      </c>
      <c r="S56" s="105">
        <f t="shared" si="32"/>
        <v>200</v>
      </c>
      <c r="T56" s="105">
        <v>0</v>
      </c>
      <c r="U56" s="144">
        <v>0</v>
      </c>
      <c r="V56" s="105">
        <v>0</v>
      </c>
      <c r="W56" s="108">
        <v>0</v>
      </c>
      <c r="X56" s="104">
        <v>0</v>
      </c>
      <c r="Y56" s="104"/>
      <c r="Z56" s="104"/>
      <c r="AA56" s="104">
        <f t="shared" si="34"/>
        <v>11783.420000000002</v>
      </c>
      <c r="AB56" s="104">
        <v>0</v>
      </c>
      <c r="AC56" s="104">
        <v>0</v>
      </c>
      <c r="AD56" s="104">
        <v>0</v>
      </c>
      <c r="AE56" s="105">
        <v>0</v>
      </c>
      <c r="AF56" s="104">
        <v>0</v>
      </c>
      <c r="AG56" s="104">
        <v>0</v>
      </c>
      <c r="AH56" s="109">
        <f t="shared" si="35"/>
        <v>11783.420000000002</v>
      </c>
      <c r="AI56" s="52" t="s">
        <v>64</v>
      </c>
      <c r="AJ56" s="122">
        <v>7365.64</v>
      </c>
      <c r="AK56" s="43" t="s">
        <v>79</v>
      </c>
      <c r="AL56" s="44"/>
      <c r="AM56" s="35"/>
      <c r="AN56" s="35"/>
      <c r="AO56" s="35"/>
      <c r="AP56" s="113">
        <f t="shared" si="33"/>
        <v>11783.420000000002</v>
      </c>
      <c r="AQ56" s="113"/>
      <c r="AR56" s="34"/>
      <c r="AS56" s="34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</row>
    <row r="57" spans="1:132" s="53" customFormat="1" ht="12.75" customHeight="1" x14ac:dyDescent="0.25">
      <c r="A57" s="102" t="s">
        <v>146</v>
      </c>
      <c r="B57" s="109">
        <f>14000+14000</f>
        <v>28000</v>
      </c>
      <c r="C57" s="109">
        <f>14000+14000</f>
        <v>28000</v>
      </c>
      <c r="D57" s="109">
        <v>322.06</v>
      </c>
      <c r="E57" s="109">
        <v>0</v>
      </c>
      <c r="F57" s="109">
        <v>0</v>
      </c>
      <c r="G57" s="104">
        <f t="shared" si="27"/>
        <v>28322.06</v>
      </c>
      <c r="H57" s="104">
        <v>1260</v>
      </c>
      <c r="I57" s="104">
        <f>1900+760</f>
        <v>2660</v>
      </c>
      <c r="J57" s="104">
        <f t="shared" si="28"/>
        <v>3920</v>
      </c>
      <c r="K57" s="104">
        <v>30</v>
      </c>
      <c r="L57" s="104">
        <v>0</v>
      </c>
      <c r="M57" s="104">
        <v>0</v>
      </c>
      <c r="N57" s="104">
        <f t="shared" si="29"/>
        <v>700</v>
      </c>
      <c r="O57" s="104">
        <f t="shared" si="30"/>
        <v>700</v>
      </c>
      <c r="P57" s="105">
        <f t="shared" si="31"/>
        <v>1400</v>
      </c>
      <c r="Q57" s="105">
        <f>(G57-H57-N57-R57-20833)*15%</f>
        <v>799.35900000000015</v>
      </c>
      <c r="R57" s="105">
        <v>200</v>
      </c>
      <c r="S57" s="105">
        <f t="shared" si="32"/>
        <v>200</v>
      </c>
      <c r="T57" s="109">
        <v>0</v>
      </c>
      <c r="U57" s="105">
        <v>0</v>
      </c>
      <c r="V57" s="105">
        <v>0</v>
      </c>
      <c r="W57" s="108">
        <v>0</v>
      </c>
      <c r="X57" s="104">
        <v>0</v>
      </c>
      <c r="Y57" s="104"/>
      <c r="Z57" s="104"/>
      <c r="AA57" s="104">
        <f t="shared" si="34"/>
        <v>25362.701000000001</v>
      </c>
      <c r="AB57" s="104">
        <v>0</v>
      </c>
      <c r="AC57" s="104">
        <v>0</v>
      </c>
      <c r="AD57" s="104">
        <v>0</v>
      </c>
      <c r="AE57" s="105">
        <v>0</v>
      </c>
      <c r="AF57" s="104">
        <v>0</v>
      </c>
      <c r="AG57" s="104">
        <v>0</v>
      </c>
      <c r="AH57" s="109">
        <f t="shared" si="35"/>
        <v>25362.701000000001</v>
      </c>
      <c r="AI57" s="52" t="s">
        <v>80</v>
      </c>
      <c r="AJ57" s="123">
        <v>6172.53</v>
      </c>
      <c r="AK57" s="43" t="s">
        <v>80</v>
      </c>
      <c r="AL57" s="44"/>
      <c r="AM57" s="35"/>
      <c r="AN57" s="35"/>
      <c r="AO57" s="35"/>
      <c r="AQ57" s="113">
        <f>+G57-H57-N57-R57</f>
        <v>26162.06</v>
      </c>
      <c r="AR57" s="34"/>
      <c r="AS57" s="34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</row>
    <row r="58" spans="1:132" s="53" customFormat="1" ht="12.75" customHeight="1" x14ac:dyDescent="0.25">
      <c r="A58" s="102" t="s">
        <v>147</v>
      </c>
      <c r="B58" s="109">
        <f>12500+12500</f>
        <v>25000</v>
      </c>
      <c r="C58" s="109">
        <f>12500+12500</f>
        <v>25000</v>
      </c>
      <c r="D58" s="109">
        <v>287.54000000000002</v>
      </c>
      <c r="E58" s="109">
        <v>0</v>
      </c>
      <c r="F58" s="109">
        <v>0</v>
      </c>
      <c r="G58" s="104">
        <f t="shared" si="27"/>
        <v>25287.54</v>
      </c>
      <c r="H58" s="104">
        <f>900+225</f>
        <v>1125</v>
      </c>
      <c r="I58" s="105">
        <f>1900+475</f>
        <v>2375</v>
      </c>
      <c r="J58" s="104">
        <f t="shared" si="28"/>
        <v>3500</v>
      </c>
      <c r="K58" s="105">
        <v>30</v>
      </c>
      <c r="L58" s="104">
        <v>0</v>
      </c>
      <c r="M58" s="104">
        <v>0</v>
      </c>
      <c r="N58" s="104">
        <f t="shared" si="29"/>
        <v>625</v>
      </c>
      <c r="O58" s="104">
        <f t="shared" si="30"/>
        <v>625</v>
      </c>
      <c r="P58" s="105">
        <f t="shared" si="31"/>
        <v>1250</v>
      </c>
      <c r="Q58" s="105">
        <f>(G58-H58-N58-R58-20833)*15%</f>
        <v>375.6810000000001</v>
      </c>
      <c r="R58" s="105">
        <v>200</v>
      </c>
      <c r="S58" s="105">
        <f t="shared" si="32"/>
        <v>200</v>
      </c>
      <c r="T58" s="109">
        <v>0</v>
      </c>
      <c r="U58" s="105">
        <v>0</v>
      </c>
      <c r="V58" s="105">
        <v>0</v>
      </c>
      <c r="W58" s="108">
        <f>0</f>
        <v>0</v>
      </c>
      <c r="X58" s="104">
        <v>0</v>
      </c>
      <c r="Y58" s="104"/>
      <c r="Z58" s="104"/>
      <c r="AA58" s="104">
        <f t="shared" si="34"/>
        <v>22961.859</v>
      </c>
      <c r="AB58" s="104">
        <v>0</v>
      </c>
      <c r="AC58" s="104">
        <v>0</v>
      </c>
      <c r="AD58" s="104">
        <v>0</v>
      </c>
      <c r="AE58" s="105">
        <v>0</v>
      </c>
      <c r="AF58" s="104">
        <v>0</v>
      </c>
      <c r="AG58" s="104">
        <v>0</v>
      </c>
      <c r="AH58" s="109">
        <f t="shared" si="35"/>
        <v>22961.859</v>
      </c>
      <c r="AI58" s="52" t="s">
        <v>81</v>
      </c>
      <c r="AJ58" s="115">
        <f>AJ55+AJ56+AJ57</f>
        <v>94997.62</v>
      </c>
      <c r="AK58" s="46" t="s">
        <v>21</v>
      </c>
      <c r="AL58" s="44"/>
      <c r="AM58" s="35"/>
      <c r="AN58" s="35"/>
      <c r="AO58" s="35"/>
      <c r="AQ58" s="113">
        <f>+G58-H58-N58-R58</f>
        <v>23337.54</v>
      </c>
      <c r="AR58" s="34"/>
      <c r="AS58" s="34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</row>
    <row r="59" spans="1:132" x14ac:dyDescent="0.25">
      <c r="A59" s="102" t="s">
        <v>148</v>
      </c>
      <c r="B59" s="103">
        <f>8054+8054</f>
        <v>16108</v>
      </c>
      <c r="C59" s="109">
        <f>8054-43.74+8054-24.44</f>
        <v>16039.82</v>
      </c>
      <c r="D59" s="109">
        <v>184.79</v>
      </c>
      <c r="E59" s="109">
        <v>0</v>
      </c>
      <c r="F59" s="109">
        <v>0</v>
      </c>
      <c r="G59" s="104">
        <f t="shared" si="27"/>
        <v>16224.61</v>
      </c>
      <c r="H59" s="104">
        <v>720</v>
      </c>
      <c r="I59" s="104">
        <v>1520</v>
      </c>
      <c r="J59" s="104">
        <f t="shared" si="28"/>
        <v>2240</v>
      </c>
      <c r="K59" s="104">
        <v>30</v>
      </c>
      <c r="L59" s="104">
        <v>0</v>
      </c>
      <c r="M59" s="104">
        <v>0</v>
      </c>
      <c r="N59" s="104">
        <f t="shared" si="29"/>
        <v>402.70000000000005</v>
      </c>
      <c r="O59" s="104">
        <f t="shared" si="30"/>
        <v>402.70000000000005</v>
      </c>
      <c r="P59" s="105">
        <f t="shared" si="31"/>
        <v>805.40000000000009</v>
      </c>
      <c r="Q59" s="104">
        <v>0</v>
      </c>
      <c r="R59" s="105">
        <v>200</v>
      </c>
      <c r="S59" s="105">
        <f t="shared" si="32"/>
        <v>200</v>
      </c>
      <c r="T59" s="103">
        <v>0</v>
      </c>
      <c r="U59" s="104">
        <v>0</v>
      </c>
      <c r="V59" s="104">
        <v>0</v>
      </c>
      <c r="W59" s="104">
        <v>0</v>
      </c>
      <c r="X59" s="104">
        <v>0</v>
      </c>
      <c r="Y59" s="104"/>
      <c r="Z59" s="104"/>
      <c r="AA59" s="104">
        <f t="shared" si="34"/>
        <v>14901.91</v>
      </c>
      <c r="AB59" s="104">
        <v>0</v>
      </c>
      <c r="AC59" s="104"/>
      <c r="AD59" s="104">
        <v>0</v>
      </c>
      <c r="AE59" s="105">
        <v>0</v>
      </c>
      <c r="AF59" s="104">
        <v>0</v>
      </c>
      <c r="AG59" s="104">
        <v>0</v>
      </c>
      <c r="AH59" s="109">
        <f t="shared" si="35"/>
        <v>14901.91</v>
      </c>
      <c r="AI59" s="145" t="s">
        <v>71</v>
      </c>
      <c r="AJ59" s="121">
        <v>79185.84</v>
      </c>
      <c r="AK59" s="43"/>
      <c r="AL59" s="44"/>
      <c r="AM59" s="35"/>
      <c r="AN59" s="35"/>
      <c r="AO59" s="35"/>
      <c r="AP59" s="113">
        <f t="shared" si="33"/>
        <v>14901.91</v>
      </c>
      <c r="AQ59" s="113"/>
      <c r="AR59" s="34"/>
      <c r="AS59" s="34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</row>
    <row r="60" spans="1:132" x14ac:dyDescent="0.25">
      <c r="A60" s="102" t="s">
        <v>149</v>
      </c>
      <c r="B60" s="103">
        <f>14800+14800</f>
        <v>29600</v>
      </c>
      <c r="C60" s="109">
        <f>14800+14800</f>
        <v>29600</v>
      </c>
      <c r="D60" s="109">
        <v>340.44</v>
      </c>
      <c r="E60" s="109">
        <v>0</v>
      </c>
      <c r="F60" s="109">
        <v>0</v>
      </c>
      <c r="G60" s="104">
        <f t="shared" si="27"/>
        <v>29940.44</v>
      </c>
      <c r="H60" s="104">
        <v>1327.5</v>
      </c>
      <c r="I60" s="104">
        <f>1900+902.5</f>
        <v>2802.5</v>
      </c>
      <c r="J60" s="104">
        <f t="shared" si="28"/>
        <v>4130</v>
      </c>
      <c r="K60" s="104">
        <v>30</v>
      </c>
      <c r="L60" s="104">
        <v>0</v>
      </c>
      <c r="M60" s="104">
        <v>0</v>
      </c>
      <c r="N60" s="104">
        <f t="shared" si="29"/>
        <v>740</v>
      </c>
      <c r="O60" s="104">
        <f t="shared" si="30"/>
        <v>740</v>
      </c>
      <c r="P60" s="105">
        <f t="shared" si="31"/>
        <v>1480</v>
      </c>
      <c r="Q60" s="105">
        <f>(G60-H60-N60-R60-20833)*15%</f>
        <v>1025.9909999999998</v>
      </c>
      <c r="R60" s="105">
        <v>200</v>
      </c>
      <c r="S60" s="105">
        <f t="shared" si="32"/>
        <v>200</v>
      </c>
      <c r="T60" s="109">
        <v>0</v>
      </c>
      <c r="U60" s="104">
        <v>0</v>
      </c>
      <c r="V60" s="104">
        <v>0</v>
      </c>
      <c r="W60" s="104">
        <v>0</v>
      </c>
      <c r="X60" s="104">
        <v>0</v>
      </c>
      <c r="Y60" s="104"/>
      <c r="Z60" s="104"/>
      <c r="AA60" s="104">
        <f t="shared" si="34"/>
        <v>26646.949000000001</v>
      </c>
      <c r="AB60" s="104">
        <f>7200+7200</f>
        <v>14400</v>
      </c>
      <c r="AC60" s="104">
        <v>165.64</v>
      </c>
      <c r="AD60" s="104">
        <v>0</v>
      </c>
      <c r="AE60" s="105">
        <v>0</v>
      </c>
      <c r="AF60" s="104">
        <v>0</v>
      </c>
      <c r="AG60" s="104">
        <v>0</v>
      </c>
      <c r="AH60" s="109">
        <f t="shared" si="35"/>
        <v>41212.589</v>
      </c>
      <c r="AI60" s="54" t="s">
        <v>64</v>
      </c>
      <c r="AJ60" s="146">
        <v>7200</v>
      </c>
      <c r="AK60" s="43" t="s">
        <v>79</v>
      </c>
      <c r="AL60" s="44"/>
      <c r="AM60" s="35"/>
      <c r="AN60" s="35"/>
      <c r="AO60" s="35"/>
      <c r="AQ60" s="113">
        <f>+G60-H60-N60-R60</f>
        <v>27672.94</v>
      </c>
      <c r="AR60" s="34"/>
      <c r="AS60" s="34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</row>
    <row r="61" spans="1:132" x14ac:dyDescent="0.25">
      <c r="A61" s="102" t="s">
        <v>150</v>
      </c>
      <c r="B61" s="109">
        <f>7000+7000</f>
        <v>14000</v>
      </c>
      <c r="C61" s="109">
        <f>7000-31.31+7000-25.72-268.37</f>
        <v>13674.599999999999</v>
      </c>
      <c r="D61" s="109">
        <v>161.02000000000001</v>
      </c>
      <c r="E61" s="109">
        <v>0</v>
      </c>
      <c r="F61" s="109">
        <f>566.91+335.45+6.71+92.25+536.74+335.45</f>
        <v>1873.51</v>
      </c>
      <c r="G61" s="104">
        <f t="shared" si="27"/>
        <v>15709.13</v>
      </c>
      <c r="H61" s="104">
        <v>630</v>
      </c>
      <c r="I61" s="104">
        <v>1330</v>
      </c>
      <c r="J61" s="104">
        <f t="shared" si="28"/>
        <v>1960</v>
      </c>
      <c r="K61" s="104">
        <v>10</v>
      </c>
      <c r="L61" s="104">
        <v>392.23</v>
      </c>
      <c r="M61" s="104"/>
      <c r="N61" s="104">
        <f t="shared" si="29"/>
        <v>350</v>
      </c>
      <c r="O61" s="104">
        <f t="shared" si="30"/>
        <v>350</v>
      </c>
      <c r="P61" s="105">
        <f t="shared" si="31"/>
        <v>700</v>
      </c>
      <c r="Q61" s="104"/>
      <c r="R61" s="105">
        <v>200</v>
      </c>
      <c r="S61" s="104">
        <f t="shared" si="32"/>
        <v>200</v>
      </c>
      <c r="T61" s="103"/>
      <c r="U61" s="104"/>
      <c r="V61" s="104"/>
      <c r="W61" s="104"/>
      <c r="X61" s="104">
        <v>0</v>
      </c>
      <c r="Y61" s="104"/>
      <c r="Z61" s="104"/>
      <c r="AA61" s="104">
        <f t="shared" si="34"/>
        <v>14136.9</v>
      </c>
      <c r="AB61" s="104">
        <v>0</v>
      </c>
      <c r="AC61" s="104">
        <v>0</v>
      </c>
      <c r="AD61" s="104">
        <v>0</v>
      </c>
      <c r="AE61" s="105">
        <v>0</v>
      </c>
      <c r="AF61" s="104">
        <v>0</v>
      </c>
      <c r="AG61" s="104">
        <v>0</v>
      </c>
      <c r="AH61" s="109">
        <f t="shared" si="35"/>
        <v>14136.9</v>
      </c>
      <c r="AI61" s="52" t="s">
        <v>80</v>
      </c>
      <c r="AJ61" s="123">
        <v>0</v>
      </c>
      <c r="AK61" s="43" t="s">
        <v>21</v>
      </c>
      <c r="AL61" s="44"/>
      <c r="AM61" s="35"/>
      <c r="AN61" s="35"/>
      <c r="AO61" s="35"/>
      <c r="AP61" s="113">
        <f t="shared" si="33"/>
        <v>14529.13</v>
      </c>
      <c r="AQ61" s="113"/>
      <c r="AR61" s="34"/>
      <c r="AS61" s="34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</row>
    <row r="62" spans="1:132" x14ac:dyDescent="0.25">
      <c r="A62" s="102" t="s">
        <v>170</v>
      </c>
      <c r="B62" s="109">
        <v>18000</v>
      </c>
      <c r="C62" s="109">
        <f>6901-2.88-690.1</f>
        <v>6208.0199999999995</v>
      </c>
      <c r="D62" s="109"/>
      <c r="E62" s="109">
        <v>0</v>
      </c>
      <c r="F62" s="109">
        <v>0</v>
      </c>
      <c r="G62" s="104">
        <f t="shared" si="27"/>
        <v>6208.0199999999995</v>
      </c>
      <c r="H62" s="104">
        <v>810</v>
      </c>
      <c r="I62" s="104">
        <v>1710</v>
      </c>
      <c r="J62" s="104">
        <f t="shared" si="28"/>
        <v>2520</v>
      </c>
      <c r="K62" s="104">
        <v>30</v>
      </c>
      <c r="L62" s="104"/>
      <c r="M62" s="104"/>
      <c r="N62" s="104">
        <v>450</v>
      </c>
      <c r="O62" s="104">
        <f t="shared" si="30"/>
        <v>450</v>
      </c>
      <c r="P62" s="105">
        <f t="shared" si="31"/>
        <v>900</v>
      </c>
      <c r="Q62" s="104"/>
      <c r="R62" s="105">
        <v>200</v>
      </c>
      <c r="S62" s="104">
        <f t="shared" si="32"/>
        <v>200</v>
      </c>
      <c r="T62" s="103"/>
      <c r="U62" s="104"/>
      <c r="V62" s="104"/>
      <c r="W62" s="104"/>
      <c r="X62" s="104">
        <v>0</v>
      </c>
      <c r="Y62" s="104"/>
      <c r="Z62" s="104"/>
      <c r="AA62" s="104">
        <f>G62-L62-M62-T62-U62-V62-W62-H62-N62-Q62-R62</f>
        <v>4748.0199999999995</v>
      </c>
      <c r="AB62" s="104">
        <v>0</v>
      </c>
      <c r="AC62" s="104">
        <v>0</v>
      </c>
      <c r="AD62" s="104">
        <v>0</v>
      </c>
      <c r="AE62" s="105">
        <v>0</v>
      </c>
      <c r="AF62" s="104">
        <v>0</v>
      </c>
      <c r="AG62" s="104">
        <v>0</v>
      </c>
      <c r="AH62" s="109">
        <f>AA62+AB62+AC62+AD62+AE62+AF62+AG62</f>
        <v>4748.0199999999995</v>
      </c>
      <c r="AI62" s="52" t="s">
        <v>80</v>
      </c>
      <c r="AJ62" s="123">
        <v>0</v>
      </c>
      <c r="AK62" s="43" t="s">
        <v>21</v>
      </c>
      <c r="AL62" s="35"/>
      <c r="AM62" s="35"/>
      <c r="AN62" s="35"/>
      <c r="AO62" s="35"/>
      <c r="AP62" s="113">
        <f t="shared" si="33"/>
        <v>4748.0199999999995</v>
      </c>
      <c r="AQ62" s="113"/>
      <c r="AR62" s="34"/>
      <c r="AS62" s="34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</row>
    <row r="63" spans="1:132" ht="17.25" customHeight="1" thickBot="1" x14ac:dyDescent="0.3">
      <c r="A63" s="130"/>
      <c r="B63" s="147">
        <f>SUM(B53:B62)</f>
        <v>203494</v>
      </c>
      <c r="C63" s="147">
        <f>SUM(C53:C62)</f>
        <v>184516.63</v>
      </c>
      <c r="D63" s="147">
        <f>SUM(D53:D62)</f>
        <v>1868.47</v>
      </c>
      <c r="E63" s="147">
        <f t="shared" ref="E63:I63" si="36">SUM(E53:E62)</f>
        <v>0</v>
      </c>
      <c r="F63" s="147">
        <f t="shared" si="36"/>
        <v>1873.51</v>
      </c>
      <c r="G63" s="147">
        <f t="shared" si="36"/>
        <v>188258.61000000002</v>
      </c>
      <c r="H63" s="147">
        <f t="shared" si="36"/>
        <v>9157.5</v>
      </c>
      <c r="I63" s="147">
        <f t="shared" si="36"/>
        <v>19332.5</v>
      </c>
      <c r="J63" s="147">
        <f>SUM(J53:J62)</f>
        <v>28490</v>
      </c>
      <c r="K63" s="147">
        <f>SUM(K53:K62)</f>
        <v>260</v>
      </c>
      <c r="L63" s="147">
        <f t="shared" ref="L63:S63" si="37">SUM(L53:L62)</f>
        <v>2053.4499999999998</v>
      </c>
      <c r="M63" s="147">
        <f t="shared" si="37"/>
        <v>0</v>
      </c>
      <c r="N63" s="147">
        <f t="shared" si="37"/>
        <v>5087.3500000000004</v>
      </c>
      <c r="O63" s="147">
        <f t="shared" si="37"/>
        <v>5087.3500000000004</v>
      </c>
      <c r="P63" s="147">
        <f t="shared" si="37"/>
        <v>10174.700000000001</v>
      </c>
      <c r="Q63" s="147">
        <f>SUM(Q53:Q62)</f>
        <v>2201.0309999999999</v>
      </c>
      <c r="R63" s="147">
        <f t="shared" si="37"/>
        <v>2000</v>
      </c>
      <c r="S63" s="147">
        <f t="shared" si="37"/>
        <v>2000</v>
      </c>
      <c r="T63" s="147">
        <f>SUM(T53:T62)</f>
        <v>941.46</v>
      </c>
      <c r="U63" s="147">
        <f t="shared" ref="U63" si="38">SUM(U53:U61)</f>
        <v>0</v>
      </c>
      <c r="V63" s="147">
        <f t="shared" ref="V63:Z63" si="39">SUM(V53:V62)</f>
        <v>0</v>
      </c>
      <c r="W63" s="147">
        <f t="shared" si="39"/>
        <v>0</v>
      </c>
      <c r="X63" s="147">
        <f t="shared" si="39"/>
        <v>0</v>
      </c>
      <c r="Y63" s="147">
        <f t="shared" si="39"/>
        <v>0</v>
      </c>
      <c r="Z63" s="147">
        <f t="shared" si="39"/>
        <v>0</v>
      </c>
      <c r="AA63" s="147">
        <f>SUM(AA53:AA62)</f>
        <v>166817.81899999999</v>
      </c>
      <c r="AB63" s="147">
        <f t="shared" ref="AB63:AG63" si="40">SUM(AB53:AB62)</f>
        <v>14400</v>
      </c>
      <c r="AC63" s="147">
        <f>SUM(AC53:AC62)</f>
        <v>165.64</v>
      </c>
      <c r="AD63" s="147">
        <f t="shared" si="40"/>
        <v>0</v>
      </c>
      <c r="AE63" s="147">
        <f t="shared" si="40"/>
        <v>0</v>
      </c>
      <c r="AF63" s="147">
        <f t="shared" si="40"/>
        <v>0</v>
      </c>
      <c r="AG63" s="147">
        <f t="shared" si="40"/>
        <v>0</v>
      </c>
      <c r="AH63" s="147">
        <f>SUM(AH53:AH62)</f>
        <v>181383.45899999997</v>
      </c>
      <c r="AI63" s="52" t="s">
        <v>81</v>
      </c>
      <c r="AJ63" s="121">
        <f>AJ59+AJ60+AJ61</f>
        <v>86385.84</v>
      </c>
      <c r="AK63" s="35"/>
      <c r="AL63" s="35"/>
      <c r="AM63" s="35"/>
      <c r="AN63" s="35"/>
      <c r="AO63" s="35"/>
      <c r="AP63" s="34"/>
      <c r="AQ63" s="34"/>
      <c r="AR63" s="34"/>
      <c r="AS63" s="34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</row>
    <row r="64" spans="1:132" ht="13.5" customHeight="1" thickTop="1" x14ac:dyDescent="0.25">
      <c r="A64" s="35"/>
      <c r="B64" s="132"/>
      <c r="C64" s="132" t="s">
        <v>21</v>
      </c>
      <c r="D64" s="133"/>
      <c r="E64" s="133"/>
      <c r="F64" s="133"/>
      <c r="G64" s="66">
        <f>90626.89</f>
        <v>90626.89</v>
      </c>
      <c r="H64" s="66"/>
      <c r="I64" s="133"/>
      <c r="J64" s="133" t="s">
        <v>21</v>
      </c>
      <c r="K64" s="133"/>
      <c r="L64" s="133"/>
      <c r="M64" s="133"/>
      <c r="N64" s="66"/>
      <c r="O64" s="133"/>
      <c r="P64" s="133" t="s">
        <v>21</v>
      </c>
      <c r="Q64" s="133"/>
      <c r="R64" s="66"/>
      <c r="S64" s="133"/>
      <c r="T64" s="132"/>
      <c r="U64" s="133"/>
      <c r="V64" s="133"/>
      <c r="W64" s="133"/>
      <c r="X64" s="133"/>
      <c r="Y64" s="133"/>
      <c r="Z64" s="133"/>
      <c r="AA64" s="133">
        <f>87631.98</f>
        <v>87631.98</v>
      </c>
      <c r="AB64" s="133"/>
      <c r="AC64" s="133"/>
      <c r="AD64" s="133"/>
      <c r="AE64" s="133"/>
      <c r="AF64" s="133"/>
      <c r="AG64" s="132"/>
      <c r="AH64" s="132">
        <f>87631.98+7365.64</f>
        <v>94997.62</v>
      </c>
      <c r="AI64" s="54" t="s">
        <v>68</v>
      </c>
      <c r="AJ64" s="148">
        <f>AJ63+AJ58</f>
        <v>181383.46</v>
      </c>
      <c r="AK64" s="46" t="s">
        <v>21</v>
      </c>
      <c r="AL64" s="35"/>
      <c r="AM64" s="35"/>
      <c r="AN64" s="35"/>
      <c r="AO64" s="35"/>
      <c r="AP64" s="34"/>
      <c r="AQ64" s="34"/>
      <c r="AR64" s="34"/>
      <c r="AS64" s="34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</row>
    <row r="65" spans="1:132" ht="24.75" customHeight="1" x14ac:dyDescent="0.25">
      <c r="A65" s="35"/>
      <c r="B65" s="132"/>
      <c r="C65" s="132"/>
      <c r="D65" s="133"/>
      <c r="E65" s="133"/>
      <c r="F65" s="133"/>
      <c r="G65" s="66"/>
      <c r="H65" s="66"/>
      <c r="I65" s="133"/>
      <c r="J65" s="133"/>
      <c r="K65" s="133"/>
      <c r="L65" s="133"/>
      <c r="M65" s="133"/>
      <c r="N65" s="66"/>
      <c r="O65" s="133"/>
      <c r="P65" s="133"/>
      <c r="Q65" s="133"/>
      <c r="R65" s="66"/>
      <c r="S65" s="133"/>
      <c r="T65" s="132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2"/>
      <c r="AH65" s="132">
        <f>AH63-AH64</f>
        <v>86385.838999999978</v>
      </c>
      <c r="AI65" s="54"/>
      <c r="AJ65" s="148">
        <f>AH63-AJ64</f>
        <v>-1.0000000183936208E-3</v>
      </c>
      <c r="AK65" s="46"/>
      <c r="AL65" s="35"/>
      <c r="AM65" s="35"/>
      <c r="AN65" s="35"/>
      <c r="AO65" s="35"/>
      <c r="AP65" s="113"/>
      <c r="AQ65" s="34"/>
      <c r="AR65" s="149"/>
      <c r="AS65" s="149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</row>
    <row r="66" spans="1:132" x14ac:dyDescent="0.25">
      <c r="A66" s="33" t="s">
        <v>84</v>
      </c>
      <c r="B66" s="132"/>
      <c r="C66" s="132" t="s">
        <v>21</v>
      </c>
      <c r="D66" s="133"/>
      <c r="E66" s="133"/>
      <c r="F66" s="133"/>
      <c r="G66" s="66" t="s">
        <v>21</v>
      </c>
      <c r="H66" s="66"/>
      <c r="I66" s="133"/>
      <c r="J66" s="133"/>
      <c r="K66" s="133"/>
      <c r="L66" s="133"/>
      <c r="M66" s="133"/>
      <c r="N66" s="133"/>
      <c r="O66" s="133"/>
      <c r="P66" s="133"/>
      <c r="Q66" s="133" t="s">
        <v>21</v>
      </c>
      <c r="R66" s="133"/>
      <c r="S66" s="133"/>
      <c r="T66" s="132"/>
      <c r="U66" s="133"/>
      <c r="V66" s="133"/>
      <c r="W66" s="133"/>
      <c r="X66" s="133"/>
      <c r="Y66" s="133"/>
      <c r="Z66" s="133" t="s">
        <v>21</v>
      </c>
      <c r="AA66" s="66" t="s">
        <v>21</v>
      </c>
      <c r="AB66" s="133"/>
      <c r="AC66" s="133"/>
      <c r="AD66" s="133"/>
      <c r="AE66" s="133"/>
      <c r="AF66" s="133"/>
      <c r="AG66" s="132"/>
      <c r="AH66" s="132" t="s">
        <v>21</v>
      </c>
      <c r="AI66" s="48" t="s">
        <v>21</v>
      </c>
      <c r="AJ66" s="121"/>
      <c r="AK66" s="43" t="s">
        <v>21</v>
      </c>
      <c r="AL66" s="35">
        <v>6326.15</v>
      </c>
      <c r="AM66" s="35"/>
      <c r="AN66" s="35"/>
      <c r="AO66" s="35"/>
      <c r="AP66" s="113"/>
      <c r="AQ66" s="34"/>
      <c r="AR66" s="149"/>
      <c r="AS66" s="149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</row>
    <row r="67" spans="1:132" x14ac:dyDescent="0.25">
      <c r="A67" s="67" t="s">
        <v>109</v>
      </c>
      <c r="B67" s="67" t="s">
        <v>2</v>
      </c>
      <c r="C67" s="67" t="s">
        <v>3</v>
      </c>
      <c r="D67" s="68" t="s">
        <v>85</v>
      </c>
      <c r="E67" s="68" t="s">
        <v>86</v>
      </c>
      <c r="F67" s="68" t="s">
        <v>6</v>
      </c>
      <c r="G67" s="68" t="s">
        <v>7</v>
      </c>
      <c r="H67" s="69" t="s">
        <v>21</v>
      </c>
      <c r="I67" s="69"/>
      <c r="J67" s="69"/>
      <c r="K67" s="69"/>
      <c r="L67" s="68" t="s">
        <v>9</v>
      </c>
      <c r="M67" s="68" t="s">
        <v>10</v>
      </c>
      <c r="N67" s="69" t="s">
        <v>11</v>
      </c>
      <c r="O67" s="69"/>
      <c r="P67" s="69"/>
      <c r="Q67" s="70" t="s">
        <v>12</v>
      </c>
      <c r="R67" s="71" t="s">
        <v>13</v>
      </c>
      <c r="S67" s="72"/>
      <c r="T67" s="73" t="s">
        <v>14</v>
      </c>
      <c r="U67" s="70" t="s">
        <v>15</v>
      </c>
      <c r="V67" s="70" t="s">
        <v>16</v>
      </c>
      <c r="W67" s="70" t="s">
        <v>17</v>
      </c>
      <c r="X67" s="71" t="s">
        <v>18</v>
      </c>
      <c r="Y67" s="70" t="s">
        <v>19</v>
      </c>
      <c r="Z67" s="74"/>
      <c r="AA67" s="70" t="s">
        <v>20</v>
      </c>
      <c r="AB67" s="75" t="s">
        <v>31</v>
      </c>
      <c r="AC67" s="76"/>
      <c r="AD67" s="76"/>
      <c r="AE67" s="77"/>
      <c r="AF67" s="70" t="s">
        <v>22</v>
      </c>
      <c r="AG67" s="150"/>
      <c r="AH67" s="78" t="s">
        <v>24</v>
      </c>
      <c r="AI67" s="48"/>
      <c r="AJ67" s="121"/>
      <c r="AK67" s="43"/>
      <c r="AL67" s="35"/>
      <c r="AM67" s="35"/>
      <c r="AN67" s="35"/>
      <c r="AO67" s="35"/>
      <c r="AP67" s="32"/>
      <c r="AQ67" s="32"/>
      <c r="AR67" s="32"/>
      <c r="AS67" s="32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</row>
    <row r="68" spans="1:132" x14ac:dyDescent="0.25">
      <c r="A68" s="67"/>
      <c r="B68" s="67"/>
      <c r="C68" s="67"/>
      <c r="D68" s="68"/>
      <c r="E68" s="68"/>
      <c r="F68" s="68"/>
      <c r="G68" s="68"/>
      <c r="H68" s="69" t="s">
        <v>25</v>
      </c>
      <c r="I68" s="69" t="s">
        <v>26</v>
      </c>
      <c r="J68" s="69" t="s">
        <v>27</v>
      </c>
      <c r="K68" s="70" t="s">
        <v>28</v>
      </c>
      <c r="L68" s="68"/>
      <c r="M68" s="68"/>
      <c r="N68" s="81" t="s">
        <v>25</v>
      </c>
      <c r="O68" s="81" t="s">
        <v>26</v>
      </c>
      <c r="P68" s="81" t="s">
        <v>29</v>
      </c>
      <c r="Q68" s="82"/>
      <c r="R68" s="83"/>
      <c r="S68" s="84"/>
      <c r="T68" s="85"/>
      <c r="U68" s="82"/>
      <c r="V68" s="82"/>
      <c r="W68" s="82"/>
      <c r="X68" s="86"/>
      <c r="Y68" s="82"/>
      <c r="Z68" s="151" t="s">
        <v>87</v>
      </c>
      <c r="AA68" s="82"/>
      <c r="AB68" s="89"/>
      <c r="AC68" s="90"/>
      <c r="AD68" s="90"/>
      <c r="AE68" s="91"/>
      <c r="AF68" s="82"/>
      <c r="AG68" s="152"/>
      <c r="AH68" s="92"/>
      <c r="AI68" s="48"/>
      <c r="AJ68" s="121"/>
      <c r="AK68" s="43"/>
      <c r="AL68" s="35"/>
      <c r="AM68" s="35"/>
      <c r="AN68" s="35"/>
      <c r="AO68" s="35"/>
      <c r="AP68" s="34"/>
      <c r="AQ68" s="34"/>
      <c r="AR68" s="34"/>
      <c r="AS68" s="34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</row>
    <row r="69" spans="1:132" ht="23.25" x14ac:dyDescent="0.25">
      <c r="A69" s="67"/>
      <c r="B69" s="67"/>
      <c r="C69" s="67"/>
      <c r="D69" s="68"/>
      <c r="E69" s="68"/>
      <c r="F69" s="68"/>
      <c r="G69" s="68"/>
      <c r="H69" s="69"/>
      <c r="I69" s="69"/>
      <c r="J69" s="69"/>
      <c r="K69" s="94"/>
      <c r="L69" s="68"/>
      <c r="M69" s="68"/>
      <c r="N69" s="81"/>
      <c r="O69" s="81"/>
      <c r="P69" s="81"/>
      <c r="Q69" s="94"/>
      <c r="R69" s="95" t="s">
        <v>25</v>
      </c>
      <c r="S69" s="95" t="s">
        <v>26</v>
      </c>
      <c r="T69" s="96"/>
      <c r="U69" s="94"/>
      <c r="V69" s="94"/>
      <c r="W69" s="94"/>
      <c r="X69" s="83"/>
      <c r="Y69" s="94"/>
      <c r="Z69" s="153"/>
      <c r="AA69" s="94"/>
      <c r="AB69" s="98" t="s">
        <v>33</v>
      </c>
      <c r="AC69" s="99" t="s">
        <v>34</v>
      </c>
      <c r="AD69" s="99" t="s">
        <v>35</v>
      </c>
      <c r="AE69" s="98" t="s">
        <v>36</v>
      </c>
      <c r="AF69" s="94"/>
      <c r="AG69" s="126" t="s">
        <v>88</v>
      </c>
      <c r="AH69" s="100"/>
      <c r="AI69" s="48" t="s">
        <v>62</v>
      </c>
      <c r="AJ69" s="121">
        <v>4666.54</v>
      </c>
      <c r="AK69" s="43" t="s">
        <v>79</v>
      </c>
      <c r="AL69" s="35"/>
      <c r="AM69" s="35"/>
      <c r="AN69" s="35"/>
      <c r="AO69" s="35"/>
      <c r="AP69" s="113"/>
      <c r="AQ69" s="34"/>
      <c r="AR69" s="149"/>
      <c r="AS69" s="149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</row>
    <row r="70" spans="1:132" x14ac:dyDescent="0.25">
      <c r="A70" s="102" t="s">
        <v>160</v>
      </c>
      <c r="B70" s="109">
        <f>7500+7500</f>
        <v>15000</v>
      </c>
      <c r="C70" s="109">
        <f>7500-88.65+7500-311.48</f>
        <v>14599.87</v>
      </c>
      <c r="D70" s="109">
        <v>172.51</v>
      </c>
      <c r="E70" s="109"/>
      <c r="F70" s="105"/>
      <c r="G70" s="104">
        <f>D70+C70+E70+F70</f>
        <v>14772.380000000001</v>
      </c>
      <c r="H70" s="104">
        <v>675</v>
      </c>
      <c r="I70" s="105">
        <v>1425</v>
      </c>
      <c r="J70" s="104">
        <f>H70+I70</f>
        <v>2100</v>
      </c>
      <c r="K70" s="105">
        <v>30</v>
      </c>
      <c r="L70" s="104">
        <v>1568.93</v>
      </c>
      <c r="M70" s="104">
        <v>0</v>
      </c>
      <c r="N70" s="104">
        <f>B70*5%/2</f>
        <v>375</v>
      </c>
      <c r="O70" s="104">
        <f t="shared" ref="O70" si="41">P70-N70</f>
        <v>375</v>
      </c>
      <c r="P70" s="105">
        <f t="shared" ref="P70" si="42">B70*0.05</f>
        <v>750</v>
      </c>
      <c r="Q70" s="104">
        <v>0</v>
      </c>
      <c r="R70" s="105">
        <v>200</v>
      </c>
      <c r="S70" s="105">
        <f>R70</f>
        <v>200</v>
      </c>
      <c r="T70" s="108">
        <v>1348.39</v>
      </c>
      <c r="U70" s="108">
        <v>0</v>
      </c>
      <c r="V70" s="108">
        <v>0</v>
      </c>
      <c r="W70" s="108">
        <v>0</v>
      </c>
      <c r="X70" s="104">
        <v>0</v>
      </c>
      <c r="Y70" s="104"/>
      <c r="Z70" s="104"/>
      <c r="AA70" s="104">
        <f>G70-L70-M70-T70-U70-V70-W70</f>
        <v>11855.060000000001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9">
        <f>AA70+AB70+AC70+AD70+AE70+AF70-H70-N70-R70</f>
        <v>10605.060000000001</v>
      </c>
      <c r="AI70" s="48" t="s">
        <v>71</v>
      </c>
      <c r="AJ70" s="121">
        <v>5938.52</v>
      </c>
      <c r="AK70" s="43" t="s">
        <v>79</v>
      </c>
      <c r="AL70" s="35"/>
      <c r="AM70" s="35"/>
      <c r="AN70" s="35"/>
      <c r="AO70" s="35"/>
      <c r="AP70" s="113">
        <f t="shared" ref="AP70" si="43">+G70-H70-N70-R70</f>
        <v>13522.380000000001</v>
      </c>
      <c r="AQ70" s="113"/>
      <c r="AR70" s="34"/>
      <c r="AS70" s="34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</row>
    <row r="71" spans="1:132" ht="15.75" thickBot="1" x14ac:dyDescent="0.3">
      <c r="A71" s="130"/>
      <c r="B71" s="154">
        <f>B70</f>
        <v>15000</v>
      </c>
      <c r="C71" s="155">
        <f>SUM(C70:C70)</f>
        <v>14599.87</v>
      </c>
      <c r="D71" s="155">
        <f t="shared" ref="D71:AG71" si="44">D70</f>
        <v>172.51</v>
      </c>
      <c r="E71" s="155">
        <f t="shared" si="44"/>
        <v>0</v>
      </c>
      <c r="F71" s="155">
        <f t="shared" si="44"/>
        <v>0</v>
      </c>
      <c r="G71" s="155">
        <f t="shared" si="44"/>
        <v>14772.380000000001</v>
      </c>
      <c r="H71" s="155">
        <f t="shared" si="44"/>
        <v>675</v>
      </c>
      <c r="I71" s="155">
        <f t="shared" si="44"/>
        <v>1425</v>
      </c>
      <c r="J71" s="155">
        <f t="shared" si="44"/>
        <v>2100</v>
      </c>
      <c r="K71" s="155">
        <f t="shared" si="44"/>
        <v>30</v>
      </c>
      <c r="L71" s="155">
        <f t="shared" si="44"/>
        <v>1568.93</v>
      </c>
      <c r="M71" s="155">
        <f t="shared" si="44"/>
        <v>0</v>
      </c>
      <c r="N71" s="155">
        <f t="shared" si="44"/>
        <v>375</v>
      </c>
      <c r="O71" s="155">
        <f t="shared" si="44"/>
        <v>375</v>
      </c>
      <c r="P71" s="155">
        <f t="shared" si="44"/>
        <v>750</v>
      </c>
      <c r="Q71" s="155">
        <f t="shared" si="44"/>
        <v>0</v>
      </c>
      <c r="R71" s="155">
        <f t="shared" si="44"/>
        <v>200</v>
      </c>
      <c r="S71" s="155">
        <f t="shared" si="44"/>
        <v>200</v>
      </c>
      <c r="T71" s="155">
        <f t="shared" si="44"/>
        <v>1348.39</v>
      </c>
      <c r="U71" s="155">
        <f t="shared" si="44"/>
        <v>0</v>
      </c>
      <c r="V71" s="155">
        <f t="shared" si="44"/>
        <v>0</v>
      </c>
      <c r="W71" s="155">
        <f t="shared" si="44"/>
        <v>0</v>
      </c>
      <c r="X71" s="155">
        <f t="shared" si="44"/>
        <v>0</v>
      </c>
      <c r="Y71" s="155">
        <f t="shared" si="44"/>
        <v>0</v>
      </c>
      <c r="Z71" s="155">
        <f t="shared" si="44"/>
        <v>0</v>
      </c>
      <c r="AA71" s="155">
        <f t="shared" si="44"/>
        <v>11855.060000000001</v>
      </c>
      <c r="AB71" s="155">
        <f t="shared" si="44"/>
        <v>0</v>
      </c>
      <c r="AC71" s="155">
        <f t="shared" si="44"/>
        <v>0</v>
      </c>
      <c r="AD71" s="155">
        <f t="shared" si="44"/>
        <v>0</v>
      </c>
      <c r="AE71" s="155">
        <f t="shared" si="44"/>
        <v>0</v>
      </c>
      <c r="AF71" s="155">
        <f t="shared" si="44"/>
        <v>0</v>
      </c>
      <c r="AG71" s="155">
        <f t="shared" si="44"/>
        <v>0</v>
      </c>
      <c r="AH71" s="155">
        <f>AH70</f>
        <v>10605.060000000001</v>
      </c>
      <c r="AI71" s="48"/>
      <c r="AJ71" s="122"/>
      <c r="AK71" s="43"/>
      <c r="AL71" s="35"/>
      <c r="AM71" s="35"/>
      <c r="AN71" s="35"/>
      <c r="AO71" s="35"/>
      <c r="AP71" s="34"/>
      <c r="AQ71" s="113"/>
      <c r="AR71" s="34"/>
      <c r="AS71" s="34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</row>
    <row r="72" spans="1:132" ht="15.75" thickTop="1" x14ac:dyDescent="0.25">
      <c r="A72" s="35"/>
      <c r="B72" s="132"/>
      <c r="C72" s="132" t="s">
        <v>21</v>
      </c>
      <c r="D72" s="133"/>
      <c r="E72" s="133"/>
      <c r="F72" s="133"/>
      <c r="G72" s="66" t="s">
        <v>21</v>
      </c>
      <c r="H72" s="66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2"/>
      <c r="U72" s="133"/>
      <c r="V72" s="133"/>
      <c r="W72" s="133"/>
      <c r="X72" s="133"/>
      <c r="Y72" s="133"/>
      <c r="Z72" s="133"/>
      <c r="AA72" s="133">
        <f>4666.54</f>
        <v>4666.54</v>
      </c>
      <c r="AB72" s="133"/>
      <c r="AC72" s="133"/>
      <c r="AD72" s="133"/>
      <c r="AE72" s="133"/>
      <c r="AF72" s="133"/>
      <c r="AG72" s="132"/>
      <c r="AH72" s="132">
        <v>4666.54</v>
      </c>
      <c r="AI72" s="48" t="s">
        <v>68</v>
      </c>
      <c r="AJ72" s="156">
        <f>AJ70+AJ69</f>
        <v>10605.060000000001</v>
      </c>
      <c r="AK72" s="35" t="s">
        <v>21</v>
      </c>
      <c r="AL72" s="35"/>
      <c r="AM72" s="35"/>
      <c r="AN72" s="35"/>
      <c r="AO72" s="35"/>
      <c r="AP72" s="34"/>
      <c r="AQ72" s="34"/>
      <c r="AR72" s="34"/>
      <c r="AS72" s="34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</row>
    <row r="73" spans="1:132" x14ac:dyDescent="0.25">
      <c r="A73" s="33" t="s">
        <v>21</v>
      </c>
      <c r="B73" s="132"/>
      <c r="C73" s="132" t="s">
        <v>21</v>
      </c>
      <c r="D73" s="133"/>
      <c r="E73" s="133"/>
      <c r="F73" s="133"/>
      <c r="G73" s="66" t="s">
        <v>21</v>
      </c>
      <c r="H73" s="66"/>
      <c r="I73" s="133"/>
      <c r="J73" s="133"/>
      <c r="K73" s="133"/>
      <c r="L73" s="133"/>
      <c r="M73" s="133"/>
      <c r="N73" s="133"/>
      <c r="O73" s="133"/>
      <c r="P73" s="133"/>
      <c r="Q73" s="133" t="s">
        <v>21</v>
      </c>
      <c r="R73" s="133"/>
      <c r="S73" s="133"/>
      <c r="T73" s="132"/>
      <c r="U73" s="133"/>
      <c r="V73" s="133"/>
      <c r="W73" s="133"/>
      <c r="X73" s="133"/>
      <c r="Y73" s="133"/>
      <c r="Z73" s="133" t="s">
        <v>21</v>
      </c>
      <c r="AA73" s="66">
        <f>AA71-AA72</f>
        <v>7188.5200000000013</v>
      </c>
      <c r="AB73" s="133"/>
      <c r="AC73" s="133"/>
      <c r="AD73" s="133"/>
      <c r="AE73" s="133"/>
      <c r="AF73" s="133"/>
      <c r="AG73" s="132"/>
      <c r="AH73" s="132">
        <f>AH71-AH72</f>
        <v>5938.5200000000013</v>
      </c>
      <c r="AI73" s="48" t="s">
        <v>21</v>
      </c>
      <c r="AJ73" s="121" t="s">
        <v>21</v>
      </c>
      <c r="AK73" s="43" t="s">
        <v>21</v>
      </c>
      <c r="AL73" s="35"/>
      <c r="AM73" s="35"/>
      <c r="AN73" s="35"/>
      <c r="AO73" s="35"/>
      <c r="AP73" s="113"/>
      <c r="AQ73" s="34"/>
      <c r="AR73" s="149"/>
      <c r="AS73" s="149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</row>
    <row r="74" spans="1:132" x14ac:dyDescent="0.25">
      <c r="A74" s="33"/>
      <c r="B74" s="132"/>
      <c r="C74" s="132"/>
      <c r="D74" s="133"/>
      <c r="E74" s="133"/>
      <c r="F74" s="133"/>
      <c r="G74" s="66"/>
      <c r="H74" s="66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2"/>
      <c r="U74" s="133"/>
      <c r="V74" s="133"/>
      <c r="W74" s="133"/>
      <c r="X74" s="133"/>
      <c r="Y74" s="133"/>
      <c r="Z74" s="133"/>
      <c r="AA74" s="66"/>
      <c r="AB74" s="133"/>
      <c r="AC74" s="133"/>
      <c r="AD74" s="133"/>
      <c r="AE74" s="133"/>
      <c r="AF74" s="133"/>
      <c r="AG74" s="132"/>
      <c r="AH74" s="132"/>
      <c r="AI74" s="48"/>
      <c r="AJ74" s="121"/>
      <c r="AK74" s="43"/>
      <c r="AL74" s="35"/>
      <c r="AM74" s="35"/>
      <c r="AN74" s="35"/>
      <c r="AO74" s="35"/>
      <c r="AP74" s="34"/>
      <c r="AQ74" s="113"/>
      <c r="AR74" s="34"/>
      <c r="AS74" s="34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</row>
    <row r="75" spans="1:132" ht="13.15" customHeight="1" x14ac:dyDescent="0.25">
      <c r="A75" s="33"/>
      <c r="B75" s="132"/>
      <c r="C75" s="132"/>
      <c r="D75" s="133"/>
      <c r="E75" s="133"/>
      <c r="F75" s="133"/>
      <c r="G75" s="66"/>
      <c r="H75" s="66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2"/>
      <c r="U75" s="133"/>
      <c r="V75" s="133"/>
      <c r="W75" s="133"/>
      <c r="X75" s="133"/>
      <c r="Y75" s="133"/>
      <c r="Z75" s="133"/>
      <c r="AA75" s="66"/>
      <c r="AB75" s="133"/>
      <c r="AC75" s="133"/>
      <c r="AD75" s="133"/>
      <c r="AE75" s="133"/>
      <c r="AF75" s="133"/>
      <c r="AG75" s="132"/>
      <c r="AH75" s="132"/>
      <c r="AI75" s="48"/>
      <c r="AJ75" s="121"/>
      <c r="AK75" s="43"/>
      <c r="AL75" s="35"/>
      <c r="AM75" s="35"/>
      <c r="AN75" s="35"/>
      <c r="AO75" s="35"/>
      <c r="AP75" s="113"/>
      <c r="AQ75" s="34"/>
      <c r="AR75" s="34"/>
      <c r="AS75" s="34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</row>
    <row r="76" spans="1:132" ht="12.75" customHeight="1" x14ac:dyDescent="0.25">
      <c r="A76" s="35"/>
      <c r="B76" s="132"/>
      <c r="C76" s="132"/>
      <c r="D76" s="133"/>
      <c r="E76" s="133"/>
      <c r="F76" s="133"/>
      <c r="G76" s="66"/>
      <c r="H76" s="66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2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2"/>
      <c r="AH76" s="132"/>
      <c r="AI76" s="48"/>
      <c r="AJ76" s="157"/>
      <c r="AK76" s="35"/>
      <c r="AL76" s="35">
        <v>13269.69</v>
      </c>
      <c r="AM76" s="35"/>
      <c r="AN76" s="35"/>
      <c r="AO76" s="35"/>
      <c r="AP76" s="34"/>
      <c r="AQ76" s="34"/>
      <c r="AR76" s="34"/>
      <c r="AS76" s="34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</row>
    <row r="77" spans="1:132" ht="24.75" customHeight="1" x14ac:dyDescent="0.25">
      <c r="A77" s="35"/>
      <c r="B77" s="132"/>
      <c r="C77" s="132"/>
      <c r="D77" s="133"/>
      <c r="E77" s="133"/>
      <c r="F77" s="133"/>
      <c r="G77" s="66"/>
      <c r="H77" s="66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2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2"/>
      <c r="AH77" s="132"/>
      <c r="AI77" s="48"/>
      <c r="AJ77" s="157"/>
      <c r="AK77" s="35"/>
      <c r="AL77" s="35"/>
      <c r="AM77" s="35"/>
      <c r="AN77" s="35"/>
      <c r="AO77" s="35"/>
      <c r="AP77" s="34">
        <f t="shared" ref="AP77" si="45">+G77-H77-N77-Q77-U77</f>
        <v>0</v>
      </c>
      <c r="AQ77" s="34"/>
      <c r="AR77" s="34"/>
      <c r="AS77" s="34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</row>
    <row r="78" spans="1:132" x14ac:dyDescent="0.25">
      <c r="A78" s="33" t="s">
        <v>89</v>
      </c>
      <c r="B78" s="132"/>
      <c r="C78" s="132"/>
      <c r="D78" s="133"/>
      <c r="E78" s="133"/>
      <c r="F78" s="133"/>
      <c r="G78" s="66"/>
      <c r="H78" s="66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2"/>
      <c r="U78" s="133"/>
      <c r="V78" s="133"/>
      <c r="W78" s="133"/>
      <c r="X78" s="133"/>
      <c r="Y78" s="133"/>
      <c r="Z78" s="133"/>
      <c r="AA78" s="133" t="s">
        <v>21</v>
      </c>
      <c r="AB78" s="133"/>
      <c r="AC78" s="133" t="s">
        <v>21</v>
      </c>
      <c r="AD78" s="133" t="s">
        <v>21</v>
      </c>
      <c r="AE78" s="133" t="s">
        <v>21</v>
      </c>
      <c r="AF78" s="133"/>
      <c r="AG78" s="132"/>
      <c r="AH78" s="132"/>
      <c r="AI78" s="35"/>
      <c r="AJ78" s="110"/>
      <c r="AK78" s="35"/>
      <c r="AL78" s="44">
        <f>G78-H78-N78-R78</f>
        <v>0</v>
      </c>
      <c r="AM78" s="35"/>
      <c r="AN78" s="35"/>
      <c r="AO78" s="35"/>
      <c r="AP78" s="34">
        <f t="shared" ref="AP78" si="46">+G78-H78-N78-R78</f>
        <v>0</v>
      </c>
      <c r="AQ78" s="34"/>
      <c r="AR78" s="149"/>
      <c r="AS78" s="149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</row>
    <row r="79" spans="1:132" ht="23.25" x14ac:dyDescent="0.25">
      <c r="A79" s="67" t="s">
        <v>109</v>
      </c>
      <c r="B79" s="67" t="s">
        <v>2</v>
      </c>
      <c r="C79" s="67" t="s">
        <v>3</v>
      </c>
      <c r="D79" s="68" t="s">
        <v>85</v>
      </c>
      <c r="E79" s="68" t="s">
        <v>5</v>
      </c>
      <c r="F79" s="68" t="s">
        <v>6</v>
      </c>
      <c r="G79" s="68" t="s">
        <v>7</v>
      </c>
      <c r="H79" s="69" t="s">
        <v>8</v>
      </c>
      <c r="I79" s="69"/>
      <c r="J79" s="69"/>
      <c r="K79" s="69"/>
      <c r="L79" s="68" t="s">
        <v>9</v>
      </c>
      <c r="M79" s="68" t="s">
        <v>10</v>
      </c>
      <c r="N79" s="69" t="s">
        <v>11</v>
      </c>
      <c r="O79" s="69"/>
      <c r="P79" s="69"/>
      <c r="Q79" s="70" t="s">
        <v>12</v>
      </c>
      <c r="R79" s="158" t="s">
        <v>13</v>
      </c>
      <c r="S79" s="159"/>
      <c r="T79" s="73" t="s">
        <v>14</v>
      </c>
      <c r="U79" s="70" t="s">
        <v>15</v>
      </c>
      <c r="V79" s="70" t="s">
        <v>16</v>
      </c>
      <c r="W79" s="70" t="s">
        <v>17</v>
      </c>
      <c r="X79" s="71" t="s">
        <v>18</v>
      </c>
      <c r="Y79" s="70" t="s">
        <v>19</v>
      </c>
      <c r="Z79" s="74"/>
      <c r="AA79" s="70" t="s">
        <v>20</v>
      </c>
      <c r="AB79" s="75" t="s">
        <v>31</v>
      </c>
      <c r="AC79" s="76"/>
      <c r="AD79" s="76"/>
      <c r="AE79" s="76"/>
      <c r="AF79" s="160" t="s">
        <v>90</v>
      </c>
      <c r="AG79" s="161"/>
      <c r="AH79" s="162" t="s">
        <v>24</v>
      </c>
      <c r="AI79" s="48"/>
      <c r="AJ79" s="121"/>
      <c r="AK79" s="43"/>
      <c r="AL79" s="44" t="e">
        <f>#REF!+AL78</f>
        <v>#REF!</v>
      </c>
      <c r="AM79" s="35"/>
      <c r="AN79" s="35"/>
      <c r="AO79" s="35"/>
      <c r="AP79" s="34"/>
      <c r="AQ79" s="113"/>
      <c r="AR79" s="149"/>
      <c r="AS79" s="149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</row>
    <row r="80" spans="1:132" x14ac:dyDescent="0.25">
      <c r="A80" s="67"/>
      <c r="B80" s="67"/>
      <c r="C80" s="67"/>
      <c r="D80" s="68"/>
      <c r="E80" s="68"/>
      <c r="F80" s="68"/>
      <c r="G80" s="68"/>
      <c r="H80" s="69" t="s">
        <v>25</v>
      </c>
      <c r="I80" s="69" t="s">
        <v>26</v>
      </c>
      <c r="J80" s="69" t="s">
        <v>27</v>
      </c>
      <c r="K80" s="70" t="s">
        <v>28</v>
      </c>
      <c r="L80" s="68"/>
      <c r="M80" s="68"/>
      <c r="N80" s="81" t="s">
        <v>25</v>
      </c>
      <c r="O80" s="81" t="s">
        <v>26</v>
      </c>
      <c r="P80" s="81" t="s">
        <v>29</v>
      </c>
      <c r="Q80" s="82"/>
      <c r="R80" s="78" t="s">
        <v>25</v>
      </c>
      <c r="S80" s="78" t="s">
        <v>26</v>
      </c>
      <c r="T80" s="85"/>
      <c r="U80" s="82"/>
      <c r="V80" s="82"/>
      <c r="W80" s="82"/>
      <c r="X80" s="86"/>
      <c r="Y80" s="82"/>
      <c r="Z80" s="151" t="s">
        <v>87</v>
      </c>
      <c r="AA80" s="82"/>
      <c r="AB80" s="89"/>
      <c r="AC80" s="90"/>
      <c r="AD80" s="90"/>
      <c r="AE80" s="90"/>
      <c r="AF80" s="87"/>
      <c r="AG80" s="163"/>
      <c r="AH80" s="164"/>
      <c r="AI80" s="48" t="s">
        <v>62</v>
      </c>
      <c r="AJ80" s="121">
        <v>7161.02</v>
      </c>
      <c r="AK80" s="43" t="s">
        <v>79</v>
      </c>
      <c r="AL80" s="35"/>
      <c r="AM80" s="35"/>
      <c r="AN80" s="35"/>
      <c r="AO80" s="35"/>
      <c r="AP80" s="34"/>
      <c r="AQ80" s="34"/>
      <c r="AR80" s="149"/>
      <c r="AS80" s="149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</row>
    <row r="81" spans="1:132" ht="23.25" x14ac:dyDescent="0.25">
      <c r="A81" s="67"/>
      <c r="B81" s="67"/>
      <c r="C81" s="67"/>
      <c r="D81" s="68"/>
      <c r="E81" s="68"/>
      <c r="F81" s="68"/>
      <c r="G81" s="68"/>
      <c r="H81" s="69"/>
      <c r="I81" s="69"/>
      <c r="J81" s="69"/>
      <c r="K81" s="94"/>
      <c r="L81" s="68"/>
      <c r="M81" s="68"/>
      <c r="N81" s="81"/>
      <c r="O81" s="81"/>
      <c r="P81" s="81"/>
      <c r="Q81" s="94"/>
      <c r="R81" s="100"/>
      <c r="S81" s="100"/>
      <c r="T81" s="96"/>
      <c r="U81" s="94"/>
      <c r="V81" s="94"/>
      <c r="W81" s="94"/>
      <c r="X81" s="83"/>
      <c r="Y81" s="94"/>
      <c r="Z81" s="153"/>
      <c r="AA81" s="94"/>
      <c r="AB81" s="98" t="s">
        <v>33</v>
      </c>
      <c r="AC81" s="99" t="s">
        <v>34</v>
      </c>
      <c r="AD81" s="99" t="s">
        <v>91</v>
      </c>
      <c r="AE81" s="98" t="s">
        <v>36</v>
      </c>
      <c r="AF81" s="97"/>
      <c r="AG81" s="165" t="s">
        <v>88</v>
      </c>
      <c r="AH81" s="117"/>
      <c r="AI81" s="48" t="s">
        <v>64</v>
      </c>
      <c r="AJ81" s="123">
        <v>0</v>
      </c>
      <c r="AK81" s="43" t="s">
        <v>79</v>
      </c>
      <c r="AL81" s="35"/>
      <c r="AM81" s="35"/>
      <c r="AN81" s="35"/>
      <c r="AO81" s="35"/>
      <c r="AP81" s="34"/>
      <c r="AQ81" s="113"/>
      <c r="AR81" s="49"/>
      <c r="AS81" s="49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</row>
    <row r="82" spans="1:132" x14ac:dyDescent="0.25">
      <c r="A82" s="102" t="s">
        <v>151</v>
      </c>
      <c r="B82" s="109">
        <f>7000+7000</f>
        <v>14000</v>
      </c>
      <c r="C82" s="109">
        <f>7000+7000</f>
        <v>14000</v>
      </c>
      <c r="D82" s="109">
        <v>0</v>
      </c>
      <c r="E82" s="105">
        <v>161.02000000000001</v>
      </c>
      <c r="F82" s="105">
        <v>0</v>
      </c>
      <c r="G82" s="104">
        <f>C82+D82+E82+F82</f>
        <v>14161.02</v>
      </c>
      <c r="H82" s="104">
        <v>630</v>
      </c>
      <c r="I82" s="105">
        <v>1330</v>
      </c>
      <c r="J82" s="104">
        <f>H82+I82</f>
        <v>1960</v>
      </c>
      <c r="K82" s="104">
        <v>10</v>
      </c>
      <c r="L82" s="104">
        <v>0</v>
      </c>
      <c r="M82" s="104">
        <v>0</v>
      </c>
      <c r="N82" s="104">
        <f>B82*5%/2</f>
        <v>350</v>
      </c>
      <c r="O82" s="104">
        <f t="shared" ref="O82" si="47">P82-N82</f>
        <v>350</v>
      </c>
      <c r="P82" s="105">
        <f t="shared" ref="P82" si="48">B82*0.05</f>
        <v>700</v>
      </c>
      <c r="Q82" s="105">
        <v>0</v>
      </c>
      <c r="R82" s="105">
        <v>200</v>
      </c>
      <c r="S82" s="105">
        <f>R82</f>
        <v>200</v>
      </c>
      <c r="T82" s="109">
        <v>0</v>
      </c>
      <c r="U82" s="105">
        <v>0</v>
      </c>
      <c r="V82" s="105">
        <v>0</v>
      </c>
      <c r="W82" s="105">
        <v>0</v>
      </c>
      <c r="X82" s="105">
        <v>0</v>
      </c>
      <c r="Y82" s="104"/>
      <c r="Z82" s="104"/>
      <c r="AA82" s="104">
        <f>G82-L82-M82-T82-U82-V82-W82</f>
        <v>14161.02</v>
      </c>
      <c r="AB82" s="105">
        <v>0</v>
      </c>
      <c r="AC82" s="105">
        <v>0</v>
      </c>
      <c r="AD82" s="105">
        <v>0</v>
      </c>
      <c r="AE82" s="105">
        <v>0</v>
      </c>
      <c r="AF82" s="105">
        <f>AB82+AC82+AD82</f>
        <v>0</v>
      </c>
      <c r="AG82" s="105">
        <f>AC82+AD82+AE82</f>
        <v>0</v>
      </c>
      <c r="AH82" s="109">
        <f>AA82+AB82+AC82+AD82+AE82+AF82-H82-N82-R82</f>
        <v>12981.02</v>
      </c>
      <c r="AI82" s="48" t="s">
        <v>71</v>
      </c>
      <c r="AJ82" s="121">
        <v>0</v>
      </c>
      <c r="AK82" s="46" t="s">
        <v>92</v>
      </c>
      <c r="AL82" s="35"/>
      <c r="AM82" s="35"/>
      <c r="AN82" s="35"/>
      <c r="AO82" s="35"/>
      <c r="AP82" s="113">
        <f t="shared" ref="AP82" si="49">+G82-H82-N82-R82</f>
        <v>12981.02</v>
      </c>
      <c r="AQ82" s="113"/>
      <c r="AR82" s="34"/>
      <c r="AS82" s="34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</row>
    <row r="83" spans="1:132" ht="15.75" thickBot="1" x14ac:dyDescent="0.3">
      <c r="A83" s="130"/>
      <c r="B83" s="154">
        <f>B82</f>
        <v>14000</v>
      </c>
      <c r="C83" s="155">
        <f t="shared" ref="C83:AG83" si="50">SUM(C82:C82)</f>
        <v>14000</v>
      </c>
      <c r="D83" s="131">
        <f t="shared" si="50"/>
        <v>0</v>
      </c>
      <c r="E83" s="131">
        <f t="shared" si="50"/>
        <v>161.02000000000001</v>
      </c>
      <c r="F83" s="131">
        <f t="shared" si="50"/>
        <v>0</v>
      </c>
      <c r="G83" s="131">
        <f t="shared" si="50"/>
        <v>14161.02</v>
      </c>
      <c r="H83" s="131">
        <f t="shared" si="50"/>
        <v>630</v>
      </c>
      <c r="I83" s="131">
        <f t="shared" si="50"/>
        <v>1330</v>
      </c>
      <c r="J83" s="131">
        <f t="shared" si="50"/>
        <v>1960</v>
      </c>
      <c r="K83" s="131">
        <f t="shared" si="50"/>
        <v>10</v>
      </c>
      <c r="L83" s="131">
        <f t="shared" si="50"/>
        <v>0</v>
      </c>
      <c r="M83" s="131">
        <f t="shared" si="50"/>
        <v>0</v>
      </c>
      <c r="N83" s="131">
        <f t="shared" si="50"/>
        <v>350</v>
      </c>
      <c r="O83" s="131">
        <f t="shared" si="50"/>
        <v>350</v>
      </c>
      <c r="P83" s="131">
        <f t="shared" si="50"/>
        <v>700</v>
      </c>
      <c r="Q83" s="131">
        <f t="shared" si="50"/>
        <v>0</v>
      </c>
      <c r="R83" s="131">
        <f t="shared" si="50"/>
        <v>200</v>
      </c>
      <c r="S83" s="131">
        <f t="shared" si="50"/>
        <v>200</v>
      </c>
      <c r="T83" s="131">
        <f t="shared" si="50"/>
        <v>0</v>
      </c>
      <c r="U83" s="131">
        <f t="shared" si="50"/>
        <v>0</v>
      </c>
      <c r="V83" s="131">
        <f t="shared" si="50"/>
        <v>0</v>
      </c>
      <c r="W83" s="131">
        <f t="shared" si="50"/>
        <v>0</v>
      </c>
      <c r="X83" s="131">
        <f t="shared" si="50"/>
        <v>0</v>
      </c>
      <c r="Y83" s="131">
        <f t="shared" si="50"/>
        <v>0</v>
      </c>
      <c r="Z83" s="131">
        <f t="shared" si="50"/>
        <v>0</v>
      </c>
      <c r="AA83" s="131">
        <f t="shared" si="50"/>
        <v>14161.02</v>
      </c>
      <c r="AB83" s="131">
        <f t="shared" si="50"/>
        <v>0</v>
      </c>
      <c r="AC83" s="131">
        <f t="shared" si="50"/>
        <v>0</v>
      </c>
      <c r="AD83" s="131">
        <f t="shared" si="50"/>
        <v>0</v>
      </c>
      <c r="AE83" s="131">
        <f t="shared" si="50"/>
        <v>0</v>
      </c>
      <c r="AF83" s="131">
        <f t="shared" si="50"/>
        <v>0</v>
      </c>
      <c r="AG83" s="131">
        <f t="shared" si="50"/>
        <v>0</v>
      </c>
      <c r="AH83" s="109">
        <f>AH82</f>
        <v>12981.02</v>
      </c>
      <c r="AI83" s="48" t="s">
        <v>64</v>
      </c>
      <c r="AJ83" s="123">
        <v>0</v>
      </c>
      <c r="AK83" s="43" t="s">
        <v>79</v>
      </c>
      <c r="AL83" s="35"/>
      <c r="AM83" s="35"/>
      <c r="AN83" s="35"/>
      <c r="AO83" s="35"/>
      <c r="AP83" s="34"/>
      <c r="AQ83" s="113"/>
      <c r="AR83" s="34"/>
      <c r="AS83" s="34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</row>
    <row r="84" spans="1:132" ht="15.75" thickTop="1" x14ac:dyDescent="0.25">
      <c r="A84" s="130"/>
      <c r="B84" s="154"/>
      <c r="C84" s="132"/>
      <c r="D84" s="133"/>
      <c r="E84" s="133"/>
      <c r="F84" s="133"/>
      <c r="G84" s="66">
        <f>7161.02</f>
        <v>7161.02</v>
      </c>
      <c r="H84" s="133">
        <v>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 t="s">
        <v>21</v>
      </c>
      <c r="S84" s="133"/>
      <c r="T84" s="132"/>
      <c r="U84" s="133"/>
      <c r="V84" s="133"/>
      <c r="W84" s="133"/>
      <c r="X84" s="133"/>
      <c r="Y84" s="133"/>
      <c r="Z84" s="133"/>
      <c r="AA84" s="133">
        <f>7161.02</f>
        <v>7161.02</v>
      </c>
      <c r="AB84" s="133"/>
      <c r="AC84" s="133"/>
      <c r="AD84" s="133"/>
      <c r="AE84" s="133"/>
      <c r="AF84" s="133"/>
      <c r="AG84" s="132"/>
      <c r="AH84" s="132">
        <f>7161.02</f>
        <v>7161.02</v>
      </c>
      <c r="AI84" s="48" t="s">
        <v>27</v>
      </c>
      <c r="AJ84" s="156">
        <f>AJ83+AJ82+AJ81+AJ80</f>
        <v>7161.02</v>
      </c>
      <c r="AK84" s="35"/>
      <c r="AL84" s="35"/>
      <c r="AM84" s="35"/>
      <c r="AN84" s="35"/>
      <c r="AO84" s="35"/>
      <c r="AP84" s="34"/>
      <c r="AQ84" s="34"/>
      <c r="AR84" s="34"/>
      <c r="AS84" s="34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</row>
    <row r="85" spans="1:132" x14ac:dyDescent="0.25">
      <c r="A85" s="130"/>
      <c r="B85" s="154"/>
      <c r="C85" s="132"/>
      <c r="D85" s="133"/>
      <c r="E85" s="133"/>
      <c r="F85" s="133"/>
      <c r="G85" s="66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2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2"/>
      <c r="AH85" s="132">
        <f>AH83-AH84</f>
        <v>5820</v>
      </c>
      <c r="AI85" s="48"/>
      <c r="AJ85" s="148"/>
      <c r="AK85" s="35"/>
      <c r="AL85" s="35"/>
      <c r="AM85" s="35"/>
      <c r="AN85" s="35"/>
      <c r="AO85" s="35"/>
      <c r="AP85" s="34"/>
      <c r="AQ85" s="34"/>
      <c r="AR85" s="34"/>
      <c r="AS85" s="34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</row>
    <row r="86" spans="1:132" ht="13.9" customHeight="1" x14ac:dyDescent="0.25">
      <c r="A86" s="130"/>
      <c r="B86" s="154"/>
      <c r="C86" s="132"/>
      <c r="D86" s="133"/>
      <c r="E86" s="133"/>
      <c r="F86" s="133"/>
      <c r="G86" s="66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2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2"/>
      <c r="AH86" s="132"/>
      <c r="AI86" s="48"/>
      <c r="AJ86" s="148"/>
      <c r="AK86" s="35"/>
      <c r="AL86" s="35">
        <v>44923.4</v>
      </c>
      <c r="AM86" s="35"/>
      <c r="AN86" s="35"/>
      <c r="AO86" s="35"/>
      <c r="AP86" s="34"/>
      <c r="AQ86" s="34"/>
      <c r="AR86" s="34"/>
      <c r="AS86" s="34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</row>
    <row r="87" spans="1:132" ht="12.75" customHeight="1" x14ac:dyDescent="0.25">
      <c r="A87" s="130"/>
      <c r="B87" s="154"/>
      <c r="C87" s="132"/>
      <c r="D87" s="133"/>
      <c r="E87" s="133"/>
      <c r="F87" s="133"/>
      <c r="G87" s="66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2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2"/>
      <c r="AH87" s="132"/>
      <c r="AI87" s="48"/>
      <c r="AJ87" s="148"/>
      <c r="AK87" s="35"/>
      <c r="AL87" s="35">
        <v>3120.17</v>
      </c>
      <c r="AM87" s="35"/>
      <c r="AN87" s="35"/>
      <c r="AO87" s="35"/>
      <c r="AP87" s="34"/>
      <c r="AQ87" s="34"/>
      <c r="AR87" s="34"/>
      <c r="AS87" s="34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</row>
    <row r="88" spans="1:132" ht="23.25" customHeight="1" x14ac:dyDescent="0.25">
      <c r="A88" s="130"/>
      <c r="B88" s="154"/>
      <c r="C88" s="132"/>
      <c r="D88" s="133"/>
      <c r="E88" s="133"/>
      <c r="F88" s="133"/>
      <c r="G88" s="66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2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2"/>
      <c r="AH88" s="132"/>
      <c r="AI88" s="48"/>
      <c r="AJ88" s="148"/>
      <c r="AK88" s="35"/>
      <c r="AL88" s="35"/>
      <c r="AM88" s="35"/>
      <c r="AN88" s="35"/>
      <c r="AO88" s="35"/>
      <c r="AP88" s="34"/>
      <c r="AQ88" s="34"/>
      <c r="AR88" s="34"/>
      <c r="AS88" s="34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</row>
    <row r="89" spans="1:132" x14ac:dyDescent="0.25">
      <c r="A89" s="33" t="s">
        <v>93</v>
      </c>
      <c r="B89" s="132"/>
      <c r="C89" s="132"/>
      <c r="D89" s="133"/>
      <c r="E89" s="133"/>
      <c r="F89" s="133"/>
      <c r="G89" s="66"/>
      <c r="H89" s="66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2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2"/>
      <c r="AH89" s="132"/>
      <c r="AI89" s="35"/>
      <c r="AJ89" s="110"/>
      <c r="AK89" s="35"/>
      <c r="AL89" s="44">
        <f>G89-H89-L89-M89-N89-Q89-R89-V89+AB89+AC89</f>
        <v>0</v>
      </c>
      <c r="AM89" s="35"/>
      <c r="AN89" s="35"/>
      <c r="AO89" s="35"/>
      <c r="AQ89" s="34">
        <f>+G89-H89-N89-R89</f>
        <v>0</v>
      </c>
      <c r="AR89" s="34"/>
      <c r="AS89" s="34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</row>
    <row r="90" spans="1:132" ht="14.25" customHeight="1" x14ac:dyDescent="0.25">
      <c r="A90" s="67" t="s">
        <v>109</v>
      </c>
      <c r="B90" s="67" t="s">
        <v>2</v>
      </c>
      <c r="C90" s="67" t="s">
        <v>3</v>
      </c>
      <c r="D90" s="68" t="s">
        <v>4</v>
      </c>
      <c r="E90" s="68" t="s">
        <v>94</v>
      </c>
      <c r="F90" s="68" t="s">
        <v>6</v>
      </c>
      <c r="G90" s="68" t="s">
        <v>7</v>
      </c>
      <c r="H90" s="69" t="s">
        <v>8</v>
      </c>
      <c r="I90" s="69"/>
      <c r="J90" s="69"/>
      <c r="K90" s="69"/>
      <c r="L90" s="68" t="s">
        <v>9</v>
      </c>
      <c r="M90" s="68" t="s">
        <v>10</v>
      </c>
      <c r="N90" s="69" t="s">
        <v>11</v>
      </c>
      <c r="O90" s="69"/>
      <c r="P90" s="69"/>
      <c r="Q90" s="70" t="s">
        <v>12</v>
      </c>
      <c r="R90" s="71" t="s">
        <v>13</v>
      </c>
      <c r="S90" s="72"/>
      <c r="T90" s="73" t="s">
        <v>14</v>
      </c>
      <c r="U90" s="70" t="s">
        <v>15</v>
      </c>
      <c r="V90" s="70" t="s">
        <v>16</v>
      </c>
      <c r="W90" s="70" t="s">
        <v>17</v>
      </c>
      <c r="X90" s="71" t="s">
        <v>18</v>
      </c>
      <c r="Y90" s="70" t="s">
        <v>19</v>
      </c>
      <c r="Z90" s="74"/>
      <c r="AA90" s="70" t="s">
        <v>20</v>
      </c>
      <c r="AB90" s="75" t="s">
        <v>21</v>
      </c>
      <c r="AC90" s="76"/>
      <c r="AD90" s="76"/>
      <c r="AE90" s="77"/>
      <c r="AF90" s="70" t="s">
        <v>90</v>
      </c>
      <c r="AG90" s="166"/>
      <c r="AH90" s="78" t="s">
        <v>24</v>
      </c>
      <c r="AI90" s="48" t="s">
        <v>62</v>
      </c>
      <c r="AJ90" s="121">
        <f>44941.68</f>
        <v>44941.68</v>
      </c>
      <c r="AK90" s="43" t="s">
        <v>79</v>
      </c>
      <c r="AL90" s="44" t="e">
        <f>G90-H90-L90-M90-N90-Q90-R90-V90+AB90+AC90</f>
        <v>#VALUE!</v>
      </c>
      <c r="AM90" s="35"/>
      <c r="AN90" s="35"/>
      <c r="AO90" s="35"/>
      <c r="AP90" s="113"/>
      <c r="AQ90" s="113"/>
      <c r="AR90" s="34"/>
      <c r="AS90" s="34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</row>
    <row r="91" spans="1:132" ht="14.25" customHeight="1" x14ac:dyDescent="0.25">
      <c r="A91" s="67"/>
      <c r="B91" s="67"/>
      <c r="C91" s="67"/>
      <c r="D91" s="68"/>
      <c r="E91" s="68"/>
      <c r="F91" s="68"/>
      <c r="G91" s="68"/>
      <c r="H91" s="69" t="s">
        <v>25</v>
      </c>
      <c r="I91" s="69" t="s">
        <v>26</v>
      </c>
      <c r="J91" s="69" t="s">
        <v>27</v>
      </c>
      <c r="K91" s="70" t="s">
        <v>28</v>
      </c>
      <c r="L91" s="68"/>
      <c r="M91" s="68"/>
      <c r="N91" s="81" t="s">
        <v>25</v>
      </c>
      <c r="O91" s="81" t="s">
        <v>26</v>
      </c>
      <c r="P91" s="81" t="s">
        <v>29</v>
      </c>
      <c r="Q91" s="82"/>
      <c r="R91" s="83"/>
      <c r="S91" s="84"/>
      <c r="T91" s="85"/>
      <c r="U91" s="82"/>
      <c r="V91" s="82"/>
      <c r="W91" s="82"/>
      <c r="X91" s="86"/>
      <c r="Y91" s="82"/>
      <c r="Z91" s="151" t="s">
        <v>87</v>
      </c>
      <c r="AA91" s="82"/>
      <c r="AB91" s="89" t="s">
        <v>31</v>
      </c>
      <c r="AC91" s="90"/>
      <c r="AD91" s="90"/>
      <c r="AE91" s="91"/>
      <c r="AF91" s="82"/>
      <c r="AG91" s="167"/>
      <c r="AH91" s="92"/>
      <c r="AI91" s="48" t="s">
        <v>64</v>
      </c>
      <c r="AJ91" s="123">
        <v>3120.17</v>
      </c>
      <c r="AK91" s="43" t="s">
        <v>79</v>
      </c>
      <c r="AL91" s="44" t="e">
        <f>G91-H91-L91-M91-N91-Q91-R91-V91+AB91+AC91</f>
        <v>#VALUE!</v>
      </c>
      <c r="AM91" s="35"/>
      <c r="AN91" s="35"/>
      <c r="AO91" s="35"/>
      <c r="AP91" s="113"/>
      <c r="AQ91" s="113"/>
      <c r="AR91" s="34"/>
      <c r="AS91" s="34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</row>
    <row r="92" spans="1:132" ht="23.25" x14ac:dyDescent="0.25">
      <c r="A92" s="67"/>
      <c r="B92" s="67"/>
      <c r="C92" s="67"/>
      <c r="D92" s="68"/>
      <c r="E92" s="68"/>
      <c r="F92" s="68"/>
      <c r="G92" s="68"/>
      <c r="H92" s="69"/>
      <c r="I92" s="69"/>
      <c r="J92" s="69"/>
      <c r="K92" s="94"/>
      <c r="L92" s="68"/>
      <c r="M92" s="68"/>
      <c r="N92" s="81"/>
      <c r="O92" s="81"/>
      <c r="P92" s="81"/>
      <c r="Q92" s="94"/>
      <c r="R92" s="95" t="s">
        <v>25</v>
      </c>
      <c r="S92" s="95" t="s">
        <v>26</v>
      </c>
      <c r="T92" s="96"/>
      <c r="U92" s="94"/>
      <c r="V92" s="94"/>
      <c r="W92" s="94"/>
      <c r="X92" s="83"/>
      <c r="Y92" s="94"/>
      <c r="Z92" s="153"/>
      <c r="AA92" s="94"/>
      <c r="AB92" s="98" t="s">
        <v>33</v>
      </c>
      <c r="AC92" s="99" t="s">
        <v>34</v>
      </c>
      <c r="AD92" s="99" t="s">
        <v>35</v>
      </c>
      <c r="AE92" s="98" t="s">
        <v>36</v>
      </c>
      <c r="AF92" s="94"/>
      <c r="AG92" s="168" t="s">
        <v>88</v>
      </c>
      <c r="AH92" s="100"/>
      <c r="AI92" s="48" t="s">
        <v>81</v>
      </c>
      <c r="AJ92" s="127">
        <f>AJ90+AJ91</f>
        <v>48061.85</v>
      </c>
      <c r="AK92" s="35"/>
      <c r="AL92" s="44" t="e">
        <f>G92-H92-L92-M92-N92-Q92-R92-V92+AB92+AC92</f>
        <v>#VALUE!</v>
      </c>
      <c r="AM92" s="35"/>
      <c r="AN92" s="35"/>
      <c r="AO92" s="35"/>
      <c r="AP92" s="113"/>
      <c r="AQ92" s="113"/>
      <c r="AR92" s="34"/>
      <c r="AS92" s="34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</row>
    <row r="93" spans="1:132" s="35" customFormat="1" x14ac:dyDescent="0.25">
      <c r="A93" s="102" t="s">
        <v>152</v>
      </c>
      <c r="B93" s="109">
        <f>9500+9500</f>
        <v>19000</v>
      </c>
      <c r="C93" s="109">
        <f>9500+9500</f>
        <v>19000</v>
      </c>
      <c r="D93" s="109">
        <v>218.52</v>
      </c>
      <c r="E93" s="105">
        <v>0</v>
      </c>
      <c r="F93" s="105">
        <f>307.75+728.4+1821+2048.62</f>
        <v>4905.7700000000004</v>
      </c>
      <c r="G93" s="104">
        <f>C93+D93+E93+F93</f>
        <v>24124.29</v>
      </c>
      <c r="H93" s="105">
        <v>855</v>
      </c>
      <c r="I93" s="105">
        <v>1805</v>
      </c>
      <c r="J93" s="104">
        <f>H93+I93</f>
        <v>2660</v>
      </c>
      <c r="K93" s="105">
        <v>30</v>
      </c>
      <c r="L93" s="104">
        <v>0</v>
      </c>
      <c r="M93" s="104">
        <v>0</v>
      </c>
      <c r="N93" s="104">
        <f>B93*5%/2</f>
        <v>475</v>
      </c>
      <c r="O93" s="105">
        <f t="shared" ref="O93:O97" si="51">P93-N93</f>
        <v>475</v>
      </c>
      <c r="P93" s="105">
        <f t="shared" ref="P93:P97" si="52">B93*0.05</f>
        <v>950</v>
      </c>
      <c r="Q93" s="105">
        <f>(G93-H93-N93-R93-20833)*15%</f>
        <v>264.19350000000014</v>
      </c>
      <c r="R93" s="105">
        <v>200</v>
      </c>
      <c r="S93" s="105">
        <f>R93</f>
        <v>200</v>
      </c>
      <c r="T93" s="103">
        <v>0</v>
      </c>
      <c r="U93" s="104">
        <v>0</v>
      </c>
      <c r="V93" s="104">
        <f>1500+1500</f>
        <v>3000</v>
      </c>
      <c r="W93" s="104">
        <v>0</v>
      </c>
      <c r="X93" s="104">
        <v>0</v>
      </c>
      <c r="Y93" s="104">
        <v>0</v>
      </c>
      <c r="Z93" s="104">
        <v>0</v>
      </c>
      <c r="AA93" s="104">
        <f>G93-L93-M93-T93-U93-V93-W93-H93-N93-Q93-R93</f>
        <v>19330.0965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9">
        <f>AA93+AB93+AC93+AD93+AE93+AF93+AG93</f>
        <v>19330.0965</v>
      </c>
      <c r="AI93"/>
      <c r="AJ93" s="169"/>
      <c r="AL93" s="44">
        <f>G93-H93-N93-R93+Y93</f>
        <v>22594.29</v>
      </c>
      <c r="AQ93" s="113">
        <f>+G93-H93-N93-R93</f>
        <v>22594.29</v>
      </c>
      <c r="AR93" s="34"/>
      <c r="AS93" s="34"/>
    </row>
    <row r="94" spans="1:132" s="35" customFormat="1" x14ac:dyDescent="0.25">
      <c r="A94" s="102" t="s">
        <v>153</v>
      </c>
      <c r="B94" s="109">
        <f>13650+13650</f>
        <v>27300</v>
      </c>
      <c r="C94" s="109">
        <f>13650+13650</f>
        <v>27300</v>
      </c>
      <c r="D94" s="109">
        <v>313.99</v>
      </c>
      <c r="E94" s="105">
        <v>0</v>
      </c>
      <c r="F94" s="105"/>
      <c r="G94" s="104">
        <f>C94+D94+E94+F94</f>
        <v>27613.99</v>
      </c>
      <c r="H94" s="105">
        <v>1237.5</v>
      </c>
      <c r="I94" s="105">
        <f>1900+712.5</f>
        <v>2612.5</v>
      </c>
      <c r="J94" s="104">
        <f>H94+I94</f>
        <v>3850</v>
      </c>
      <c r="K94" s="105">
        <v>30</v>
      </c>
      <c r="L94" s="104">
        <v>0</v>
      </c>
      <c r="M94" s="104">
        <v>0</v>
      </c>
      <c r="N94" s="104">
        <f>B94*5%/2</f>
        <v>682.5</v>
      </c>
      <c r="O94" s="105">
        <f t="shared" si="51"/>
        <v>682.5</v>
      </c>
      <c r="P94" s="105">
        <f t="shared" si="52"/>
        <v>1365</v>
      </c>
      <c r="Q94" s="105">
        <f>(G94-H94-N94-R94-20833)*15%</f>
        <v>699.14850000000024</v>
      </c>
      <c r="R94" s="105">
        <v>200</v>
      </c>
      <c r="S94" s="105">
        <f>R94</f>
        <v>200</v>
      </c>
      <c r="T94" s="103">
        <v>0</v>
      </c>
      <c r="U94" s="104">
        <v>0</v>
      </c>
      <c r="V94" s="104">
        <v>0</v>
      </c>
      <c r="W94" s="104">
        <v>0</v>
      </c>
      <c r="X94" s="104">
        <v>0</v>
      </c>
      <c r="Y94" s="104">
        <v>0</v>
      </c>
      <c r="Z94" s="104">
        <v>0</v>
      </c>
      <c r="AA94" s="104">
        <f t="shared" ref="AA94:AA97" si="53">G94-L94-M94-T94-U94-V94-W94-H94-N94-Q94-R94</f>
        <v>24794.841500000002</v>
      </c>
      <c r="AB94" s="104">
        <f>3050+3050</f>
        <v>6100</v>
      </c>
      <c r="AC94" s="104">
        <v>70.17</v>
      </c>
      <c r="AD94" s="104">
        <v>0</v>
      </c>
      <c r="AE94" s="104">
        <v>0</v>
      </c>
      <c r="AF94" s="104">
        <v>0</v>
      </c>
      <c r="AG94" s="104">
        <v>0</v>
      </c>
      <c r="AH94" s="109">
        <f t="shared" ref="AH94:AH97" si="54">AA94+AB94+AC94+AD94+AE94+AF94+AG94</f>
        <v>30965.011500000001</v>
      </c>
      <c r="AI94" s="48" t="s">
        <v>71</v>
      </c>
      <c r="AJ94" s="121">
        <v>34553.15</v>
      </c>
      <c r="AK94" s="43" t="s">
        <v>79</v>
      </c>
      <c r="AL94" s="44" t="e">
        <f>SUM(AL89:AL93)</f>
        <v>#VALUE!</v>
      </c>
      <c r="AQ94" s="113">
        <f>+G94-H94-N94-R94</f>
        <v>25493.99</v>
      </c>
      <c r="AR94" s="34"/>
      <c r="AS94" s="34"/>
    </row>
    <row r="95" spans="1:132" s="35" customFormat="1" x14ac:dyDescent="0.25">
      <c r="A95" s="102" t="s">
        <v>154</v>
      </c>
      <c r="B95" s="109">
        <f>6825+6825</f>
        <v>13650</v>
      </c>
      <c r="C95" s="109">
        <f>6825+6825</f>
        <v>13650</v>
      </c>
      <c r="D95" s="109">
        <v>157.01</v>
      </c>
      <c r="E95" s="105">
        <v>0</v>
      </c>
      <c r="F95" s="105">
        <v>0</v>
      </c>
      <c r="G95" s="104">
        <f>C95+D95+E95+F95</f>
        <v>13807.01</v>
      </c>
      <c r="H95" s="105">
        <v>607.5</v>
      </c>
      <c r="I95" s="105">
        <v>1282.5</v>
      </c>
      <c r="J95" s="104">
        <f>H95+I95</f>
        <v>1890</v>
      </c>
      <c r="K95" s="105">
        <v>10</v>
      </c>
      <c r="L95" s="104">
        <v>0</v>
      </c>
      <c r="M95" s="104">
        <v>0</v>
      </c>
      <c r="N95" s="104">
        <f>B95*5%/2</f>
        <v>341.25</v>
      </c>
      <c r="O95" s="104">
        <f t="shared" si="51"/>
        <v>341.25</v>
      </c>
      <c r="P95" s="105">
        <f t="shared" si="52"/>
        <v>682.5</v>
      </c>
      <c r="Q95" s="104">
        <v>0</v>
      </c>
      <c r="R95" s="104">
        <v>200</v>
      </c>
      <c r="S95" s="104">
        <f>R95</f>
        <v>200</v>
      </c>
      <c r="T95" s="103">
        <v>0</v>
      </c>
      <c r="U95" s="104">
        <f>0</f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f t="shared" si="53"/>
        <v>12658.26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9">
        <f t="shared" si="54"/>
        <v>12658.26</v>
      </c>
      <c r="AI95" s="48" t="s">
        <v>64</v>
      </c>
      <c r="AJ95" s="123">
        <v>3050</v>
      </c>
      <c r="AK95" s="43" t="s">
        <v>79</v>
      </c>
      <c r="AP95" s="113">
        <f t="shared" ref="AP95:AP97" si="55">+G95-H95-N95-R95</f>
        <v>12658.26</v>
      </c>
      <c r="AQ95" s="113"/>
      <c r="AR95" s="34"/>
      <c r="AS95" s="34"/>
    </row>
    <row r="96" spans="1:132" s="35" customFormat="1" x14ac:dyDescent="0.25">
      <c r="A96" s="102" t="s">
        <v>155</v>
      </c>
      <c r="B96" s="109">
        <f>6825+6825</f>
        <v>13650</v>
      </c>
      <c r="C96" s="109">
        <f>6825+6825</f>
        <v>13650</v>
      </c>
      <c r="D96" s="109">
        <v>157.01</v>
      </c>
      <c r="E96" s="105">
        <v>0</v>
      </c>
      <c r="F96" s="105">
        <v>0</v>
      </c>
      <c r="G96" s="104">
        <f>C96+D96+E96+F96</f>
        <v>13807.01</v>
      </c>
      <c r="H96" s="105">
        <v>607.5</v>
      </c>
      <c r="I96" s="105">
        <v>1282.5</v>
      </c>
      <c r="J96" s="104">
        <f>H96+I96</f>
        <v>1890</v>
      </c>
      <c r="K96" s="105">
        <v>10</v>
      </c>
      <c r="L96" s="104">
        <v>0</v>
      </c>
      <c r="M96" s="104">
        <v>0</v>
      </c>
      <c r="N96" s="104">
        <f>B96*5%/2</f>
        <v>341.25</v>
      </c>
      <c r="O96" s="104">
        <f t="shared" si="51"/>
        <v>341.25</v>
      </c>
      <c r="P96" s="105">
        <f t="shared" si="52"/>
        <v>682.5</v>
      </c>
      <c r="Q96" s="104">
        <v>0</v>
      </c>
      <c r="R96" s="104">
        <v>200</v>
      </c>
      <c r="S96" s="104">
        <f>R96</f>
        <v>200</v>
      </c>
      <c r="T96" s="103">
        <v>0</v>
      </c>
      <c r="U96" s="104">
        <v>0</v>
      </c>
      <c r="V96" s="104">
        <f>1000+1000</f>
        <v>2000</v>
      </c>
      <c r="W96" s="104">
        <v>0</v>
      </c>
      <c r="X96" s="104">
        <v>0</v>
      </c>
      <c r="Y96" s="104">
        <v>0</v>
      </c>
      <c r="Z96" s="104">
        <v>0</v>
      </c>
      <c r="AA96" s="104">
        <f t="shared" si="53"/>
        <v>10658.26</v>
      </c>
      <c r="AB96" s="104">
        <v>0</v>
      </c>
      <c r="AC96" s="104">
        <v>0</v>
      </c>
      <c r="AD96" s="104">
        <v>0</v>
      </c>
      <c r="AE96" s="104">
        <v>0</v>
      </c>
      <c r="AF96" s="104">
        <v>0</v>
      </c>
      <c r="AG96" s="104">
        <v>0</v>
      </c>
      <c r="AH96" s="109">
        <f t="shared" si="54"/>
        <v>10658.26</v>
      </c>
      <c r="AI96" s="48" t="s">
        <v>81</v>
      </c>
      <c r="AJ96" s="127">
        <f>AJ94+AJ95</f>
        <v>37603.15</v>
      </c>
      <c r="AP96" s="113">
        <f t="shared" si="55"/>
        <v>12658.26</v>
      </c>
      <c r="AQ96" s="113"/>
      <c r="AR96" s="34"/>
      <c r="AS96" s="34"/>
    </row>
    <row r="97" spans="1:45" s="35" customFormat="1" x14ac:dyDescent="0.25">
      <c r="A97" s="102" t="s">
        <v>156</v>
      </c>
      <c r="B97" s="109">
        <f>6782+6782</f>
        <v>13564</v>
      </c>
      <c r="C97" s="109">
        <f>6782+6782-520.03</f>
        <v>13043.97</v>
      </c>
      <c r="D97" s="109">
        <v>156</v>
      </c>
      <c r="E97" s="105">
        <v>0</v>
      </c>
      <c r="F97" s="105">
        <v>0</v>
      </c>
      <c r="G97" s="104">
        <f>C97+D97+E97+F97</f>
        <v>13199.97</v>
      </c>
      <c r="H97" s="105">
        <v>607.5</v>
      </c>
      <c r="I97" s="105">
        <v>1282.5</v>
      </c>
      <c r="J97" s="104">
        <f>H97+I97</f>
        <v>1890</v>
      </c>
      <c r="K97" s="105">
        <v>10</v>
      </c>
      <c r="L97" s="104">
        <v>0</v>
      </c>
      <c r="M97" s="104">
        <v>0</v>
      </c>
      <c r="N97" s="104">
        <f>B97*5%/2</f>
        <v>339.1</v>
      </c>
      <c r="O97" s="104">
        <f t="shared" si="51"/>
        <v>339.1</v>
      </c>
      <c r="P97" s="105">
        <f t="shared" si="52"/>
        <v>678.2</v>
      </c>
      <c r="Q97" s="104">
        <v>0</v>
      </c>
      <c r="R97" s="104">
        <v>200</v>
      </c>
      <c r="S97" s="104">
        <f>R97</f>
        <v>200</v>
      </c>
      <c r="T97" s="103">
        <v>0</v>
      </c>
      <c r="U97" s="104">
        <v>0</v>
      </c>
      <c r="V97" s="104">
        <v>0</v>
      </c>
      <c r="W97" s="104">
        <v>0</v>
      </c>
      <c r="X97" s="104">
        <v>0</v>
      </c>
      <c r="Y97" s="104">
        <v>0</v>
      </c>
      <c r="Z97" s="104">
        <v>0</v>
      </c>
      <c r="AA97" s="104">
        <f t="shared" si="53"/>
        <v>12053.369999999999</v>
      </c>
      <c r="AB97" s="104">
        <v>0</v>
      </c>
      <c r="AC97" s="104">
        <v>0</v>
      </c>
      <c r="AD97" s="104">
        <v>0</v>
      </c>
      <c r="AE97" s="104">
        <v>0</v>
      </c>
      <c r="AF97" s="104">
        <v>0</v>
      </c>
      <c r="AG97" s="104">
        <v>0</v>
      </c>
      <c r="AH97" s="109">
        <f t="shared" si="54"/>
        <v>12053.369999999999</v>
      </c>
      <c r="AI97"/>
      <c r="AJ97" s="169"/>
      <c r="AP97" s="113">
        <f t="shared" si="55"/>
        <v>12053.369999999999</v>
      </c>
      <c r="AQ97" s="113"/>
      <c r="AR97" s="34"/>
      <c r="AS97" s="34"/>
    </row>
    <row r="98" spans="1:45" s="35" customFormat="1" ht="13.5" thickBot="1" x14ac:dyDescent="0.25">
      <c r="A98" s="130"/>
      <c r="B98" s="154">
        <f>SUM(B93:B97)</f>
        <v>87164</v>
      </c>
      <c r="C98" s="155">
        <f t="shared" ref="C98:AG98" si="56">SUM(C93:C97)</f>
        <v>86643.97</v>
      </c>
      <c r="D98" s="155">
        <f t="shared" si="56"/>
        <v>1002.53</v>
      </c>
      <c r="E98" s="155">
        <f t="shared" si="56"/>
        <v>0</v>
      </c>
      <c r="F98" s="155">
        <f t="shared" si="56"/>
        <v>4905.7700000000004</v>
      </c>
      <c r="G98" s="155">
        <f t="shared" si="56"/>
        <v>92552.26999999999</v>
      </c>
      <c r="H98" s="155">
        <f t="shared" si="56"/>
        <v>3915</v>
      </c>
      <c r="I98" s="155">
        <f t="shared" si="56"/>
        <v>8265</v>
      </c>
      <c r="J98" s="155">
        <f t="shared" si="56"/>
        <v>12180</v>
      </c>
      <c r="K98" s="155">
        <f t="shared" si="56"/>
        <v>90</v>
      </c>
      <c r="L98" s="155">
        <f t="shared" si="56"/>
        <v>0</v>
      </c>
      <c r="M98" s="155">
        <f t="shared" si="56"/>
        <v>0</v>
      </c>
      <c r="N98" s="155">
        <f t="shared" si="56"/>
        <v>2179.1</v>
      </c>
      <c r="O98" s="155">
        <f t="shared" si="56"/>
        <v>2179.1</v>
      </c>
      <c r="P98" s="155">
        <f t="shared" si="56"/>
        <v>4358.2</v>
      </c>
      <c r="Q98" s="155">
        <f t="shared" si="56"/>
        <v>963.34200000000033</v>
      </c>
      <c r="R98" s="155">
        <f t="shared" si="56"/>
        <v>1000</v>
      </c>
      <c r="S98" s="155">
        <f t="shared" si="56"/>
        <v>1000</v>
      </c>
      <c r="T98" s="155">
        <f t="shared" si="56"/>
        <v>0</v>
      </c>
      <c r="U98" s="155">
        <f t="shared" si="56"/>
        <v>0</v>
      </c>
      <c r="V98" s="155">
        <f t="shared" si="56"/>
        <v>5000</v>
      </c>
      <c r="W98" s="155">
        <f t="shared" si="56"/>
        <v>0</v>
      </c>
      <c r="X98" s="155">
        <f t="shared" si="56"/>
        <v>0</v>
      </c>
      <c r="Y98" s="155">
        <f t="shared" si="56"/>
        <v>0</v>
      </c>
      <c r="Z98" s="155">
        <f t="shared" si="56"/>
        <v>0</v>
      </c>
      <c r="AA98" s="155">
        <f t="shared" si="56"/>
        <v>79494.827999999994</v>
      </c>
      <c r="AB98" s="155">
        <f t="shared" si="56"/>
        <v>6100</v>
      </c>
      <c r="AC98" s="155">
        <f t="shared" si="56"/>
        <v>70.17</v>
      </c>
      <c r="AD98" s="155">
        <f t="shared" si="56"/>
        <v>0</v>
      </c>
      <c r="AE98" s="155">
        <f t="shared" si="56"/>
        <v>0</v>
      </c>
      <c r="AF98" s="155">
        <f t="shared" si="56"/>
        <v>0</v>
      </c>
      <c r="AG98" s="155">
        <f t="shared" si="56"/>
        <v>0</v>
      </c>
      <c r="AH98" s="155">
        <f>SUM(AH93:AH97)</f>
        <v>85664.997999999992</v>
      </c>
      <c r="AI98" s="48" t="s">
        <v>68</v>
      </c>
      <c r="AJ98" s="148">
        <f>AJ96+AJ92</f>
        <v>85665</v>
      </c>
      <c r="AL98" s="34"/>
      <c r="AP98" s="170"/>
      <c r="AQ98" s="170"/>
      <c r="AR98" s="170"/>
      <c r="AS98" s="170"/>
    </row>
    <row r="99" spans="1:45" s="35" customFormat="1" ht="14.25" thickTop="1" thickBot="1" x14ac:dyDescent="0.25">
      <c r="A99" s="171" t="s">
        <v>97</v>
      </c>
      <c r="B99" s="154" t="s">
        <v>82</v>
      </c>
      <c r="C99" s="170">
        <f t="shared" ref="C99:AG99" si="57">C98+C83+C71+C63+C44</f>
        <v>1589638.3</v>
      </c>
      <c r="D99" s="170">
        <f t="shared" si="57"/>
        <v>11604.130000000001</v>
      </c>
      <c r="E99" s="170">
        <f t="shared" si="57"/>
        <v>3041.68</v>
      </c>
      <c r="F99" s="170">
        <f t="shared" si="57"/>
        <v>28562.340000000004</v>
      </c>
      <c r="G99" s="170">
        <f t="shared" si="57"/>
        <v>1632846.4500000002</v>
      </c>
      <c r="H99" s="170">
        <f t="shared" si="57"/>
        <v>49792.5</v>
      </c>
      <c r="I99" s="170">
        <f t="shared" si="57"/>
        <v>105117.5</v>
      </c>
      <c r="J99" s="170">
        <f t="shared" si="57"/>
        <v>154910</v>
      </c>
      <c r="K99" s="170">
        <f t="shared" si="57"/>
        <v>1460</v>
      </c>
      <c r="L99" s="170">
        <f t="shared" si="57"/>
        <v>34539.799999999996</v>
      </c>
      <c r="M99" s="170">
        <f t="shared" si="57"/>
        <v>0</v>
      </c>
      <c r="N99" s="170">
        <f t="shared" si="57"/>
        <v>34301.997499999998</v>
      </c>
      <c r="O99" s="170">
        <f t="shared" si="57"/>
        <v>34301.977500000008</v>
      </c>
      <c r="P99" s="170">
        <f t="shared" si="57"/>
        <v>68603.975000000006</v>
      </c>
      <c r="Q99" s="170">
        <f t="shared" si="57"/>
        <v>143372.63699999999</v>
      </c>
      <c r="R99" s="170">
        <f t="shared" si="57"/>
        <v>10800</v>
      </c>
      <c r="S99" s="170">
        <f t="shared" si="57"/>
        <v>10800</v>
      </c>
      <c r="T99" s="170">
        <f t="shared" si="57"/>
        <v>23927.159999999996</v>
      </c>
      <c r="U99" s="170">
        <f t="shared" si="57"/>
        <v>0</v>
      </c>
      <c r="V99" s="170">
        <f t="shared" si="57"/>
        <v>29600</v>
      </c>
      <c r="W99" s="170">
        <f t="shared" si="57"/>
        <v>18157.16</v>
      </c>
      <c r="X99" s="170">
        <f t="shared" si="57"/>
        <v>0</v>
      </c>
      <c r="Y99" s="170">
        <f t="shared" si="57"/>
        <v>0</v>
      </c>
      <c r="Z99" s="170">
        <f t="shared" si="57"/>
        <v>1845.8</v>
      </c>
      <c r="AA99" s="170">
        <f t="shared" si="57"/>
        <v>1429546.9454999997</v>
      </c>
      <c r="AB99" s="170">
        <f t="shared" si="57"/>
        <v>79427.14</v>
      </c>
      <c r="AC99" s="170">
        <f t="shared" si="57"/>
        <v>869.61999999999989</v>
      </c>
      <c r="AD99" s="170">
        <f t="shared" si="57"/>
        <v>6000</v>
      </c>
      <c r="AE99" s="170">
        <f t="shared" si="57"/>
        <v>2000</v>
      </c>
      <c r="AF99" s="170">
        <f t="shared" si="57"/>
        <v>0</v>
      </c>
      <c r="AG99" s="170">
        <f t="shared" si="57"/>
        <v>0</v>
      </c>
      <c r="AH99" s="170">
        <f>AH98+AH83+AH71+AH63+AH44+0.01</f>
        <v>1515413.7154999999</v>
      </c>
      <c r="AI99" s="48"/>
      <c r="AJ99" s="148"/>
      <c r="AL99" s="34"/>
      <c r="AP99" s="170">
        <f>SUM(AP7:AP98)</f>
        <v>477815.51250000001</v>
      </c>
      <c r="AQ99" s="170">
        <f>SUM(AQ7:AQ98)</f>
        <v>1060136.44</v>
      </c>
      <c r="AR99" s="170">
        <f t="shared" ref="AR99:AS99" si="58">SUM(AR7:AR98)</f>
        <v>0</v>
      </c>
      <c r="AS99" s="170">
        <f t="shared" si="58"/>
        <v>0</v>
      </c>
    </row>
    <row r="100" spans="1:45" s="35" customFormat="1" x14ac:dyDescent="0.25">
      <c r="B100" s="34"/>
      <c r="C100" s="34"/>
      <c r="D100" s="33"/>
      <c r="E100" s="172"/>
      <c r="F100" s="172"/>
      <c r="H100" s="172"/>
      <c r="I100" s="172"/>
      <c r="J100" s="172"/>
      <c r="K100" s="172"/>
      <c r="L100" s="172"/>
      <c r="M100" s="172"/>
      <c r="N100" s="173"/>
      <c r="Q100" s="172"/>
      <c r="R100" s="172"/>
      <c r="S100" s="172"/>
      <c r="T100" s="34"/>
      <c r="U100" s="172"/>
      <c r="V100" s="172"/>
      <c r="W100" s="172"/>
      <c r="X100" s="172"/>
      <c r="Y100" s="172"/>
      <c r="Z100" s="172"/>
      <c r="AA100" s="172"/>
      <c r="AB100" s="172"/>
      <c r="AC100" s="174"/>
      <c r="AD100" s="174"/>
      <c r="AE100" s="174"/>
      <c r="AF100" s="174"/>
      <c r="AG100" s="34"/>
      <c r="AH100" s="136" t="s">
        <v>21</v>
      </c>
      <c r="AI100" s="110" t="e">
        <f>AH100-AR100</f>
        <v>#VALUE!</v>
      </c>
      <c r="AJ100" s="110"/>
      <c r="AK100" s="44" t="s">
        <v>21</v>
      </c>
      <c r="AL100" s="34"/>
      <c r="AP100" s="34"/>
      <c r="AQ100" s="113"/>
      <c r="AR100" s="34"/>
      <c r="AS100" s="149"/>
    </row>
    <row r="101" spans="1:45" s="35" customFormat="1" x14ac:dyDescent="0.25">
      <c r="B101" s="34"/>
      <c r="C101" s="34"/>
      <c r="D101" s="33" t="s">
        <v>0</v>
      </c>
      <c r="E101" s="172"/>
      <c r="F101" s="172"/>
      <c r="H101" s="172"/>
      <c r="I101" s="172"/>
      <c r="J101" s="172"/>
      <c r="K101" s="172"/>
      <c r="L101" s="172"/>
      <c r="M101" s="172"/>
      <c r="N101" s="173"/>
      <c r="Q101" s="172"/>
      <c r="R101" s="172"/>
      <c r="S101" s="172"/>
      <c r="T101" s="34"/>
      <c r="U101" s="172"/>
      <c r="V101" s="172"/>
      <c r="W101" s="172"/>
      <c r="X101" s="172"/>
      <c r="Y101" s="172"/>
      <c r="Z101" s="172"/>
      <c r="AA101" s="172"/>
      <c r="AB101" s="172"/>
      <c r="AC101" s="174"/>
      <c r="AD101" s="174"/>
      <c r="AE101" s="174"/>
      <c r="AF101" s="174"/>
      <c r="AG101" s="34"/>
      <c r="AH101" s="136" t="s">
        <v>21</v>
      </c>
      <c r="AI101" s="110"/>
      <c r="AJ101" s="110"/>
      <c r="AK101" s="44"/>
      <c r="AL101" s="34"/>
      <c r="AP101" s="34">
        <f t="shared" ref="AP101" si="59">+G101-H101-N101-Q101-U101</f>
        <v>0</v>
      </c>
      <c r="AQ101" s="113"/>
      <c r="AR101" s="34"/>
      <c r="AS101" s="149"/>
    </row>
    <row r="102" spans="1:45" s="35" customFormat="1" ht="12" x14ac:dyDescent="0.2">
      <c r="B102" s="34"/>
      <c r="C102" s="34"/>
      <c r="D102" s="33" t="s">
        <v>1</v>
      </c>
      <c r="Q102" s="172"/>
      <c r="R102" s="172"/>
      <c r="S102" s="172"/>
      <c r="T102" s="34"/>
      <c r="U102" s="172"/>
      <c r="V102" s="172"/>
      <c r="W102" s="172"/>
      <c r="X102" s="172"/>
      <c r="Y102" s="172"/>
      <c r="Z102" s="172"/>
      <c r="AA102" s="172"/>
      <c r="AB102" s="172"/>
      <c r="AC102" s="174"/>
      <c r="AD102" s="174"/>
      <c r="AE102" s="174"/>
      <c r="AF102" s="174"/>
      <c r="AG102" s="34"/>
      <c r="AH102" s="136" t="s">
        <v>21</v>
      </c>
      <c r="AI102" s="110"/>
      <c r="AJ102" s="110"/>
      <c r="AK102" s="44"/>
      <c r="AL102" s="34"/>
    </row>
    <row r="103" spans="1:45" s="35" customFormat="1" ht="12" x14ac:dyDescent="0.2">
      <c r="B103" s="34"/>
      <c r="C103" s="34"/>
      <c r="D103" s="33" t="s">
        <v>162</v>
      </c>
      <c r="O103" s="172"/>
      <c r="P103" s="172"/>
      <c r="Q103" s="172"/>
      <c r="R103" s="172"/>
      <c r="S103" s="172"/>
      <c r="T103" s="34"/>
      <c r="U103" s="172"/>
      <c r="V103" s="172"/>
      <c r="W103" s="172"/>
      <c r="X103" s="172"/>
      <c r="Y103" s="172"/>
      <c r="Z103" s="172"/>
      <c r="AA103" s="172"/>
      <c r="AB103" s="172"/>
      <c r="AC103" s="174"/>
      <c r="AD103" s="174"/>
      <c r="AE103" s="174"/>
      <c r="AF103" s="174"/>
      <c r="AG103" s="34"/>
      <c r="AH103" s="136" t="s">
        <v>21</v>
      </c>
      <c r="AI103" s="115"/>
      <c r="AJ103" s="115"/>
      <c r="AK103" s="47"/>
      <c r="AL103" s="34"/>
    </row>
    <row r="104" spans="1:45" s="35" customFormat="1" ht="12" x14ac:dyDescent="0.2">
      <c r="B104" s="34"/>
      <c r="C104" s="3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115"/>
      <c r="AJ104" s="115"/>
      <c r="AK104" s="47"/>
      <c r="AL104" s="34"/>
      <c r="AP104" s="34"/>
      <c r="AQ104" s="34"/>
      <c r="AR104" s="149"/>
      <c r="AS104" s="149"/>
    </row>
    <row r="105" spans="1:45" s="35" customFormat="1" ht="12" x14ac:dyDescent="0.2">
      <c r="B105" s="34"/>
      <c r="C105" s="34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2"/>
      <c r="P105" s="172"/>
      <c r="Q105" s="172"/>
      <c r="R105" s="172"/>
      <c r="S105" s="172"/>
      <c r="T105" s="34"/>
      <c r="U105" s="172"/>
      <c r="V105" s="172"/>
      <c r="W105" s="172"/>
      <c r="X105" s="172"/>
      <c r="Y105" s="172"/>
      <c r="Z105" s="172"/>
      <c r="AA105" s="172"/>
      <c r="AB105" s="172"/>
      <c r="AC105" s="174"/>
      <c r="AD105" s="174"/>
      <c r="AE105" s="174"/>
      <c r="AF105" s="174"/>
      <c r="AG105" s="34"/>
      <c r="AH105" s="136" t="s">
        <v>21</v>
      </c>
      <c r="AI105" s="48" t="s">
        <v>62</v>
      </c>
      <c r="AJ105" s="146">
        <f>AJ90+AJ80+AJ69+AJ55+AJ34</f>
        <v>425050.52</v>
      </c>
      <c r="AK105" s="50" t="s">
        <v>83</v>
      </c>
      <c r="AL105" s="34"/>
      <c r="AP105" s="34"/>
      <c r="AQ105" s="34"/>
      <c r="AR105" s="149"/>
      <c r="AS105" s="149"/>
    </row>
    <row r="106" spans="1:45" s="35" customFormat="1" x14ac:dyDescent="0.25">
      <c r="B106" s="34"/>
      <c r="C106" s="34"/>
      <c r="D106" s="176">
        <v>14</v>
      </c>
      <c r="E106" s="176">
        <v>15</v>
      </c>
      <c r="F106" s="176">
        <v>16</v>
      </c>
      <c r="G106" s="176">
        <v>17</v>
      </c>
      <c r="H106" s="176">
        <v>18</v>
      </c>
      <c r="I106" s="176">
        <v>19</v>
      </c>
      <c r="J106" s="176">
        <v>21</v>
      </c>
      <c r="K106" s="176">
        <v>22</v>
      </c>
      <c r="L106" s="176">
        <v>23</v>
      </c>
      <c r="M106" s="176">
        <v>24</v>
      </c>
      <c r="N106" s="176">
        <v>25</v>
      </c>
      <c r="O106" s="172"/>
      <c r="P106" s="172"/>
      <c r="Q106" s="172"/>
      <c r="R106" s="172"/>
      <c r="S106" s="172"/>
      <c r="T106" s="34"/>
      <c r="U106" s="172"/>
      <c r="V106" s="172"/>
      <c r="W106" s="172"/>
      <c r="X106" s="172"/>
      <c r="Y106" s="172"/>
      <c r="Z106" s="172"/>
      <c r="AA106" s="172"/>
      <c r="AB106" s="172"/>
      <c r="AC106" s="174"/>
      <c r="AD106" s="174"/>
      <c r="AE106" s="174"/>
      <c r="AF106" s="174"/>
      <c r="AG106" s="34"/>
      <c r="AH106" s="136" t="s">
        <v>21</v>
      </c>
      <c r="AI106" s="48" t="s">
        <v>62</v>
      </c>
      <c r="AJ106" s="146">
        <f>AJ57+AJ36</f>
        <v>20980.38</v>
      </c>
      <c r="AK106" s="50" t="s">
        <v>80</v>
      </c>
      <c r="AL106" s="34"/>
      <c r="AP106" s="34"/>
      <c r="AQ106" s="34"/>
      <c r="AR106" s="149"/>
      <c r="AS106" s="149"/>
    </row>
    <row r="107" spans="1:45" s="35" customFormat="1" x14ac:dyDescent="0.25">
      <c r="B107" s="34"/>
      <c r="C107" s="34"/>
      <c r="D107" s="177">
        <f>+G99</f>
        <v>1632846.4500000002</v>
      </c>
      <c r="E107" s="178">
        <f>+AR99</f>
        <v>0</v>
      </c>
      <c r="F107" s="178">
        <f>+AS99</f>
        <v>0</v>
      </c>
      <c r="G107" s="178"/>
      <c r="H107" s="179"/>
      <c r="I107" s="177">
        <f>+H99+N99+R99</f>
        <v>94894.497499999998</v>
      </c>
      <c r="J107" s="177">
        <f>SUM(E107:I107)</f>
        <v>94894.497499999998</v>
      </c>
      <c r="K107" s="177">
        <f>D107-J107</f>
        <v>1537951.9525000001</v>
      </c>
      <c r="L107" s="177">
        <f>+AP99</f>
        <v>477815.51250000001</v>
      </c>
      <c r="M107" s="177">
        <f>+K107-L107</f>
        <v>1060136.4400000002</v>
      </c>
      <c r="N107" s="177">
        <f>+Q99</f>
        <v>143372.63699999999</v>
      </c>
      <c r="O107" s="172"/>
      <c r="P107" s="172"/>
      <c r="Q107" s="172"/>
      <c r="R107" s="172"/>
      <c r="S107" s="172"/>
      <c r="T107" s="34"/>
      <c r="U107" s="172"/>
      <c r="V107" s="172"/>
      <c r="W107" s="172"/>
      <c r="X107" s="172"/>
      <c r="Y107" s="172"/>
      <c r="Z107" s="172"/>
      <c r="AA107" s="172"/>
      <c r="AB107" s="172"/>
      <c r="AC107" s="174"/>
      <c r="AD107" s="174"/>
      <c r="AE107" s="174"/>
      <c r="AF107" s="174"/>
      <c r="AG107" s="34"/>
      <c r="AH107" s="34"/>
      <c r="AI107" s="48" t="s">
        <v>64</v>
      </c>
      <c r="AJ107" s="180">
        <f>AJ91+AJ81+AJ56+AJ35</f>
        <v>45043.259999999995</v>
      </c>
      <c r="AK107" s="50" t="s">
        <v>83</v>
      </c>
      <c r="AL107" s="34"/>
    </row>
    <row r="108" spans="1:45" s="35" customFormat="1" ht="12" x14ac:dyDescent="0.2">
      <c r="B108" s="34"/>
      <c r="C108" s="34"/>
      <c r="D108" s="181"/>
      <c r="E108" s="182"/>
      <c r="F108" s="182"/>
      <c r="G108" s="182"/>
      <c r="H108" s="182"/>
      <c r="I108" s="181"/>
      <c r="J108" s="182"/>
      <c r="K108" s="182"/>
      <c r="L108" s="182"/>
      <c r="M108" s="182">
        <f>+M107-AQ99</f>
        <v>0</v>
      </c>
      <c r="N108" s="182"/>
      <c r="O108" s="172"/>
      <c r="P108" s="172"/>
      <c r="Q108" s="172"/>
      <c r="R108" s="172"/>
      <c r="S108" s="172"/>
      <c r="T108" s="34"/>
      <c r="U108" s="172"/>
      <c r="V108" s="172"/>
      <c r="W108" s="172"/>
      <c r="X108" s="172"/>
      <c r="Y108" s="172"/>
      <c r="Z108" s="172"/>
      <c r="AA108" s="172"/>
      <c r="AB108" s="172"/>
      <c r="AC108" s="174"/>
      <c r="AD108" s="174"/>
      <c r="AE108" s="174"/>
      <c r="AF108" s="34"/>
      <c r="AG108" s="34"/>
      <c r="AI108" s="48" t="s">
        <v>27</v>
      </c>
      <c r="AJ108" s="146">
        <f>SUM(AJ105:AJ107)</f>
        <v>491074.16000000003</v>
      </c>
      <c r="AK108" s="47"/>
      <c r="AL108" s="34"/>
    </row>
    <row r="109" spans="1:45" s="35" customFormat="1" ht="12" x14ac:dyDescent="0.2">
      <c r="B109" s="34"/>
      <c r="C109" s="34"/>
      <c r="D109" s="172"/>
      <c r="E109" s="172"/>
      <c r="F109" s="172"/>
      <c r="G109" s="64"/>
      <c r="H109" s="64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34"/>
      <c r="U109" s="172"/>
      <c r="V109" s="172"/>
      <c r="W109" s="172"/>
      <c r="X109" s="172"/>
      <c r="Y109" s="172"/>
      <c r="Z109" s="172"/>
      <c r="AA109" s="172"/>
      <c r="AB109" s="172"/>
      <c r="AC109" s="174"/>
      <c r="AD109" s="174"/>
      <c r="AE109" s="174"/>
      <c r="AF109" s="34"/>
      <c r="AG109" s="34"/>
      <c r="AI109" s="47"/>
      <c r="AJ109" s="146" t="s">
        <v>21</v>
      </c>
      <c r="AK109" s="47"/>
      <c r="AL109" s="34"/>
    </row>
    <row r="110" spans="1:45" s="35" customFormat="1" ht="12" x14ac:dyDescent="0.2">
      <c r="B110" s="34"/>
      <c r="C110" s="34"/>
      <c r="D110" s="172"/>
      <c r="E110" s="172"/>
      <c r="F110" s="172"/>
      <c r="G110" s="64"/>
      <c r="H110" s="64"/>
      <c r="I110" s="172"/>
      <c r="J110" s="172"/>
      <c r="K110" s="172"/>
      <c r="L110" s="172"/>
      <c r="M110" s="172"/>
      <c r="N110" s="172"/>
      <c r="O110" s="172"/>
      <c r="P110" s="172"/>
      <c r="Q110" s="172"/>
      <c r="R110" s="34"/>
      <c r="S110" s="172"/>
      <c r="T110" s="172"/>
      <c r="U110" s="172"/>
      <c r="V110" s="172"/>
      <c r="W110" s="172"/>
      <c r="X110" s="172"/>
      <c r="Y110" s="172"/>
      <c r="Z110" s="172"/>
      <c r="AA110" s="174"/>
      <c r="AB110" s="174"/>
      <c r="AC110" s="174"/>
      <c r="AD110" s="34"/>
      <c r="AE110" s="34"/>
      <c r="AI110" s="48" t="s">
        <v>71</v>
      </c>
      <c r="AJ110" s="115">
        <f>AJ94+AJ82+AJ70+AJ59+AJ39</f>
        <v>391586.05</v>
      </c>
      <c r="AK110" s="50" t="s">
        <v>83</v>
      </c>
      <c r="AL110" s="34"/>
    </row>
    <row r="111" spans="1:45" s="35" customFormat="1" ht="12" x14ac:dyDescent="0.2">
      <c r="B111" s="34"/>
      <c r="C111" s="34"/>
      <c r="D111" s="172"/>
      <c r="E111" s="172"/>
      <c r="F111" s="172"/>
      <c r="G111" s="64"/>
      <c r="H111" s="64"/>
      <c r="I111" s="172"/>
      <c r="J111" s="172"/>
      <c r="K111" s="172"/>
      <c r="L111" s="172"/>
      <c r="M111" s="172"/>
      <c r="N111" s="172"/>
      <c r="O111" s="172"/>
      <c r="P111" s="172"/>
      <c r="Q111" s="172"/>
      <c r="R111" s="34"/>
      <c r="S111" s="172"/>
      <c r="T111" s="172"/>
      <c r="U111" s="172"/>
      <c r="V111" s="172"/>
      <c r="W111" s="172"/>
      <c r="X111" s="172"/>
      <c r="Y111" s="172"/>
      <c r="Z111" s="172"/>
      <c r="AA111" s="174"/>
      <c r="AB111" s="174"/>
      <c r="AC111" s="174"/>
      <c r="AD111" s="34"/>
      <c r="AE111" s="34"/>
      <c r="AI111" s="48" t="s">
        <v>71</v>
      </c>
      <c r="AJ111" s="146">
        <f>AJ61+AJ41</f>
        <v>0</v>
      </c>
      <c r="AK111" s="50" t="s">
        <v>80</v>
      </c>
      <c r="AL111" s="34"/>
    </row>
    <row r="112" spans="1:45" s="35" customFormat="1" ht="12" x14ac:dyDescent="0.2">
      <c r="B112" s="34"/>
      <c r="C112" s="34"/>
      <c r="D112" s="172"/>
      <c r="E112" s="172"/>
      <c r="F112" s="172"/>
      <c r="G112" s="64"/>
      <c r="H112" s="64"/>
      <c r="I112" s="172"/>
      <c r="J112" s="172"/>
      <c r="K112" s="172"/>
      <c r="L112" s="172"/>
      <c r="M112" s="172"/>
      <c r="N112" s="172"/>
      <c r="O112" s="172"/>
      <c r="P112" s="172"/>
      <c r="Q112" s="172"/>
      <c r="R112" s="34"/>
      <c r="S112" s="172"/>
      <c r="T112" s="172"/>
      <c r="U112" s="172"/>
      <c r="V112" s="172"/>
      <c r="W112" s="172"/>
      <c r="X112" s="172"/>
      <c r="Y112" s="172"/>
      <c r="Z112" s="172"/>
      <c r="AA112" s="174"/>
      <c r="AB112" s="174"/>
      <c r="AC112" s="174"/>
      <c r="AD112" s="34"/>
      <c r="AE112" s="34"/>
      <c r="AH112" s="183" t="s">
        <v>98</v>
      </c>
      <c r="AI112" s="48" t="s">
        <v>64</v>
      </c>
      <c r="AJ112" s="180">
        <f>AJ95+AJ83+AJ60+AJ40</f>
        <v>43253.5</v>
      </c>
      <c r="AK112" s="50" t="s">
        <v>83</v>
      </c>
    </row>
    <row r="113" spans="2:38" s="35" customFormat="1" ht="15.75" customHeight="1" x14ac:dyDescent="0.2">
      <c r="B113" s="34"/>
      <c r="C113" s="34"/>
      <c r="D113" s="172"/>
      <c r="E113" s="172"/>
      <c r="F113" s="172"/>
      <c r="G113" s="64"/>
      <c r="H113" s="64"/>
      <c r="I113" s="172"/>
      <c r="J113" s="172"/>
      <c r="K113" s="172"/>
      <c r="L113" s="172"/>
      <c r="M113" s="172"/>
      <c r="N113" s="172"/>
      <c r="O113" s="172"/>
      <c r="P113" s="172"/>
      <c r="Q113" s="172"/>
      <c r="R113" s="34"/>
      <c r="S113" s="172"/>
      <c r="T113" s="172"/>
      <c r="U113" s="172"/>
      <c r="V113" s="172"/>
      <c r="W113" s="172"/>
      <c r="X113" s="172"/>
      <c r="Y113" s="172"/>
      <c r="Z113" s="172"/>
      <c r="AA113" s="174"/>
      <c r="AB113" s="174"/>
      <c r="AC113" s="174"/>
      <c r="AD113" s="34"/>
      <c r="AE113" s="34"/>
      <c r="AH113" s="183" t="s">
        <v>99</v>
      </c>
      <c r="AI113" s="48" t="s">
        <v>27</v>
      </c>
      <c r="AJ113" s="146">
        <f>SUM(AJ110:AJ112)</f>
        <v>434839.55</v>
      </c>
      <c r="AK113" s="50" t="s">
        <v>21</v>
      </c>
    </row>
    <row r="114" spans="2:38" s="35" customFormat="1" ht="12" x14ac:dyDescent="0.2">
      <c r="B114" s="34"/>
      <c r="C114" s="34"/>
      <c r="D114" s="172"/>
      <c r="E114" s="172"/>
      <c r="F114" s="172"/>
      <c r="G114" s="64"/>
      <c r="H114" s="64"/>
      <c r="I114" s="172"/>
      <c r="J114" s="172"/>
      <c r="K114" s="172"/>
      <c r="L114" s="172"/>
      <c r="M114" s="172"/>
      <c r="N114" s="172"/>
      <c r="O114" s="172"/>
      <c r="P114" s="172"/>
      <c r="Q114" s="172"/>
      <c r="R114" s="34"/>
      <c r="S114" s="172"/>
      <c r="T114" s="172"/>
      <c r="U114" s="172"/>
      <c r="V114" s="172"/>
      <c r="W114" s="172"/>
      <c r="X114" s="172"/>
      <c r="Y114" s="172"/>
      <c r="Z114" s="172"/>
      <c r="AA114" s="174"/>
      <c r="AB114" s="174"/>
      <c r="AC114" s="174"/>
      <c r="AD114" s="34"/>
      <c r="AE114" s="34"/>
      <c r="AH114" s="183" t="s">
        <v>100</v>
      </c>
      <c r="AI114" s="47"/>
      <c r="AJ114" s="115"/>
      <c r="AK114" s="47"/>
    </row>
    <row r="115" spans="2:38" s="35" customFormat="1" ht="12" x14ac:dyDescent="0.2">
      <c r="B115" s="34"/>
      <c r="C115" s="34"/>
      <c r="D115" s="172"/>
      <c r="E115" s="172"/>
      <c r="F115" s="172"/>
      <c r="G115" s="64"/>
      <c r="H115" s="64"/>
      <c r="I115" s="172"/>
      <c r="J115" s="172"/>
      <c r="K115" s="172"/>
      <c r="L115" s="172"/>
      <c r="M115" s="172"/>
      <c r="N115" s="172"/>
      <c r="O115" s="172"/>
      <c r="P115" s="172"/>
      <c r="Q115" s="172"/>
      <c r="R115" s="34"/>
      <c r="S115" s="172"/>
      <c r="T115" s="172"/>
      <c r="U115" s="172"/>
      <c r="V115" s="172"/>
      <c r="W115" s="172"/>
      <c r="X115" s="172"/>
      <c r="Y115" s="172"/>
      <c r="Z115" s="172"/>
      <c r="AA115" s="174"/>
      <c r="AB115" s="174"/>
      <c r="AC115" s="174"/>
      <c r="AD115" s="34"/>
      <c r="AE115" s="34"/>
      <c r="AH115" s="183" t="s">
        <v>101</v>
      </c>
      <c r="AI115" s="30" t="s">
        <v>21</v>
      </c>
      <c r="AJ115" s="184" t="s">
        <v>21</v>
      </c>
      <c r="AK115" s="47"/>
    </row>
    <row r="116" spans="2:38" s="35" customFormat="1" ht="12" x14ac:dyDescent="0.2">
      <c r="B116" s="34"/>
      <c r="C116" s="34"/>
      <c r="D116" s="172"/>
      <c r="E116" s="172"/>
      <c r="F116" s="172"/>
      <c r="G116" s="64"/>
      <c r="H116" s="64"/>
      <c r="I116" s="172"/>
      <c r="J116" s="172"/>
      <c r="K116" s="172"/>
      <c r="L116" s="172"/>
      <c r="M116" s="172"/>
      <c r="N116" s="172"/>
      <c r="O116" s="172"/>
      <c r="P116" s="172"/>
      <c r="Q116" s="172"/>
      <c r="R116" s="34"/>
      <c r="S116" s="172"/>
      <c r="T116" s="172"/>
      <c r="U116" s="172"/>
      <c r="V116" s="172"/>
      <c r="W116" s="172"/>
      <c r="X116" s="172"/>
      <c r="Y116" s="172"/>
      <c r="Z116" s="172"/>
      <c r="AA116" s="174"/>
      <c r="AB116" s="174"/>
      <c r="AC116" s="174"/>
      <c r="AD116" s="34"/>
      <c r="AE116" s="34"/>
      <c r="AH116" s="183" t="s">
        <v>100</v>
      </c>
      <c r="AI116" s="30" t="s">
        <v>95</v>
      </c>
      <c r="AJ116" s="184">
        <f>AJ105+AJ107+AJ110+AJ112</f>
        <v>904933.33000000007</v>
      </c>
      <c r="AK116" s="50"/>
    </row>
    <row r="117" spans="2:38" s="35" customFormat="1" ht="12" x14ac:dyDescent="0.2">
      <c r="B117" s="34"/>
      <c r="C117" s="34"/>
      <c r="D117" s="172"/>
      <c r="E117" s="172"/>
      <c r="F117" s="172"/>
      <c r="G117" s="64"/>
      <c r="H117" s="64"/>
      <c r="I117" s="172"/>
      <c r="J117" s="172"/>
      <c r="K117" s="172"/>
      <c r="L117" s="172"/>
      <c r="M117" s="172"/>
      <c r="N117" s="172"/>
      <c r="O117" s="172"/>
      <c r="P117" s="172"/>
      <c r="Q117" s="172"/>
      <c r="R117" s="34"/>
      <c r="S117" s="172"/>
      <c r="T117" s="172"/>
      <c r="U117" s="172"/>
      <c r="V117" s="172"/>
      <c r="W117" s="172"/>
      <c r="X117" s="172"/>
      <c r="Y117" s="172"/>
      <c r="Z117" s="172"/>
      <c r="AA117" s="174"/>
      <c r="AB117" s="174"/>
      <c r="AC117" s="174"/>
      <c r="AD117" s="34"/>
      <c r="AE117" s="34"/>
      <c r="AH117" s="183" t="s">
        <v>99</v>
      </c>
      <c r="AI117" s="55" t="s">
        <v>80</v>
      </c>
      <c r="AJ117" s="185">
        <f>AJ111+AJ106</f>
        <v>20980.38</v>
      </c>
      <c r="AK117" s="50"/>
    </row>
    <row r="118" spans="2:38" s="35" customFormat="1" ht="12" x14ac:dyDescent="0.2">
      <c r="B118" s="34"/>
      <c r="C118" s="34"/>
      <c r="D118" s="172"/>
      <c r="E118" s="172"/>
      <c r="F118" s="172"/>
      <c r="G118" s="64"/>
      <c r="H118" s="64"/>
      <c r="I118" s="172"/>
      <c r="J118" s="172"/>
      <c r="K118" s="172"/>
      <c r="L118" s="172"/>
      <c r="M118" s="172"/>
      <c r="N118" s="172"/>
      <c r="O118" s="172"/>
      <c r="P118" s="172"/>
      <c r="Q118" s="172"/>
      <c r="R118" s="34"/>
      <c r="S118" s="172"/>
      <c r="T118" s="172"/>
      <c r="U118" s="172"/>
      <c r="V118" s="172"/>
      <c r="W118" s="172"/>
      <c r="X118" s="172"/>
      <c r="Y118" s="172"/>
      <c r="Z118" s="172"/>
      <c r="AA118" s="174"/>
      <c r="AB118" s="174"/>
      <c r="AC118" s="174"/>
      <c r="AD118" s="34"/>
      <c r="AE118" s="34"/>
      <c r="AH118" s="183" t="s">
        <v>102</v>
      </c>
      <c r="AI118" s="30" t="s">
        <v>96</v>
      </c>
      <c r="AJ118" s="186">
        <f>AJ44</f>
        <v>585000</v>
      </c>
      <c r="AK118" s="50"/>
      <c r="AL118" s="183"/>
    </row>
    <row r="119" spans="2:38" s="35" customFormat="1" ht="12.75" x14ac:dyDescent="0.2">
      <c r="B119" s="34"/>
      <c r="C119" s="34"/>
      <c r="D119" s="172"/>
      <c r="E119" s="172"/>
      <c r="F119" s="172"/>
      <c r="G119" s="64"/>
      <c r="H119" s="64"/>
      <c r="I119" s="172"/>
      <c r="J119" s="172"/>
      <c r="K119" s="172"/>
      <c r="L119" s="172"/>
      <c r="M119" s="172"/>
      <c r="N119" s="172"/>
      <c r="O119" s="172"/>
      <c r="P119" s="172"/>
      <c r="Q119" s="172"/>
      <c r="R119" s="34"/>
      <c r="S119" s="172"/>
      <c r="T119" s="172"/>
      <c r="U119" s="172"/>
      <c r="V119" s="172"/>
      <c r="W119" s="172"/>
      <c r="X119" s="172"/>
      <c r="Y119" s="172"/>
      <c r="Z119" s="172"/>
      <c r="AA119" s="174"/>
      <c r="AB119" s="174"/>
      <c r="AC119" s="174"/>
      <c r="AD119" s="34"/>
      <c r="AE119" s="34"/>
      <c r="AH119" s="183" t="s">
        <v>103</v>
      </c>
      <c r="AI119" s="56" t="s">
        <v>97</v>
      </c>
      <c r="AJ119" s="187">
        <f>AJ116+AJ117+AJ118</f>
        <v>1510913.71</v>
      </c>
      <c r="AK119" s="47" t="s">
        <v>21</v>
      </c>
      <c r="AL119" s="183"/>
    </row>
    <row r="120" spans="2:38" s="35" customFormat="1" ht="12.75" x14ac:dyDescent="0.2">
      <c r="B120" s="34"/>
      <c r="C120" s="34"/>
      <c r="D120" s="172"/>
      <c r="E120" s="172"/>
      <c r="F120" s="172"/>
      <c r="G120" s="64"/>
      <c r="H120" s="64"/>
      <c r="I120" s="172"/>
      <c r="J120" s="172"/>
      <c r="K120" s="172"/>
      <c r="L120" s="172"/>
      <c r="M120" s="172"/>
      <c r="N120" s="172"/>
      <c r="O120" s="172"/>
      <c r="P120" s="172"/>
      <c r="Q120" s="172"/>
      <c r="R120" s="34"/>
      <c r="S120" s="172"/>
      <c r="T120" s="172"/>
      <c r="U120" s="172"/>
      <c r="V120" s="172"/>
      <c r="W120" s="172"/>
      <c r="X120" s="172"/>
      <c r="Y120" s="172"/>
      <c r="Z120" s="172"/>
      <c r="AA120" s="174"/>
      <c r="AB120" s="174"/>
      <c r="AC120" s="174"/>
      <c r="AD120" s="34"/>
      <c r="AE120" s="34"/>
      <c r="AH120" s="183" t="s">
        <v>104</v>
      </c>
      <c r="AI120" s="57"/>
      <c r="AJ120" s="58"/>
      <c r="AK120" s="47"/>
      <c r="AL120" s="183"/>
    </row>
    <row r="121" spans="2:38" s="35" customFormat="1" ht="12" x14ac:dyDescent="0.2">
      <c r="B121" s="34"/>
      <c r="C121" s="34"/>
      <c r="D121" s="172"/>
      <c r="E121" s="172"/>
      <c r="F121" s="172"/>
      <c r="G121" s="64"/>
      <c r="H121" s="64"/>
      <c r="I121" s="172"/>
      <c r="J121" s="172"/>
      <c r="K121" s="172"/>
      <c r="L121" s="172"/>
      <c r="M121" s="172"/>
      <c r="N121" s="172"/>
      <c r="O121" s="172"/>
      <c r="P121" s="172"/>
      <c r="Q121" s="172"/>
      <c r="R121" s="34"/>
      <c r="S121" s="172"/>
      <c r="T121" s="172"/>
      <c r="U121" s="172"/>
      <c r="V121" s="172"/>
      <c r="W121" s="172"/>
      <c r="X121" s="172"/>
      <c r="Y121" s="172"/>
      <c r="Z121" s="172"/>
      <c r="AA121" s="174"/>
      <c r="AB121" s="174"/>
      <c r="AC121" s="174"/>
      <c r="AD121" s="34"/>
      <c r="AE121" s="34"/>
      <c r="AH121" s="183" t="s">
        <v>105</v>
      </c>
      <c r="AI121" s="188" t="s">
        <v>106</v>
      </c>
      <c r="AJ121" s="49"/>
      <c r="AK121" s="183"/>
      <c r="AL121" s="183"/>
    </row>
    <row r="122" spans="2:38" s="35" customFormat="1" ht="12" x14ac:dyDescent="0.2">
      <c r="B122" s="34"/>
      <c r="C122" s="34"/>
      <c r="D122" s="172"/>
      <c r="E122" s="172"/>
      <c r="F122" s="172"/>
      <c r="G122" s="64"/>
      <c r="H122" s="64"/>
      <c r="I122" s="172"/>
      <c r="J122" s="172"/>
      <c r="K122" s="172"/>
      <c r="L122" s="172"/>
      <c r="M122" s="172"/>
      <c r="N122" s="172"/>
      <c r="O122" s="172"/>
      <c r="P122" s="172"/>
      <c r="Q122" s="172"/>
      <c r="R122" s="34"/>
      <c r="S122" s="172"/>
      <c r="T122" s="172"/>
      <c r="U122" s="172"/>
      <c r="V122" s="172"/>
      <c r="W122" s="172"/>
      <c r="X122" s="172"/>
      <c r="Y122" s="172"/>
      <c r="Z122" s="172"/>
      <c r="AA122" s="174"/>
      <c r="AB122" s="174"/>
      <c r="AC122" s="174"/>
      <c r="AD122" s="34"/>
      <c r="AE122" s="34"/>
      <c r="AH122" s="183" t="s">
        <v>107</v>
      </c>
      <c r="AI122" s="188" t="s">
        <v>108</v>
      </c>
      <c r="AJ122" s="49"/>
      <c r="AK122" s="183"/>
      <c r="AL122" s="183"/>
    </row>
    <row r="123" spans="2:38" s="35" customFormat="1" ht="12" x14ac:dyDescent="0.2">
      <c r="B123" s="34"/>
      <c r="C123" s="34"/>
      <c r="D123" s="172"/>
      <c r="E123" s="172"/>
      <c r="F123" s="172"/>
      <c r="G123" s="64"/>
      <c r="H123" s="64"/>
      <c r="I123" s="172"/>
      <c r="J123" s="172"/>
      <c r="K123" s="172"/>
      <c r="L123" s="172"/>
      <c r="M123" s="172"/>
      <c r="N123" s="172"/>
      <c r="O123" s="172"/>
      <c r="P123" s="172"/>
      <c r="Q123" s="172"/>
      <c r="R123" s="34"/>
      <c r="S123" s="172"/>
      <c r="T123" s="172"/>
      <c r="U123" s="172"/>
      <c r="V123" s="172"/>
      <c r="W123" s="172"/>
      <c r="X123" s="172"/>
      <c r="Y123" s="172"/>
      <c r="Z123" s="172"/>
      <c r="AA123" s="174"/>
      <c r="AB123" s="174"/>
      <c r="AC123" s="174"/>
      <c r="AD123" s="34"/>
      <c r="AE123" s="34"/>
      <c r="AH123" s="183" t="s">
        <v>161</v>
      </c>
      <c r="AI123" s="188" t="s">
        <v>145</v>
      </c>
      <c r="AJ123" s="34"/>
    </row>
    <row r="124" spans="2:38" s="35" customFormat="1" ht="12" x14ac:dyDescent="0.2">
      <c r="B124" s="34"/>
      <c r="C124" s="34"/>
      <c r="D124" s="172"/>
      <c r="E124" s="172"/>
      <c r="F124" s="172"/>
      <c r="G124" s="64"/>
      <c r="H124" s="64"/>
      <c r="I124" s="172"/>
      <c r="J124" s="172"/>
      <c r="K124" s="172"/>
      <c r="L124" s="172"/>
      <c r="M124" s="172"/>
      <c r="N124" s="172"/>
      <c r="O124" s="172"/>
      <c r="P124" s="172"/>
      <c r="Q124" s="172"/>
      <c r="R124" s="34"/>
      <c r="S124" s="172"/>
      <c r="T124" s="172"/>
      <c r="U124" s="172"/>
      <c r="V124" s="172"/>
      <c r="W124" s="172"/>
      <c r="X124" s="172"/>
      <c r="Y124" s="172"/>
      <c r="Z124" s="172"/>
      <c r="AA124" s="174"/>
      <c r="AB124" s="174"/>
      <c r="AC124" s="174"/>
      <c r="AD124" s="34"/>
      <c r="AE124" s="34"/>
      <c r="AJ124" s="34"/>
    </row>
    <row r="125" spans="2:38" s="35" customFormat="1" ht="12" x14ac:dyDescent="0.2">
      <c r="B125" s="34"/>
      <c r="C125" s="34"/>
      <c r="D125" s="172"/>
      <c r="E125" s="172"/>
      <c r="F125" s="172"/>
      <c r="G125" s="64"/>
      <c r="H125" s="64"/>
      <c r="I125" s="172"/>
      <c r="J125" s="172"/>
      <c r="K125" s="172"/>
      <c r="L125" s="172"/>
      <c r="M125" s="172"/>
      <c r="N125" s="172"/>
      <c r="O125" s="172"/>
      <c r="P125" s="172"/>
      <c r="Q125" s="172"/>
      <c r="R125" s="34"/>
      <c r="S125" s="172"/>
      <c r="T125" s="172"/>
      <c r="U125" s="172"/>
      <c r="V125" s="172"/>
      <c r="W125" s="172"/>
      <c r="X125" s="172"/>
      <c r="Y125" s="172"/>
      <c r="Z125" s="172"/>
      <c r="AA125" s="174"/>
      <c r="AB125" s="174"/>
      <c r="AC125" s="174"/>
      <c r="AD125" s="34"/>
      <c r="AE125" s="34"/>
      <c r="AJ125" s="34"/>
    </row>
    <row r="126" spans="2:38" s="35" customFormat="1" ht="12" x14ac:dyDescent="0.2">
      <c r="B126" s="34"/>
      <c r="C126" s="34"/>
      <c r="D126" s="172"/>
      <c r="E126" s="172"/>
      <c r="F126" s="172"/>
      <c r="G126" s="64"/>
      <c r="H126" s="64"/>
      <c r="I126" s="172"/>
      <c r="J126" s="172"/>
      <c r="K126" s="172"/>
      <c r="L126" s="172"/>
      <c r="M126" s="172"/>
      <c r="N126" s="172"/>
      <c r="O126" s="172"/>
      <c r="P126" s="172"/>
      <c r="Q126" s="172"/>
      <c r="R126" s="34"/>
      <c r="S126" s="172"/>
      <c r="T126" s="172"/>
      <c r="U126" s="172"/>
      <c r="V126" s="172"/>
      <c r="W126" s="172"/>
      <c r="X126" s="172"/>
      <c r="Y126" s="172"/>
      <c r="Z126" s="172"/>
      <c r="AA126" s="174"/>
      <c r="AB126" s="174"/>
      <c r="AC126" s="174"/>
      <c r="AD126" s="34"/>
      <c r="AE126" s="34"/>
      <c r="AJ126" s="34"/>
    </row>
    <row r="127" spans="2:38" s="35" customFormat="1" ht="12" x14ac:dyDescent="0.2">
      <c r="B127" s="34"/>
      <c r="C127" s="34"/>
      <c r="D127" s="172"/>
      <c r="E127" s="172"/>
      <c r="F127" s="172"/>
      <c r="G127" s="64"/>
      <c r="H127" s="64"/>
      <c r="I127" s="172"/>
      <c r="J127" s="172"/>
      <c r="K127" s="172"/>
      <c r="L127" s="172"/>
      <c r="M127" s="172"/>
      <c r="N127" s="172"/>
      <c r="O127" s="172"/>
      <c r="P127" s="172"/>
      <c r="Q127" s="172"/>
      <c r="R127" s="34"/>
      <c r="S127" s="172"/>
      <c r="T127" s="172"/>
      <c r="U127" s="172"/>
      <c r="V127" s="172"/>
      <c r="W127" s="172"/>
      <c r="X127" s="172"/>
      <c r="Y127" s="172"/>
      <c r="Z127" s="172"/>
      <c r="AA127" s="174"/>
      <c r="AB127" s="174"/>
      <c r="AC127" s="174"/>
      <c r="AD127" s="34"/>
      <c r="AE127" s="34"/>
      <c r="AJ127" s="34"/>
    </row>
    <row r="128" spans="2:38" s="35" customFormat="1" ht="12" x14ac:dyDescent="0.2">
      <c r="B128" s="34"/>
      <c r="C128" s="34"/>
      <c r="D128" s="172"/>
      <c r="E128" s="172"/>
      <c r="F128" s="172"/>
      <c r="G128" s="64"/>
      <c r="H128" s="64"/>
      <c r="I128" s="172"/>
      <c r="J128" s="172"/>
      <c r="K128" s="172"/>
      <c r="L128" s="172"/>
      <c r="M128" s="172"/>
      <c r="N128" s="172"/>
      <c r="O128" s="172"/>
      <c r="P128" s="172"/>
      <c r="Q128" s="172"/>
      <c r="R128" s="34"/>
      <c r="S128" s="172"/>
      <c r="T128" s="172"/>
      <c r="U128" s="172"/>
      <c r="V128" s="172"/>
      <c r="W128" s="172"/>
      <c r="X128" s="172"/>
      <c r="Y128" s="172"/>
      <c r="Z128" s="172"/>
      <c r="AA128" s="174"/>
      <c r="AB128" s="174"/>
      <c r="AC128" s="174"/>
      <c r="AD128" s="34"/>
      <c r="AE128" s="34"/>
      <c r="AJ128" s="34"/>
    </row>
    <row r="129" spans="2:36" s="35" customFormat="1" ht="12" x14ac:dyDescent="0.2">
      <c r="B129" s="34"/>
      <c r="C129" s="34"/>
      <c r="D129" s="172"/>
      <c r="E129" s="172"/>
      <c r="F129" s="172"/>
      <c r="G129" s="64"/>
      <c r="H129" s="64"/>
      <c r="I129" s="172"/>
      <c r="J129" s="172"/>
      <c r="K129" s="172"/>
      <c r="L129" s="172"/>
      <c r="M129" s="172"/>
      <c r="N129" s="172"/>
      <c r="O129" s="172"/>
      <c r="P129" s="172"/>
      <c r="Q129" s="172"/>
      <c r="R129" s="34"/>
      <c r="S129" s="172"/>
      <c r="T129" s="172"/>
      <c r="U129" s="172"/>
      <c r="V129" s="172"/>
      <c r="W129" s="172"/>
      <c r="X129" s="172"/>
      <c r="Y129" s="172"/>
      <c r="Z129" s="172"/>
      <c r="AA129" s="174"/>
      <c r="AB129" s="174"/>
      <c r="AC129" s="174"/>
      <c r="AD129" s="34"/>
      <c r="AE129" s="34"/>
      <c r="AJ129" s="34"/>
    </row>
  </sheetData>
  <mergeCells count="154">
    <mergeCell ref="AA90:AA92"/>
    <mergeCell ref="AB90:AE90"/>
    <mergeCell ref="AF90:AF92"/>
    <mergeCell ref="AH90:AH92"/>
    <mergeCell ref="H91:H92"/>
    <mergeCell ref="I91:I92"/>
    <mergeCell ref="J91:J92"/>
    <mergeCell ref="K91:K92"/>
    <mergeCell ref="N91:N92"/>
    <mergeCell ref="O91:O92"/>
    <mergeCell ref="P91:P92"/>
    <mergeCell ref="AB91:AE91"/>
    <mergeCell ref="N90:P90"/>
    <mergeCell ref="Q90:Q92"/>
    <mergeCell ref="R90:S91"/>
    <mergeCell ref="T90:T92"/>
    <mergeCell ref="U90:U92"/>
    <mergeCell ref="V90:V92"/>
    <mergeCell ref="W90:W92"/>
    <mergeCell ref="X90:X92"/>
    <mergeCell ref="Y90:Y92"/>
    <mergeCell ref="A90:A92"/>
    <mergeCell ref="B90:B92"/>
    <mergeCell ref="C90:C92"/>
    <mergeCell ref="D90:D92"/>
    <mergeCell ref="E90:E92"/>
    <mergeCell ref="F90:F92"/>
    <mergeCell ref="G90:G92"/>
    <mergeCell ref="H90:K90"/>
    <mergeCell ref="L90:L92"/>
    <mergeCell ref="Y79:Y81"/>
    <mergeCell ref="AA79:AA81"/>
    <mergeCell ref="AB79:AE80"/>
    <mergeCell ref="H80:H81"/>
    <mergeCell ref="I80:I81"/>
    <mergeCell ref="J80:J81"/>
    <mergeCell ref="K80:K81"/>
    <mergeCell ref="N80:N81"/>
    <mergeCell ref="O80:O81"/>
    <mergeCell ref="P80:P81"/>
    <mergeCell ref="R80:R81"/>
    <mergeCell ref="S80:S81"/>
    <mergeCell ref="M79:M81"/>
    <mergeCell ref="N79:P79"/>
    <mergeCell ref="Q79:Q81"/>
    <mergeCell ref="R79:S79"/>
    <mergeCell ref="T79:T81"/>
    <mergeCell ref="U79:U81"/>
    <mergeCell ref="V79:V81"/>
    <mergeCell ref="W79:W81"/>
    <mergeCell ref="X79:X81"/>
    <mergeCell ref="A79:A81"/>
    <mergeCell ref="B79:B81"/>
    <mergeCell ref="C79:C81"/>
    <mergeCell ref="D79:D81"/>
    <mergeCell ref="E79:E81"/>
    <mergeCell ref="F79:F81"/>
    <mergeCell ref="G79:G81"/>
    <mergeCell ref="H79:K79"/>
    <mergeCell ref="L79:L81"/>
    <mergeCell ref="AB67:AE68"/>
    <mergeCell ref="AF67:AF69"/>
    <mergeCell ref="AH67:AH69"/>
    <mergeCell ref="H68:H69"/>
    <mergeCell ref="I68:I69"/>
    <mergeCell ref="J68:J69"/>
    <mergeCell ref="K68:K69"/>
    <mergeCell ref="N68:N69"/>
    <mergeCell ref="O68:O69"/>
    <mergeCell ref="P68:P69"/>
    <mergeCell ref="Q67:Q69"/>
    <mergeCell ref="R67:S68"/>
    <mergeCell ref="T67:T69"/>
    <mergeCell ref="U67:U69"/>
    <mergeCell ref="V67:V69"/>
    <mergeCell ref="W67:W69"/>
    <mergeCell ref="X67:X69"/>
    <mergeCell ref="Y67:Y69"/>
    <mergeCell ref="AA67:AA69"/>
    <mergeCell ref="O51:O52"/>
    <mergeCell ref="P51:P52"/>
    <mergeCell ref="A67:A69"/>
    <mergeCell ref="B67:B69"/>
    <mergeCell ref="C67:C69"/>
    <mergeCell ref="D67:D69"/>
    <mergeCell ref="E67:E69"/>
    <mergeCell ref="F67:F69"/>
    <mergeCell ref="G67:G69"/>
    <mergeCell ref="H67:K67"/>
    <mergeCell ref="L67:L69"/>
    <mergeCell ref="M67:M69"/>
    <mergeCell ref="N67:P67"/>
    <mergeCell ref="E4:E6"/>
    <mergeCell ref="F4:F6"/>
    <mergeCell ref="G4:G6"/>
    <mergeCell ref="H4:K4"/>
    <mergeCell ref="L4:L6"/>
    <mergeCell ref="M4:M6"/>
    <mergeCell ref="A50:A52"/>
    <mergeCell ref="B50:B52"/>
    <mergeCell ref="C50:C52"/>
    <mergeCell ref="D50:D52"/>
    <mergeCell ref="E50:E52"/>
    <mergeCell ref="F50:F52"/>
    <mergeCell ref="G50:G52"/>
    <mergeCell ref="H50:K50"/>
    <mergeCell ref="L50:L52"/>
    <mergeCell ref="M50:M52"/>
    <mergeCell ref="H51:H52"/>
    <mergeCell ref="I51:I52"/>
    <mergeCell ref="J51:J52"/>
    <mergeCell ref="K51:K52"/>
    <mergeCell ref="A4:A6"/>
    <mergeCell ref="N4:P4"/>
    <mergeCell ref="Q4:Q6"/>
    <mergeCell ref="R4:S5"/>
    <mergeCell ref="U4:U6"/>
    <mergeCell ref="V4:V6"/>
    <mergeCell ref="AB4:AE4"/>
    <mergeCell ref="AF4:AF6"/>
    <mergeCell ref="AG4:AG6"/>
    <mergeCell ref="H5:H6"/>
    <mergeCell ref="I5:I6"/>
    <mergeCell ref="J5:J6"/>
    <mergeCell ref="K5:K6"/>
    <mergeCell ref="N5:N6"/>
    <mergeCell ref="O5:O6"/>
    <mergeCell ref="P5:P6"/>
    <mergeCell ref="T4:T6"/>
    <mergeCell ref="W4:W6"/>
    <mergeCell ref="X4:X6"/>
    <mergeCell ref="Y4:Y6"/>
    <mergeCell ref="AA4:AA6"/>
    <mergeCell ref="B4:B6"/>
    <mergeCell ref="C4:C6"/>
    <mergeCell ref="D4:D6"/>
    <mergeCell ref="AH4:AH6"/>
    <mergeCell ref="AB5:AE5"/>
    <mergeCell ref="N50:P50"/>
    <mergeCell ref="Q50:Q52"/>
    <mergeCell ref="R50:S51"/>
    <mergeCell ref="T50:T52"/>
    <mergeCell ref="U50:U52"/>
    <mergeCell ref="V50:V52"/>
    <mergeCell ref="W50:W52"/>
    <mergeCell ref="X50:X52"/>
    <mergeCell ref="Y50:Y52"/>
    <mergeCell ref="AA50:AA52"/>
    <mergeCell ref="AB50:AE50"/>
    <mergeCell ref="AF50:AF52"/>
    <mergeCell ref="AG50:AG52"/>
    <mergeCell ref="AH50:AH52"/>
    <mergeCell ref="N51:N52"/>
    <mergeCell ref="M90:M92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6"/>
  <sheetViews>
    <sheetView tabSelected="1" zoomScaleNormal="100" workbookViewId="0">
      <pane xSplit="1" ySplit="1" topLeftCell="Y38" activePane="bottomRight" state="frozen"/>
      <selection pane="topRight" activeCell="L1" sqref="L1"/>
      <selection pane="bottomLeft" activeCell="A2" sqref="A2"/>
      <selection pane="bottomRight" activeCell="AE50" sqref="AE50"/>
    </sheetView>
  </sheetViews>
  <sheetFormatPr defaultColWidth="8.7109375" defaultRowHeight="15" x14ac:dyDescent="0.25"/>
  <cols>
    <col min="1" max="1" width="36.140625" customWidth="1"/>
    <col min="2" max="3" width="12.42578125" customWidth="1"/>
    <col min="7" max="7" width="16.28515625" customWidth="1"/>
    <col min="10" max="10" width="11.28515625" customWidth="1"/>
    <col min="14" max="14" width="17.140625" customWidth="1"/>
    <col min="15" max="15" width="16.7109375" customWidth="1"/>
    <col min="20" max="21" width="13.140625" customWidth="1"/>
    <col min="22" max="22" width="14.7109375" customWidth="1"/>
    <col min="23" max="23" width="11.42578125" bestFit="1" customWidth="1"/>
    <col min="24" max="24" width="13.85546875" customWidth="1"/>
    <col min="25" max="25" width="9.7109375" customWidth="1"/>
    <col min="27" max="27" width="10" customWidth="1"/>
    <col min="28" max="28" width="11" customWidth="1"/>
    <col min="29" max="29" width="11.28515625" customWidth="1"/>
    <col min="30" max="30" width="12.42578125" customWidth="1"/>
    <col min="37" max="37" width="11.42578125" customWidth="1"/>
  </cols>
  <sheetData>
    <row r="1" spans="1:103" ht="35.25" customHeight="1" x14ac:dyDescent="0.25">
      <c r="A1" s="15" t="s">
        <v>109</v>
      </c>
      <c r="B1" s="15" t="s">
        <v>2</v>
      </c>
      <c r="C1" s="15" t="s">
        <v>110</v>
      </c>
      <c r="D1" s="22" t="s">
        <v>111</v>
      </c>
      <c r="E1" s="22" t="s">
        <v>112</v>
      </c>
      <c r="F1" s="22" t="s">
        <v>113</v>
      </c>
      <c r="G1" s="22" t="s">
        <v>114</v>
      </c>
      <c r="H1" s="10" t="s">
        <v>115</v>
      </c>
      <c r="I1" s="10" t="s">
        <v>116</v>
      </c>
      <c r="J1" s="10" t="s">
        <v>117</v>
      </c>
      <c r="K1" s="4" t="s">
        <v>28</v>
      </c>
      <c r="L1" s="22" t="s">
        <v>118</v>
      </c>
      <c r="M1" s="22" t="s">
        <v>119</v>
      </c>
      <c r="N1" s="7" t="s">
        <v>120</v>
      </c>
      <c r="O1" s="7" t="s">
        <v>121</v>
      </c>
      <c r="P1" s="7" t="s">
        <v>122</v>
      </c>
      <c r="Q1" s="23" t="s">
        <v>123</v>
      </c>
      <c r="R1" s="23" t="s">
        <v>124</v>
      </c>
      <c r="S1" s="23" t="s">
        <v>125</v>
      </c>
      <c r="T1" s="4" t="s">
        <v>126</v>
      </c>
      <c r="U1" s="24" t="s">
        <v>127</v>
      </c>
      <c r="V1" s="24" t="s">
        <v>128</v>
      </c>
      <c r="W1" s="25" t="s">
        <v>129</v>
      </c>
      <c r="X1" s="4" t="s">
        <v>130</v>
      </c>
      <c r="Y1" s="4" t="s">
        <v>131</v>
      </c>
      <c r="Z1" s="4" t="s">
        <v>132</v>
      </c>
      <c r="AA1" s="24" t="s">
        <v>133</v>
      </c>
      <c r="AB1" s="4" t="s">
        <v>134</v>
      </c>
      <c r="AC1" s="6" t="s">
        <v>135</v>
      </c>
      <c r="AD1" s="26" t="s">
        <v>136</v>
      </c>
      <c r="AE1" s="2" t="s">
        <v>137</v>
      </c>
      <c r="AF1" s="3" t="s">
        <v>138</v>
      </c>
      <c r="AG1" s="27" t="s">
        <v>139</v>
      </c>
      <c r="AH1" s="28" t="s">
        <v>36</v>
      </c>
      <c r="AI1" s="4" t="s">
        <v>140</v>
      </c>
      <c r="AJ1" s="25" t="s">
        <v>141</v>
      </c>
      <c r="AK1" s="29" t="s">
        <v>142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25">
      <c r="A2" s="102" t="s">
        <v>37</v>
      </c>
      <c r="B2" s="103">
        <f>17550+17550</f>
        <v>35100</v>
      </c>
      <c r="C2" s="103">
        <f>17550-36.45+17550-50.46</f>
        <v>35013.090000000004</v>
      </c>
      <c r="D2" s="104">
        <v>403.7</v>
      </c>
      <c r="E2" s="104">
        <v>0</v>
      </c>
      <c r="F2" s="104">
        <v>0</v>
      </c>
      <c r="G2" s="104">
        <f t="shared" ref="G2:G8" si="0">C2+D2+E2+F2</f>
        <v>35416.79</v>
      </c>
      <c r="H2" s="104">
        <v>1350</v>
      </c>
      <c r="I2" s="105">
        <f>1900+950</f>
        <v>2850</v>
      </c>
      <c r="J2" s="104">
        <f t="shared" ref="J2:J38" si="1">H2+I2</f>
        <v>4200</v>
      </c>
      <c r="K2" s="104">
        <v>30</v>
      </c>
      <c r="L2" s="104">
        <f>1845.8</f>
        <v>1845.8</v>
      </c>
      <c r="M2" s="104">
        <v>0</v>
      </c>
      <c r="N2" s="104">
        <f>B2*5%/2</f>
        <v>877.5</v>
      </c>
      <c r="O2" s="104">
        <f>P2-N2</f>
        <v>877.5</v>
      </c>
      <c r="P2" s="104">
        <f>B2*0.05</f>
        <v>1755</v>
      </c>
      <c r="Q2" s="9">
        <v>0</v>
      </c>
      <c r="R2" s="9">
        <v>0</v>
      </c>
      <c r="S2" s="9">
        <v>0</v>
      </c>
      <c r="T2" s="106">
        <v>1823.4435000000001</v>
      </c>
      <c r="U2" s="39">
        <v>200</v>
      </c>
      <c r="V2" s="39">
        <v>200</v>
      </c>
      <c r="W2" s="8">
        <v>0</v>
      </c>
      <c r="X2" s="9">
        <v>0</v>
      </c>
      <c r="Y2" s="9">
        <v>0</v>
      </c>
      <c r="Z2" s="9">
        <v>0</v>
      </c>
      <c r="AA2" s="39">
        <v>0</v>
      </c>
      <c r="AB2" s="39">
        <v>0</v>
      </c>
      <c r="AC2" s="39">
        <v>0</v>
      </c>
      <c r="AD2" s="39">
        <v>29320.046499999997</v>
      </c>
      <c r="AE2" s="39">
        <v>10400</v>
      </c>
      <c r="AF2" s="39">
        <v>119.63</v>
      </c>
      <c r="AG2" s="41">
        <v>2000</v>
      </c>
      <c r="AH2" s="42">
        <v>0</v>
      </c>
      <c r="AI2" s="41">
        <v>0</v>
      </c>
      <c r="AJ2" s="40">
        <v>0</v>
      </c>
      <c r="AK2" s="13">
        <v>41839.676499999994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25">
      <c r="A3" s="102" t="s">
        <v>38</v>
      </c>
      <c r="B3" s="111">
        <f>8364.5+8364.5</f>
        <v>16729</v>
      </c>
      <c r="C3" s="103">
        <f>8364.5+8364.5-32.07</f>
        <v>16696.93</v>
      </c>
      <c r="D3" s="104">
        <v>192.41</v>
      </c>
      <c r="E3" s="104">
        <v>0</v>
      </c>
      <c r="F3" s="104">
        <v>0</v>
      </c>
      <c r="G3" s="104">
        <f t="shared" si="0"/>
        <v>16889.34</v>
      </c>
      <c r="H3" s="104">
        <v>742.5</v>
      </c>
      <c r="I3" s="105">
        <v>1567.5</v>
      </c>
      <c r="J3" s="104">
        <f t="shared" si="1"/>
        <v>2310</v>
      </c>
      <c r="K3" s="104">
        <v>30</v>
      </c>
      <c r="L3" s="104">
        <v>1430.49</v>
      </c>
      <c r="M3" s="104">
        <v>0</v>
      </c>
      <c r="N3" s="112">
        <v>418.23</v>
      </c>
      <c r="O3" s="112">
        <f t="shared" ref="O3:O38" si="2">P3-N3</f>
        <v>418.22</v>
      </c>
      <c r="P3" s="104">
        <f t="shared" ref="P3:P38" si="3">B3*0.05</f>
        <v>836.45</v>
      </c>
      <c r="Q3" s="9">
        <v>0</v>
      </c>
      <c r="R3" s="9">
        <v>0</v>
      </c>
      <c r="S3" s="9">
        <v>0</v>
      </c>
      <c r="T3" s="106">
        <v>0</v>
      </c>
      <c r="U3" s="39">
        <v>200</v>
      </c>
      <c r="V3" s="39">
        <v>200</v>
      </c>
      <c r="W3" s="8">
        <v>950</v>
      </c>
      <c r="X3" s="9">
        <v>0</v>
      </c>
      <c r="Y3" s="9">
        <v>0</v>
      </c>
      <c r="Z3" s="9">
        <v>0</v>
      </c>
      <c r="AA3" s="39">
        <v>0</v>
      </c>
      <c r="AB3" s="39">
        <v>0</v>
      </c>
      <c r="AC3" s="39">
        <v>0</v>
      </c>
      <c r="AD3" s="39">
        <v>13148.12</v>
      </c>
      <c r="AE3" s="39">
        <v>0</v>
      </c>
      <c r="AF3" s="39">
        <v>0</v>
      </c>
      <c r="AG3" s="41">
        <v>0</v>
      </c>
      <c r="AH3" s="39">
        <v>0</v>
      </c>
      <c r="AI3" s="39">
        <v>0</v>
      </c>
      <c r="AJ3" s="39">
        <v>0</v>
      </c>
      <c r="AK3" s="13">
        <v>13148.12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s="14" customFormat="1" ht="12.75" x14ac:dyDescent="0.2">
      <c r="A4" s="102" t="s">
        <v>39</v>
      </c>
      <c r="B4" s="109">
        <f>16000</f>
        <v>16000</v>
      </c>
      <c r="C4" s="103">
        <f>8000-120.13-38.34+8000-61.34-153.36</f>
        <v>15626.829999999998</v>
      </c>
      <c r="D4" s="104">
        <v>383.4</v>
      </c>
      <c r="E4" s="104">
        <v>0</v>
      </c>
      <c r="F4" s="104">
        <v>431.32</v>
      </c>
      <c r="G4" s="104">
        <f t="shared" si="0"/>
        <v>16441.55</v>
      </c>
      <c r="H4" s="104">
        <v>720</v>
      </c>
      <c r="I4" s="105">
        <v>1520</v>
      </c>
      <c r="J4" s="104">
        <f t="shared" si="1"/>
        <v>2240</v>
      </c>
      <c r="K4" s="105">
        <v>30</v>
      </c>
      <c r="L4" s="104">
        <v>0</v>
      </c>
      <c r="M4" s="104">
        <v>0</v>
      </c>
      <c r="N4" s="104">
        <f>B4*5%/2</f>
        <v>400</v>
      </c>
      <c r="O4" s="104">
        <f t="shared" si="2"/>
        <v>400</v>
      </c>
      <c r="P4" s="105">
        <f t="shared" si="3"/>
        <v>800</v>
      </c>
      <c r="Q4" s="9">
        <v>0</v>
      </c>
      <c r="R4" s="9">
        <v>0</v>
      </c>
      <c r="S4" s="9">
        <v>0</v>
      </c>
      <c r="T4" s="106">
        <v>0</v>
      </c>
      <c r="U4" s="39">
        <v>200</v>
      </c>
      <c r="V4" s="39">
        <v>200</v>
      </c>
      <c r="W4" s="8">
        <v>0</v>
      </c>
      <c r="X4" s="9">
        <v>0</v>
      </c>
      <c r="Y4" s="9">
        <v>0</v>
      </c>
      <c r="Z4" s="9">
        <v>0</v>
      </c>
      <c r="AA4" s="39">
        <v>0</v>
      </c>
      <c r="AB4" s="39">
        <v>0</v>
      </c>
      <c r="AC4" s="39">
        <v>0</v>
      </c>
      <c r="AD4" s="39">
        <v>15121.55</v>
      </c>
      <c r="AE4" s="39">
        <v>0</v>
      </c>
      <c r="AF4" s="39">
        <v>0</v>
      </c>
      <c r="AG4" s="41">
        <v>0</v>
      </c>
      <c r="AH4" s="42">
        <v>0</v>
      </c>
      <c r="AI4" s="41">
        <v>0</v>
      </c>
      <c r="AJ4" s="40">
        <v>0</v>
      </c>
      <c r="AK4" s="13">
        <v>15121.55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s="14" customFormat="1" ht="12.75" x14ac:dyDescent="0.2">
      <c r="A5" s="102" t="s">
        <v>40</v>
      </c>
      <c r="B5" s="109">
        <f>12500+12500</f>
        <v>25000</v>
      </c>
      <c r="C5" s="103">
        <f>12500-932.52+12500-513.19-958.47-239.62</f>
        <v>22356.2</v>
      </c>
      <c r="D5" s="104">
        <v>287.54000000000002</v>
      </c>
      <c r="E5" s="104">
        <v>1916.94</v>
      </c>
      <c r="F5" s="104">
        <v>0</v>
      </c>
      <c r="G5" s="104">
        <f t="shared" si="0"/>
        <v>24560.68</v>
      </c>
      <c r="H5" s="104">
        <f>900+225</f>
        <v>1125</v>
      </c>
      <c r="I5" s="105">
        <f>1900+475</f>
        <v>2375</v>
      </c>
      <c r="J5" s="104">
        <f t="shared" si="1"/>
        <v>3500</v>
      </c>
      <c r="K5" s="105">
        <v>30</v>
      </c>
      <c r="L5" s="104">
        <v>0</v>
      </c>
      <c r="M5" s="104">
        <v>0</v>
      </c>
      <c r="N5" s="104">
        <f>B5*5%/2</f>
        <v>625</v>
      </c>
      <c r="O5" s="104">
        <f t="shared" si="2"/>
        <v>625</v>
      </c>
      <c r="P5" s="105">
        <f t="shared" si="3"/>
        <v>1250</v>
      </c>
      <c r="Q5" s="9">
        <v>0</v>
      </c>
      <c r="R5" s="9">
        <v>0</v>
      </c>
      <c r="S5" s="9">
        <v>0</v>
      </c>
      <c r="T5" s="106">
        <v>266.65200000000004</v>
      </c>
      <c r="U5" s="39">
        <v>200</v>
      </c>
      <c r="V5" s="39">
        <v>200</v>
      </c>
      <c r="W5" s="8"/>
      <c r="X5" s="9"/>
      <c r="Y5" s="9"/>
      <c r="Z5" s="9">
        <v>0</v>
      </c>
      <c r="AA5" s="39">
        <v>0</v>
      </c>
      <c r="AB5" s="39">
        <v>0</v>
      </c>
      <c r="AC5" s="39">
        <v>0</v>
      </c>
      <c r="AD5" s="39">
        <v>22344.027999999998</v>
      </c>
      <c r="AE5" s="39">
        <v>0</v>
      </c>
      <c r="AF5" s="39">
        <v>0</v>
      </c>
      <c r="AG5" s="41">
        <v>0</v>
      </c>
      <c r="AH5" s="42"/>
      <c r="AI5" s="41"/>
      <c r="AJ5" s="40"/>
      <c r="AK5" s="13">
        <v>22344.027999999998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1:103" x14ac:dyDescent="0.25">
      <c r="A6" s="102" t="s">
        <v>41</v>
      </c>
      <c r="B6" s="109">
        <f>9083.75+9083.75</f>
        <v>18167.5</v>
      </c>
      <c r="C6" s="103">
        <f>9083.75-8.71-43.53+9083.75-696.52</f>
        <v>17418.740000000002</v>
      </c>
      <c r="D6" s="104">
        <v>208.94</v>
      </c>
      <c r="E6" s="104">
        <v>0</v>
      </c>
      <c r="F6" s="104">
        <v>0</v>
      </c>
      <c r="G6" s="104">
        <f t="shared" si="0"/>
        <v>17627.68</v>
      </c>
      <c r="H6" s="104">
        <v>810</v>
      </c>
      <c r="I6" s="105">
        <v>1710</v>
      </c>
      <c r="J6" s="104">
        <f t="shared" si="1"/>
        <v>2520</v>
      </c>
      <c r="K6" s="105">
        <v>30</v>
      </c>
      <c r="L6" s="104">
        <v>784.46</v>
      </c>
      <c r="M6" s="104">
        <v>0</v>
      </c>
      <c r="N6" s="104">
        <f>B6*5%/2</f>
        <v>454.1875</v>
      </c>
      <c r="O6" s="104">
        <f t="shared" si="2"/>
        <v>454.1875</v>
      </c>
      <c r="P6" s="105">
        <f t="shared" si="3"/>
        <v>908.375</v>
      </c>
      <c r="Q6" s="9">
        <v>0</v>
      </c>
      <c r="R6" s="9">
        <v>0</v>
      </c>
      <c r="S6" s="9">
        <v>0</v>
      </c>
      <c r="T6" s="106">
        <v>0</v>
      </c>
      <c r="U6" s="39">
        <v>200</v>
      </c>
      <c r="V6" s="39">
        <v>200</v>
      </c>
      <c r="W6" s="8">
        <v>0</v>
      </c>
      <c r="X6" s="9">
        <v>0</v>
      </c>
      <c r="Y6" s="9">
        <v>0</v>
      </c>
      <c r="Z6" s="9">
        <v>0</v>
      </c>
      <c r="AA6" s="39">
        <v>0</v>
      </c>
      <c r="AB6" s="39">
        <v>0</v>
      </c>
      <c r="AC6" s="39">
        <v>0</v>
      </c>
      <c r="AD6" s="39">
        <v>15379.032500000001</v>
      </c>
      <c r="AE6" s="39">
        <v>0</v>
      </c>
      <c r="AF6" s="39">
        <v>0</v>
      </c>
      <c r="AG6" s="41">
        <v>0</v>
      </c>
      <c r="AH6" s="42">
        <v>0</v>
      </c>
      <c r="AI6" s="41">
        <v>0</v>
      </c>
      <c r="AJ6" s="40">
        <v>0</v>
      </c>
      <c r="AK6" s="13">
        <v>15379.032500000001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 s="203" customFormat="1" x14ac:dyDescent="0.25">
      <c r="A7" s="60" t="s">
        <v>42</v>
      </c>
      <c r="B7" s="191">
        <f>150000+30000+50000</f>
        <v>230000</v>
      </c>
      <c r="C7" s="192">
        <v>230000</v>
      </c>
      <c r="D7" s="193">
        <v>0</v>
      </c>
      <c r="E7" s="193">
        <v>0</v>
      </c>
      <c r="F7" s="193">
        <v>0</v>
      </c>
      <c r="G7" s="193">
        <f t="shared" si="0"/>
        <v>230000</v>
      </c>
      <c r="H7" s="193">
        <f>900+450</f>
        <v>1350</v>
      </c>
      <c r="I7" s="194">
        <f>1900+950</f>
        <v>2850</v>
      </c>
      <c r="J7" s="193">
        <f t="shared" si="1"/>
        <v>4200</v>
      </c>
      <c r="K7" s="194">
        <v>30</v>
      </c>
      <c r="L7" s="193">
        <v>0</v>
      </c>
      <c r="M7" s="193">
        <v>0</v>
      </c>
      <c r="N7" s="193">
        <v>2500</v>
      </c>
      <c r="O7" s="193">
        <f t="shared" si="2"/>
        <v>2500</v>
      </c>
      <c r="P7" s="194">
        <v>5000</v>
      </c>
      <c r="Q7" s="195">
        <v>0</v>
      </c>
      <c r="R7" s="195">
        <v>0</v>
      </c>
      <c r="S7" s="195">
        <v>0</v>
      </c>
      <c r="T7" s="193">
        <v>51326.7</v>
      </c>
      <c r="U7" s="196">
        <v>200</v>
      </c>
      <c r="V7" s="196">
        <v>200</v>
      </c>
      <c r="W7" s="197">
        <v>0</v>
      </c>
      <c r="X7" s="195">
        <v>0</v>
      </c>
      <c r="Y7" s="195">
        <v>0</v>
      </c>
      <c r="Z7" s="195">
        <v>0</v>
      </c>
      <c r="AA7" s="196">
        <v>0</v>
      </c>
      <c r="AB7" s="196">
        <v>0</v>
      </c>
      <c r="AC7" s="196">
        <v>0</v>
      </c>
      <c r="AD7" s="196">
        <f>C7-H7-N7-T7-U7</f>
        <v>174623.3</v>
      </c>
      <c r="AE7" s="196">
        <v>0</v>
      </c>
      <c r="AF7" s="196">
        <v>0</v>
      </c>
      <c r="AG7" s="198">
        <v>0</v>
      </c>
      <c r="AH7" s="199">
        <v>0</v>
      </c>
      <c r="AI7" s="198">
        <v>0</v>
      </c>
      <c r="AJ7" s="200">
        <v>0</v>
      </c>
      <c r="AK7" s="201">
        <f>AD7</f>
        <v>174623.3</v>
      </c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2"/>
      <c r="BP7" s="202"/>
      <c r="BQ7" s="202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2"/>
      <c r="CW7" s="202"/>
      <c r="CX7" s="202"/>
      <c r="CY7" s="202"/>
    </row>
    <row r="8" spans="1:103" x14ac:dyDescent="0.25">
      <c r="A8" s="102" t="s">
        <v>43</v>
      </c>
      <c r="B8" s="109">
        <f>10706+10706</f>
        <v>21412</v>
      </c>
      <c r="C8" s="103">
        <f>10706+10706-1641.82</f>
        <v>19770.18</v>
      </c>
      <c r="D8" s="104">
        <v>0</v>
      </c>
      <c r="E8" s="104">
        <v>0</v>
      </c>
      <c r="F8" s="104">
        <f>641.31+897.84</f>
        <v>1539.15</v>
      </c>
      <c r="G8" s="104">
        <f t="shared" si="0"/>
        <v>21309.33</v>
      </c>
      <c r="H8" s="104">
        <v>967.5</v>
      </c>
      <c r="I8" s="105">
        <f>1900+142.5</f>
        <v>2042.5</v>
      </c>
      <c r="J8" s="104">
        <f t="shared" si="1"/>
        <v>3010</v>
      </c>
      <c r="K8" s="105">
        <v>30</v>
      </c>
      <c r="L8" s="104">
        <v>0</v>
      </c>
      <c r="M8" s="104">
        <v>0</v>
      </c>
      <c r="N8" s="104">
        <f t="shared" ref="N8:N17" si="4">B8*5%/2</f>
        <v>535.30000000000007</v>
      </c>
      <c r="O8" s="104">
        <f t="shared" si="2"/>
        <v>535.30000000000007</v>
      </c>
      <c r="P8" s="105">
        <f t="shared" si="3"/>
        <v>1070.6000000000001</v>
      </c>
      <c r="Q8" s="9">
        <v>0</v>
      </c>
      <c r="R8" s="9">
        <v>0</v>
      </c>
      <c r="S8" s="9">
        <v>0</v>
      </c>
      <c r="T8" s="106">
        <v>0</v>
      </c>
      <c r="U8" s="39">
        <v>200</v>
      </c>
      <c r="V8" s="39">
        <v>200</v>
      </c>
      <c r="W8" s="8">
        <v>3680.46</v>
      </c>
      <c r="X8" s="9">
        <v>0</v>
      </c>
      <c r="Y8" s="9">
        <v>2000</v>
      </c>
      <c r="Z8" s="9">
        <v>0</v>
      </c>
      <c r="AA8" s="39">
        <v>0</v>
      </c>
      <c r="AB8" s="39">
        <v>0</v>
      </c>
      <c r="AC8" s="39">
        <v>0</v>
      </c>
      <c r="AD8" s="39">
        <v>13926.070000000003</v>
      </c>
      <c r="AE8" s="39">
        <v>4708.9399999999996</v>
      </c>
      <c r="AF8" s="39">
        <v>0</v>
      </c>
      <c r="AG8" s="41">
        <v>0</v>
      </c>
      <c r="AH8" s="42">
        <v>0</v>
      </c>
      <c r="AI8" s="41">
        <v>0</v>
      </c>
      <c r="AJ8" s="40">
        <v>0</v>
      </c>
      <c r="AK8" s="13">
        <v>18635.010000000002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1:103" ht="14.25" customHeight="1" x14ac:dyDescent="0.25">
      <c r="A9" s="102" t="s">
        <v>157</v>
      </c>
      <c r="B9" s="103">
        <f>10000+10000</f>
        <v>20000</v>
      </c>
      <c r="C9" s="103">
        <f>10000-763.61-383.4-1916.92+10000-311.51-399.69</f>
        <v>16224.87</v>
      </c>
      <c r="D9" s="104">
        <v>199.27</v>
      </c>
      <c r="E9" s="104">
        <v>0</v>
      </c>
      <c r="F9" s="104">
        <v>766.77</v>
      </c>
      <c r="G9" s="105">
        <f>C9+D9+E9+F9</f>
        <v>17190.91</v>
      </c>
      <c r="H9" s="104">
        <v>900</v>
      </c>
      <c r="I9" s="105">
        <v>1900</v>
      </c>
      <c r="J9" s="104">
        <f t="shared" si="1"/>
        <v>2800</v>
      </c>
      <c r="K9" s="104">
        <v>30</v>
      </c>
      <c r="L9" s="104">
        <v>0</v>
      </c>
      <c r="M9" s="104">
        <v>0</v>
      </c>
      <c r="N9" s="104">
        <f t="shared" si="4"/>
        <v>500</v>
      </c>
      <c r="O9" s="104">
        <f t="shared" si="2"/>
        <v>500</v>
      </c>
      <c r="P9" s="105">
        <f t="shared" si="3"/>
        <v>1000</v>
      </c>
      <c r="Q9" s="9">
        <v>0</v>
      </c>
      <c r="R9" s="9">
        <v>0</v>
      </c>
      <c r="S9" s="9">
        <v>0</v>
      </c>
      <c r="T9" s="104">
        <v>0</v>
      </c>
      <c r="U9" s="39">
        <v>200</v>
      </c>
      <c r="V9" s="39">
        <v>200</v>
      </c>
      <c r="W9" s="8">
        <v>0</v>
      </c>
      <c r="X9" s="9">
        <v>0</v>
      </c>
      <c r="Y9" s="9">
        <v>0</v>
      </c>
      <c r="Z9" s="9">
        <v>0</v>
      </c>
      <c r="AA9" s="39">
        <v>0</v>
      </c>
      <c r="AB9" s="39">
        <v>0</v>
      </c>
      <c r="AC9" s="39">
        <v>0</v>
      </c>
      <c r="AD9" s="39">
        <v>15590.91</v>
      </c>
      <c r="AE9" s="39"/>
      <c r="AF9" s="39"/>
      <c r="AG9" s="41"/>
      <c r="AH9" s="42"/>
      <c r="AI9" s="41"/>
      <c r="AJ9" s="40"/>
      <c r="AK9" s="13">
        <v>15590.91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1:103" ht="14.25" customHeight="1" x14ac:dyDescent="0.25">
      <c r="A10" s="102" t="s">
        <v>44</v>
      </c>
      <c r="B10" s="109">
        <f>9500+9500</f>
        <v>19000</v>
      </c>
      <c r="C10" s="103">
        <f>9500-182.1+9500-1.52-91.05</f>
        <v>18725.330000000002</v>
      </c>
      <c r="D10" s="104">
        <v>218.52</v>
      </c>
      <c r="E10" s="104">
        <v>0</v>
      </c>
      <c r="F10" s="104">
        <v>0</v>
      </c>
      <c r="G10" s="104">
        <f t="shared" ref="G10:G27" si="5">C10+D10+E10+F10</f>
        <v>18943.850000000002</v>
      </c>
      <c r="H10" s="104">
        <v>855</v>
      </c>
      <c r="I10" s="105">
        <v>1805</v>
      </c>
      <c r="J10" s="104">
        <f t="shared" si="1"/>
        <v>2660</v>
      </c>
      <c r="K10" s="104">
        <v>30</v>
      </c>
      <c r="L10" s="104">
        <v>1753.51</v>
      </c>
      <c r="M10" s="104">
        <v>0</v>
      </c>
      <c r="N10" s="104">
        <f t="shared" si="4"/>
        <v>475</v>
      </c>
      <c r="O10" s="104">
        <f t="shared" si="2"/>
        <v>475</v>
      </c>
      <c r="P10" s="105">
        <f t="shared" si="3"/>
        <v>950</v>
      </c>
      <c r="Q10" s="9">
        <v>0</v>
      </c>
      <c r="R10" s="9">
        <v>0</v>
      </c>
      <c r="S10" s="9">
        <v>0</v>
      </c>
      <c r="T10" s="104">
        <v>0</v>
      </c>
      <c r="U10" s="39">
        <v>200</v>
      </c>
      <c r="V10" s="39">
        <v>200</v>
      </c>
      <c r="W10" s="8">
        <v>0</v>
      </c>
      <c r="X10" s="9">
        <v>0</v>
      </c>
      <c r="Y10" s="1">
        <v>0</v>
      </c>
      <c r="Z10" s="9">
        <v>0</v>
      </c>
      <c r="AA10" s="39">
        <v>0</v>
      </c>
      <c r="AB10" s="39">
        <v>0</v>
      </c>
      <c r="AC10" s="39">
        <v>0</v>
      </c>
      <c r="AD10" s="39">
        <v>15660.340000000004</v>
      </c>
      <c r="AE10" s="39">
        <v>6200</v>
      </c>
      <c r="AF10" s="39">
        <v>71.319999999999993</v>
      </c>
      <c r="AG10" s="41">
        <v>0</v>
      </c>
      <c r="AH10" s="42">
        <v>0</v>
      </c>
      <c r="AI10" s="41">
        <v>0</v>
      </c>
      <c r="AJ10" s="40">
        <v>0</v>
      </c>
      <c r="AK10" s="13">
        <v>21931.660000000003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1:103" x14ac:dyDescent="0.25">
      <c r="A11" s="102" t="s">
        <v>45</v>
      </c>
      <c r="B11" s="109">
        <f>7585+7585</f>
        <v>15170</v>
      </c>
      <c r="C11" s="103">
        <f>7585-33.93-145.4+7585-4.85-2035.6</f>
        <v>12950.22</v>
      </c>
      <c r="D11" s="104">
        <v>174.48</v>
      </c>
      <c r="E11" s="104">
        <v>0</v>
      </c>
      <c r="F11" s="104">
        <v>181.75</v>
      </c>
      <c r="G11" s="104">
        <f t="shared" si="5"/>
        <v>13306.449999999999</v>
      </c>
      <c r="H11" s="104">
        <v>675</v>
      </c>
      <c r="I11" s="105">
        <v>1425</v>
      </c>
      <c r="J11" s="104">
        <f t="shared" si="1"/>
        <v>2100</v>
      </c>
      <c r="K11" s="105">
        <v>30</v>
      </c>
      <c r="L11" s="104">
        <v>1384.35</v>
      </c>
      <c r="M11" s="104">
        <v>0</v>
      </c>
      <c r="N11" s="104">
        <f t="shared" si="4"/>
        <v>379.25</v>
      </c>
      <c r="O11" s="104">
        <f t="shared" si="2"/>
        <v>379.25</v>
      </c>
      <c r="P11" s="105">
        <f t="shared" si="3"/>
        <v>758.5</v>
      </c>
      <c r="Q11" s="9">
        <v>0</v>
      </c>
      <c r="R11" s="9">
        <v>0</v>
      </c>
      <c r="S11" s="9">
        <v>0</v>
      </c>
      <c r="T11" s="104">
        <v>0</v>
      </c>
      <c r="U11" s="39">
        <v>200</v>
      </c>
      <c r="V11" s="39">
        <v>200</v>
      </c>
      <c r="W11" s="8">
        <v>542.11</v>
      </c>
      <c r="X11" s="9">
        <v>0</v>
      </c>
      <c r="Y11" s="9">
        <v>2000</v>
      </c>
      <c r="Z11" s="9">
        <v>0</v>
      </c>
      <c r="AA11" s="39">
        <v>0</v>
      </c>
      <c r="AB11" s="39">
        <v>0</v>
      </c>
      <c r="AC11" s="39">
        <v>0</v>
      </c>
      <c r="AD11" s="39">
        <v>8125.739999999998</v>
      </c>
      <c r="AE11" s="39">
        <v>0</v>
      </c>
      <c r="AF11" s="39">
        <v>0</v>
      </c>
      <c r="AG11" s="41">
        <v>0</v>
      </c>
      <c r="AH11" s="42">
        <v>0</v>
      </c>
      <c r="AI11" s="41">
        <v>0</v>
      </c>
      <c r="AJ11" s="40">
        <v>0</v>
      </c>
      <c r="AK11" s="13">
        <v>8125.739999999998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</row>
    <row r="12" spans="1:103" x14ac:dyDescent="0.25">
      <c r="A12" s="102" t="s">
        <v>46</v>
      </c>
      <c r="B12" s="118">
        <f>12568.5+12568.5</f>
        <v>25137</v>
      </c>
      <c r="C12" s="103">
        <f>12568.5-48.18-963.72+12568.5-70.27-963.72</f>
        <v>23091.109999999997</v>
      </c>
      <c r="D12" s="104">
        <v>289.10000000000002</v>
      </c>
      <c r="E12" s="104">
        <v>963.72</v>
      </c>
      <c r="F12" s="104">
        <v>0</v>
      </c>
      <c r="G12" s="104">
        <f t="shared" si="5"/>
        <v>24343.929999999997</v>
      </c>
      <c r="H12" s="104">
        <v>1125</v>
      </c>
      <c r="I12" s="105">
        <f>1900+475</f>
        <v>2375</v>
      </c>
      <c r="J12" s="104">
        <f t="shared" si="1"/>
        <v>3500</v>
      </c>
      <c r="K12" s="104">
        <v>30</v>
      </c>
      <c r="L12" s="104">
        <v>1845.8</v>
      </c>
      <c r="M12" s="104">
        <v>0</v>
      </c>
      <c r="N12" s="112">
        <v>628.42999999999995</v>
      </c>
      <c r="O12" s="112">
        <f t="shared" si="2"/>
        <v>628.42000000000019</v>
      </c>
      <c r="P12" s="105">
        <f t="shared" si="3"/>
        <v>1256.8500000000001</v>
      </c>
      <c r="Q12" s="9">
        <v>0</v>
      </c>
      <c r="R12" s="9">
        <v>0</v>
      </c>
      <c r="S12" s="9">
        <v>0</v>
      </c>
      <c r="T12" s="106">
        <v>233.63</v>
      </c>
      <c r="U12" s="39">
        <v>200</v>
      </c>
      <c r="V12" s="39">
        <v>200</v>
      </c>
      <c r="W12" s="8">
        <v>0</v>
      </c>
      <c r="X12" s="9">
        <v>0</v>
      </c>
      <c r="Y12" s="9">
        <v>0</v>
      </c>
      <c r="Z12" s="9">
        <v>0</v>
      </c>
      <c r="AA12" s="39">
        <v>0</v>
      </c>
      <c r="AB12" s="39">
        <v>0</v>
      </c>
      <c r="AC12" s="39">
        <v>0</v>
      </c>
      <c r="AD12" s="39">
        <v>20311.069999999996</v>
      </c>
      <c r="AE12" s="39">
        <v>0</v>
      </c>
      <c r="AF12" s="39">
        <v>0</v>
      </c>
      <c r="AG12" s="41">
        <v>0</v>
      </c>
      <c r="AH12" s="42">
        <v>0</v>
      </c>
      <c r="AI12" s="41">
        <v>0</v>
      </c>
      <c r="AJ12" s="40">
        <v>0</v>
      </c>
      <c r="AK12" s="13">
        <v>20311.069999999996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</row>
    <row r="13" spans="1:103" x14ac:dyDescent="0.25">
      <c r="A13" s="102" t="s">
        <v>47</v>
      </c>
      <c r="B13" s="109">
        <f>9646+9646</f>
        <v>19292</v>
      </c>
      <c r="C13" s="103">
        <f>9646-118.64-739.63+9646-47.77-2958.52</f>
        <v>15427.440000000002</v>
      </c>
      <c r="D13" s="104">
        <v>115.56</v>
      </c>
      <c r="E13" s="104">
        <v>0</v>
      </c>
      <c r="F13" s="104">
        <v>751.16</v>
      </c>
      <c r="G13" s="104">
        <f t="shared" si="5"/>
        <v>16294.160000000002</v>
      </c>
      <c r="H13" s="105">
        <v>877.5</v>
      </c>
      <c r="I13" s="105">
        <v>1852.5</v>
      </c>
      <c r="J13" s="104">
        <f t="shared" si="1"/>
        <v>2730</v>
      </c>
      <c r="K13" s="105">
        <v>30</v>
      </c>
      <c r="L13" s="104">
        <v>1799.65</v>
      </c>
      <c r="M13" s="104">
        <v>0</v>
      </c>
      <c r="N13" s="104">
        <f t="shared" si="4"/>
        <v>482.3</v>
      </c>
      <c r="O13" s="104">
        <f t="shared" si="2"/>
        <v>482.3</v>
      </c>
      <c r="P13" s="105">
        <f t="shared" si="3"/>
        <v>964.6</v>
      </c>
      <c r="Q13" s="9">
        <v>0</v>
      </c>
      <c r="R13" s="9">
        <v>0</v>
      </c>
      <c r="S13" s="9">
        <v>0</v>
      </c>
      <c r="T13" s="104">
        <v>0</v>
      </c>
      <c r="U13" s="39">
        <v>200</v>
      </c>
      <c r="V13" s="39">
        <v>200</v>
      </c>
      <c r="W13" s="9">
        <v>1717.05</v>
      </c>
      <c r="X13" s="9">
        <v>0</v>
      </c>
      <c r="Y13" s="9">
        <v>4000</v>
      </c>
      <c r="Z13" s="9">
        <v>0</v>
      </c>
      <c r="AA13" s="39">
        <v>0</v>
      </c>
      <c r="AB13" s="39">
        <v>0</v>
      </c>
      <c r="AC13" s="39">
        <v>0</v>
      </c>
      <c r="AD13" s="39">
        <v>7217.6600000000026</v>
      </c>
      <c r="AE13" s="39">
        <v>3718.1999999999994</v>
      </c>
      <c r="AF13" s="39">
        <v>52.91</v>
      </c>
      <c r="AG13" s="41">
        <v>0</v>
      </c>
      <c r="AH13" s="42">
        <v>0</v>
      </c>
      <c r="AI13" s="41">
        <v>0</v>
      </c>
      <c r="AJ13" s="40">
        <v>0</v>
      </c>
      <c r="AK13" s="13">
        <v>10988.770000000002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1:103" x14ac:dyDescent="0.25">
      <c r="A14" s="102" t="s">
        <v>48</v>
      </c>
      <c r="B14" s="109">
        <f>35000+35000</f>
        <v>70000</v>
      </c>
      <c r="C14" s="103">
        <f>35000-234.82-211.34-2683.71+35000-279.55</f>
        <v>66590.58</v>
      </c>
      <c r="D14" s="104">
        <v>795.04</v>
      </c>
      <c r="E14" s="104">
        <v>0</v>
      </c>
      <c r="F14" s="104">
        <v>0</v>
      </c>
      <c r="G14" s="104">
        <f>C14+D14+E14+F14</f>
        <v>67385.62</v>
      </c>
      <c r="H14" s="104">
        <v>1350</v>
      </c>
      <c r="I14" s="105">
        <v>2850</v>
      </c>
      <c r="J14" s="104">
        <f t="shared" si="1"/>
        <v>4200</v>
      </c>
      <c r="K14" s="105">
        <v>30</v>
      </c>
      <c r="L14" s="104">
        <v>1845.8</v>
      </c>
      <c r="M14" s="104">
        <v>0</v>
      </c>
      <c r="N14" s="104">
        <f t="shared" si="4"/>
        <v>1750</v>
      </c>
      <c r="O14" s="104">
        <f t="shared" si="2"/>
        <v>1750</v>
      </c>
      <c r="P14" s="105">
        <f t="shared" si="3"/>
        <v>3500</v>
      </c>
      <c r="Q14" s="9">
        <v>0</v>
      </c>
      <c r="R14" s="9">
        <v>0</v>
      </c>
      <c r="S14" s="9">
        <v>0</v>
      </c>
      <c r="T14" s="104">
        <v>8025.5239999999994</v>
      </c>
      <c r="U14" s="39">
        <v>200</v>
      </c>
      <c r="V14" s="39">
        <v>200</v>
      </c>
      <c r="W14" s="8">
        <v>3826.05</v>
      </c>
      <c r="X14" s="9">
        <v>0</v>
      </c>
      <c r="Y14" s="9">
        <v>0</v>
      </c>
      <c r="Z14" s="9">
        <v>18157.16</v>
      </c>
      <c r="AA14" s="39">
        <v>0</v>
      </c>
      <c r="AB14" s="39">
        <v>0</v>
      </c>
      <c r="AC14" s="39">
        <v>0</v>
      </c>
      <c r="AD14" s="39">
        <v>32231.085999999988</v>
      </c>
      <c r="AE14" s="39">
        <v>0</v>
      </c>
      <c r="AF14" s="39">
        <v>0</v>
      </c>
      <c r="AG14" s="41">
        <v>2000</v>
      </c>
      <c r="AH14" s="42">
        <v>0</v>
      </c>
      <c r="AI14" s="41">
        <v>0</v>
      </c>
      <c r="AJ14" s="40">
        <v>0</v>
      </c>
      <c r="AK14" s="13">
        <v>34231.085999999988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</row>
    <row r="15" spans="1:103" x14ac:dyDescent="0.25">
      <c r="A15" s="102" t="s">
        <v>49</v>
      </c>
      <c r="B15" s="109">
        <f>7040+7040</f>
        <v>14080</v>
      </c>
      <c r="C15" s="103">
        <f>7040-49.49-33.74+7040-10.12-1079.62</f>
        <v>12907.029999999999</v>
      </c>
      <c r="D15" s="104">
        <v>158.91999999999999</v>
      </c>
      <c r="E15" s="104">
        <v>0</v>
      </c>
      <c r="F15" s="104">
        <f>506.1+506.1</f>
        <v>1012.2</v>
      </c>
      <c r="G15" s="104">
        <f t="shared" si="5"/>
        <v>14078.15</v>
      </c>
      <c r="H15" s="104">
        <v>630</v>
      </c>
      <c r="I15" s="105">
        <v>1330</v>
      </c>
      <c r="J15" s="104">
        <f t="shared" si="1"/>
        <v>1960</v>
      </c>
      <c r="K15" s="105">
        <v>10</v>
      </c>
      <c r="L15" s="104">
        <v>1292.06</v>
      </c>
      <c r="M15" s="104">
        <v>0</v>
      </c>
      <c r="N15" s="104">
        <f t="shared" si="4"/>
        <v>352</v>
      </c>
      <c r="O15" s="104">
        <f t="shared" si="2"/>
        <v>352</v>
      </c>
      <c r="P15" s="105">
        <f t="shared" si="3"/>
        <v>704</v>
      </c>
      <c r="Q15" s="9">
        <v>0</v>
      </c>
      <c r="R15" s="9">
        <v>0</v>
      </c>
      <c r="S15" s="9">
        <v>0</v>
      </c>
      <c r="T15" s="104">
        <v>0</v>
      </c>
      <c r="U15" s="39">
        <v>200</v>
      </c>
      <c r="V15" s="39">
        <v>200</v>
      </c>
      <c r="W15" s="8">
        <v>814.55</v>
      </c>
      <c r="X15" s="9">
        <v>0</v>
      </c>
      <c r="Y15" s="9">
        <v>0</v>
      </c>
      <c r="Z15" s="9">
        <v>0</v>
      </c>
      <c r="AA15" s="39">
        <v>0</v>
      </c>
      <c r="AB15" s="39">
        <v>0</v>
      </c>
      <c r="AC15" s="39">
        <v>0</v>
      </c>
      <c r="AD15" s="39">
        <v>10789.54</v>
      </c>
      <c r="AE15" s="39">
        <v>0</v>
      </c>
      <c r="AF15" s="39">
        <v>0</v>
      </c>
      <c r="AG15" s="41">
        <v>0</v>
      </c>
      <c r="AH15" s="42">
        <v>0</v>
      </c>
      <c r="AI15" s="41">
        <v>0</v>
      </c>
      <c r="AJ15" s="40">
        <v>0</v>
      </c>
      <c r="AK15" s="13">
        <v>10789.54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</row>
    <row r="16" spans="1:103" s="16" customFormat="1" ht="12.75" customHeight="1" x14ac:dyDescent="0.2">
      <c r="A16" s="102" t="s">
        <v>50</v>
      </c>
      <c r="B16" s="109">
        <f>10570+10570</f>
        <v>21140</v>
      </c>
      <c r="C16" s="103">
        <f>10570-614.61+10570-35.46-810.48</f>
        <v>19679.45</v>
      </c>
      <c r="D16" s="104">
        <v>243.14</v>
      </c>
      <c r="E16" s="104">
        <v>0</v>
      </c>
      <c r="F16" s="104">
        <v>0</v>
      </c>
      <c r="G16" s="104">
        <f t="shared" si="5"/>
        <v>19922.59</v>
      </c>
      <c r="H16" s="104">
        <v>945</v>
      </c>
      <c r="I16" s="105">
        <f>1900+95</f>
        <v>1995</v>
      </c>
      <c r="J16" s="104">
        <f t="shared" si="1"/>
        <v>2940</v>
      </c>
      <c r="K16" s="105">
        <v>30</v>
      </c>
      <c r="L16" s="104">
        <v>1845.8</v>
      </c>
      <c r="M16" s="104">
        <f>0</f>
        <v>0</v>
      </c>
      <c r="N16" s="104">
        <f t="shared" si="4"/>
        <v>528.5</v>
      </c>
      <c r="O16" s="104">
        <f t="shared" si="2"/>
        <v>528.5</v>
      </c>
      <c r="P16" s="105">
        <f t="shared" si="3"/>
        <v>1057</v>
      </c>
      <c r="Q16" s="9">
        <v>0</v>
      </c>
      <c r="R16" s="9">
        <v>0</v>
      </c>
      <c r="S16" s="9">
        <v>0</v>
      </c>
      <c r="T16" s="105">
        <v>0</v>
      </c>
      <c r="U16" s="39">
        <v>200</v>
      </c>
      <c r="V16" s="39">
        <v>200</v>
      </c>
      <c r="W16" s="8">
        <v>1611.71</v>
      </c>
      <c r="X16" s="12">
        <v>0</v>
      </c>
      <c r="Y16" s="12">
        <v>2000</v>
      </c>
      <c r="Z16" s="9">
        <v>0</v>
      </c>
      <c r="AA16" s="39">
        <v>0</v>
      </c>
      <c r="AB16" s="39">
        <v>0</v>
      </c>
      <c r="AC16" s="39">
        <v>0</v>
      </c>
      <c r="AD16" s="39">
        <v>12791.580000000002</v>
      </c>
      <c r="AE16" s="39">
        <v>0</v>
      </c>
      <c r="AF16" s="39">
        <v>0</v>
      </c>
      <c r="AG16" s="41">
        <v>0</v>
      </c>
      <c r="AH16" s="42">
        <v>0</v>
      </c>
      <c r="AI16" s="41">
        <v>0</v>
      </c>
      <c r="AJ16" s="40">
        <v>0</v>
      </c>
      <c r="AK16" s="13">
        <v>12791.580000000002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</row>
    <row r="17" spans="1:103" x14ac:dyDescent="0.25">
      <c r="A17" s="102" t="s">
        <v>51</v>
      </c>
      <c r="B17" s="109">
        <f>8382+8382</f>
        <v>16764</v>
      </c>
      <c r="C17" s="103">
        <f>8382-32.14+8382-28.12</f>
        <v>16703.740000000002</v>
      </c>
      <c r="D17" s="104">
        <v>192.82</v>
      </c>
      <c r="E17" s="104">
        <v>0</v>
      </c>
      <c r="F17" s="104">
        <f>1506.38+2058.71</f>
        <v>3565.09</v>
      </c>
      <c r="G17" s="105">
        <f t="shared" si="5"/>
        <v>20461.650000000001</v>
      </c>
      <c r="H17" s="104">
        <v>765</v>
      </c>
      <c r="I17" s="105">
        <v>1615</v>
      </c>
      <c r="J17" s="104">
        <f t="shared" si="1"/>
        <v>2380</v>
      </c>
      <c r="K17" s="105">
        <v>30</v>
      </c>
      <c r="L17" s="104">
        <v>1522.78</v>
      </c>
      <c r="M17" s="104">
        <v>0</v>
      </c>
      <c r="N17" s="104">
        <f t="shared" si="4"/>
        <v>419.1</v>
      </c>
      <c r="O17" s="104">
        <f t="shared" si="2"/>
        <v>419.1</v>
      </c>
      <c r="P17" s="105">
        <f t="shared" si="3"/>
        <v>838.2</v>
      </c>
      <c r="Q17" s="9">
        <v>0</v>
      </c>
      <c r="R17" s="9">
        <v>0</v>
      </c>
      <c r="S17" s="9">
        <v>0</v>
      </c>
      <c r="T17" s="104">
        <v>0</v>
      </c>
      <c r="U17" s="39">
        <v>200</v>
      </c>
      <c r="V17" s="40">
        <v>200</v>
      </c>
      <c r="W17" s="8">
        <v>1748.92</v>
      </c>
      <c r="X17" s="9">
        <v>0</v>
      </c>
      <c r="Y17" s="9">
        <v>2000</v>
      </c>
      <c r="Z17" s="9">
        <v>0</v>
      </c>
      <c r="AA17" s="39">
        <v>0</v>
      </c>
      <c r="AB17" s="39">
        <v>0</v>
      </c>
      <c r="AC17" s="39">
        <v>0</v>
      </c>
      <c r="AD17" s="39">
        <v>13805.850000000004</v>
      </c>
      <c r="AE17" s="39">
        <v>0</v>
      </c>
      <c r="AF17" s="39">
        <v>0</v>
      </c>
      <c r="AG17" s="41">
        <v>0</v>
      </c>
      <c r="AH17" s="42">
        <v>0</v>
      </c>
      <c r="AI17" s="41">
        <v>0</v>
      </c>
      <c r="AJ17" s="40">
        <v>0</v>
      </c>
      <c r="AK17" s="13">
        <v>13805.850000000004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</row>
    <row r="18" spans="1:103" x14ac:dyDescent="0.25">
      <c r="A18" s="102" t="s">
        <v>158</v>
      </c>
      <c r="B18" s="109">
        <f>7500+7500</f>
        <v>15000</v>
      </c>
      <c r="C18" s="103">
        <f>7500-21.56-1150.16+7500-2300.32-143.76</f>
        <v>11384.199999999999</v>
      </c>
      <c r="D18" s="104">
        <v>172.51</v>
      </c>
      <c r="E18" s="104">
        <v>0</v>
      </c>
      <c r="F18" s="104">
        <v>0</v>
      </c>
      <c r="G18" s="105">
        <f t="shared" si="5"/>
        <v>11556.71</v>
      </c>
      <c r="H18" s="104">
        <v>675</v>
      </c>
      <c r="I18" s="105">
        <v>1425</v>
      </c>
      <c r="J18" s="104">
        <f t="shared" si="1"/>
        <v>2100</v>
      </c>
      <c r="K18" s="105">
        <v>30</v>
      </c>
      <c r="L18" s="104">
        <v>0</v>
      </c>
      <c r="M18" s="104">
        <v>0</v>
      </c>
      <c r="N18" s="104">
        <f>B18*5%/2</f>
        <v>375</v>
      </c>
      <c r="O18" s="104">
        <f t="shared" si="2"/>
        <v>375</v>
      </c>
      <c r="P18" s="105">
        <f t="shared" si="3"/>
        <v>750</v>
      </c>
      <c r="Q18" s="9">
        <v>0</v>
      </c>
      <c r="R18" s="9">
        <v>0</v>
      </c>
      <c r="S18" s="9">
        <v>0</v>
      </c>
      <c r="T18" s="104">
        <v>0</v>
      </c>
      <c r="U18" s="39">
        <v>200</v>
      </c>
      <c r="V18" s="39">
        <v>200</v>
      </c>
      <c r="W18" s="8">
        <v>0</v>
      </c>
      <c r="X18" s="9">
        <v>0</v>
      </c>
      <c r="Y18" s="9">
        <v>0</v>
      </c>
      <c r="Z18" s="9">
        <v>0</v>
      </c>
      <c r="AA18" s="39">
        <v>0</v>
      </c>
      <c r="AB18" s="39">
        <v>0</v>
      </c>
      <c r="AC18" s="39">
        <v>0</v>
      </c>
      <c r="AD18" s="39">
        <v>10306.709999999999</v>
      </c>
      <c r="AE18" s="39"/>
      <c r="AF18" s="39"/>
      <c r="AG18" s="41"/>
      <c r="AH18" s="42"/>
      <c r="AI18" s="41"/>
      <c r="AJ18" s="40"/>
      <c r="AK18" s="13">
        <v>10306.709999999999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x14ac:dyDescent="0.25">
      <c r="A19" s="102" t="s">
        <v>52</v>
      </c>
      <c r="B19" s="109">
        <f>11260+11260</f>
        <v>22520</v>
      </c>
      <c r="C19" s="103">
        <f>11260-16.19+11260-863.39</f>
        <v>21640.42</v>
      </c>
      <c r="D19" s="104">
        <v>259.01</v>
      </c>
      <c r="E19" s="104">
        <v>0</v>
      </c>
      <c r="F19" s="104">
        <f>1483.9+1888.6</f>
        <v>3372.5</v>
      </c>
      <c r="G19" s="104">
        <f t="shared" si="5"/>
        <v>25271.929999999997</v>
      </c>
      <c r="H19" s="104">
        <f>900+112.5</f>
        <v>1012.5</v>
      </c>
      <c r="I19" s="105">
        <f>1900+237.5</f>
        <v>2137.5</v>
      </c>
      <c r="J19" s="104">
        <f t="shared" si="1"/>
        <v>3150</v>
      </c>
      <c r="K19" s="105">
        <v>30</v>
      </c>
      <c r="L19" s="104"/>
      <c r="M19" s="104">
        <v>0</v>
      </c>
      <c r="N19" s="104">
        <f>B19*5%/2</f>
        <v>563</v>
      </c>
      <c r="O19" s="104">
        <f t="shared" si="2"/>
        <v>563</v>
      </c>
      <c r="P19" s="105">
        <f t="shared" si="3"/>
        <v>1126</v>
      </c>
      <c r="Q19" s="9">
        <v>0</v>
      </c>
      <c r="R19" s="9">
        <v>0</v>
      </c>
      <c r="S19" s="9">
        <v>0</v>
      </c>
      <c r="T19" s="104">
        <v>399.51449999999949</v>
      </c>
      <c r="U19" s="39">
        <v>200</v>
      </c>
      <c r="V19" s="39">
        <v>200</v>
      </c>
      <c r="W19" s="8">
        <v>0</v>
      </c>
      <c r="X19" s="9">
        <v>0</v>
      </c>
      <c r="Y19" s="9">
        <v>0</v>
      </c>
      <c r="Z19" s="9">
        <v>0</v>
      </c>
      <c r="AA19" s="39">
        <v>0</v>
      </c>
      <c r="AB19" s="39">
        <v>0</v>
      </c>
      <c r="AC19" s="39">
        <v>1845.8</v>
      </c>
      <c r="AD19" s="39">
        <v>24942.715499999995</v>
      </c>
      <c r="AE19" s="39">
        <v>3800</v>
      </c>
      <c r="AF19" s="39">
        <v>43.71</v>
      </c>
      <c r="AG19" s="41">
        <v>0</v>
      </c>
      <c r="AH19" s="42">
        <v>0</v>
      </c>
      <c r="AI19" s="41">
        <v>0</v>
      </c>
      <c r="AJ19" s="40">
        <v>0</v>
      </c>
      <c r="AK19" s="13">
        <v>28786.425499999994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</row>
    <row r="20" spans="1:103" s="203" customFormat="1" x14ac:dyDescent="0.25">
      <c r="A20" s="60" t="s">
        <v>53</v>
      </c>
      <c r="B20" s="191">
        <f>62500+62500</f>
        <v>125000</v>
      </c>
      <c r="C20" s="192">
        <v>125000</v>
      </c>
      <c r="D20" s="193">
        <v>0</v>
      </c>
      <c r="E20" s="193">
        <v>0</v>
      </c>
      <c r="F20" s="193">
        <v>0</v>
      </c>
      <c r="G20" s="193">
        <f t="shared" si="5"/>
        <v>125000</v>
      </c>
      <c r="H20" s="193">
        <f>900+450</f>
        <v>1350</v>
      </c>
      <c r="I20" s="194">
        <f>1900+950</f>
        <v>2850</v>
      </c>
      <c r="J20" s="193">
        <f t="shared" si="1"/>
        <v>4200</v>
      </c>
      <c r="K20" s="194">
        <v>30</v>
      </c>
      <c r="L20" s="193">
        <v>0</v>
      </c>
      <c r="M20" s="193">
        <v>0</v>
      </c>
      <c r="N20" s="193">
        <f>5000/2</f>
        <v>2500</v>
      </c>
      <c r="O20" s="193">
        <f t="shared" si="2"/>
        <v>2500</v>
      </c>
      <c r="P20" s="194">
        <v>5000</v>
      </c>
      <c r="Q20" s="195">
        <v>0</v>
      </c>
      <c r="R20" s="195">
        <v>0</v>
      </c>
      <c r="S20" s="195">
        <v>0</v>
      </c>
      <c r="T20" s="193">
        <v>22112.55</v>
      </c>
      <c r="U20" s="196">
        <v>200</v>
      </c>
      <c r="V20" s="196">
        <v>200</v>
      </c>
      <c r="W20" s="197">
        <v>0</v>
      </c>
      <c r="X20" s="195">
        <v>0</v>
      </c>
      <c r="Y20" s="195">
        <v>0</v>
      </c>
      <c r="Z20" s="195">
        <v>0</v>
      </c>
      <c r="AA20" s="196">
        <v>0</v>
      </c>
      <c r="AB20" s="196">
        <v>0</v>
      </c>
      <c r="AC20" s="196">
        <v>0</v>
      </c>
      <c r="AD20" s="196">
        <f>C20-H20-N20-T20-U20</f>
        <v>98837.45</v>
      </c>
      <c r="AE20" s="196">
        <v>0</v>
      </c>
      <c r="AF20" s="196">
        <v>0</v>
      </c>
      <c r="AG20" s="198">
        <v>0</v>
      </c>
      <c r="AH20" s="199">
        <v>0</v>
      </c>
      <c r="AI20" s="198">
        <v>0</v>
      </c>
      <c r="AJ20" s="200">
        <v>0</v>
      </c>
      <c r="AK20" s="201">
        <f>AD20</f>
        <v>98837.45</v>
      </c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202"/>
      <c r="BN20" s="202"/>
      <c r="BO20" s="202"/>
      <c r="BP20" s="202"/>
      <c r="BQ20" s="202"/>
      <c r="BR20" s="202"/>
      <c r="BS20" s="202"/>
      <c r="BT20" s="202"/>
      <c r="BU20" s="202"/>
      <c r="BV20" s="202"/>
      <c r="BW20" s="202"/>
      <c r="BX20" s="202"/>
      <c r="BY20" s="202"/>
      <c r="BZ20" s="202"/>
      <c r="CA20" s="202"/>
      <c r="CB20" s="202"/>
      <c r="CC20" s="202"/>
      <c r="CD20" s="202"/>
      <c r="CE20" s="202"/>
      <c r="CF20" s="202"/>
      <c r="CG20" s="202"/>
      <c r="CH20" s="202"/>
      <c r="CI20" s="202"/>
      <c r="CJ20" s="202"/>
      <c r="CK20" s="202"/>
      <c r="CL20" s="202"/>
      <c r="CM20" s="202"/>
      <c r="CN20" s="202"/>
      <c r="CO20" s="202"/>
      <c r="CP20" s="202"/>
      <c r="CQ20" s="202"/>
      <c r="CR20" s="202"/>
      <c r="CS20" s="202"/>
      <c r="CT20" s="202"/>
      <c r="CU20" s="202"/>
      <c r="CV20" s="202"/>
      <c r="CW20" s="202"/>
      <c r="CX20" s="202"/>
      <c r="CY20" s="202"/>
    </row>
    <row r="21" spans="1:103" x14ac:dyDescent="0.25">
      <c r="A21" s="102" t="s">
        <v>168</v>
      </c>
      <c r="B21" s="109">
        <f>7500+7500</f>
        <v>15000</v>
      </c>
      <c r="C21" s="103">
        <f>7500+7500-575.08</f>
        <v>14424.92</v>
      </c>
      <c r="D21" s="104">
        <v>172.51</v>
      </c>
      <c r="E21" s="104">
        <v>0</v>
      </c>
      <c r="F21" s="104">
        <v>0</v>
      </c>
      <c r="G21" s="104">
        <f t="shared" si="5"/>
        <v>14597.43</v>
      </c>
      <c r="H21" s="104">
        <v>675</v>
      </c>
      <c r="I21" s="105">
        <v>1425</v>
      </c>
      <c r="J21" s="104">
        <f>H21+I21</f>
        <v>2100</v>
      </c>
      <c r="K21" s="105">
        <v>30</v>
      </c>
      <c r="L21" s="104">
        <v>0</v>
      </c>
      <c r="M21" s="104">
        <v>0</v>
      </c>
      <c r="N21" s="104">
        <f>B21*5%/2</f>
        <v>375</v>
      </c>
      <c r="O21" s="104">
        <f t="shared" si="2"/>
        <v>375</v>
      </c>
      <c r="P21" s="105">
        <f t="shared" si="3"/>
        <v>750</v>
      </c>
      <c r="Q21" s="9">
        <v>0</v>
      </c>
      <c r="R21" s="9">
        <v>0</v>
      </c>
      <c r="S21" s="9">
        <v>0</v>
      </c>
      <c r="T21" s="104">
        <v>0</v>
      </c>
      <c r="U21" s="39">
        <v>200</v>
      </c>
      <c r="V21" s="39">
        <v>200</v>
      </c>
      <c r="W21" s="8">
        <v>0</v>
      </c>
      <c r="X21" s="9">
        <v>0</v>
      </c>
      <c r="Y21" s="9">
        <v>0</v>
      </c>
      <c r="Z21" s="9">
        <v>0</v>
      </c>
      <c r="AA21" s="39">
        <v>0</v>
      </c>
      <c r="AB21" s="39">
        <v>0</v>
      </c>
      <c r="AC21" s="39">
        <v>0</v>
      </c>
      <c r="AD21" s="39">
        <v>13347.43</v>
      </c>
      <c r="AE21" s="39"/>
      <c r="AF21" s="39"/>
      <c r="AG21" s="41"/>
      <c r="AH21" s="42"/>
      <c r="AI21" s="41"/>
      <c r="AJ21" s="40"/>
      <c r="AK21" s="13">
        <v>13347.43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1:103" s="203" customFormat="1" x14ac:dyDescent="0.25">
      <c r="A22" s="204" t="s">
        <v>54</v>
      </c>
      <c r="B22" s="191">
        <f>150000+30000+50000</f>
        <v>230000</v>
      </c>
      <c r="C22" s="192">
        <v>230000</v>
      </c>
      <c r="D22" s="193">
        <v>0</v>
      </c>
      <c r="E22" s="193">
        <v>0</v>
      </c>
      <c r="F22" s="193">
        <v>0</v>
      </c>
      <c r="G22" s="193">
        <f t="shared" si="5"/>
        <v>230000</v>
      </c>
      <c r="H22" s="193">
        <f>900+450</f>
        <v>1350</v>
      </c>
      <c r="I22" s="194">
        <f>1900+950</f>
        <v>2850</v>
      </c>
      <c r="J22" s="193">
        <f t="shared" si="1"/>
        <v>4200</v>
      </c>
      <c r="K22" s="194">
        <v>30</v>
      </c>
      <c r="L22" s="193">
        <v>0</v>
      </c>
      <c r="M22" s="193">
        <v>0</v>
      </c>
      <c r="N22" s="193">
        <f>5000/2</f>
        <v>2500</v>
      </c>
      <c r="O22" s="193">
        <f t="shared" si="2"/>
        <v>2500</v>
      </c>
      <c r="P22" s="194">
        <v>5000</v>
      </c>
      <c r="Q22" s="195">
        <v>0</v>
      </c>
      <c r="R22" s="195">
        <v>0</v>
      </c>
      <c r="S22" s="195">
        <v>0</v>
      </c>
      <c r="T22" s="193">
        <v>51326.7</v>
      </c>
      <c r="U22" s="196">
        <v>200</v>
      </c>
      <c r="V22" s="196">
        <v>200</v>
      </c>
      <c r="W22" s="197">
        <v>0</v>
      </c>
      <c r="X22" s="195">
        <v>0</v>
      </c>
      <c r="Y22" s="195">
        <v>0</v>
      </c>
      <c r="Z22" s="195">
        <v>0</v>
      </c>
      <c r="AA22" s="196">
        <v>0</v>
      </c>
      <c r="AB22" s="196">
        <v>0</v>
      </c>
      <c r="AC22" s="196">
        <v>0</v>
      </c>
      <c r="AD22" s="196">
        <f>C22-H22-N22-T22-U22</f>
        <v>174623.3</v>
      </c>
      <c r="AE22" s="196">
        <v>0</v>
      </c>
      <c r="AF22" s="196">
        <v>0</v>
      </c>
      <c r="AG22" s="198">
        <v>0</v>
      </c>
      <c r="AH22" s="199">
        <v>0</v>
      </c>
      <c r="AI22" s="198">
        <v>0</v>
      </c>
      <c r="AJ22" s="200">
        <v>0</v>
      </c>
      <c r="AK22" s="201">
        <f>AD22</f>
        <v>174623.3</v>
      </c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202"/>
      <c r="BN22" s="202"/>
      <c r="BO22" s="202"/>
      <c r="BP22" s="202"/>
      <c r="BQ22" s="202"/>
      <c r="BR22" s="202"/>
      <c r="BS22" s="202"/>
      <c r="BT22" s="202"/>
      <c r="BU22" s="202"/>
      <c r="BV22" s="202"/>
      <c r="BW22" s="202"/>
      <c r="BX22" s="202"/>
      <c r="BY22" s="202"/>
      <c r="BZ22" s="202"/>
      <c r="CA22" s="202"/>
      <c r="CB22" s="202"/>
      <c r="CC22" s="202"/>
      <c r="CD22" s="202"/>
      <c r="CE22" s="202"/>
      <c r="CF22" s="202"/>
      <c r="CG22" s="202"/>
      <c r="CH22" s="202"/>
      <c r="CI22" s="202"/>
      <c r="CJ22" s="202"/>
      <c r="CK22" s="202"/>
      <c r="CL22" s="202"/>
      <c r="CM22" s="202"/>
      <c r="CN22" s="202"/>
      <c r="CO22" s="202"/>
      <c r="CP22" s="202"/>
      <c r="CQ22" s="202"/>
      <c r="CR22" s="202"/>
      <c r="CS22" s="202"/>
      <c r="CT22" s="202"/>
      <c r="CU22" s="202"/>
      <c r="CV22" s="202"/>
      <c r="CW22" s="202"/>
      <c r="CX22" s="202"/>
      <c r="CY22" s="202"/>
    </row>
    <row r="23" spans="1:103" x14ac:dyDescent="0.25">
      <c r="A23" s="102" t="s">
        <v>55</v>
      </c>
      <c r="B23" s="109">
        <f>8750+8750</f>
        <v>17500</v>
      </c>
      <c r="C23" s="103">
        <f>8750+8750-1.4</f>
        <v>17498.599999999999</v>
      </c>
      <c r="D23" s="104">
        <v>201.29</v>
      </c>
      <c r="E23" s="104">
        <v>0</v>
      </c>
      <c r="F23" s="104">
        <f>995.96+1572.56</f>
        <v>2568.52</v>
      </c>
      <c r="G23" s="104">
        <f t="shared" si="5"/>
        <v>20268.41</v>
      </c>
      <c r="H23" s="104">
        <v>787.5</v>
      </c>
      <c r="I23" s="105">
        <v>1662.5</v>
      </c>
      <c r="J23" s="104">
        <f t="shared" si="1"/>
        <v>2450</v>
      </c>
      <c r="K23" s="104">
        <v>30</v>
      </c>
      <c r="L23" s="104">
        <v>0</v>
      </c>
      <c r="M23" s="104">
        <v>0</v>
      </c>
      <c r="N23" s="104">
        <f t="shared" ref="N23:N30" si="6">B23*5%/2</f>
        <v>437.5</v>
      </c>
      <c r="O23" s="104">
        <f t="shared" si="2"/>
        <v>437.5</v>
      </c>
      <c r="P23" s="105">
        <f t="shared" si="3"/>
        <v>875</v>
      </c>
      <c r="Q23" s="9">
        <v>0</v>
      </c>
      <c r="R23" s="9">
        <v>0</v>
      </c>
      <c r="S23" s="9">
        <v>0</v>
      </c>
      <c r="T23" s="117">
        <v>0</v>
      </c>
      <c r="U23" s="39">
        <v>200</v>
      </c>
      <c r="V23" s="39">
        <v>200</v>
      </c>
      <c r="W23" s="8">
        <v>0</v>
      </c>
      <c r="X23" s="9">
        <v>0</v>
      </c>
      <c r="Y23" s="9">
        <v>0</v>
      </c>
      <c r="Z23" s="9">
        <v>0</v>
      </c>
      <c r="AA23" s="39">
        <v>0</v>
      </c>
      <c r="AB23" s="39">
        <v>0</v>
      </c>
      <c r="AC23" s="39">
        <v>0</v>
      </c>
      <c r="AD23" s="39">
        <v>18843.41</v>
      </c>
      <c r="AE23" s="39">
        <v>0</v>
      </c>
      <c r="AF23" s="39">
        <v>0</v>
      </c>
      <c r="AG23" s="41">
        <v>0</v>
      </c>
      <c r="AH23" s="42">
        <v>0</v>
      </c>
      <c r="AI23" s="41">
        <v>0</v>
      </c>
      <c r="AJ23" s="40">
        <v>0</v>
      </c>
      <c r="AK23" s="13">
        <v>18843.41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1:103" x14ac:dyDescent="0.25">
      <c r="A24" s="102" t="s">
        <v>56</v>
      </c>
      <c r="B24" s="109">
        <f>12355+12355</f>
        <v>24710</v>
      </c>
      <c r="C24" s="103">
        <f>12355+12355</f>
        <v>24710</v>
      </c>
      <c r="D24" s="104">
        <v>284.20999999999998</v>
      </c>
      <c r="E24" s="104">
        <v>0</v>
      </c>
      <c r="F24" s="104">
        <f>148.02</f>
        <v>148.02000000000001</v>
      </c>
      <c r="G24" s="104">
        <f t="shared" si="5"/>
        <v>25142.23</v>
      </c>
      <c r="H24" s="104">
        <f>900+202.5</f>
        <v>1102.5</v>
      </c>
      <c r="I24" s="105">
        <f>1900+427.5</f>
        <v>2327.5</v>
      </c>
      <c r="J24" s="104">
        <f t="shared" si="1"/>
        <v>3430</v>
      </c>
      <c r="K24" s="104">
        <v>30</v>
      </c>
      <c r="L24" s="104">
        <v>0</v>
      </c>
      <c r="M24" s="104">
        <v>0</v>
      </c>
      <c r="N24" s="104">
        <f t="shared" si="6"/>
        <v>617.75</v>
      </c>
      <c r="O24" s="104">
        <f t="shared" si="2"/>
        <v>617.75</v>
      </c>
      <c r="P24" s="105">
        <f t="shared" si="3"/>
        <v>1235.5</v>
      </c>
      <c r="Q24" s="9">
        <v>0</v>
      </c>
      <c r="R24" s="9">
        <v>0</v>
      </c>
      <c r="S24" s="9">
        <v>0</v>
      </c>
      <c r="T24" s="117">
        <v>358.34699999999992</v>
      </c>
      <c r="U24" s="39">
        <v>200</v>
      </c>
      <c r="V24" s="39">
        <v>200</v>
      </c>
      <c r="W24" s="8">
        <v>2412.8200000000002</v>
      </c>
      <c r="X24" s="9">
        <v>0</v>
      </c>
      <c r="Y24" s="9">
        <v>0</v>
      </c>
      <c r="Z24" s="9">
        <v>0</v>
      </c>
      <c r="AA24" s="39">
        <v>0</v>
      </c>
      <c r="AB24" s="39">
        <v>0</v>
      </c>
      <c r="AC24" s="39">
        <v>0</v>
      </c>
      <c r="AD24" s="39">
        <v>20450.812999999998</v>
      </c>
      <c r="AE24" s="39">
        <v>2800</v>
      </c>
      <c r="AF24" s="39">
        <v>32.21</v>
      </c>
      <c r="AG24" s="41">
        <v>2000</v>
      </c>
      <c r="AH24" s="42">
        <v>0</v>
      </c>
      <c r="AI24" s="41">
        <v>0</v>
      </c>
      <c r="AJ24" s="40">
        <v>0</v>
      </c>
      <c r="AK24" s="13">
        <v>25283.022999999997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1:103" x14ac:dyDescent="0.25">
      <c r="A25" s="102" t="s">
        <v>57</v>
      </c>
      <c r="B25" s="109">
        <f>10000+10000</f>
        <v>20000</v>
      </c>
      <c r="C25" s="103">
        <f>10000-23.96+10000-7.99</f>
        <v>19968.05</v>
      </c>
      <c r="D25" s="104">
        <v>230.04</v>
      </c>
      <c r="E25" s="104">
        <v>0</v>
      </c>
      <c r="F25" s="104">
        <f>1078.31+1317.94</f>
        <v>2396.25</v>
      </c>
      <c r="G25" s="104">
        <f t="shared" si="5"/>
        <v>22594.34</v>
      </c>
      <c r="H25" s="104">
        <v>900</v>
      </c>
      <c r="I25" s="105">
        <v>1900</v>
      </c>
      <c r="J25" s="104">
        <f t="shared" si="1"/>
        <v>2800</v>
      </c>
      <c r="K25" s="104">
        <v>30</v>
      </c>
      <c r="L25" s="104">
        <v>0</v>
      </c>
      <c r="M25" s="104">
        <v>0</v>
      </c>
      <c r="N25" s="104">
        <f t="shared" si="6"/>
        <v>500</v>
      </c>
      <c r="O25" s="104">
        <f t="shared" si="2"/>
        <v>500</v>
      </c>
      <c r="P25" s="105">
        <f t="shared" si="3"/>
        <v>1000</v>
      </c>
      <c r="Q25" s="9">
        <v>0</v>
      </c>
      <c r="R25" s="9">
        <v>0</v>
      </c>
      <c r="S25" s="9">
        <v>0</v>
      </c>
      <c r="T25" s="117">
        <v>24.201000000000022</v>
      </c>
      <c r="U25" s="39">
        <v>200</v>
      </c>
      <c r="V25" s="39">
        <v>200</v>
      </c>
      <c r="W25" s="9">
        <v>0</v>
      </c>
      <c r="X25" s="9">
        <v>0</v>
      </c>
      <c r="Y25" s="9">
        <v>0</v>
      </c>
      <c r="Z25" s="9">
        <v>0</v>
      </c>
      <c r="AA25" s="39">
        <v>0</v>
      </c>
      <c r="AB25" s="39">
        <v>0</v>
      </c>
      <c r="AC25" s="39">
        <v>0</v>
      </c>
      <c r="AD25" s="39">
        <v>20970.138999999999</v>
      </c>
      <c r="AE25" s="39">
        <v>0</v>
      </c>
      <c r="AF25" s="39">
        <v>0</v>
      </c>
      <c r="AG25" s="41">
        <v>0</v>
      </c>
      <c r="AH25" s="42">
        <v>0</v>
      </c>
      <c r="AI25" s="41">
        <v>0</v>
      </c>
      <c r="AJ25" s="40">
        <v>0</v>
      </c>
      <c r="AK25" s="13">
        <v>20970.138999999999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1:103" x14ac:dyDescent="0.25">
      <c r="A26" s="102" t="s">
        <v>58</v>
      </c>
      <c r="B26" s="109">
        <f>9500+9500</f>
        <v>19000</v>
      </c>
      <c r="C26" s="103">
        <f>9500+9500-1.52</f>
        <v>18998.48</v>
      </c>
      <c r="D26" s="104">
        <v>218.52</v>
      </c>
      <c r="E26" s="104">
        <v>0</v>
      </c>
      <c r="F26" s="104">
        <f>910.5</f>
        <v>910.5</v>
      </c>
      <c r="G26" s="104">
        <f t="shared" si="5"/>
        <v>20127.5</v>
      </c>
      <c r="H26" s="104">
        <v>855</v>
      </c>
      <c r="I26" s="105">
        <v>1805</v>
      </c>
      <c r="J26" s="104">
        <f t="shared" si="1"/>
        <v>2660</v>
      </c>
      <c r="K26" s="104">
        <v>30</v>
      </c>
      <c r="L26" s="104">
        <v>0</v>
      </c>
      <c r="M26" s="104">
        <v>0</v>
      </c>
      <c r="N26" s="104">
        <f t="shared" si="6"/>
        <v>475</v>
      </c>
      <c r="O26" s="104">
        <f t="shared" si="2"/>
        <v>475</v>
      </c>
      <c r="P26" s="105">
        <f t="shared" si="3"/>
        <v>950</v>
      </c>
      <c r="Q26" s="9">
        <v>0</v>
      </c>
      <c r="R26" s="9">
        <v>0</v>
      </c>
      <c r="S26" s="9">
        <v>0</v>
      </c>
      <c r="T26" s="117">
        <v>0</v>
      </c>
      <c r="U26" s="39">
        <v>200</v>
      </c>
      <c r="V26" s="39">
        <v>200</v>
      </c>
      <c r="W26" s="8">
        <v>0</v>
      </c>
      <c r="X26" s="9">
        <v>0</v>
      </c>
      <c r="Y26" s="9">
        <v>0</v>
      </c>
      <c r="Z26" s="9">
        <v>0</v>
      </c>
      <c r="AA26" s="39">
        <v>0</v>
      </c>
      <c r="AB26" s="39">
        <v>0</v>
      </c>
      <c r="AC26" s="39">
        <v>0</v>
      </c>
      <c r="AD26" s="39">
        <v>18597.5</v>
      </c>
      <c r="AE26" s="39">
        <v>0</v>
      </c>
      <c r="AF26" s="39">
        <v>0</v>
      </c>
      <c r="AG26" s="41">
        <v>0</v>
      </c>
      <c r="AH26" s="42">
        <v>0</v>
      </c>
      <c r="AI26" s="41">
        <v>0</v>
      </c>
      <c r="AJ26" s="40">
        <v>0</v>
      </c>
      <c r="AK26" s="13">
        <v>18597.5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1:103" x14ac:dyDescent="0.25">
      <c r="A27" s="102" t="s">
        <v>59</v>
      </c>
      <c r="B27" s="109">
        <f>8658+8658</f>
        <v>17316</v>
      </c>
      <c r="C27" s="103">
        <f>8658+8658-49.79</f>
        <v>17266.21</v>
      </c>
      <c r="D27" s="104">
        <v>199.15</v>
      </c>
      <c r="E27" s="104">
        <v>0</v>
      </c>
      <c r="F27" s="104">
        <v>0</v>
      </c>
      <c r="G27" s="104">
        <f t="shared" si="5"/>
        <v>17465.36</v>
      </c>
      <c r="H27" s="104">
        <v>787.5</v>
      </c>
      <c r="I27" s="105">
        <v>1662.5</v>
      </c>
      <c r="J27" s="104">
        <f t="shared" si="1"/>
        <v>2450</v>
      </c>
      <c r="K27" s="104">
        <v>30</v>
      </c>
      <c r="L27" s="104">
        <v>0</v>
      </c>
      <c r="M27" s="104">
        <v>0</v>
      </c>
      <c r="N27" s="104">
        <f t="shared" si="6"/>
        <v>432.90000000000003</v>
      </c>
      <c r="O27" s="104">
        <f t="shared" si="2"/>
        <v>432.90000000000003</v>
      </c>
      <c r="P27" s="105">
        <f t="shared" si="3"/>
        <v>865.80000000000007</v>
      </c>
      <c r="Q27" s="9">
        <v>0</v>
      </c>
      <c r="R27" s="9">
        <v>0</v>
      </c>
      <c r="S27" s="9">
        <v>0</v>
      </c>
      <c r="T27" s="117">
        <v>0</v>
      </c>
      <c r="U27" s="39">
        <v>200</v>
      </c>
      <c r="V27" s="39">
        <v>200</v>
      </c>
      <c r="W27" s="8">
        <v>0</v>
      </c>
      <c r="X27" s="9">
        <v>0</v>
      </c>
      <c r="Y27" s="9">
        <v>0</v>
      </c>
      <c r="Z27" s="9">
        <v>0</v>
      </c>
      <c r="AA27" s="39">
        <v>0</v>
      </c>
      <c r="AB27" s="39">
        <v>0</v>
      </c>
      <c r="AC27" s="39">
        <v>0</v>
      </c>
      <c r="AD27" s="39">
        <v>16044.960000000001</v>
      </c>
      <c r="AE27" s="39">
        <v>0</v>
      </c>
      <c r="AF27" s="39">
        <v>0</v>
      </c>
      <c r="AG27" s="41">
        <v>0</v>
      </c>
      <c r="AH27" s="42">
        <v>0</v>
      </c>
      <c r="AI27" s="42">
        <v>0</v>
      </c>
      <c r="AJ27" s="40">
        <v>0</v>
      </c>
      <c r="AK27" s="13">
        <v>16044.960000000001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1:103" x14ac:dyDescent="0.25">
      <c r="A28" s="102" t="s">
        <v>60</v>
      </c>
      <c r="B28" s="109">
        <f>10911+10911</f>
        <v>21822</v>
      </c>
      <c r="C28" s="103">
        <f>10911+10911</f>
        <v>21822</v>
      </c>
      <c r="D28" s="104">
        <v>250.99</v>
      </c>
      <c r="E28" s="104">
        <v>0</v>
      </c>
      <c r="F28" s="104">
        <v>0</v>
      </c>
      <c r="G28" s="104">
        <f>C28+D28+E28+F28</f>
        <v>22072.99</v>
      </c>
      <c r="H28" s="104">
        <v>990</v>
      </c>
      <c r="I28" s="104">
        <f>1900+190</f>
        <v>2090</v>
      </c>
      <c r="J28" s="104">
        <f t="shared" si="1"/>
        <v>3080</v>
      </c>
      <c r="K28" s="104">
        <v>30</v>
      </c>
      <c r="L28" s="104">
        <v>0</v>
      </c>
      <c r="M28" s="104">
        <v>0</v>
      </c>
      <c r="N28" s="104">
        <f t="shared" si="6"/>
        <v>545.55000000000007</v>
      </c>
      <c r="O28" s="104">
        <f t="shared" si="2"/>
        <v>545.55000000000007</v>
      </c>
      <c r="P28" s="105">
        <f t="shared" si="3"/>
        <v>1091.1000000000001</v>
      </c>
      <c r="Q28" s="9">
        <v>0</v>
      </c>
      <c r="R28" s="9">
        <v>0</v>
      </c>
      <c r="S28" s="9">
        <v>0</v>
      </c>
      <c r="T28" s="117">
        <v>0</v>
      </c>
      <c r="U28" s="39">
        <v>200</v>
      </c>
      <c r="V28" s="39">
        <v>200</v>
      </c>
      <c r="W28" s="8">
        <v>1293.73</v>
      </c>
      <c r="X28" s="9">
        <v>0</v>
      </c>
      <c r="Y28" s="9">
        <v>0</v>
      </c>
      <c r="Z28" s="9">
        <v>0</v>
      </c>
      <c r="AA28" s="39">
        <v>0</v>
      </c>
      <c r="AB28" s="39">
        <v>0</v>
      </c>
      <c r="AC28" s="39">
        <v>0</v>
      </c>
      <c r="AD28" s="39">
        <v>19043.710000000003</v>
      </c>
      <c r="AE28" s="39">
        <v>6300</v>
      </c>
      <c r="AF28" s="39">
        <v>72.47</v>
      </c>
      <c r="AG28" s="41">
        <v>0</v>
      </c>
      <c r="AH28" s="42">
        <v>0</v>
      </c>
      <c r="AI28" s="42">
        <v>0</v>
      </c>
      <c r="AJ28" s="40">
        <v>0</v>
      </c>
      <c r="AK28" s="13">
        <v>25416.180000000004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1:103" x14ac:dyDescent="0.25">
      <c r="A29" s="102" t="s">
        <v>61</v>
      </c>
      <c r="B29" s="109">
        <f>20000+20000</f>
        <v>40000</v>
      </c>
      <c r="C29" s="103">
        <f>20000-41.53+20000-31.95</f>
        <v>39926.520000000004</v>
      </c>
      <c r="D29" s="104">
        <v>460.06</v>
      </c>
      <c r="E29" s="104">
        <v>0</v>
      </c>
      <c r="F29" s="104">
        <v>0</v>
      </c>
      <c r="G29" s="104">
        <f>C29+D29+E29+F29</f>
        <v>40386.58</v>
      </c>
      <c r="H29" s="104">
        <f>900+450</f>
        <v>1350</v>
      </c>
      <c r="I29" s="105">
        <f>1900+950</f>
        <v>2850</v>
      </c>
      <c r="J29" s="104">
        <f t="shared" si="1"/>
        <v>4200</v>
      </c>
      <c r="K29" s="105">
        <v>30</v>
      </c>
      <c r="L29" s="104">
        <v>0</v>
      </c>
      <c r="M29" s="104">
        <v>0</v>
      </c>
      <c r="N29" s="104">
        <f t="shared" si="6"/>
        <v>1000</v>
      </c>
      <c r="O29" s="104">
        <f t="shared" si="2"/>
        <v>1000</v>
      </c>
      <c r="P29" s="105">
        <f t="shared" si="3"/>
        <v>2000</v>
      </c>
      <c r="Q29" s="9">
        <v>0</v>
      </c>
      <c r="R29" s="9">
        <v>0</v>
      </c>
      <c r="S29" s="9">
        <v>0</v>
      </c>
      <c r="T29" s="106">
        <v>2775.7160000000003</v>
      </c>
      <c r="U29" s="39">
        <v>200</v>
      </c>
      <c r="V29" s="39">
        <v>200</v>
      </c>
      <c r="W29" s="17">
        <v>0</v>
      </c>
      <c r="X29" s="9">
        <v>0</v>
      </c>
      <c r="Y29" s="9">
        <v>4600</v>
      </c>
      <c r="Z29" s="9">
        <v>0</v>
      </c>
      <c r="AA29" s="39">
        <v>0</v>
      </c>
      <c r="AB29" s="39">
        <v>0</v>
      </c>
      <c r="AC29" s="39">
        <v>0</v>
      </c>
      <c r="AD29" s="39">
        <v>30460.864000000001</v>
      </c>
      <c r="AE29" s="39">
        <v>20000</v>
      </c>
      <c r="AF29" s="39">
        <v>230.06</v>
      </c>
      <c r="AG29" s="41">
        <v>0</v>
      </c>
      <c r="AH29" s="42">
        <v>0</v>
      </c>
      <c r="AI29" s="42">
        <v>0</v>
      </c>
      <c r="AJ29" s="40">
        <v>0</v>
      </c>
      <c r="AK29" s="13">
        <v>50690.923999999999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</row>
    <row r="30" spans="1:103" x14ac:dyDescent="0.25">
      <c r="A30" s="102" t="s">
        <v>63</v>
      </c>
      <c r="B30" s="109">
        <f>10500+10500</f>
        <v>21000</v>
      </c>
      <c r="C30" s="103">
        <f>10500+10500</f>
        <v>21000</v>
      </c>
      <c r="D30" s="104">
        <v>241.54</v>
      </c>
      <c r="E30" s="104">
        <v>0</v>
      </c>
      <c r="F30" s="104">
        <f>629+1258</f>
        <v>1887</v>
      </c>
      <c r="G30" s="104">
        <f>C30+D30+E30+F30</f>
        <v>23128.54</v>
      </c>
      <c r="H30" s="104">
        <v>945</v>
      </c>
      <c r="I30" s="105">
        <f>1900+95</f>
        <v>1995</v>
      </c>
      <c r="J30" s="104">
        <f t="shared" si="1"/>
        <v>2940</v>
      </c>
      <c r="K30" s="104">
        <v>30</v>
      </c>
      <c r="L30" s="104">
        <v>1845.8</v>
      </c>
      <c r="M30" s="117">
        <v>0</v>
      </c>
      <c r="N30" s="104">
        <f t="shared" si="6"/>
        <v>525</v>
      </c>
      <c r="O30" s="104">
        <f t="shared" si="2"/>
        <v>525</v>
      </c>
      <c r="P30" s="105">
        <f t="shared" si="3"/>
        <v>1050</v>
      </c>
      <c r="Q30" s="9">
        <v>0</v>
      </c>
      <c r="R30" s="9">
        <v>0</v>
      </c>
      <c r="S30" s="9">
        <v>0</v>
      </c>
      <c r="T30" s="117">
        <v>93.831000000000131</v>
      </c>
      <c r="U30" s="39">
        <v>200</v>
      </c>
      <c r="V30" s="39">
        <v>200</v>
      </c>
      <c r="W30" s="1">
        <v>0</v>
      </c>
      <c r="X30" s="1">
        <v>0</v>
      </c>
      <c r="Y30" s="1">
        <v>0</v>
      </c>
      <c r="Z30" s="1">
        <v>0</v>
      </c>
      <c r="AA30" s="39">
        <v>0</v>
      </c>
      <c r="AB30" s="39">
        <v>0</v>
      </c>
      <c r="AC30" s="39">
        <v>0</v>
      </c>
      <c r="AD30" s="39">
        <v>19518.909</v>
      </c>
      <c r="AE30" s="39">
        <v>0</v>
      </c>
      <c r="AF30" s="39">
        <v>0</v>
      </c>
      <c r="AG30" s="41">
        <v>0</v>
      </c>
      <c r="AH30" s="42">
        <v>1000</v>
      </c>
      <c r="AI30" s="42">
        <v>0</v>
      </c>
      <c r="AJ30" s="40">
        <v>0</v>
      </c>
      <c r="AK30" s="13">
        <v>20518.909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</row>
    <row r="31" spans="1:103" x14ac:dyDescent="0.25">
      <c r="A31" s="102" t="s">
        <v>65</v>
      </c>
      <c r="B31" s="109">
        <f>9066.5+9066.5</f>
        <v>18133</v>
      </c>
      <c r="C31" s="103">
        <f>9066.5-69.52+9066.5-75.31</f>
        <v>17988.169999999998</v>
      </c>
      <c r="D31" s="104">
        <v>208.56</v>
      </c>
      <c r="E31" s="104">
        <v>0</v>
      </c>
      <c r="F31" s="104">
        <v>0</v>
      </c>
      <c r="G31" s="104">
        <f>C31+D31+E31+F31</f>
        <v>18196.73</v>
      </c>
      <c r="H31" s="104">
        <v>810</v>
      </c>
      <c r="I31" s="105">
        <v>1710</v>
      </c>
      <c r="J31" s="104">
        <f t="shared" si="1"/>
        <v>2520</v>
      </c>
      <c r="K31" s="105">
        <v>30</v>
      </c>
      <c r="L31" s="104">
        <v>1661.22</v>
      </c>
      <c r="M31" s="117">
        <v>0</v>
      </c>
      <c r="N31" s="104">
        <v>453.32</v>
      </c>
      <c r="O31" s="104">
        <f t="shared" si="2"/>
        <v>453.3300000000001</v>
      </c>
      <c r="P31" s="105">
        <f t="shared" si="3"/>
        <v>906.65000000000009</v>
      </c>
      <c r="Q31" s="9">
        <v>0</v>
      </c>
      <c r="R31" s="9">
        <v>0</v>
      </c>
      <c r="S31" s="9">
        <v>0</v>
      </c>
      <c r="T31" s="104">
        <v>0</v>
      </c>
      <c r="U31" s="39">
        <v>200</v>
      </c>
      <c r="V31" s="37">
        <v>200</v>
      </c>
      <c r="W31" s="8">
        <v>0</v>
      </c>
      <c r="X31" s="9">
        <v>0</v>
      </c>
      <c r="Y31" s="9">
        <v>3000</v>
      </c>
      <c r="Z31" s="9">
        <v>0</v>
      </c>
      <c r="AA31" s="39">
        <v>0</v>
      </c>
      <c r="AB31" s="39">
        <v>0</v>
      </c>
      <c r="AC31" s="39">
        <v>0</v>
      </c>
      <c r="AD31" s="39">
        <v>12072.189999999999</v>
      </c>
      <c r="AE31" s="39">
        <v>0</v>
      </c>
      <c r="AF31" s="39">
        <v>0</v>
      </c>
      <c r="AG31" s="41">
        <v>0</v>
      </c>
      <c r="AH31" s="42">
        <v>0</v>
      </c>
      <c r="AI31" s="42">
        <v>0</v>
      </c>
      <c r="AJ31" s="40">
        <v>0</v>
      </c>
      <c r="AK31" s="13">
        <v>12072.189999999999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1:103" x14ac:dyDescent="0.25">
      <c r="A32" s="120" t="s">
        <v>67</v>
      </c>
      <c r="B32" s="124">
        <f>8000+8000</f>
        <v>16000</v>
      </c>
      <c r="C32" s="103">
        <f>8000-26.84-3067.1</f>
        <v>4906.0599999999995</v>
      </c>
      <c r="D32" s="104">
        <v>184.03</v>
      </c>
      <c r="E32" s="104">
        <v>0</v>
      </c>
      <c r="F32" s="104">
        <v>0</v>
      </c>
      <c r="G32" s="117">
        <f>C32+E32+F32+D32</f>
        <v>5090.0899999999992</v>
      </c>
      <c r="H32" s="104">
        <v>720</v>
      </c>
      <c r="I32" s="105">
        <v>1520</v>
      </c>
      <c r="J32" s="104">
        <f t="shared" si="1"/>
        <v>2240</v>
      </c>
      <c r="K32" s="105">
        <v>30</v>
      </c>
      <c r="L32" s="104">
        <v>738.32</v>
      </c>
      <c r="M32" s="117">
        <v>0</v>
      </c>
      <c r="N32" s="104">
        <f t="shared" ref="N32:N37" si="7">B32*5%/2</f>
        <v>400</v>
      </c>
      <c r="O32" s="104">
        <f t="shared" si="2"/>
        <v>400</v>
      </c>
      <c r="P32" s="125">
        <f t="shared" si="3"/>
        <v>800</v>
      </c>
      <c r="Q32" s="9">
        <v>0</v>
      </c>
      <c r="R32" s="9">
        <v>0</v>
      </c>
      <c r="S32" s="9">
        <v>0</v>
      </c>
      <c r="T32" s="117">
        <v>0</v>
      </c>
      <c r="U32" s="39">
        <v>200</v>
      </c>
      <c r="V32" s="37">
        <v>200</v>
      </c>
      <c r="W32" s="8">
        <v>0</v>
      </c>
      <c r="X32" s="9">
        <v>0</v>
      </c>
      <c r="Y32" s="9">
        <v>0</v>
      </c>
      <c r="Z32" s="9">
        <v>0</v>
      </c>
      <c r="AA32" s="39">
        <v>0</v>
      </c>
      <c r="AB32" s="39">
        <v>0</v>
      </c>
      <c r="AC32" s="39">
        <v>0</v>
      </c>
      <c r="AD32" s="39">
        <v>3031.7699999999995</v>
      </c>
      <c r="AE32" s="39">
        <v>0</v>
      </c>
      <c r="AF32" s="39">
        <v>0</v>
      </c>
      <c r="AG32" s="41">
        <v>0</v>
      </c>
      <c r="AH32" s="37">
        <v>0</v>
      </c>
      <c r="AI32" s="37">
        <v>0</v>
      </c>
      <c r="AJ32" s="40">
        <v>0</v>
      </c>
      <c r="AK32" s="13">
        <v>3031.7699999999995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1:103" x14ac:dyDescent="0.25">
      <c r="A33" s="102" t="s">
        <v>69</v>
      </c>
      <c r="B33" s="109">
        <f>15000+15000</f>
        <v>30000</v>
      </c>
      <c r="C33" s="103">
        <f>15000-79.07-575.08+15000-43.13</f>
        <v>29302.719999999998</v>
      </c>
      <c r="D33" s="104">
        <v>345.05</v>
      </c>
      <c r="E33" s="104">
        <v>0</v>
      </c>
      <c r="F33" s="104">
        <v>0</v>
      </c>
      <c r="G33" s="104">
        <f t="shared" ref="G33:G38" si="8">C33+D33+E33+F33</f>
        <v>29647.769999999997</v>
      </c>
      <c r="H33" s="117">
        <v>1350</v>
      </c>
      <c r="I33" s="117">
        <v>2850</v>
      </c>
      <c r="J33" s="104">
        <f t="shared" si="1"/>
        <v>4200</v>
      </c>
      <c r="K33" s="117">
        <v>30</v>
      </c>
      <c r="L33" s="117">
        <v>1523.08</v>
      </c>
      <c r="M33" s="117">
        <v>0</v>
      </c>
      <c r="N33" s="104">
        <f t="shared" si="7"/>
        <v>750</v>
      </c>
      <c r="O33" s="117">
        <f t="shared" si="2"/>
        <v>750</v>
      </c>
      <c r="P33" s="125">
        <f t="shared" si="3"/>
        <v>1500</v>
      </c>
      <c r="Q33" s="9">
        <v>0</v>
      </c>
      <c r="R33" s="9">
        <v>0</v>
      </c>
      <c r="S33" s="9">
        <v>0</v>
      </c>
      <c r="T33" s="104">
        <v>977.21549999999945</v>
      </c>
      <c r="U33" s="39">
        <v>200</v>
      </c>
      <c r="V33" s="39">
        <v>200</v>
      </c>
      <c r="W33" s="8">
        <v>0</v>
      </c>
      <c r="X33" s="9">
        <v>0</v>
      </c>
      <c r="Y33" s="9">
        <v>2000</v>
      </c>
      <c r="Z33" s="9">
        <v>0</v>
      </c>
      <c r="AA33" s="39">
        <v>0</v>
      </c>
      <c r="AB33" s="39">
        <v>0</v>
      </c>
      <c r="AC33" s="39">
        <v>0</v>
      </c>
      <c r="AD33" s="39">
        <v>22847.474499999997</v>
      </c>
      <c r="AE33" s="39">
        <v>0</v>
      </c>
      <c r="AF33" s="39">
        <v>0</v>
      </c>
      <c r="AG33" s="41">
        <v>0</v>
      </c>
      <c r="AH33" s="42">
        <v>0</v>
      </c>
      <c r="AI33" s="36">
        <v>0</v>
      </c>
      <c r="AJ33" s="40">
        <v>0</v>
      </c>
      <c r="AK33" s="13">
        <v>22847.474499999997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1:103" x14ac:dyDescent="0.25">
      <c r="A34" s="102" t="s">
        <v>70</v>
      </c>
      <c r="B34" s="109">
        <f>7196+7196</f>
        <v>14392</v>
      </c>
      <c r="C34" s="103">
        <f>7196-127.59-206.91+-551.77+7196-56.33-1655.31</f>
        <v>11794.09</v>
      </c>
      <c r="D34" s="104">
        <v>0</v>
      </c>
      <c r="E34" s="104">
        <v>0</v>
      </c>
      <c r="F34" s="104">
        <v>0</v>
      </c>
      <c r="G34" s="104">
        <f t="shared" si="8"/>
        <v>11794.09</v>
      </c>
      <c r="H34" s="104">
        <v>652.5</v>
      </c>
      <c r="I34" s="105">
        <v>1377.5</v>
      </c>
      <c r="J34" s="104">
        <f t="shared" si="1"/>
        <v>2030</v>
      </c>
      <c r="K34" s="105">
        <v>10</v>
      </c>
      <c r="L34" s="104">
        <v>1338.2</v>
      </c>
      <c r="M34" s="105">
        <v>0</v>
      </c>
      <c r="N34" s="104">
        <f t="shared" si="7"/>
        <v>359.8</v>
      </c>
      <c r="O34" s="104">
        <f t="shared" si="2"/>
        <v>359.8</v>
      </c>
      <c r="P34" s="105">
        <f t="shared" si="3"/>
        <v>719.6</v>
      </c>
      <c r="Q34" s="9">
        <v>0</v>
      </c>
      <c r="R34" s="9">
        <v>0</v>
      </c>
      <c r="S34" s="9">
        <v>0</v>
      </c>
      <c r="T34" s="104">
        <v>0</v>
      </c>
      <c r="U34" s="39">
        <v>200</v>
      </c>
      <c r="V34" s="39">
        <v>200</v>
      </c>
      <c r="W34" s="8">
        <v>530.71</v>
      </c>
      <c r="X34" s="9">
        <v>0</v>
      </c>
      <c r="Y34" s="9">
        <v>0</v>
      </c>
      <c r="Z34" s="9">
        <v>0</v>
      </c>
      <c r="AA34" s="39">
        <v>0</v>
      </c>
      <c r="AB34" s="39">
        <v>0</v>
      </c>
      <c r="AC34" s="39">
        <v>0</v>
      </c>
      <c r="AD34" s="39">
        <v>8712.880000000001</v>
      </c>
      <c r="AE34" s="39">
        <v>0</v>
      </c>
      <c r="AF34" s="39">
        <v>0</v>
      </c>
      <c r="AG34" s="41">
        <v>0</v>
      </c>
      <c r="AH34" s="42">
        <v>0</v>
      </c>
      <c r="AI34" s="42">
        <v>0</v>
      </c>
      <c r="AJ34" s="40">
        <v>0</v>
      </c>
      <c r="AK34" s="13">
        <v>8712.880000000001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1:103" x14ac:dyDescent="0.25">
      <c r="A35" s="102" t="s">
        <v>72</v>
      </c>
      <c r="B35" s="109">
        <f>11570+11570</f>
        <v>23140</v>
      </c>
      <c r="C35" s="103">
        <f>11570-83.17-221.78+11570-179.27</f>
        <v>22655.78</v>
      </c>
      <c r="D35" s="104">
        <f>266.14+277.22</f>
        <v>543.36</v>
      </c>
      <c r="E35" s="104">
        <v>0</v>
      </c>
      <c r="F35" s="104">
        <v>415.84</v>
      </c>
      <c r="G35" s="104">
        <f t="shared" si="8"/>
        <v>23614.98</v>
      </c>
      <c r="H35" s="104">
        <f>900+135</f>
        <v>1035</v>
      </c>
      <c r="I35" s="105">
        <f>1900+285</f>
        <v>2185</v>
      </c>
      <c r="J35" s="104">
        <f t="shared" si="1"/>
        <v>3220</v>
      </c>
      <c r="K35" s="105">
        <v>30</v>
      </c>
      <c r="L35" s="104">
        <v>922.9</v>
      </c>
      <c r="M35" s="104">
        <v>0</v>
      </c>
      <c r="N35" s="104">
        <f t="shared" si="7"/>
        <v>578.5</v>
      </c>
      <c r="O35" s="104">
        <f t="shared" si="2"/>
        <v>578.5</v>
      </c>
      <c r="P35" s="105">
        <f t="shared" si="3"/>
        <v>1157</v>
      </c>
      <c r="Q35" s="9">
        <v>0</v>
      </c>
      <c r="R35" s="9">
        <v>0</v>
      </c>
      <c r="S35" s="9">
        <v>0</v>
      </c>
      <c r="T35" s="104">
        <v>145.27199999999993</v>
      </c>
      <c r="U35" s="39">
        <v>200</v>
      </c>
      <c r="V35" s="39">
        <v>200</v>
      </c>
      <c r="W35" s="8">
        <v>309.3</v>
      </c>
      <c r="X35" s="9">
        <v>0</v>
      </c>
      <c r="Y35" s="9">
        <v>0</v>
      </c>
      <c r="Z35" s="9">
        <v>0</v>
      </c>
      <c r="AA35" s="39">
        <v>0</v>
      </c>
      <c r="AB35" s="39">
        <v>0</v>
      </c>
      <c r="AC35" s="39">
        <v>0</v>
      </c>
      <c r="AD35" s="39">
        <v>20424.007999999998</v>
      </c>
      <c r="AE35" s="39">
        <v>1000</v>
      </c>
      <c r="AF35" s="39">
        <v>11.5</v>
      </c>
      <c r="AG35" s="41">
        <v>0</v>
      </c>
      <c r="AH35" s="42">
        <v>1000</v>
      </c>
      <c r="AI35" s="42">
        <v>0</v>
      </c>
      <c r="AJ35" s="40">
        <v>0</v>
      </c>
      <c r="AK35" s="13">
        <v>22435.507999999998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1:103" x14ac:dyDescent="0.25">
      <c r="A36" s="102" t="s">
        <v>73</v>
      </c>
      <c r="B36" s="109">
        <f>7500+7500</f>
        <v>15000</v>
      </c>
      <c r="C36" s="103">
        <f>7500-1.2-575.08+7500-5.99-575.08</f>
        <v>13842.650000000001</v>
      </c>
      <c r="D36" s="104">
        <v>172.51</v>
      </c>
      <c r="E36" s="104">
        <v>0</v>
      </c>
      <c r="F36" s="104">
        <f>89.85+673.88+575.08</f>
        <v>1338.81</v>
      </c>
      <c r="G36" s="104">
        <f t="shared" si="8"/>
        <v>15353.970000000001</v>
      </c>
      <c r="H36" s="104">
        <v>675</v>
      </c>
      <c r="I36" s="105">
        <v>1425</v>
      </c>
      <c r="J36" s="104">
        <f t="shared" si="1"/>
        <v>2100</v>
      </c>
      <c r="K36" s="105">
        <v>30</v>
      </c>
      <c r="L36" s="104">
        <v>1845.8</v>
      </c>
      <c r="M36" s="104">
        <v>0</v>
      </c>
      <c r="N36" s="104">
        <f t="shared" si="7"/>
        <v>375</v>
      </c>
      <c r="O36" s="104">
        <f t="shared" si="2"/>
        <v>375</v>
      </c>
      <c r="P36" s="105">
        <f t="shared" si="3"/>
        <v>750</v>
      </c>
      <c r="Q36" s="9">
        <v>0</v>
      </c>
      <c r="R36" s="9">
        <v>0</v>
      </c>
      <c r="S36" s="9">
        <v>0</v>
      </c>
      <c r="T36" s="104">
        <v>0</v>
      </c>
      <c r="U36" s="39">
        <v>200</v>
      </c>
      <c r="V36" s="39">
        <v>200</v>
      </c>
      <c r="W36" s="7">
        <v>318.44</v>
      </c>
      <c r="X36" s="10">
        <v>0</v>
      </c>
      <c r="Y36" s="10">
        <v>0</v>
      </c>
      <c r="Z36" s="12">
        <v>0</v>
      </c>
      <c r="AA36" s="39">
        <v>0</v>
      </c>
      <c r="AB36" s="39">
        <v>0</v>
      </c>
      <c r="AC36" s="39">
        <v>0</v>
      </c>
      <c r="AD36" s="39">
        <v>11939.730000000001</v>
      </c>
      <c r="AE36" s="39"/>
      <c r="AF36" s="39"/>
      <c r="AG36" s="41"/>
      <c r="AH36" s="42"/>
      <c r="AI36" s="42"/>
      <c r="AJ36" s="36"/>
      <c r="AK36" s="7">
        <v>11939.730000000001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1:103" x14ac:dyDescent="0.25">
      <c r="A37" s="102" t="s">
        <v>74</v>
      </c>
      <c r="B37" s="109">
        <f>11880+11880</f>
        <v>23760</v>
      </c>
      <c r="C37" s="103">
        <f>11880+11880-119.56-455.46</f>
        <v>23184.98</v>
      </c>
      <c r="D37" s="104">
        <v>273.29000000000002</v>
      </c>
      <c r="E37" s="104">
        <v>0</v>
      </c>
      <c r="F37" s="104">
        <v>498.18</v>
      </c>
      <c r="G37" s="104">
        <f t="shared" si="8"/>
        <v>23956.45</v>
      </c>
      <c r="H37" s="104">
        <v>1080</v>
      </c>
      <c r="I37" s="105">
        <f>1900+380</f>
        <v>2280</v>
      </c>
      <c r="J37" s="104">
        <f t="shared" si="1"/>
        <v>3360</v>
      </c>
      <c r="K37" s="105">
        <v>30</v>
      </c>
      <c r="L37" s="104">
        <v>1845.8</v>
      </c>
      <c r="M37" s="104">
        <v>0</v>
      </c>
      <c r="N37" s="104">
        <f t="shared" si="7"/>
        <v>594</v>
      </c>
      <c r="O37" s="104">
        <f t="shared" si="2"/>
        <v>594</v>
      </c>
      <c r="P37" s="105">
        <f t="shared" si="3"/>
        <v>1188</v>
      </c>
      <c r="Q37" s="9">
        <v>0</v>
      </c>
      <c r="R37" s="9">
        <v>0</v>
      </c>
      <c r="S37" s="9">
        <v>0</v>
      </c>
      <c r="T37" s="104">
        <v>187.4175000000001</v>
      </c>
      <c r="U37" s="39">
        <v>200</v>
      </c>
      <c r="V37" s="39">
        <v>200</v>
      </c>
      <c r="W37" s="10">
        <v>960.85</v>
      </c>
      <c r="X37" s="18">
        <v>0</v>
      </c>
      <c r="Y37" s="10">
        <v>3000</v>
      </c>
      <c r="Z37" s="12">
        <v>0</v>
      </c>
      <c r="AA37" s="39">
        <v>0</v>
      </c>
      <c r="AB37" s="39">
        <v>0</v>
      </c>
      <c r="AC37" s="39">
        <v>0</v>
      </c>
      <c r="AD37" s="39">
        <v>16088.382500000003</v>
      </c>
      <c r="AE37" s="39">
        <v>0</v>
      </c>
      <c r="AF37" s="39">
        <v>0</v>
      </c>
      <c r="AG37" s="41">
        <v>0</v>
      </c>
      <c r="AH37" s="42">
        <v>0</v>
      </c>
      <c r="AI37" s="42">
        <v>0</v>
      </c>
      <c r="AJ37" s="40">
        <v>0</v>
      </c>
      <c r="AK37" s="7">
        <v>16088.382500000003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1:103" x14ac:dyDescent="0.25">
      <c r="A38" s="102" t="s">
        <v>75</v>
      </c>
      <c r="B38" s="109">
        <f>12568.5+12568.5</f>
        <v>25137</v>
      </c>
      <c r="C38" s="103">
        <f>12568.5-192.74-963.72+12568.5-116.44-481.86</f>
        <v>23382.240000000002</v>
      </c>
      <c r="D38" s="104">
        <v>281.14999999999998</v>
      </c>
      <c r="E38" s="104">
        <v>0</v>
      </c>
      <c r="F38" s="104">
        <v>0</v>
      </c>
      <c r="G38" s="104">
        <f t="shared" si="8"/>
        <v>23663.390000000003</v>
      </c>
      <c r="H38" s="104">
        <v>1125</v>
      </c>
      <c r="I38" s="105">
        <f>1900+475</f>
        <v>2375</v>
      </c>
      <c r="J38" s="104">
        <f t="shared" si="1"/>
        <v>3500</v>
      </c>
      <c r="K38" s="105">
        <v>30</v>
      </c>
      <c r="L38" s="104">
        <v>1845.8</v>
      </c>
      <c r="M38" s="104">
        <v>0</v>
      </c>
      <c r="N38" s="112">
        <v>628.42999999999995</v>
      </c>
      <c r="O38" s="112">
        <f t="shared" si="2"/>
        <v>628.42000000000019</v>
      </c>
      <c r="P38" s="105">
        <f t="shared" si="3"/>
        <v>1256.8500000000001</v>
      </c>
      <c r="Q38" s="9">
        <v>0</v>
      </c>
      <c r="R38" s="9">
        <v>0</v>
      </c>
      <c r="S38" s="9">
        <v>0</v>
      </c>
      <c r="T38" s="104">
        <v>131.55000000000001</v>
      </c>
      <c r="U38" s="10">
        <v>200</v>
      </c>
      <c r="V38" s="10">
        <v>200</v>
      </c>
      <c r="W38" s="10">
        <v>920.61</v>
      </c>
      <c r="X38" s="18">
        <v>0</v>
      </c>
      <c r="Y38" s="10">
        <v>0</v>
      </c>
      <c r="Z38" s="12">
        <v>0</v>
      </c>
      <c r="AA38" s="9">
        <v>0</v>
      </c>
      <c r="AB38" s="9">
        <v>0</v>
      </c>
      <c r="AC38" s="9">
        <v>0</v>
      </c>
      <c r="AD38" s="9">
        <v>18812.000000000004</v>
      </c>
      <c r="AE38" s="9">
        <v>0</v>
      </c>
      <c r="AF38" s="9">
        <v>0</v>
      </c>
      <c r="AG38" s="9">
        <v>0</v>
      </c>
      <c r="AH38" s="10">
        <v>0</v>
      </c>
      <c r="AI38" s="9">
        <v>0</v>
      </c>
      <c r="AJ38" s="9">
        <v>0</v>
      </c>
      <c r="AK38" s="7">
        <v>18812.000000000004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1:103" x14ac:dyDescent="0.25">
      <c r="A39" s="60" t="s">
        <v>143</v>
      </c>
      <c r="B39" s="7">
        <v>17786</v>
      </c>
      <c r="C39" s="7">
        <v>17530.28</v>
      </c>
      <c r="D39" s="7">
        <v>204.58</v>
      </c>
      <c r="E39" s="7">
        <v>0</v>
      </c>
      <c r="F39" s="7">
        <v>0</v>
      </c>
      <c r="G39" s="9">
        <v>17734.86</v>
      </c>
      <c r="H39" s="9">
        <v>810</v>
      </c>
      <c r="I39" s="9">
        <v>1710</v>
      </c>
      <c r="J39" s="9">
        <v>2520</v>
      </c>
      <c r="K39" s="9">
        <v>30</v>
      </c>
      <c r="L39" s="9">
        <v>0</v>
      </c>
      <c r="M39" s="9">
        <v>0</v>
      </c>
      <c r="N39" s="9">
        <v>444.65000000000003</v>
      </c>
      <c r="O39" s="9">
        <v>444.65000000000003</v>
      </c>
      <c r="P39" s="10">
        <v>889.30000000000007</v>
      </c>
      <c r="Q39" s="9">
        <v>0</v>
      </c>
      <c r="R39" s="9">
        <v>0</v>
      </c>
      <c r="S39" s="9">
        <v>0</v>
      </c>
      <c r="T39" s="10">
        <v>0</v>
      </c>
      <c r="U39" s="10">
        <v>200</v>
      </c>
      <c r="V39" s="10">
        <v>200</v>
      </c>
      <c r="W39" s="7">
        <v>941.46</v>
      </c>
      <c r="X39" s="10">
        <v>0</v>
      </c>
      <c r="Y39" s="10">
        <v>0</v>
      </c>
      <c r="Z39" s="12">
        <v>0</v>
      </c>
      <c r="AA39" s="9">
        <v>0</v>
      </c>
      <c r="AB39" s="9">
        <v>0</v>
      </c>
      <c r="AC39" s="9">
        <v>0</v>
      </c>
      <c r="AD39" s="9">
        <v>15338.750000000002</v>
      </c>
      <c r="AE39" s="9">
        <v>0</v>
      </c>
      <c r="AF39" s="9">
        <v>0</v>
      </c>
      <c r="AG39" s="9">
        <v>0</v>
      </c>
      <c r="AH39" s="10">
        <v>0</v>
      </c>
      <c r="AI39" s="9">
        <v>0</v>
      </c>
      <c r="AJ39" s="9">
        <v>0</v>
      </c>
      <c r="AK39" s="7">
        <v>15338.750000000002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</row>
    <row r="40" spans="1:103" x14ac:dyDescent="0.25">
      <c r="A40" s="60" t="s">
        <v>169</v>
      </c>
      <c r="B40" s="7">
        <v>23000</v>
      </c>
      <c r="C40" s="7">
        <v>17661.509999999998</v>
      </c>
      <c r="D40" s="7">
        <v>0</v>
      </c>
      <c r="E40" s="7">
        <v>0</v>
      </c>
      <c r="F40" s="7">
        <v>0</v>
      </c>
      <c r="G40" s="9">
        <v>17661.509999999998</v>
      </c>
      <c r="H40" s="9">
        <v>1035</v>
      </c>
      <c r="I40" s="10">
        <v>2185</v>
      </c>
      <c r="J40" s="9">
        <v>3220</v>
      </c>
      <c r="K40" s="10">
        <v>30</v>
      </c>
      <c r="L40" s="9">
        <v>0</v>
      </c>
      <c r="M40" s="9">
        <v>0</v>
      </c>
      <c r="N40" s="9">
        <v>575</v>
      </c>
      <c r="O40" s="9">
        <v>575</v>
      </c>
      <c r="P40" s="10">
        <v>1150</v>
      </c>
      <c r="Q40" s="9">
        <v>0</v>
      </c>
      <c r="R40" s="9">
        <v>0</v>
      </c>
      <c r="S40" s="9">
        <v>0</v>
      </c>
      <c r="T40" s="10">
        <v>0</v>
      </c>
      <c r="U40" s="10">
        <v>200</v>
      </c>
      <c r="V40" s="10">
        <v>200</v>
      </c>
      <c r="W40" s="7">
        <v>0</v>
      </c>
      <c r="X40" s="10">
        <v>0</v>
      </c>
      <c r="Y40" s="10">
        <v>0</v>
      </c>
      <c r="Z40" s="12">
        <v>0</v>
      </c>
      <c r="AA40" s="9">
        <v>0</v>
      </c>
      <c r="AB40" s="9">
        <v>0</v>
      </c>
      <c r="AC40" s="9">
        <v>0</v>
      </c>
      <c r="AD40" s="9">
        <v>15851.509999999998</v>
      </c>
      <c r="AE40" s="9">
        <v>0</v>
      </c>
      <c r="AF40" s="9">
        <v>0</v>
      </c>
      <c r="AG40" s="9">
        <v>0</v>
      </c>
      <c r="AH40" s="10">
        <v>0</v>
      </c>
      <c r="AI40" s="9">
        <v>0</v>
      </c>
      <c r="AJ40" s="9">
        <v>0</v>
      </c>
      <c r="AK40" s="7">
        <v>15851.509999999998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</row>
    <row r="41" spans="1:103" x14ac:dyDescent="0.25">
      <c r="A41" s="60" t="s">
        <v>144</v>
      </c>
      <c r="B41" s="7">
        <v>18000</v>
      </c>
      <c r="C41" s="7">
        <v>18000</v>
      </c>
      <c r="D41" s="7">
        <v>207.02</v>
      </c>
      <c r="E41" s="7">
        <v>0</v>
      </c>
      <c r="F41" s="7">
        <v>0</v>
      </c>
      <c r="G41" s="9">
        <v>18207.02</v>
      </c>
      <c r="H41" s="9">
        <v>810</v>
      </c>
      <c r="I41" s="10">
        <v>1710</v>
      </c>
      <c r="J41" s="9">
        <v>2520</v>
      </c>
      <c r="K41" s="10">
        <v>30</v>
      </c>
      <c r="L41" s="9">
        <v>1661.22</v>
      </c>
      <c r="M41" s="9">
        <v>0</v>
      </c>
      <c r="N41" s="9">
        <v>450</v>
      </c>
      <c r="O41" s="9">
        <v>450</v>
      </c>
      <c r="P41" s="10">
        <v>900</v>
      </c>
      <c r="Q41" s="9">
        <v>0</v>
      </c>
      <c r="R41" s="9">
        <v>0</v>
      </c>
      <c r="S41" s="9">
        <v>0</v>
      </c>
      <c r="T41" s="9">
        <v>0</v>
      </c>
      <c r="U41" s="10">
        <v>200</v>
      </c>
      <c r="V41" s="10">
        <v>200</v>
      </c>
      <c r="W41" s="7">
        <v>0</v>
      </c>
      <c r="X41" s="10">
        <v>0</v>
      </c>
      <c r="Y41" s="10">
        <v>0</v>
      </c>
      <c r="Z41" s="12">
        <v>0</v>
      </c>
      <c r="AA41" s="9">
        <v>0</v>
      </c>
      <c r="AB41" s="9">
        <v>0</v>
      </c>
      <c r="AC41" s="9">
        <v>0</v>
      </c>
      <c r="AD41" s="9">
        <v>15085.8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7">
        <v>15085.8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</row>
    <row r="42" spans="1:103" x14ac:dyDescent="0.25">
      <c r="A42" s="60" t="s">
        <v>159</v>
      </c>
      <c r="B42" s="7">
        <v>14000</v>
      </c>
      <c r="C42" s="7">
        <v>12802.400000000001</v>
      </c>
      <c r="D42" s="7">
        <v>161.02000000000001</v>
      </c>
      <c r="E42" s="7">
        <v>0</v>
      </c>
      <c r="F42" s="7">
        <v>0</v>
      </c>
      <c r="G42" s="9">
        <v>12963.420000000002</v>
      </c>
      <c r="H42" s="11">
        <v>630</v>
      </c>
      <c r="I42" s="11">
        <v>1330</v>
      </c>
      <c r="J42" s="11">
        <v>1960</v>
      </c>
      <c r="K42" s="11">
        <v>10</v>
      </c>
      <c r="L42" s="19">
        <v>0</v>
      </c>
      <c r="M42" s="19">
        <v>0</v>
      </c>
      <c r="N42" s="11">
        <v>350</v>
      </c>
      <c r="O42" s="11">
        <v>350</v>
      </c>
      <c r="P42" s="61">
        <v>700</v>
      </c>
      <c r="Q42" s="9">
        <v>0</v>
      </c>
      <c r="R42" s="9">
        <v>0</v>
      </c>
      <c r="S42" s="9">
        <v>0</v>
      </c>
      <c r="T42" s="62">
        <v>0</v>
      </c>
      <c r="U42" s="61">
        <v>200</v>
      </c>
      <c r="V42" s="61">
        <v>200</v>
      </c>
      <c r="W42" s="61">
        <v>0</v>
      </c>
      <c r="X42" s="18">
        <v>0</v>
      </c>
      <c r="Y42" s="12">
        <v>0</v>
      </c>
      <c r="Z42" s="12">
        <v>0</v>
      </c>
      <c r="AA42" s="9">
        <v>0</v>
      </c>
      <c r="AB42" s="9">
        <v>0</v>
      </c>
      <c r="AC42" s="9">
        <v>0</v>
      </c>
      <c r="AD42" s="9">
        <v>11783.420000000002</v>
      </c>
      <c r="AE42" s="9">
        <v>0</v>
      </c>
      <c r="AF42" s="9">
        <v>0</v>
      </c>
      <c r="AG42" s="9">
        <v>0</v>
      </c>
      <c r="AH42" s="10">
        <v>0</v>
      </c>
      <c r="AI42" s="9">
        <v>0</v>
      </c>
      <c r="AJ42" s="9">
        <v>0</v>
      </c>
      <c r="AK42" s="7">
        <v>11783.420000000002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</row>
    <row r="43" spans="1:103" x14ac:dyDescent="0.25">
      <c r="A43" s="60" t="s">
        <v>146</v>
      </c>
      <c r="B43" s="7">
        <v>28000</v>
      </c>
      <c r="C43" s="7">
        <v>28000</v>
      </c>
      <c r="D43" s="7">
        <v>322.06</v>
      </c>
      <c r="E43" s="7">
        <v>0</v>
      </c>
      <c r="F43" s="7">
        <v>0</v>
      </c>
      <c r="G43" s="9">
        <v>28322.06</v>
      </c>
      <c r="H43" s="9">
        <v>1260</v>
      </c>
      <c r="I43" s="9">
        <v>2660</v>
      </c>
      <c r="J43" s="9">
        <v>3920</v>
      </c>
      <c r="K43" s="9">
        <v>30</v>
      </c>
      <c r="L43" s="9">
        <v>0</v>
      </c>
      <c r="M43" s="9">
        <v>0</v>
      </c>
      <c r="N43" s="9">
        <v>700</v>
      </c>
      <c r="O43" s="9">
        <v>700</v>
      </c>
      <c r="P43" s="9">
        <v>1400</v>
      </c>
      <c r="Q43" s="9">
        <v>0</v>
      </c>
      <c r="R43" s="9">
        <v>0</v>
      </c>
      <c r="S43" s="9">
        <v>0</v>
      </c>
      <c r="T43" s="9">
        <v>799.35900000000015</v>
      </c>
      <c r="U43" s="9">
        <v>200</v>
      </c>
      <c r="V43" s="9">
        <v>200</v>
      </c>
      <c r="W43" s="7">
        <v>0</v>
      </c>
      <c r="X43" s="10">
        <v>0</v>
      </c>
      <c r="Y43" s="10">
        <v>0</v>
      </c>
      <c r="Z43" s="12">
        <v>0</v>
      </c>
      <c r="AA43" s="9">
        <v>0</v>
      </c>
      <c r="AB43" s="9">
        <v>0</v>
      </c>
      <c r="AC43" s="9">
        <v>0</v>
      </c>
      <c r="AD43" s="9">
        <v>25362.701000000001</v>
      </c>
      <c r="AE43" s="9">
        <v>0</v>
      </c>
      <c r="AF43" s="9">
        <v>0</v>
      </c>
      <c r="AG43" s="9">
        <v>0</v>
      </c>
      <c r="AH43" s="10">
        <v>0</v>
      </c>
      <c r="AI43" s="9">
        <v>0</v>
      </c>
      <c r="AJ43" s="9">
        <v>0</v>
      </c>
      <c r="AK43" s="7">
        <v>25362.701000000001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</row>
    <row r="44" spans="1:103" s="20" customFormat="1" ht="12.75" customHeight="1" x14ac:dyDescent="0.2">
      <c r="A44" s="60" t="s">
        <v>147</v>
      </c>
      <c r="B44" s="8">
        <v>25000</v>
      </c>
      <c r="C44" s="7">
        <v>25000</v>
      </c>
      <c r="D44" s="7">
        <v>287.54000000000002</v>
      </c>
      <c r="E44" s="7">
        <v>0</v>
      </c>
      <c r="F44" s="7">
        <v>0</v>
      </c>
      <c r="G44" s="9">
        <v>25287.54</v>
      </c>
      <c r="H44" s="9">
        <v>1125</v>
      </c>
      <c r="I44" s="9">
        <v>2375</v>
      </c>
      <c r="J44" s="9">
        <v>3500</v>
      </c>
      <c r="K44" s="9">
        <v>30</v>
      </c>
      <c r="L44" s="9">
        <v>0</v>
      </c>
      <c r="M44" s="9">
        <v>0</v>
      </c>
      <c r="N44" s="9">
        <v>625</v>
      </c>
      <c r="O44" s="9">
        <v>625</v>
      </c>
      <c r="P44" s="9">
        <v>1250</v>
      </c>
      <c r="Q44" s="9">
        <v>0</v>
      </c>
      <c r="R44" s="9">
        <v>0</v>
      </c>
      <c r="S44" s="9">
        <v>0</v>
      </c>
      <c r="T44" s="9">
        <v>375.6810000000001</v>
      </c>
      <c r="U44" s="10">
        <v>200</v>
      </c>
      <c r="V44" s="10">
        <v>200</v>
      </c>
      <c r="W44" s="8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22961.859</v>
      </c>
      <c r="AE44" s="9">
        <v>0</v>
      </c>
      <c r="AF44" s="9">
        <v>0</v>
      </c>
      <c r="AG44" s="9">
        <v>0</v>
      </c>
      <c r="AH44" s="10">
        <v>0</v>
      </c>
      <c r="AI44" s="9">
        <v>0</v>
      </c>
      <c r="AJ44" s="9">
        <v>0</v>
      </c>
      <c r="AK44" s="7">
        <v>22961.859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</row>
    <row r="45" spans="1:103" s="20" customFormat="1" ht="12.75" customHeight="1" x14ac:dyDescent="0.2">
      <c r="A45" s="60" t="s">
        <v>148</v>
      </c>
      <c r="B45" s="8">
        <v>16108</v>
      </c>
      <c r="C45" s="7">
        <v>16039.82</v>
      </c>
      <c r="D45" s="7">
        <v>184.79</v>
      </c>
      <c r="E45" s="7">
        <v>0</v>
      </c>
      <c r="F45" s="7">
        <v>0</v>
      </c>
      <c r="G45" s="9">
        <v>16224.61</v>
      </c>
      <c r="H45" s="9">
        <v>720</v>
      </c>
      <c r="I45" s="9">
        <v>1520</v>
      </c>
      <c r="J45" s="9">
        <v>2240</v>
      </c>
      <c r="K45" s="9">
        <v>30</v>
      </c>
      <c r="L45" s="9">
        <v>0</v>
      </c>
      <c r="M45" s="9">
        <v>0</v>
      </c>
      <c r="N45" s="9">
        <v>402.70000000000005</v>
      </c>
      <c r="O45" s="9">
        <v>402.70000000000005</v>
      </c>
      <c r="P45" s="9">
        <v>805.40000000000009</v>
      </c>
      <c r="Q45" s="9">
        <v>0</v>
      </c>
      <c r="R45" s="9">
        <v>0</v>
      </c>
      <c r="S45" s="9">
        <v>0</v>
      </c>
      <c r="T45" s="10">
        <v>0</v>
      </c>
      <c r="U45" s="10">
        <v>200</v>
      </c>
      <c r="V45" s="10">
        <v>200</v>
      </c>
      <c r="W45" s="7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14901.91</v>
      </c>
      <c r="AE45" s="9">
        <v>0</v>
      </c>
      <c r="AF45" s="9"/>
      <c r="AG45" s="9">
        <v>0</v>
      </c>
      <c r="AH45" s="10">
        <v>0</v>
      </c>
      <c r="AI45" s="9">
        <v>0</v>
      </c>
      <c r="AJ45" s="9">
        <v>0</v>
      </c>
      <c r="AK45" s="7">
        <v>14901.91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</row>
    <row r="46" spans="1:103" x14ac:dyDescent="0.25">
      <c r="A46" s="205" t="s">
        <v>149</v>
      </c>
      <c r="B46" s="7">
        <v>29600</v>
      </c>
      <c r="C46" s="7">
        <v>29600</v>
      </c>
      <c r="D46" s="7">
        <v>340.44</v>
      </c>
      <c r="E46" s="7">
        <v>0</v>
      </c>
      <c r="F46" s="7">
        <v>0</v>
      </c>
      <c r="G46" s="9">
        <v>29940.44</v>
      </c>
      <c r="H46" s="9">
        <v>1327.5</v>
      </c>
      <c r="I46" s="9">
        <v>2802.5</v>
      </c>
      <c r="J46" s="9">
        <v>4130</v>
      </c>
      <c r="K46" s="9">
        <v>30</v>
      </c>
      <c r="L46" s="9">
        <v>0</v>
      </c>
      <c r="M46" s="9">
        <v>0</v>
      </c>
      <c r="N46" s="9">
        <v>740</v>
      </c>
      <c r="O46" s="9">
        <v>740</v>
      </c>
      <c r="P46" s="10">
        <v>1480</v>
      </c>
      <c r="Q46" s="9">
        <v>0</v>
      </c>
      <c r="R46" s="9">
        <v>0</v>
      </c>
      <c r="S46" s="9">
        <v>0</v>
      </c>
      <c r="T46" s="9">
        <v>1025.9909999999998</v>
      </c>
      <c r="U46" s="10">
        <v>200</v>
      </c>
      <c r="V46" s="9">
        <v>200</v>
      </c>
      <c r="W46" s="8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26646.949000000001</v>
      </c>
      <c r="AE46" s="9">
        <v>14400</v>
      </c>
      <c r="AF46" s="9">
        <v>165.64</v>
      </c>
      <c r="AG46" s="9">
        <v>0</v>
      </c>
      <c r="AH46" s="10">
        <v>0</v>
      </c>
      <c r="AI46" s="9">
        <v>0</v>
      </c>
      <c r="AJ46" s="9">
        <v>0</v>
      </c>
      <c r="AK46" s="13">
        <v>41212.589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</row>
    <row r="47" spans="1:103" x14ac:dyDescent="0.25">
      <c r="A47" s="205" t="s">
        <v>150</v>
      </c>
      <c r="B47" s="7">
        <v>14000</v>
      </c>
      <c r="C47" s="7">
        <v>13674.599999999999</v>
      </c>
      <c r="D47" s="7">
        <v>161.02000000000001</v>
      </c>
      <c r="E47" s="7">
        <v>0</v>
      </c>
      <c r="F47" s="10">
        <v>1873.51</v>
      </c>
      <c r="G47" s="9">
        <v>15709.13</v>
      </c>
      <c r="H47" s="9">
        <v>630</v>
      </c>
      <c r="I47" s="9">
        <v>1330</v>
      </c>
      <c r="J47" s="9">
        <v>1960</v>
      </c>
      <c r="K47" s="9">
        <v>10</v>
      </c>
      <c r="L47" s="9">
        <v>392.23</v>
      </c>
      <c r="M47" s="9"/>
      <c r="N47" s="9">
        <v>350</v>
      </c>
      <c r="O47" s="9">
        <v>350</v>
      </c>
      <c r="P47" s="9">
        <v>700</v>
      </c>
      <c r="Q47" s="9">
        <v>0</v>
      </c>
      <c r="R47" s="9">
        <v>0</v>
      </c>
      <c r="S47" s="9">
        <v>0</v>
      </c>
      <c r="T47" s="9">
        <v>0</v>
      </c>
      <c r="U47" s="10">
        <v>200</v>
      </c>
      <c r="V47" s="10">
        <v>200</v>
      </c>
      <c r="W47" s="12"/>
      <c r="X47" s="12"/>
      <c r="Y47" s="12"/>
      <c r="Z47" s="12"/>
      <c r="AA47" s="9">
        <v>0</v>
      </c>
      <c r="AB47" s="9">
        <v>0</v>
      </c>
      <c r="AC47" s="9">
        <v>0</v>
      </c>
      <c r="AD47" s="9">
        <v>14136.9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7">
        <v>14136.9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</row>
    <row r="48" spans="1:103" x14ac:dyDescent="0.25">
      <c r="A48" s="205" t="s">
        <v>170</v>
      </c>
      <c r="B48" s="7">
        <v>18000</v>
      </c>
      <c r="C48" s="7">
        <v>6208.0199999999995</v>
      </c>
      <c r="D48" s="7"/>
      <c r="E48" s="7">
        <v>0</v>
      </c>
      <c r="F48" s="10">
        <v>0</v>
      </c>
      <c r="G48" s="9">
        <v>6208.0199999999995</v>
      </c>
      <c r="H48" s="9">
        <v>810</v>
      </c>
      <c r="I48" s="9">
        <v>1710</v>
      </c>
      <c r="J48" s="9">
        <v>2520</v>
      </c>
      <c r="K48" s="9">
        <v>30</v>
      </c>
      <c r="L48" s="9"/>
      <c r="M48" s="9"/>
      <c r="N48" s="9">
        <v>450</v>
      </c>
      <c r="O48" s="9">
        <v>450</v>
      </c>
      <c r="P48" s="9">
        <v>900</v>
      </c>
      <c r="Q48" s="9">
        <v>0</v>
      </c>
      <c r="R48" s="9">
        <v>0</v>
      </c>
      <c r="S48" s="9">
        <v>0</v>
      </c>
      <c r="T48" s="9">
        <v>0</v>
      </c>
      <c r="U48" s="9">
        <v>200</v>
      </c>
      <c r="V48" s="9">
        <v>200</v>
      </c>
      <c r="W48" s="21"/>
      <c r="X48" s="12"/>
      <c r="Y48" s="12"/>
      <c r="Z48" s="12"/>
      <c r="AA48" s="10">
        <v>0</v>
      </c>
      <c r="AB48" s="9">
        <v>0</v>
      </c>
      <c r="AC48" s="9">
        <v>0</v>
      </c>
      <c r="AD48" s="9">
        <v>4748.0199999999995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7">
        <v>4748.0199999999995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</row>
    <row r="49" spans="1:103" x14ac:dyDescent="0.25">
      <c r="A49" s="206" t="s">
        <v>160</v>
      </c>
      <c r="B49" s="7">
        <v>15000</v>
      </c>
      <c r="C49" s="7">
        <v>14599.87</v>
      </c>
      <c r="D49" s="7">
        <v>172.51</v>
      </c>
      <c r="E49" s="7">
        <v>0</v>
      </c>
      <c r="F49" s="10">
        <v>0</v>
      </c>
      <c r="G49" s="9">
        <v>14772.380000000001</v>
      </c>
      <c r="H49" s="11">
        <v>675</v>
      </c>
      <c r="I49" s="61">
        <v>1425</v>
      </c>
      <c r="J49" s="11">
        <v>2100</v>
      </c>
      <c r="K49" s="11">
        <v>30</v>
      </c>
      <c r="L49" s="11">
        <v>1568.93</v>
      </c>
      <c r="M49" s="11">
        <v>0</v>
      </c>
      <c r="N49" s="11">
        <v>375</v>
      </c>
      <c r="O49" s="11">
        <v>375</v>
      </c>
      <c r="P49" s="61">
        <v>750</v>
      </c>
      <c r="Q49" s="9">
        <v>0</v>
      </c>
      <c r="R49" s="9">
        <v>0</v>
      </c>
      <c r="S49" s="9">
        <v>0</v>
      </c>
      <c r="T49" s="9">
        <v>0</v>
      </c>
      <c r="U49" s="61">
        <v>200</v>
      </c>
      <c r="V49" s="61">
        <v>200</v>
      </c>
      <c r="W49" s="63">
        <v>1348.39</v>
      </c>
      <c r="X49" s="61">
        <v>0</v>
      </c>
      <c r="Y49" s="61">
        <v>0</v>
      </c>
      <c r="Z49" s="61">
        <v>0</v>
      </c>
      <c r="AA49" s="61">
        <v>0</v>
      </c>
      <c r="AB49" s="11"/>
      <c r="AC49" s="11"/>
      <c r="AD49" s="11">
        <v>11855.060000000001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3">
        <v>10605.060000000001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</row>
    <row r="50" spans="1:103" x14ac:dyDescent="0.25">
      <c r="A50" s="207" t="s">
        <v>151</v>
      </c>
      <c r="B50" s="7">
        <v>14000</v>
      </c>
      <c r="C50" s="7">
        <v>14000</v>
      </c>
      <c r="D50" s="7">
        <v>0</v>
      </c>
      <c r="E50" s="10">
        <v>161.02000000000001</v>
      </c>
      <c r="F50" s="10">
        <v>0</v>
      </c>
      <c r="G50" s="9">
        <v>14161.02</v>
      </c>
      <c r="H50" s="9">
        <v>630</v>
      </c>
      <c r="I50" s="10">
        <v>1330</v>
      </c>
      <c r="J50" s="9">
        <v>1960</v>
      </c>
      <c r="K50" s="9">
        <v>10</v>
      </c>
      <c r="L50" s="9">
        <v>0</v>
      </c>
      <c r="M50" s="9">
        <v>0</v>
      </c>
      <c r="N50" s="9">
        <v>350</v>
      </c>
      <c r="O50" s="9">
        <v>350</v>
      </c>
      <c r="P50" s="10">
        <v>700</v>
      </c>
      <c r="Q50" s="9">
        <v>0</v>
      </c>
      <c r="R50" s="9">
        <v>0</v>
      </c>
      <c r="S50" s="9">
        <v>0</v>
      </c>
      <c r="T50" s="9">
        <v>0</v>
      </c>
      <c r="U50" s="10">
        <v>200</v>
      </c>
      <c r="V50" s="10">
        <v>200</v>
      </c>
      <c r="W50" s="7">
        <v>0</v>
      </c>
      <c r="X50" s="10">
        <v>0</v>
      </c>
      <c r="Y50" s="10">
        <v>0</v>
      </c>
      <c r="Z50" s="10">
        <v>0</v>
      </c>
      <c r="AA50" s="10">
        <v>0</v>
      </c>
      <c r="AB50" s="9"/>
      <c r="AC50" s="9"/>
      <c r="AD50" s="9">
        <v>14161.02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7">
        <v>12981.02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</row>
    <row r="51" spans="1:103" x14ac:dyDescent="0.25">
      <c r="A51" s="208" t="s">
        <v>152</v>
      </c>
      <c r="B51" s="7">
        <v>19000</v>
      </c>
      <c r="C51" s="7">
        <v>19000</v>
      </c>
      <c r="D51" s="7">
        <v>218.52</v>
      </c>
      <c r="E51" s="10">
        <v>0</v>
      </c>
      <c r="F51" s="10">
        <v>4905.7700000000004</v>
      </c>
      <c r="G51" s="9">
        <v>24124.29</v>
      </c>
      <c r="H51" s="10">
        <v>855</v>
      </c>
      <c r="I51" s="10">
        <v>1805</v>
      </c>
      <c r="J51" s="9">
        <v>2660</v>
      </c>
      <c r="K51" s="10">
        <v>30</v>
      </c>
      <c r="L51" s="9">
        <v>0</v>
      </c>
      <c r="M51" s="9">
        <v>0</v>
      </c>
      <c r="N51" s="9">
        <v>475</v>
      </c>
      <c r="O51" s="10">
        <v>475</v>
      </c>
      <c r="P51" s="10">
        <v>950</v>
      </c>
      <c r="Q51" s="9">
        <v>0</v>
      </c>
      <c r="R51" s="9">
        <v>0</v>
      </c>
      <c r="S51" s="9">
        <v>0</v>
      </c>
      <c r="T51" s="9">
        <v>264.19350000000014</v>
      </c>
      <c r="U51" s="10">
        <v>200</v>
      </c>
      <c r="V51" s="10">
        <v>200</v>
      </c>
      <c r="W51" s="8">
        <v>0</v>
      </c>
      <c r="X51" s="9">
        <v>0</v>
      </c>
      <c r="Y51" s="9">
        <v>3000</v>
      </c>
      <c r="Z51" s="9">
        <v>0</v>
      </c>
      <c r="AA51" s="9">
        <v>0</v>
      </c>
      <c r="AB51" s="9">
        <v>0</v>
      </c>
      <c r="AC51" s="9">
        <v>0</v>
      </c>
      <c r="AD51" s="9">
        <v>19330.0965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7">
        <v>19330.0965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</row>
    <row r="52" spans="1:103" ht="14.25" customHeight="1" x14ac:dyDescent="0.25">
      <c r="A52" s="208" t="s">
        <v>153</v>
      </c>
      <c r="B52" s="7">
        <v>27300</v>
      </c>
      <c r="C52" s="7">
        <v>27300</v>
      </c>
      <c r="D52" s="7">
        <v>313.99</v>
      </c>
      <c r="E52" s="10">
        <v>0</v>
      </c>
      <c r="F52" s="10"/>
      <c r="G52" s="9">
        <v>27613.99</v>
      </c>
      <c r="H52" s="10">
        <v>1237.5</v>
      </c>
      <c r="I52" s="10">
        <v>2612.5</v>
      </c>
      <c r="J52" s="9">
        <v>3850</v>
      </c>
      <c r="K52" s="10">
        <v>30</v>
      </c>
      <c r="L52" s="9">
        <v>0</v>
      </c>
      <c r="M52" s="9">
        <v>0</v>
      </c>
      <c r="N52" s="9">
        <v>682.5</v>
      </c>
      <c r="O52" s="10">
        <v>682.5</v>
      </c>
      <c r="P52" s="10">
        <v>1365</v>
      </c>
      <c r="Q52" s="9">
        <v>0</v>
      </c>
      <c r="R52" s="9">
        <v>0</v>
      </c>
      <c r="S52" s="9">
        <v>0</v>
      </c>
      <c r="T52" s="9">
        <v>699.14850000000024</v>
      </c>
      <c r="U52" s="10">
        <v>200</v>
      </c>
      <c r="V52" s="10">
        <v>200</v>
      </c>
      <c r="W52" s="8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24794.841500000002</v>
      </c>
      <c r="AE52" s="9">
        <v>6100</v>
      </c>
      <c r="AF52" s="9">
        <v>70.17</v>
      </c>
      <c r="AG52" s="9">
        <v>0</v>
      </c>
      <c r="AH52" s="9">
        <v>0</v>
      </c>
      <c r="AI52" s="9">
        <v>0</v>
      </c>
      <c r="AJ52" s="9">
        <v>0</v>
      </c>
      <c r="AK52" s="7">
        <v>30965.011500000001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</row>
    <row r="53" spans="1:103" ht="14.25" customHeight="1" x14ac:dyDescent="0.25">
      <c r="A53" s="208" t="s">
        <v>154</v>
      </c>
      <c r="B53" s="7">
        <v>13650</v>
      </c>
      <c r="C53" s="7">
        <v>13650</v>
      </c>
      <c r="D53" s="7">
        <v>157.01</v>
      </c>
      <c r="E53" s="10">
        <v>0</v>
      </c>
      <c r="F53" s="10">
        <v>0</v>
      </c>
      <c r="G53" s="9">
        <v>13807.01</v>
      </c>
      <c r="H53" s="10">
        <v>607.5</v>
      </c>
      <c r="I53" s="10">
        <v>1282.5</v>
      </c>
      <c r="J53" s="9">
        <v>1890</v>
      </c>
      <c r="K53" s="10">
        <v>10</v>
      </c>
      <c r="L53" s="9">
        <v>0</v>
      </c>
      <c r="M53" s="9">
        <v>0</v>
      </c>
      <c r="N53" s="9">
        <v>341.25</v>
      </c>
      <c r="O53" s="9">
        <v>341.25</v>
      </c>
      <c r="P53" s="10">
        <v>682.5</v>
      </c>
      <c r="Q53" s="9">
        <v>0</v>
      </c>
      <c r="R53" s="9">
        <v>0</v>
      </c>
      <c r="S53" s="9">
        <v>0</v>
      </c>
      <c r="T53" s="9">
        <v>0</v>
      </c>
      <c r="U53" s="9">
        <v>200</v>
      </c>
      <c r="V53" s="9">
        <v>200</v>
      </c>
      <c r="W53" s="8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12658.26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7">
        <v>12658.26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</row>
    <row r="54" spans="1:103" x14ac:dyDescent="0.25">
      <c r="A54" s="208" t="s">
        <v>155</v>
      </c>
      <c r="B54" s="7">
        <v>13650</v>
      </c>
      <c r="C54" s="7">
        <v>13650</v>
      </c>
      <c r="D54" s="7">
        <v>157.01</v>
      </c>
      <c r="E54" s="10">
        <v>0</v>
      </c>
      <c r="F54" s="10">
        <v>0</v>
      </c>
      <c r="G54" s="9">
        <v>13807.01</v>
      </c>
      <c r="H54" s="10">
        <v>607.5</v>
      </c>
      <c r="I54" s="10">
        <v>1282.5</v>
      </c>
      <c r="J54" s="9">
        <v>1890</v>
      </c>
      <c r="K54" s="10">
        <v>10</v>
      </c>
      <c r="L54" s="9">
        <v>0</v>
      </c>
      <c r="M54" s="9">
        <v>0</v>
      </c>
      <c r="N54" s="9">
        <v>341.25</v>
      </c>
      <c r="O54" s="9">
        <v>341.25</v>
      </c>
      <c r="P54" s="10">
        <v>682.5</v>
      </c>
      <c r="Q54" s="9">
        <v>0</v>
      </c>
      <c r="R54" s="9">
        <v>0</v>
      </c>
      <c r="S54" s="9">
        <v>0</v>
      </c>
      <c r="T54" s="9">
        <v>0</v>
      </c>
      <c r="U54" s="9">
        <v>200</v>
      </c>
      <c r="V54" s="9">
        <v>200</v>
      </c>
      <c r="W54" s="8">
        <v>0</v>
      </c>
      <c r="X54" s="9">
        <v>0</v>
      </c>
      <c r="Y54" s="9">
        <v>2000</v>
      </c>
      <c r="Z54" s="9">
        <v>0</v>
      </c>
      <c r="AA54" s="9">
        <v>0</v>
      </c>
      <c r="AB54" s="9">
        <v>0</v>
      </c>
      <c r="AC54" s="9">
        <v>0</v>
      </c>
      <c r="AD54" s="9">
        <v>10658.26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7">
        <v>10658.26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</row>
    <row r="55" spans="1:103" s="5" customFormat="1" ht="12" x14ac:dyDescent="0.2">
      <c r="A55" s="208" t="s">
        <v>156</v>
      </c>
      <c r="B55" s="7">
        <v>13564</v>
      </c>
      <c r="C55" s="7">
        <v>13043.97</v>
      </c>
      <c r="D55" s="7">
        <v>156</v>
      </c>
      <c r="E55" s="10">
        <v>0</v>
      </c>
      <c r="F55" s="10">
        <v>0</v>
      </c>
      <c r="G55" s="9">
        <v>13199.97</v>
      </c>
      <c r="H55" s="10">
        <v>607.5</v>
      </c>
      <c r="I55" s="10">
        <v>1282.5</v>
      </c>
      <c r="J55" s="9">
        <v>1890</v>
      </c>
      <c r="K55" s="10">
        <v>10</v>
      </c>
      <c r="L55" s="9">
        <v>0</v>
      </c>
      <c r="M55" s="9">
        <v>0</v>
      </c>
      <c r="N55" s="9">
        <v>339.1</v>
      </c>
      <c r="O55" s="9">
        <v>339.1</v>
      </c>
      <c r="P55" s="10">
        <v>678.2</v>
      </c>
      <c r="Q55" s="9">
        <v>0</v>
      </c>
      <c r="R55" s="9">
        <v>0</v>
      </c>
      <c r="S55" s="9">
        <v>0</v>
      </c>
      <c r="T55" s="9">
        <v>0</v>
      </c>
      <c r="U55" s="9">
        <v>200</v>
      </c>
      <c r="V55" s="9">
        <v>200</v>
      </c>
      <c r="W55" s="8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12053.369999999999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7">
        <v>12053.369999999999</v>
      </c>
    </row>
    <row r="56" spans="1:103" x14ac:dyDescent="0.25">
      <c r="A56" s="59"/>
      <c r="B56" s="7"/>
      <c r="C56" s="7"/>
      <c r="D56" s="7"/>
      <c r="E56" s="7"/>
      <c r="F56" s="10"/>
      <c r="G56" s="9"/>
      <c r="H56" s="9"/>
      <c r="I56" s="10"/>
      <c r="J56" s="9"/>
      <c r="K56" s="10"/>
      <c r="L56" s="9"/>
      <c r="M56" s="9"/>
      <c r="N56" s="9"/>
      <c r="O56" s="9"/>
      <c r="P56" s="10"/>
      <c r="Q56" s="9"/>
      <c r="R56" s="9"/>
      <c r="S56" s="9"/>
      <c r="T56" s="9"/>
      <c r="U56" s="10"/>
      <c r="V56" s="10"/>
      <c r="W56" s="12"/>
      <c r="X56" s="12"/>
      <c r="Y56" s="12"/>
      <c r="Z56" s="12"/>
      <c r="AA56" s="9"/>
      <c r="AB56" s="9"/>
      <c r="AC56" s="9"/>
      <c r="AD56" s="9"/>
      <c r="AE56" s="10"/>
      <c r="AF56" s="10"/>
      <c r="AG56" s="10"/>
      <c r="AH56" s="10"/>
      <c r="AI56" s="10"/>
      <c r="AJ56" s="10"/>
      <c r="AK56" s="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1</cp:revision>
  <dcterms:created xsi:type="dcterms:W3CDTF">2015-06-05T18:17:20Z</dcterms:created>
  <dcterms:modified xsi:type="dcterms:W3CDTF">2024-05-06T03:34:16Z</dcterms:modified>
  <dc:language>en-US</dc:language>
</cp:coreProperties>
</file>