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Jerome\Desktop\avega-list\"/>
    </mc:Choice>
  </mc:AlternateContent>
  <xr:revisionPtr revIDLastSave="0" documentId="13_ncr:1_{C12E13B1-6B27-4A00-A8F2-6CFAEBD79F3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2" l="1"/>
  <c r="S12" i="2"/>
  <c r="S47" i="2"/>
  <c r="S48" i="2"/>
  <c r="S49" i="2"/>
  <c r="S50" i="2"/>
  <c r="S51" i="2"/>
  <c r="S52" i="2"/>
  <c r="S53" i="2"/>
  <c r="S54" i="2"/>
  <c r="S55" i="2"/>
  <c r="V55" i="2"/>
  <c r="J55" i="2"/>
  <c r="F55" i="2"/>
  <c r="D55" i="2"/>
  <c r="C55" i="2"/>
  <c r="B55" i="2"/>
  <c r="N55" i="2" s="1"/>
  <c r="Y54" i="2"/>
  <c r="V54" i="2"/>
  <c r="J54" i="2"/>
  <c r="D54" i="2"/>
  <c r="C54" i="2"/>
  <c r="B54" i="2"/>
  <c r="N54" i="2" s="1"/>
  <c r="Y53" i="2"/>
  <c r="X53" i="2"/>
  <c r="V53" i="2"/>
  <c r="J53" i="2"/>
  <c r="D53" i="2"/>
  <c r="C53" i="2"/>
  <c r="B53" i="2"/>
  <c r="N53" i="2" s="1"/>
  <c r="AF52" i="2"/>
  <c r="AE52" i="2"/>
  <c r="V52" i="2"/>
  <c r="I52" i="2"/>
  <c r="J52" i="2" s="1"/>
  <c r="D52" i="2"/>
  <c r="C52" i="2"/>
  <c r="B52" i="2"/>
  <c r="N52" i="2" s="1"/>
  <c r="Y51" i="2"/>
  <c r="V51" i="2"/>
  <c r="J51" i="2"/>
  <c r="F51" i="2"/>
  <c r="D51" i="2"/>
  <c r="C51" i="2"/>
  <c r="B51" i="2"/>
  <c r="N51" i="2" s="1"/>
  <c r="AJ50" i="2"/>
  <c r="AI50" i="2"/>
  <c r="V50" i="2"/>
  <c r="J50" i="2"/>
  <c r="D50" i="2"/>
  <c r="C50" i="2"/>
  <c r="B50" i="2"/>
  <c r="N50" i="2" s="1"/>
  <c r="AJ49" i="2"/>
  <c r="AI49" i="2"/>
  <c r="V49" i="2"/>
  <c r="J49" i="2"/>
  <c r="C49" i="2"/>
  <c r="B49" i="2"/>
  <c r="N49" i="2" s="1"/>
  <c r="C48" i="2"/>
  <c r="G48" i="2" s="1"/>
  <c r="B48" i="2"/>
  <c r="V47" i="2"/>
  <c r="C47" i="2"/>
  <c r="B47" i="2"/>
  <c r="V46" i="2"/>
  <c r="J46" i="2"/>
  <c r="D46" i="2"/>
  <c r="C46" i="2"/>
  <c r="B46" i="2"/>
  <c r="N46" i="2" s="1"/>
  <c r="AF45" i="2"/>
  <c r="AE45" i="2"/>
  <c r="I45" i="2"/>
  <c r="J45" i="2" s="1"/>
  <c r="D45" i="2"/>
  <c r="C45" i="2"/>
  <c r="B45" i="2"/>
  <c r="N45" i="2" s="1"/>
  <c r="O45" i="2" s="1"/>
  <c r="V44" i="2"/>
  <c r="J44" i="2"/>
  <c r="D44" i="2"/>
  <c r="C44" i="2"/>
  <c r="B44" i="2"/>
  <c r="N44" i="2" s="1"/>
  <c r="Z43" i="2"/>
  <c r="C43" i="2"/>
  <c r="G43" i="2" s="1"/>
  <c r="B43" i="2"/>
  <c r="V42" i="2"/>
  <c r="N42" i="2"/>
  <c r="O42" i="2" s="1"/>
  <c r="P42" i="2" s="1"/>
  <c r="J42" i="2"/>
  <c r="C42" i="2"/>
  <c r="G42" i="2" s="1"/>
  <c r="V41" i="2"/>
  <c r="J41" i="2"/>
  <c r="D41" i="2"/>
  <c r="C41" i="2"/>
  <c r="B41" i="2"/>
  <c r="N41" i="2" s="1"/>
  <c r="Z40" i="2"/>
  <c r="V40" i="2"/>
  <c r="I40" i="2"/>
  <c r="H40" i="2"/>
  <c r="C40" i="2"/>
  <c r="G40" i="2" s="1"/>
  <c r="B40" i="2"/>
  <c r="N40" i="2" s="1"/>
  <c r="V39" i="2"/>
  <c r="I39" i="2"/>
  <c r="J39" i="2" s="1"/>
  <c r="D39" i="2"/>
  <c r="C39" i="2"/>
  <c r="B39" i="2"/>
  <c r="N39" i="2" s="1"/>
  <c r="O39" i="2" s="1"/>
  <c r="V38" i="2"/>
  <c r="I38" i="2"/>
  <c r="D38" i="2"/>
  <c r="C38" i="2"/>
  <c r="B38" i="2"/>
  <c r="N38" i="2" s="1"/>
  <c r="V37" i="2"/>
  <c r="L37" i="2"/>
  <c r="J37" i="2"/>
  <c r="C37" i="2"/>
  <c r="G37" i="2" s="1"/>
  <c r="B37" i="2"/>
  <c r="N37" i="2" s="1"/>
  <c r="AE36" i="2"/>
  <c r="V36" i="2"/>
  <c r="J36" i="2"/>
  <c r="C36" i="2"/>
  <c r="G36" i="2" s="1"/>
  <c r="B36" i="2"/>
  <c r="N36" i="2" s="1"/>
  <c r="V35" i="2"/>
  <c r="I35" i="2"/>
  <c r="J35" i="2" s="1"/>
  <c r="C35" i="2"/>
  <c r="G35" i="2" s="1"/>
  <c r="B35" i="2"/>
  <c r="N35" i="2" s="1"/>
  <c r="O35" i="2" s="1"/>
  <c r="Y34" i="2"/>
  <c r="V34" i="2"/>
  <c r="I34" i="2"/>
  <c r="J34" i="2" s="1"/>
  <c r="C34" i="2"/>
  <c r="G34" i="2" s="1"/>
  <c r="B34" i="2"/>
  <c r="N34" i="2" s="1"/>
  <c r="V33" i="2"/>
  <c r="J33" i="2"/>
  <c r="D33" i="2"/>
  <c r="C33" i="2"/>
  <c r="B33" i="2"/>
  <c r="N33" i="2" s="1"/>
  <c r="AH32" i="2"/>
  <c r="AE32" i="2"/>
  <c r="Z32" i="2"/>
  <c r="V32" i="2"/>
  <c r="I32" i="2"/>
  <c r="H32" i="2"/>
  <c r="D32" i="2"/>
  <c r="C32" i="2"/>
  <c r="B32" i="2"/>
  <c r="N32" i="2" s="1"/>
  <c r="V31" i="2"/>
  <c r="J31" i="2"/>
  <c r="C31" i="2"/>
  <c r="G31" i="2" s="1"/>
  <c r="B31" i="2"/>
  <c r="N31" i="2" s="1"/>
  <c r="Y30" i="2"/>
  <c r="V30" i="2"/>
  <c r="J30" i="2"/>
  <c r="C30" i="2"/>
  <c r="G30" i="2" s="1"/>
  <c r="B30" i="2"/>
  <c r="N30" i="2" s="1"/>
  <c r="V29" i="2"/>
  <c r="J29" i="2"/>
  <c r="C29" i="2"/>
  <c r="G29" i="2" s="1"/>
  <c r="B29" i="2"/>
  <c r="N29" i="2" s="1"/>
  <c r="O29" i="2" s="1"/>
  <c r="V28" i="2"/>
  <c r="J28" i="2"/>
  <c r="D28" i="2"/>
  <c r="C28" i="2"/>
  <c r="B28" i="2"/>
  <c r="N28" i="2" s="1"/>
  <c r="O28" i="2" s="1"/>
  <c r="AH27" i="2"/>
  <c r="V27" i="2"/>
  <c r="I27" i="2"/>
  <c r="J27" i="2" s="1"/>
  <c r="F27" i="2"/>
  <c r="D27" i="2"/>
  <c r="C27" i="2"/>
  <c r="B27" i="2"/>
  <c r="N27" i="2" s="1"/>
  <c r="O27" i="2" s="1"/>
  <c r="AE26" i="2"/>
  <c r="Y26" i="2"/>
  <c r="V26" i="2"/>
  <c r="I26" i="2"/>
  <c r="H26" i="2"/>
  <c r="C26" i="2"/>
  <c r="G26" i="2" s="1"/>
  <c r="B26" i="2"/>
  <c r="N26" i="2" s="1"/>
  <c r="AF25" i="2"/>
  <c r="AE25" i="2"/>
  <c r="V25" i="2"/>
  <c r="I25" i="2"/>
  <c r="J25" i="2" s="1"/>
  <c r="C25" i="2"/>
  <c r="G25" i="2" s="1"/>
  <c r="B25" i="2"/>
  <c r="N25" i="2" s="1"/>
  <c r="V24" i="2"/>
  <c r="J24" i="2"/>
  <c r="D24" i="2"/>
  <c r="C24" i="2"/>
  <c r="B24" i="2"/>
  <c r="N24" i="2" s="1"/>
  <c r="O24" i="2" s="1"/>
  <c r="V23" i="2"/>
  <c r="J23" i="2"/>
  <c r="F23" i="2"/>
  <c r="C23" i="2"/>
  <c r="B23" i="2"/>
  <c r="N23" i="2" s="1"/>
  <c r="V22" i="2"/>
  <c r="J22" i="2"/>
  <c r="F22" i="2"/>
  <c r="C22" i="2"/>
  <c r="B22" i="2"/>
  <c r="N22" i="2" s="1"/>
  <c r="O22" i="2" s="1"/>
  <c r="AG21" i="2"/>
  <c r="AE21" i="2"/>
  <c r="V21" i="2"/>
  <c r="I21" i="2"/>
  <c r="H21" i="2"/>
  <c r="C21" i="2"/>
  <c r="G21" i="2" s="1"/>
  <c r="B21" i="2"/>
  <c r="N21" i="2" s="1"/>
  <c r="V20" i="2"/>
  <c r="J20" i="2"/>
  <c r="F20" i="2"/>
  <c r="C20" i="2"/>
  <c r="B20" i="2"/>
  <c r="N20" i="2" s="1"/>
  <c r="V19" i="2"/>
  <c r="N19" i="2"/>
  <c r="I19" i="2"/>
  <c r="H19" i="2"/>
  <c r="B19" i="2"/>
  <c r="C19" i="2" s="1"/>
  <c r="G19" i="2" s="1"/>
  <c r="V18" i="2"/>
  <c r="N18" i="2"/>
  <c r="I18" i="2"/>
  <c r="H18" i="2"/>
  <c r="B18" i="2"/>
  <c r="C18" i="2" s="1"/>
  <c r="G18" i="2" s="1"/>
  <c r="AE17" i="2"/>
  <c r="V17" i="2"/>
  <c r="I17" i="2"/>
  <c r="H17" i="2"/>
  <c r="F17" i="2"/>
  <c r="C17" i="2"/>
  <c r="B17" i="2"/>
  <c r="N17" i="2" s="1"/>
  <c r="Y16" i="2"/>
  <c r="V16" i="2"/>
  <c r="J16" i="2"/>
  <c r="F16" i="2"/>
  <c r="D16" i="2"/>
  <c r="C16" i="2"/>
  <c r="B16" i="2"/>
  <c r="N16" i="2" s="1"/>
  <c r="O16" i="2" s="1"/>
  <c r="Y15" i="2"/>
  <c r="V15" i="2"/>
  <c r="M15" i="2"/>
  <c r="I15" i="2"/>
  <c r="J15" i="2" s="1"/>
  <c r="C15" i="2"/>
  <c r="G15" i="2" s="1"/>
  <c r="B15" i="2"/>
  <c r="N15" i="2" s="1"/>
  <c r="O15" i="2" s="1"/>
  <c r="V14" i="2"/>
  <c r="J14" i="2"/>
  <c r="F14" i="2"/>
  <c r="C14" i="2"/>
  <c r="B14" i="2"/>
  <c r="N14" i="2" s="1"/>
  <c r="O14" i="2" s="1"/>
  <c r="AG13" i="2"/>
  <c r="Z13" i="2"/>
  <c r="V13" i="2"/>
  <c r="J13" i="2"/>
  <c r="C13" i="2"/>
  <c r="G13" i="2" s="1"/>
  <c r="B13" i="2"/>
  <c r="N13" i="2" s="1"/>
  <c r="AE12" i="2"/>
  <c r="W12" i="2"/>
  <c r="V12" i="2"/>
  <c r="J12" i="2"/>
  <c r="F12" i="2"/>
  <c r="C12" i="2"/>
  <c r="B12" i="2"/>
  <c r="N12" i="2" s="1"/>
  <c r="O12" i="2" s="1"/>
  <c r="V11" i="2"/>
  <c r="I11" i="2"/>
  <c r="J11" i="2" s="1"/>
  <c r="D11" i="2"/>
  <c r="C11" i="2"/>
  <c r="B11" i="2"/>
  <c r="N11" i="2" s="1"/>
  <c r="O11" i="2" s="1"/>
  <c r="Y10" i="2"/>
  <c r="V10" i="2"/>
  <c r="J10" i="2"/>
  <c r="C10" i="2"/>
  <c r="G10" i="2" s="1"/>
  <c r="B10" i="2"/>
  <c r="N10" i="2" s="1"/>
  <c r="O10" i="2" s="1"/>
  <c r="AE9" i="2"/>
  <c r="V9" i="2"/>
  <c r="J9" i="2"/>
  <c r="C9" i="2"/>
  <c r="G9" i="2" s="1"/>
  <c r="B9" i="2"/>
  <c r="N9" i="2" s="1"/>
  <c r="AE8" i="2"/>
  <c r="Y8" i="2"/>
  <c r="V8" i="2"/>
  <c r="I8" i="2"/>
  <c r="J8" i="2" s="1"/>
  <c r="F8" i="2"/>
  <c r="C8" i="2"/>
  <c r="B8" i="2"/>
  <c r="N8" i="2" s="1"/>
  <c r="V7" i="2"/>
  <c r="O7" i="2"/>
  <c r="P7" i="2" s="1"/>
  <c r="I7" i="2"/>
  <c r="H7" i="2"/>
  <c r="B7" i="2"/>
  <c r="C7" i="2" s="1"/>
  <c r="G7" i="2" s="1"/>
  <c r="V6" i="2"/>
  <c r="J6" i="2"/>
  <c r="C6" i="2"/>
  <c r="G6" i="2" s="1"/>
  <c r="B6" i="2"/>
  <c r="N6" i="2" s="1"/>
  <c r="O6" i="2" s="1"/>
  <c r="V5" i="2"/>
  <c r="I5" i="2"/>
  <c r="H5" i="2"/>
  <c r="C5" i="2"/>
  <c r="G5" i="2" s="1"/>
  <c r="B5" i="2"/>
  <c r="N5" i="2" s="1"/>
  <c r="V4" i="2"/>
  <c r="J4" i="2"/>
  <c r="C4" i="2"/>
  <c r="G4" i="2" s="1"/>
  <c r="B4" i="2"/>
  <c r="N4" i="2" s="1"/>
  <c r="O4" i="2" s="1"/>
  <c r="Y3" i="2"/>
  <c r="V3" i="2"/>
  <c r="J3" i="2"/>
  <c r="D3" i="2"/>
  <c r="C3" i="2"/>
  <c r="B3" i="2"/>
  <c r="N3" i="2" s="1"/>
  <c r="O3" i="2" s="1"/>
  <c r="AG2" i="2"/>
  <c r="AF2" i="2"/>
  <c r="AE2" i="2"/>
  <c r="V2" i="2"/>
  <c r="L2" i="2"/>
  <c r="I2" i="2"/>
  <c r="D2" i="2"/>
  <c r="C2" i="2"/>
  <c r="B2" i="2"/>
  <c r="N2" i="2" s="1"/>
  <c r="J17" i="2" l="1"/>
  <c r="G54" i="2"/>
  <c r="AD54" i="2" s="1"/>
  <c r="AK54" i="2" s="1"/>
  <c r="G44" i="2"/>
  <c r="J19" i="2"/>
  <c r="J21" i="2"/>
  <c r="G32" i="2"/>
  <c r="T32" i="2" s="1"/>
  <c r="AD32" i="2" s="1"/>
  <c r="AK32" i="2" s="1"/>
  <c r="G52" i="2"/>
  <c r="T52" i="2" s="1"/>
  <c r="AD52" i="2" s="1"/>
  <c r="AK52" i="2" s="1"/>
  <c r="G22" i="2"/>
  <c r="AD22" i="2" s="1"/>
  <c r="AK22" i="2" s="1"/>
  <c r="J32" i="2"/>
  <c r="G17" i="2"/>
  <c r="T17" i="2" s="1"/>
  <c r="AD17" i="2" s="1"/>
  <c r="AK17" i="2" s="1"/>
  <c r="J18" i="2"/>
  <c r="J7" i="2"/>
  <c r="G24" i="2"/>
  <c r="AD24" i="2" s="1"/>
  <c r="AK24" i="2" s="1"/>
  <c r="J40" i="2"/>
  <c r="G27" i="2"/>
  <c r="G23" i="2"/>
  <c r="AD23" i="2" s="1"/>
  <c r="AK23" i="2" s="1"/>
  <c r="G38" i="2"/>
  <c r="AD38" i="2" s="1"/>
  <c r="AK38" i="2" s="1"/>
  <c r="G46" i="2"/>
  <c r="AD46" i="2" s="1"/>
  <c r="AK46" i="2" s="1"/>
  <c r="G28" i="2"/>
  <c r="AD28" i="2" s="1"/>
  <c r="AK28" i="2" s="1"/>
  <c r="T34" i="2"/>
  <c r="AD34" i="2" s="1"/>
  <c r="AK34" i="2" s="1"/>
  <c r="G39" i="2"/>
  <c r="T39" i="2" s="1"/>
  <c r="AD39" i="2" s="1"/>
  <c r="AK39" i="2" s="1"/>
  <c r="O30" i="2"/>
  <c r="P30" i="2" s="1"/>
  <c r="T30" i="2"/>
  <c r="T21" i="2"/>
  <c r="AD21" i="2" s="1"/>
  <c r="AK21" i="2" s="1"/>
  <c r="T26" i="2"/>
  <c r="AD26" i="2" s="1"/>
  <c r="AK26" i="2" s="1"/>
  <c r="P3" i="2"/>
  <c r="P22" i="2"/>
  <c r="J26" i="2"/>
  <c r="G45" i="2"/>
  <c r="T45" i="2" s="1"/>
  <c r="G16" i="2"/>
  <c r="G11" i="2"/>
  <c r="T11" i="2" s="1"/>
  <c r="G12" i="2"/>
  <c r="AD12" i="2" s="1"/>
  <c r="AK12" i="2" s="1"/>
  <c r="G14" i="2"/>
  <c r="P27" i="2"/>
  <c r="G41" i="2"/>
  <c r="G53" i="2"/>
  <c r="AD53" i="2" s="1"/>
  <c r="AK53" i="2" s="1"/>
  <c r="G3" i="2"/>
  <c r="AD3" i="2" s="1"/>
  <c r="AK3" i="2" s="1"/>
  <c r="J5" i="2"/>
  <c r="G20" i="2"/>
  <c r="AD20" i="2" s="1"/>
  <c r="AK20" i="2" s="1"/>
  <c r="P35" i="2"/>
  <c r="G8" i="2"/>
  <c r="T8" i="2" s="1"/>
  <c r="P12" i="2"/>
  <c r="G33" i="2"/>
  <c r="AD33" i="2" s="1"/>
  <c r="AK33" i="2" s="1"/>
  <c r="G55" i="2"/>
  <c r="T18" i="2"/>
  <c r="O5" i="2"/>
  <c r="P5" i="2" s="1"/>
  <c r="AD5" i="2"/>
  <c r="AK5" i="2" s="1"/>
  <c r="O13" i="2"/>
  <c r="P13" i="2" s="1"/>
  <c r="AD4" i="2"/>
  <c r="AK4" i="2" s="1"/>
  <c r="AD10" i="2"/>
  <c r="AK10" i="2" s="1"/>
  <c r="T13" i="2"/>
  <c r="T19" i="2"/>
  <c r="T7" i="2"/>
  <c r="O38" i="2"/>
  <c r="P38" i="2" s="1"/>
  <c r="G50" i="2"/>
  <c r="O8" i="2"/>
  <c r="P8" i="2" s="1"/>
  <c r="O17" i="2"/>
  <c r="P17" i="2" s="1"/>
  <c r="O18" i="2"/>
  <c r="P18" i="2" s="1"/>
  <c r="AD29" i="2"/>
  <c r="AK29" i="2" s="1"/>
  <c r="O32" i="2"/>
  <c r="P32" i="2" s="1"/>
  <c r="O44" i="2"/>
  <c r="P44" i="2" s="1"/>
  <c r="G2" i="2"/>
  <c r="P11" i="2"/>
  <c r="P15" i="2"/>
  <c r="O19" i="2"/>
  <c r="P19" i="2" s="1"/>
  <c r="P24" i="2"/>
  <c r="P39" i="2"/>
  <c r="O40" i="2"/>
  <c r="P40" i="2" s="1"/>
  <c r="AD43" i="2"/>
  <c r="AK43" i="2" s="1"/>
  <c r="P14" i="2"/>
  <c r="O25" i="2"/>
  <c r="P25" i="2" s="1"/>
  <c r="O9" i="2"/>
  <c r="P9" i="2" s="1"/>
  <c r="P16" i="2"/>
  <c r="O31" i="2"/>
  <c r="P31" i="2" s="1"/>
  <c r="O33" i="2"/>
  <c r="P33" i="2" s="1"/>
  <c r="O37" i="2"/>
  <c r="P37" i="2" s="1"/>
  <c r="P45" i="2"/>
  <c r="O41" i="2"/>
  <c r="P41" i="2" s="1"/>
  <c r="G47" i="2"/>
  <c r="J2" i="2"/>
  <c r="P4" i="2"/>
  <c r="P10" i="2"/>
  <c r="O20" i="2"/>
  <c r="P20" i="2" s="1"/>
  <c r="AD31" i="2"/>
  <c r="AK31" i="2" s="1"/>
  <c r="O46" i="2"/>
  <c r="P46" i="2" s="1"/>
  <c r="O49" i="2"/>
  <c r="O51" i="2"/>
  <c r="P51" i="2" s="1"/>
  <c r="O2" i="2"/>
  <c r="P2" i="2" s="1"/>
  <c r="AD14" i="2"/>
  <c r="AK14" i="2" s="1"/>
  <c r="AD15" i="2"/>
  <c r="AK15" i="2" s="1"/>
  <c r="O21" i="2"/>
  <c r="P21" i="2" s="1"/>
  <c r="T35" i="2"/>
  <c r="AD36" i="2"/>
  <c r="AD37" i="2"/>
  <c r="AK37" i="2" s="1"/>
  <c r="AD48" i="2"/>
  <c r="AK48" i="2" s="1"/>
  <c r="G49" i="2"/>
  <c r="O50" i="2"/>
  <c r="P50" i="2" s="1"/>
  <c r="O52" i="2"/>
  <c r="P52" i="2" s="1"/>
  <c r="P6" i="2"/>
  <c r="O36" i="2"/>
  <c r="P36" i="2" s="1"/>
  <c r="O23" i="2"/>
  <c r="P23" i="2" s="1"/>
  <c r="AD42" i="2"/>
  <c r="AK42" i="2" s="1"/>
  <c r="AD6" i="2"/>
  <c r="AK6" i="2" s="1"/>
  <c r="AD9" i="2"/>
  <c r="AK9" i="2" s="1"/>
  <c r="T25" i="2"/>
  <c r="O26" i="2"/>
  <c r="P26" i="2" s="1"/>
  <c r="P28" i="2"/>
  <c r="P29" i="2"/>
  <c r="O34" i="2"/>
  <c r="P34" i="2" s="1"/>
  <c r="J38" i="2"/>
  <c r="T40" i="2"/>
  <c r="AD44" i="2"/>
  <c r="AK44" i="2" s="1"/>
  <c r="G51" i="2"/>
  <c r="O53" i="2"/>
  <c r="P53" i="2" s="1"/>
  <c r="O54" i="2"/>
  <c r="P54" i="2" s="1"/>
  <c r="O55" i="2"/>
  <c r="P55" i="2" s="1"/>
  <c r="AD8" i="2" l="1"/>
  <c r="AK8" i="2" s="1"/>
  <c r="AD27" i="2"/>
  <c r="AK27" i="2" s="1"/>
  <c r="AD41" i="2"/>
  <c r="AK41" i="2" s="1"/>
  <c r="AD30" i="2"/>
  <c r="AK30" i="2" s="1"/>
  <c r="AD35" i="2"/>
  <c r="AK35" i="2" s="1"/>
  <c r="AD25" i="2"/>
  <c r="AK25" i="2" s="1"/>
  <c r="AD13" i="2"/>
  <c r="AK13" i="2" s="1"/>
  <c r="AD55" i="2"/>
  <c r="AK55" i="2" s="1"/>
  <c r="AD16" i="2"/>
  <c r="AK16" i="2" s="1"/>
  <c r="AD45" i="2"/>
  <c r="AK45" i="2" s="1"/>
  <c r="AD40" i="2"/>
  <c r="AK40" i="2" s="1"/>
  <c r="AD19" i="2"/>
  <c r="AK19" i="2" s="1"/>
  <c r="AD11" i="2"/>
  <c r="AK11" i="2" s="1"/>
  <c r="P49" i="2"/>
  <c r="AD50" i="2"/>
  <c r="AK50" i="2" s="1"/>
  <c r="AD49" i="2"/>
  <c r="AK36" i="2"/>
  <c r="AD18" i="2"/>
  <c r="AK18" i="2" s="1"/>
  <c r="T51" i="2"/>
  <c r="AD47" i="2"/>
  <c r="T2" i="2"/>
  <c r="AD7" i="2"/>
  <c r="AK7" i="2" s="1"/>
  <c r="AD51" i="2" l="1"/>
  <c r="AD2" i="2"/>
  <c r="AK47" i="2"/>
  <c r="AK49" i="2"/>
  <c r="AK2" i="2" l="1"/>
  <c r="AK51" i="2"/>
  <c r="AK108" i="1" l="1"/>
  <c r="AM115" i="1"/>
  <c r="AM114" i="1"/>
  <c r="AM113" i="1"/>
  <c r="Q113" i="1"/>
  <c r="P113" i="1"/>
  <c r="M113" i="1"/>
  <c r="Q112" i="1"/>
  <c r="P112" i="1"/>
  <c r="M112" i="1"/>
  <c r="Q111" i="1"/>
  <c r="P111" i="1"/>
  <c r="M111" i="1"/>
  <c r="AM110" i="1"/>
  <c r="Q110" i="1"/>
  <c r="P110" i="1"/>
  <c r="M110" i="1"/>
  <c r="AD109" i="1"/>
  <c r="AM108" i="1"/>
  <c r="AD108" i="1"/>
  <c r="G108" i="1"/>
  <c r="AJ104" i="1"/>
  <c r="AI104" i="1"/>
  <c r="AH104" i="1"/>
  <c r="AG104" i="1"/>
  <c r="AC104" i="1"/>
  <c r="AB104" i="1"/>
  <c r="AA104" i="1"/>
  <c r="Z104" i="1"/>
  <c r="W104" i="1"/>
  <c r="U104" i="1"/>
  <c r="R104" i="1"/>
  <c r="Q104" i="1"/>
  <c r="M104" i="1"/>
  <c r="L104" i="1"/>
  <c r="K104" i="1"/>
  <c r="H104" i="1"/>
  <c r="E104" i="1"/>
  <c r="V103" i="1"/>
  <c r="S103" i="1"/>
  <c r="J103" i="1"/>
  <c r="F103" i="1"/>
  <c r="D103" i="1"/>
  <c r="C103" i="1"/>
  <c r="G103" i="1" s="1"/>
  <c r="B103" i="1"/>
  <c r="N103" i="1" s="1"/>
  <c r="O103" i="1" s="1"/>
  <c r="AM102" i="1"/>
  <c r="AM104" i="1" s="1"/>
  <c r="Y102" i="1"/>
  <c r="V102" i="1"/>
  <c r="S102" i="1"/>
  <c r="J102" i="1"/>
  <c r="D102" i="1"/>
  <c r="C102" i="1"/>
  <c r="G102" i="1" s="1"/>
  <c r="B102" i="1"/>
  <c r="N102" i="1" s="1"/>
  <c r="O102" i="1" s="1"/>
  <c r="Y101" i="1"/>
  <c r="X101" i="1"/>
  <c r="X104" i="1" s="1"/>
  <c r="V101" i="1"/>
  <c r="S101" i="1"/>
  <c r="J101" i="1"/>
  <c r="D101" i="1"/>
  <c r="C101" i="1"/>
  <c r="G101" i="1" s="1"/>
  <c r="B101" i="1"/>
  <c r="N101" i="1" s="1"/>
  <c r="O101" i="1" s="1"/>
  <c r="P101" i="1" s="1"/>
  <c r="AF100" i="1"/>
  <c r="AF104" i="1" s="1"/>
  <c r="AE100" i="1"/>
  <c r="AE104" i="1" s="1"/>
  <c r="V100" i="1"/>
  <c r="S100" i="1"/>
  <c r="I100" i="1"/>
  <c r="J100" i="1" s="1"/>
  <c r="D100" i="1"/>
  <c r="C100" i="1"/>
  <c r="B100" i="1"/>
  <c r="N100" i="1" s="1"/>
  <c r="O100" i="1" s="1"/>
  <c r="Y99" i="1"/>
  <c r="V99" i="1"/>
  <c r="S99" i="1"/>
  <c r="J99" i="1"/>
  <c r="F99" i="1"/>
  <c r="F104" i="1" s="1"/>
  <c r="D99" i="1"/>
  <c r="C99" i="1"/>
  <c r="C104" i="1" s="1"/>
  <c r="B99" i="1"/>
  <c r="N99" i="1" s="1"/>
  <c r="AM98" i="1"/>
  <c r="AK90" i="1"/>
  <c r="AD90" i="1"/>
  <c r="G90" i="1"/>
  <c r="AH89" i="1"/>
  <c r="AG89" i="1"/>
  <c r="AF89" i="1"/>
  <c r="AE89" i="1"/>
  <c r="AC89" i="1"/>
  <c r="AB89" i="1"/>
  <c r="AA89" i="1"/>
  <c r="Z89" i="1"/>
  <c r="Y89" i="1"/>
  <c r="X89" i="1"/>
  <c r="W89" i="1"/>
  <c r="U89" i="1"/>
  <c r="T89" i="1"/>
  <c r="R89" i="1"/>
  <c r="Q89" i="1"/>
  <c r="M89" i="1"/>
  <c r="L89" i="1"/>
  <c r="K89" i="1"/>
  <c r="I89" i="1"/>
  <c r="H89" i="1"/>
  <c r="F89" i="1"/>
  <c r="E89" i="1"/>
  <c r="AJ88" i="1"/>
  <c r="AI88" i="1"/>
  <c r="V88" i="1"/>
  <c r="S88" i="1"/>
  <c r="J88" i="1"/>
  <c r="D88" i="1"/>
  <c r="D89" i="1" s="1"/>
  <c r="C88" i="1"/>
  <c r="B88" i="1"/>
  <c r="N88" i="1" s="1"/>
  <c r="O88" i="1" s="1"/>
  <c r="AM87" i="1"/>
  <c r="AM90" i="1" s="1"/>
  <c r="AJ87" i="1"/>
  <c r="AI87" i="1"/>
  <c r="AI89" i="1" s="1"/>
  <c r="V87" i="1"/>
  <c r="S87" i="1"/>
  <c r="J87" i="1"/>
  <c r="C87" i="1"/>
  <c r="C89" i="1" s="1"/>
  <c r="B87" i="1"/>
  <c r="N87" i="1" s="1"/>
  <c r="AK80" i="1"/>
  <c r="AD80" i="1"/>
  <c r="G80" i="1"/>
  <c r="AM79" i="1"/>
  <c r="AJ79" i="1"/>
  <c r="AI79" i="1"/>
  <c r="AH79" i="1"/>
  <c r="AG79" i="1"/>
  <c r="AF79" i="1"/>
  <c r="AE79" i="1"/>
  <c r="AC79" i="1"/>
  <c r="AB79" i="1"/>
  <c r="AA79" i="1"/>
  <c r="Z79" i="1"/>
  <c r="Y79" i="1"/>
  <c r="X79" i="1"/>
  <c r="W79" i="1"/>
  <c r="U79" i="1"/>
  <c r="T79" i="1"/>
  <c r="R79" i="1"/>
  <c r="Q79" i="1"/>
  <c r="P79" i="1"/>
  <c r="O79" i="1"/>
  <c r="N79" i="1"/>
  <c r="M79" i="1"/>
  <c r="L79" i="1"/>
  <c r="K79" i="1"/>
  <c r="J79" i="1"/>
  <c r="I79" i="1"/>
  <c r="H79" i="1"/>
  <c r="F79" i="1"/>
  <c r="E79" i="1"/>
  <c r="D79" i="1"/>
  <c r="S78" i="1"/>
  <c r="C78" i="1"/>
  <c r="B78" i="1"/>
  <c r="V77" i="1"/>
  <c r="V79" i="1" s="1"/>
  <c r="S77" i="1"/>
  <c r="C77" i="1"/>
  <c r="G77" i="1" s="1"/>
  <c r="B77" i="1"/>
  <c r="AM76" i="1"/>
  <c r="AM69" i="1"/>
  <c r="AD69" i="1"/>
  <c r="AJ68" i="1"/>
  <c r="AI68" i="1"/>
  <c r="AH68" i="1"/>
  <c r="AG68" i="1"/>
  <c r="AF68" i="1"/>
  <c r="AE68" i="1"/>
  <c r="AC68" i="1"/>
  <c r="AB68" i="1"/>
  <c r="AA68" i="1"/>
  <c r="Z68" i="1"/>
  <c r="Y68" i="1"/>
  <c r="X68" i="1"/>
  <c r="W68" i="1"/>
  <c r="U68" i="1"/>
  <c r="T68" i="1"/>
  <c r="R68" i="1"/>
  <c r="Q68" i="1"/>
  <c r="M68" i="1"/>
  <c r="L68" i="1"/>
  <c r="K68" i="1"/>
  <c r="I68" i="1"/>
  <c r="H68" i="1"/>
  <c r="F68" i="1"/>
  <c r="E68" i="1"/>
  <c r="D68" i="1"/>
  <c r="V67" i="1"/>
  <c r="V68" i="1" s="1"/>
  <c r="S67" i="1"/>
  <c r="S68" i="1" s="1"/>
  <c r="J67" i="1"/>
  <c r="J68" i="1" s="1"/>
  <c r="C67" i="1"/>
  <c r="C68" i="1" s="1"/>
  <c r="B67" i="1"/>
  <c r="N67" i="1" s="1"/>
  <c r="AK62" i="1"/>
  <c r="AD62" i="1"/>
  <c r="G62" i="1"/>
  <c r="AJ61" i="1"/>
  <c r="AI61" i="1"/>
  <c r="AH61" i="1"/>
  <c r="AG61" i="1"/>
  <c r="AC61" i="1"/>
  <c r="AB61" i="1"/>
  <c r="AA61" i="1"/>
  <c r="Y61" i="1"/>
  <c r="X61" i="1"/>
  <c r="W61" i="1"/>
  <c r="U61" i="1"/>
  <c r="S61" i="1"/>
  <c r="R61" i="1"/>
  <c r="Q61" i="1"/>
  <c r="M61" i="1"/>
  <c r="K61" i="1"/>
  <c r="F61" i="1"/>
  <c r="E61" i="1"/>
  <c r="AM60" i="1"/>
  <c r="V60" i="1"/>
  <c r="J60" i="1"/>
  <c r="D60" i="1"/>
  <c r="C60" i="1"/>
  <c r="G60" i="1" s="1"/>
  <c r="B60" i="1"/>
  <c r="N60" i="1" s="1"/>
  <c r="AF59" i="1"/>
  <c r="AF61" i="1" s="1"/>
  <c r="AE59" i="1"/>
  <c r="I59" i="1"/>
  <c r="J59" i="1" s="1"/>
  <c r="D59" i="1"/>
  <c r="C59" i="1"/>
  <c r="G59" i="1" s="1"/>
  <c r="B59" i="1"/>
  <c r="N59" i="1" s="1"/>
  <c r="V58" i="1"/>
  <c r="J58" i="1"/>
  <c r="D58" i="1"/>
  <c r="C58" i="1"/>
  <c r="B58" i="1"/>
  <c r="N58" i="1" s="1"/>
  <c r="O58" i="1" s="1"/>
  <c r="Z57" i="1"/>
  <c r="C57" i="1"/>
  <c r="G57" i="1" s="1"/>
  <c r="AO57" i="1" s="1"/>
  <c r="B57" i="1"/>
  <c r="V56" i="1"/>
  <c r="N56" i="1"/>
  <c r="J56" i="1"/>
  <c r="C56" i="1"/>
  <c r="G56" i="1" s="1"/>
  <c r="AO56" i="1" s="1"/>
  <c r="AM55" i="1"/>
  <c r="V55" i="1"/>
  <c r="J55" i="1"/>
  <c r="D55" i="1"/>
  <c r="C55" i="1"/>
  <c r="B55" i="1"/>
  <c r="N55" i="1" s="1"/>
  <c r="Z54" i="1"/>
  <c r="Z61" i="1" s="1"/>
  <c r="V54" i="1"/>
  <c r="I54" i="1"/>
  <c r="H54" i="1"/>
  <c r="C54" i="1"/>
  <c r="G54" i="1" s="1"/>
  <c r="B54" i="1"/>
  <c r="N54" i="1" s="1"/>
  <c r="O54" i="1" s="1"/>
  <c r="P54" i="1" s="1"/>
  <c r="V53" i="1"/>
  <c r="I53" i="1"/>
  <c r="J53" i="1" s="1"/>
  <c r="D53" i="1"/>
  <c r="C53" i="1"/>
  <c r="B53" i="1"/>
  <c r="N53" i="1" s="1"/>
  <c r="V52" i="1"/>
  <c r="I52" i="1"/>
  <c r="J52" i="1" s="1"/>
  <c r="D52" i="1"/>
  <c r="C52" i="1"/>
  <c r="B52" i="1"/>
  <c r="N52" i="1" s="1"/>
  <c r="O52" i="1" s="1"/>
  <c r="V51" i="1"/>
  <c r="L51" i="1"/>
  <c r="L61" i="1" s="1"/>
  <c r="J51" i="1"/>
  <c r="C51" i="1"/>
  <c r="G51" i="1" s="1"/>
  <c r="B51" i="1"/>
  <c r="N51" i="1" s="1"/>
  <c r="O51" i="1" s="1"/>
  <c r="P51" i="1" s="1"/>
  <c r="AE50" i="1"/>
  <c r="AE61" i="1" s="1"/>
  <c r="V50" i="1"/>
  <c r="J50" i="1"/>
  <c r="C50" i="1"/>
  <c r="G50" i="1" s="1"/>
  <c r="AO50" i="1" s="1"/>
  <c r="B50" i="1"/>
  <c r="N50" i="1" s="1"/>
  <c r="AK42" i="1"/>
  <c r="AD42" i="1"/>
  <c r="T42" i="1"/>
  <c r="G42" i="1"/>
  <c r="AJ41" i="1"/>
  <c r="AI41" i="1"/>
  <c r="AC41" i="1"/>
  <c r="AB41" i="1"/>
  <c r="AA41" i="1"/>
  <c r="X41" i="1"/>
  <c r="U41" i="1"/>
  <c r="U42" i="1" s="1"/>
  <c r="R41" i="1"/>
  <c r="Q41" i="1"/>
  <c r="K41" i="1"/>
  <c r="E41" i="1"/>
  <c r="V40" i="1"/>
  <c r="I40" i="1"/>
  <c r="J40" i="1" s="1"/>
  <c r="C40" i="1"/>
  <c r="G40" i="1" s="1"/>
  <c r="B40" i="1"/>
  <c r="N40" i="1" s="1"/>
  <c r="AM39" i="1"/>
  <c r="Y39" i="1"/>
  <c r="V39" i="1"/>
  <c r="I39" i="1"/>
  <c r="J39" i="1" s="1"/>
  <c r="C39" i="1"/>
  <c r="G39" i="1" s="1"/>
  <c r="B39" i="1"/>
  <c r="N39" i="1" s="1"/>
  <c r="V38" i="1"/>
  <c r="J38" i="1"/>
  <c r="D38" i="1"/>
  <c r="C38" i="1"/>
  <c r="G38" i="1" s="1"/>
  <c r="B38" i="1"/>
  <c r="N38" i="1" s="1"/>
  <c r="AH37" i="1"/>
  <c r="AE37" i="1"/>
  <c r="Z37" i="1"/>
  <c r="V37" i="1"/>
  <c r="I37" i="1"/>
  <c r="H37" i="1"/>
  <c r="D37" i="1"/>
  <c r="C37" i="1"/>
  <c r="B37" i="1"/>
  <c r="N37" i="1" s="1"/>
  <c r="V36" i="1"/>
  <c r="J36" i="1"/>
  <c r="C36" i="1"/>
  <c r="G36" i="1" s="1"/>
  <c r="B36" i="1"/>
  <c r="N36" i="1" s="1"/>
  <c r="Y35" i="1"/>
  <c r="V35" i="1"/>
  <c r="J35" i="1"/>
  <c r="C35" i="1"/>
  <c r="G35" i="1" s="1"/>
  <c r="B35" i="1"/>
  <c r="N35" i="1" s="1"/>
  <c r="AM34" i="1"/>
  <c r="V34" i="1"/>
  <c r="J34" i="1"/>
  <c r="C34" i="1"/>
  <c r="G34" i="1" s="1"/>
  <c r="B34" i="1"/>
  <c r="N34" i="1" s="1"/>
  <c r="O34" i="1" s="1"/>
  <c r="P34" i="1" s="1"/>
  <c r="V33" i="1"/>
  <c r="J33" i="1"/>
  <c r="D33" i="1"/>
  <c r="C33" i="1"/>
  <c r="B33" i="1"/>
  <c r="N33" i="1" s="1"/>
  <c r="AH32" i="1"/>
  <c r="V32" i="1"/>
  <c r="I32" i="1"/>
  <c r="J32" i="1" s="1"/>
  <c r="F32" i="1"/>
  <c r="D32" i="1"/>
  <c r="C32" i="1"/>
  <c r="B32" i="1"/>
  <c r="N32" i="1" s="1"/>
  <c r="O32" i="1" s="1"/>
  <c r="AE31" i="1"/>
  <c r="Y31" i="1"/>
  <c r="V31" i="1"/>
  <c r="I31" i="1"/>
  <c r="H31" i="1"/>
  <c r="C31" i="1"/>
  <c r="G31" i="1" s="1"/>
  <c r="B31" i="1"/>
  <c r="N31" i="1" s="1"/>
  <c r="AF30" i="1"/>
  <c r="AE30" i="1"/>
  <c r="V30" i="1"/>
  <c r="I30" i="1"/>
  <c r="J30" i="1" s="1"/>
  <c r="C30" i="1"/>
  <c r="G30" i="1" s="1"/>
  <c r="B30" i="1"/>
  <c r="N30" i="1" s="1"/>
  <c r="V29" i="1"/>
  <c r="J29" i="1"/>
  <c r="D29" i="1"/>
  <c r="C29" i="1"/>
  <c r="B29" i="1"/>
  <c r="N29" i="1" s="1"/>
  <c r="O29" i="1" s="1"/>
  <c r="V28" i="1"/>
  <c r="J28" i="1"/>
  <c r="F28" i="1"/>
  <c r="C28" i="1"/>
  <c r="B28" i="1"/>
  <c r="N28" i="1" s="1"/>
  <c r="O28" i="1" s="1"/>
  <c r="V27" i="1"/>
  <c r="J27" i="1"/>
  <c r="F27" i="1"/>
  <c r="C27" i="1"/>
  <c r="B27" i="1"/>
  <c r="N27" i="1" s="1"/>
  <c r="O27" i="1" s="1"/>
  <c r="AG26" i="1"/>
  <c r="AE26" i="1"/>
  <c r="V26" i="1"/>
  <c r="I26" i="1"/>
  <c r="H26" i="1"/>
  <c r="C26" i="1"/>
  <c r="G26" i="1" s="1"/>
  <c r="B26" i="1"/>
  <c r="N26" i="1" s="1"/>
  <c r="V25" i="1"/>
  <c r="J25" i="1"/>
  <c r="F25" i="1"/>
  <c r="C25" i="1"/>
  <c r="B25" i="1"/>
  <c r="N25" i="1" s="1"/>
  <c r="O25" i="1" s="1"/>
  <c r="AL24" i="1"/>
  <c r="V24" i="1"/>
  <c r="N24" i="1"/>
  <c r="O24" i="1" s="1"/>
  <c r="I24" i="1"/>
  <c r="H24" i="1"/>
  <c r="B24" i="1"/>
  <c r="C24" i="1" s="1"/>
  <c r="G24" i="1" s="1"/>
  <c r="V23" i="1"/>
  <c r="N23" i="1"/>
  <c r="O23" i="1" s="1"/>
  <c r="P23" i="1" s="1"/>
  <c r="I23" i="1"/>
  <c r="H23" i="1"/>
  <c r="B23" i="1"/>
  <c r="C23" i="1" s="1"/>
  <c r="G23" i="1" s="1"/>
  <c r="AE22" i="1"/>
  <c r="V22" i="1"/>
  <c r="I22" i="1"/>
  <c r="H22" i="1"/>
  <c r="F22" i="1"/>
  <c r="C22" i="1"/>
  <c r="B22" i="1"/>
  <c r="N22" i="1" s="1"/>
  <c r="Y21" i="1"/>
  <c r="V21" i="1"/>
  <c r="J21" i="1"/>
  <c r="F21" i="1"/>
  <c r="D21" i="1"/>
  <c r="C21" i="1"/>
  <c r="B21" i="1"/>
  <c r="N21" i="1" s="1"/>
  <c r="O21" i="1" s="1"/>
  <c r="Y20" i="1"/>
  <c r="V20" i="1"/>
  <c r="M20" i="1"/>
  <c r="M41" i="1" s="1"/>
  <c r="I20" i="1"/>
  <c r="J20" i="1" s="1"/>
  <c r="C20" i="1"/>
  <c r="G20" i="1" s="1"/>
  <c r="B20" i="1"/>
  <c r="N20" i="1" s="1"/>
  <c r="O20" i="1" s="1"/>
  <c r="V19" i="1"/>
  <c r="J19" i="1"/>
  <c r="F19" i="1"/>
  <c r="C19" i="1"/>
  <c r="B19" i="1"/>
  <c r="N19" i="1" s="1"/>
  <c r="AG18" i="1"/>
  <c r="Z18" i="1"/>
  <c r="V18" i="1"/>
  <c r="J18" i="1"/>
  <c r="C18" i="1"/>
  <c r="G18" i="1" s="1"/>
  <c r="B18" i="1"/>
  <c r="N18" i="1" s="1"/>
  <c r="O18" i="1" s="1"/>
  <c r="AE17" i="1"/>
  <c r="W17" i="1"/>
  <c r="W41" i="1" s="1"/>
  <c r="W42" i="1" s="1"/>
  <c r="V17" i="1"/>
  <c r="S17" i="1"/>
  <c r="J17" i="1"/>
  <c r="F17" i="1"/>
  <c r="C17" i="1"/>
  <c r="B17" i="1"/>
  <c r="N17" i="1" s="1"/>
  <c r="O17" i="1" s="1"/>
  <c r="V16" i="1"/>
  <c r="I16" i="1"/>
  <c r="J16" i="1" s="1"/>
  <c r="D16" i="1"/>
  <c r="C16" i="1"/>
  <c r="B16" i="1"/>
  <c r="N16" i="1" s="1"/>
  <c r="O16" i="1" s="1"/>
  <c r="P16" i="1" s="1"/>
  <c r="Y15" i="1"/>
  <c r="V15" i="1"/>
  <c r="J15" i="1"/>
  <c r="C15" i="1"/>
  <c r="G15" i="1" s="1"/>
  <c r="B15" i="1"/>
  <c r="N15" i="1" s="1"/>
  <c r="AE14" i="1"/>
  <c r="V14" i="1"/>
  <c r="J14" i="1"/>
  <c r="C14" i="1"/>
  <c r="G14" i="1" s="1"/>
  <c r="B14" i="1"/>
  <c r="N14" i="1" s="1"/>
  <c r="AE13" i="1"/>
  <c r="Y13" i="1"/>
  <c r="V13" i="1"/>
  <c r="I13" i="1"/>
  <c r="J13" i="1" s="1"/>
  <c r="F13" i="1"/>
  <c r="C13" i="1"/>
  <c r="B13" i="1"/>
  <c r="N13" i="1" s="1"/>
  <c r="O13" i="1" s="1"/>
  <c r="P13" i="1" s="1"/>
  <c r="AL12" i="1"/>
  <c r="V12" i="1"/>
  <c r="S12" i="1"/>
  <c r="O12" i="1"/>
  <c r="P12" i="1" s="1"/>
  <c r="I12" i="1"/>
  <c r="H12" i="1"/>
  <c r="B12" i="1"/>
  <c r="C12" i="1" s="1"/>
  <c r="G12" i="1" s="1"/>
  <c r="V11" i="1"/>
  <c r="J11" i="1"/>
  <c r="C11" i="1"/>
  <c r="G11" i="1" s="1"/>
  <c r="B11" i="1"/>
  <c r="N11" i="1" s="1"/>
  <c r="V10" i="1"/>
  <c r="I10" i="1"/>
  <c r="H10" i="1"/>
  <c r="C10" i="1"/>
  <c r="G10" i="1" s="1"/>
  <c r="B10" i="1"/>
  <c r="N10" i="1" s="1"/>
  <c r="V9" i="1"/>
  <c r="J9" i="1"/>
  <c r="C9" i="1"/>
  <c r="G9" i="1" s="1"/>
  <c r="B9" i="1"/>
  <c r="N9" i="1" s="1"/>
  <c r="Y8" i="1"/>
  <c r="V8" i="1"/>
  <c r="J8" i="1"/>
  <c r="D8" i="1"/>
  <c r="C8" i="1"/>
  <c r="B8" i="1"/>
  <c r="N8" i="1" s="1"/>
  <c r="AG7" i="1"/>
  <c r="AF7" i="1"/>
  <c r="AE7" i="1"/>
  <c r="V7" i="1"/>
  <c r="L7" i="1"/>
  <c r="L41" i="1" s="1"/>
  <c r="L42" i="1" s="1"/>
  <c r="I7" i="1"/>
  <c r="D7" i="1"/>
  <c r="C7" i="1"/>
  <c r="B7" i="1"/>
  <c r="N7" i="1" s="1"/>
  <c r="Z41" i="1" l="1"/>
  <c r="C79" i="1"/>
  <c r="AF41" i="1"/>
  <c r="S41" i="1"/>
  <c r="T23" i="1"/>
  <c r="AM23" i="1" s="1"/>
  <c r="AN23" i="1" s="1"/>
  <c r="G8" i="1"/>
  <c r="AD8" i="1" s="1"/>
  <c r="AK8" i="1" s="1"/>
  <c r="J26" i="1"/>
  <c r="AD101" i="1"/>
  <c r="AK101" i="1" s="1"/>
  <c r="AO102" i="1"/>
  <c r="AO103" i="1"/>
  <c r="G29" i="1"/>
  <c r="D41" i="1"/>
  <c r="G25" i="1"/>
  <c r="AD25" i="1" s="1"/>
  <c r="AK25" i="1" s="1"/>
  <c r="G32" i="1"/>
  <c r="AO32" i="1" s="1"/>
  <c r="G28" i="1"/>
  <c r="AD28" i="1" s="1"/>
  <c r="AK28" i="1" s="1"/>
  <c r="G53" i="1"/>
  <c r="T53" i="1" s="1"/>
  <c r="G88" i="1"/>
  <c r="S89" i="1"/>
  <c r="P88" i="1"/>
  <c r="G21" i="1"/>
  <c r="G16" i="1"/>
  <c r="G100" i="1"/>
  <c r="J23" i="1"/>
  <c r="T59" i="1"/>
  <c r="AO59" i="1" s="1"/>
  <c r="G13" i="1"/>
  <c r="T13" i="1" s="1"/>
  <c r="AD13" i="1" s="1"/>
  <c r="AK13" i="1" s="1"/>
  <c r="AC106" i="1"/>
  <c r="AM80" i="1"/>
  <c r="G7" i="1"/>
  <c r="AG41" i="1"/>
  <c r="J37" i="1"/>
  <c r="AM116" i="1"/>
  <c r="Q106" i="1"/>
  <c r="S79" i="1"/>
  <c r="D61" i="1"/>
  <c r="G87" i="1"/>
  <c r="AD87" i="1" s="1"/>
  <c r="G27" i="1"/>
  <c r="AD27" i="1" s="1"/>
  <c r="AK27" i="1" s="1"/>
  <c r="J31" i="1"/>
  <c r="G55" i="1"/>
  <c r="AO55" i="1" s="1"/>
  <c r="O37" i="1"/>
  <c r="P37" i="1" s="1"/>
  <c r="AD77" i="1"/>
  <c r="I61" i="1"/>
  <c r="V41" i="1"/>
  <c r="J12" i="1"/>
  <c r="AD14" i="1"/>
  <c r="AK14" i="1" s="1"/>
  <c r="J24" i="1"/>
  <c r="G33" i="1"/>
  <c r="AO33" i="1" s="1"/>
  <c r="G58" i="1"/>
  <c r="AO58" i="1" s="1"/>
  <c r="AM61" i="1"/>
  <c r="G78" i="1"/>
  <c r="J89" i="1"/>
  <c r="AJ89" i="1"/>
  <c r="AJ106" i="1" s="1"/>
  <c r="X106" i="1"/>
  <c r="AB106" i="1"/>
  <c r="S104" i="1"/>
  <c r="P100" i="1"/>
  <c r="AE41" i="1"/>
  <c r="AO11" i="1"/>
  <c r="AD51" i="1"/>
  <c r="AK51" i="1" s="1"/>
  <c r="V104" i="1"/>
  <c r="P103" i="1"/>
  <c r="E106" i="1"/>
  <c r="U106" i="1"/>
  <c r="J104" i="1"/>
  <c r="AF106" i="1"/>
  <c r="Y41" i="1"/>
  <c r="J10" i="1"/>
  <c r="AD15" i="1"/>
  <c r="AK15" i="1" s="1"/>
  <c r="G17" i="1"/>
  <c r="G19" i="1"/>
  <c r="AD19" i="1" s="1"/>
  <c r="AK19" i="1" s="1"/>
  <c r="G22" i="1"/>
  <c r="T22" i="1" s="1"/>
  <c r="P24" i="1"/>
  <c r="P32" i="1"/>
  <c r="AH41" i="1"/>
  <c r="AD34" i="1"/>
  <c r="AK34" i="1" s="1"/>
  <c r="G37" i="1"/>
  <c r="G52" i="1"/>
  <c r="AO52" i="1" s="1"/>
  <c r="J54" i="1"/>
  <c r="J61" i="1" s="1"/>
  <c r="G67" i="1"/>
  <c r="G68" i="1" s="1"/>
  <c r="V89" i="1"/>
  <c r="G99" i="1"/>
  <c r="Y104" i="1"/>
  <c r="M106" i="1"/>
  <c r="AM111" i="1"/>
  <c r="O9" i="1"/>
  <c r="P9" i="1" s="1"/>
  <c r="O10" i="1"/>
  <c r="P10" i="1" s="1"/>
  <c r="AO10" i="1"/>
  <c r="AD10" i="1"/>
  <c r="AK10" i="1" s="1"/>
  <c r="AO8" i="1"/>
  <c r="O19" i="1"/>
  <c r="P19" i="1" s="1"/>
  <c r="G43" i="1"/>
  <c r="G44" i="1" s="1"/>
  <c r="T24" i="1"/>
  <c r="AD24" i="1" s="1"/>
  <c r="AK24" i="1" s="1"/>
  <c r="T7" i="1"/>
  <c r="AD7" i="1" s="1"/>
  <c r="N41" i="1"/>
  <c r="N42" i="1" s="1"/>
  <c r="O8" i="1"/>
  <c r="P8" i="1" s="1"/>
  <c r="AO9" i="1"/>
  <c r="AD11" i="1"/>
  <c r="AK11" i="1" s="1"/>
  <c r="AO15" i="1"/>
  <c r="T16" i="1"/>
  <c r="AO16" i="1" s="1"/>
  <c r="AD17" i="1"/>
  <c r="AK17" i="1" s="1"/>
  <c r="T18" i="1"/>
  <c r="AO18" i="1" s="1"/>
  <c r="AO21" i="1"/>
  <c r="AO25" i="1"/>
  <c r="AD32" i="1"/>
  <c r="AK32" i="1" s="1"/>
  <c r="O33" i="1"/>
  <c r="P33" i="1" s="1"/>
  <c r="AG106" i="1"/>
  <c r="I41" i="1"/>
  <c r="O7" i="1"/>
  <c r="P7" i="1" s="1"/>
  <c r="AD9" i="1"/>
  <c r="AK9" i="1" s="1"/>
  <c r="T12" i="1"/>
  <c r="AM12" i="1" s="1"/>
  <c r="AN12" i="1" s="1"/>
  <c r="O14" i="1"/>
  <c r="P14" i="1" s="1"/>
  <c r="AO14" i="1"/>
  <c r="O15" i="1"/>
  <c r="P15" i="1" s="1"/>
  <c r="AD16" i="1"/>
  <c r="AK16" i="1" s="1"/>
  <c r="AD20" i="1"/>
  <c r="AK20" i="1" s="1"/>
  <c r="P20" i="1"/>
  <c r="AO20" i="1"/>
  <c r="O22" i="1"/>
  <c r="P22" i="1" s="1"/>
  <c r="O26" i="1"/>
  <c r="P26" i="1" s="1"/>
  <c r="P27" i="1"/>
  <c r="P28" i="1"/>
  <c r="P29" i="1"/>
  <c r="AO34" i="1"/>
  <c r="AO36" i="1"/>
  <c r="AD36" i="1"/>
  <c r="AK36" i="1" s="1"/>
  <c r="O38" i="1"/>
  <c r="P38" i="1" s="1"/>
  <c r="AD38" i="1"/>
  <c r="AK38" i="1" s="1"/>
  <c r="N68" i="1"/>
  <c r="O67" i="1"/>
  <c r="O68" i="1" s="1"/>
  <c r="L106" i="1"/>
  <c r="C41" i="1"/>
  <c r="J7" i="1"/>
  <c r="O11" i="1"/>
  <c r="P11" i="1" s="1"/>
  <c r="AO17" i="1"/>
  <c r="AO19" i="1"/>
  <c r="P25" i="1"/>
  <c r="T26" i="1"/>
  <c r="AD26" i="1" s="1"/>
  <c r="AK26" i="1" s="1"/>
  <c r="AD33" i="1"/>
  <c r="AK33" i="1" s="1"/>
  <c r="O39" i="1"/>
  <c r="P39" i="1" s="1"/>
  <c r="T40" i="1"/>
  <c r="AO40" i="1" s="1"/>
  <c r="P17" i="1"/>
  <c r="P18" i="1"/>
  <c r="P21" i="1"/>
  <c r="AD21" i="1"/>
  <c r="AK21" i="1" s="1"/>
  <c r="J22" i="1"/>
  <c r="H41" i="1"/>
  <c r="H42" i="1" s="1"/>
  <c r="AO23" i="1"/>
  <c r="AD23" i="1"/>
  <c r="AK23" i="1" s="1"/>
  <c r="AO27" i="1"/>
  <c r="AO28" i="1"/>
  <c r="AO29" i="1"/>
  <c r="AD29" i="1"/>
  <c r="AK29" i="1" s="1"/>
  <c r="O30" i="1"/>
  <c r="P30" i="1" s="1"/>
  <c r="T30" i="1"/>
  <c r="AD30" i="1" s="1"/>
  <c r="AK30" i="1" s="1"/>
  <c r="O31" i="1"/>
  <c r="P31" i="1" s="1"/>
  <c r="T31" i="1"/>
  <c r="AO31" i="1" s="1"/>
  <c r="O36" i="1"/>
  <c r="P36" i="1" s="1"/>
  <c r="T37" i="1"/>
  <c r="AO37" i="1" s="1"/>
  <c r="O55" i="1"/>
  <c r="P55" i="1" s="1"/>
  <c r="Y106" i="1"/>
  <c r="AO51" i="1"/>
  <c r="N89" i="1"/>
  <c r="O87" i="1"/>
  <c r="O89" i="1" s="1"/>
  <c r="AO101" i="1"/>
  <c r="N104" i="1"/>
  <c r="AA106" i="1"/>
  <c r="AM24" i="1"/>
  <c r="AN24" i="1" s="1"/>
  <c r="O35" i="1"/>
  <c r="P35" i="1" s="1"/>
  <c r="O40" i="1"/>
  <c r="P40" i="1" s="1"/>
  <c r="O50" i="1"/>
  <c r="P50" i="1" s="1"/>
  <c r="N61" i="1"/>
  <c r="N62" i="1" s="1"/>
  <c r="O53" i="1"/>
  <c r="P53" i="1" s="1"/>
  <c r="AD55" i="1"/>
  <c r="AK55" i="1" s="1"/>
  <c r="AD56" i="1"/>
  <c r="AK56" i="1" s="1"/>
  <c r="AD57" i="1"/>
  <c r="AK57" i="1" s="1"/>
  <c r="O59" i="1"/>
  <c r="P59" i="1" s="1"/>
  <c r="O60" i="1"/>
  <c r="P60" i="1" s="1"/>
  <c r="H61" i="1"/>
  <c r="D104" i="1"/>
  <c r="D106" i="1" s="1"/>
  <c r="O99" i="1"/>
  <c r="O104" i="1" s="1"/>
  <c r="AE106" i="1"/>
  <c r="AD103" i="1"/>
  <c r="AK103" i="1" s="1"/>
  <c r="K106" i="1"/>
  <c r="W106" i="1"/>
  <c r="AH106" i="1"/>
  <c r="F41" i="1"/>
  <c r="F106" i="1" s="1"/>
  <c r="T39" i="1"/>
  <c r="AD39" i="1" s="1"/>
  <c r="AK39" i="1" s="1"/>
  <c r="C61" i="1"/>
  <c r="V61" i="1"/>
  <c r="AD52" i="1"/>
  <c r="AK52" i="1" s="1"/>
  <c r="AO77" i="1"/>
  <c r="AK87" i="1"/>
  <c r="AO87" i="1"/>
  <c r="AO88" i="1"/>
  <c r="AD88" i="1"/>
  <c r="AK88" i="1" s="1"/>
  <c r="T100" i="1"/>
  <c r="P102" i="1"/>
  <c r="AD102" i="1"/>
  <c r="AK102" i="1" s="1"/>
  <c r="R106" i="1"/>
  <c r="AI106" i="1"/>
  <c r="T35" i="1"/>
  <c r="AD35" i="1" s="1"/>
  <c r="AK35" i="1" s="1"/>
  <c r="AO38" i="1"/>
  <c r="AD50" i="1"/>
  <c r="P52" i="1"/>
  <c r="O56" i="1"/>
  <c r="P56" i="1" s="1"/>
  <c r="P58" i="1"/>
  <c r="AD60" i="1"/>
  <c r="AK60" i="1" s="1"/>
  <c r="AO60" i="1"/>
  <c r="T99" i="1"/>
  <c r="G104" i="1"/>
  <c r="S106" i="1"/>
  <c r="I104" i="1"/>
  <c r="I106" i="1" s="1"/>
  <c r="Z106" i="1"/>
  <c r="T54" i="1"/>
  <c r="AD54" i="1" s="1"/>
  <c r="AK54" i="1" s="1"/>
  <c r="V106" i="1" l="1"/>
  <c r="G61" i="1"/>
  <c r="AD58" i="1"/>
  <c r="AK58" i="1" s="1"/>
  <c r="AD37" i="1"/>
  <c r="AK37" i="1" s="1"/>
  <c r="AD59" i="1"/>
  <c r="AK59" i="1" s="1"/>
  <c r="AO26" i="1"/>
  <c r="AO39" i="1"/>
  <c r="AD12" i="1"/>
  <c r="AK12" i="1" s="1"/>
  <c r="AM119" i="1"/>
  <c r="AD22" i="1"/>
  <c r="AK22" i="1" s="1"/>
  <c r="AO22" i="1"/>
  <c r="AO24" i="1"/>
  <c r="G41" i="1"/>
  <c r="AD67" i="1"/>
  <c r="AK67" i="1" s="1"/>
  <c r="AK68" i="1" s="1"/>
  <c r="AO7" i="1"/>
  <c r="G89" i="1"/>
  <c r="AD99" i="1"/>
  <c r="AK99" i="1" s="1"/>
  <c r="AO30" i="1"/>
  <c r="AP30" i="1" s="1"/>
  <c r="AD78" i="1"/>
  <c r="AK78" i="1" s="1"/>
  <c r="AO78" i="1"/>
  <c r="AO79" i="1" s="1"/>
  <c r="G79" i="1"/>
  <c r="AO35" i="1"/>
  <c r="AO89" i="1"/>
  <c r="C106" i="1"/>
  <c r="AD18" i="1"/>
  <c r="AK18" i="1" s="1"/>
  <c r="AO13" i="1"/>
  <c r="AK77" i="1"/>
  <c r="T104" i="1"/>
  <c r="AO99" i="1"/>
  <c r="G106" i="1"/>
  <c r="T61" i="1"/>
  <c r="AO53" i="1"/>
  <c r="H106" i="1"/>
  <c r="O61" i="1"/>
  <c r="P87" i="1"/>
  <c r="P89" i="1" s="1"/>
  <c r="P99" i="1"/>
  <c r="P104" i="1" s="1"/>
  <c r="AD40" i="1"/>
  <c r="AK40" i="1" s="1"/>
  <c r="P41" i="1"/>
  <c r="AP55" i="1"/>
  <c r="AD31" i="1"/>
  <c r="AK31" i="1" s="1"/>
  <c r="AK7" i="1"/>
  <c r="AO12" i="1"/>
  <c r="AO54" i="1"/>
  <c r="AD89" i="1"/>
  <c r="AD53" i="1"/>
  <c r="AK53" i="1" s="1"/>
  <c r="N106" i="1"/>
  <c r="J41" i="1"/>
  <c r="J106" i="1" s="1"/>
  <c r="P67" i="1"/>
  <c r="P68" i="1" s="1"/>
  <c r="O41" i="1"/>
  <c r="AK50" i="1"/>
  <c r="AO100" i="1"/>
  <c r="AO104" i="1" s="1"/>
  <c r="AD100" i="1"/>
  <c r="AK100" i="1" s="1"/>
  <c r="AK89" i="1"/>
  <c r="P61" i="1"/>
  <c r="T41" i="1"/>
  <c r="AP8" i="1"/>
  <c r="AD68" i="1" l="1"/>
  <c r="AO41" i="1"/>
  <c r="O106" i="1"/>
  <c r="AD79" i="1"/>
  <c r="AK61" i="1"/>
  <c r="AD61" i="1"/>
  <c r="AO61" i="1"/>
  <c r="T106" i="1"/>
  <c r="AD41" i="1"/>
  <c r="AD43" i="1" s="1"/>
  <c r="AD44" i="1" s="1"/>
  <c r="AK79" i="1"/>
  <c r="AK104" i="1"/>
  <c r="P106" i="1"/>
  <c r="AK41" i="1"/>
  <c r="AK43" i="1" s="1"/>
  <c r="AD104" i="1"/>
  <c r="AK106" i="1" l="1"/>
  <c r="AD106" i="1"/>
  <c r="AM41" i="1"/>
  <c r="AK44" i="1"/>
  <c r="AO42" i="1"/>
  <c r="AM121" i="1" l="1"/>
  <c r="AM122" i="1" s="1"/>
  <c r="AM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Ma. Eliza Borja</author>
    <author>Ma. Eliza Delis Borja</author>
    <author>Author</author>
    <author>Jing Borja</author>
  </authors>
  <commentList>
    <comment ref="B7" authorId="0" shapeId="0" xr:uid="{73003FBD-6D77-4977-BDBF-F01BDF9FD32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32100.00 old</t>
        </r>
      </text>
    </comment>
    <comment ref="L7" authorId="1" shapeId="0" xr:uid="{D6E0EBF9-5183-4CB7-BA98-FE2C014E602E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SALARY LOAN 1845.80
</t>
        </r>
      </text>
    </comment>
    <comment ref="T7" authorId="2" shapeId="0" xr:uid="{9C2A34FD-1F30-4C2E-8254-6F25CBA02A5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8" authorId="0" shapeId="0" xr:uid="{B0423E65-71B6-4521-9F61-1E4B2CD2C1C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15729.00 old</t>
        </r>
      </text>
    </comment>
    <comment ref="L8" authorId="0" shapeId="0" xr:uid="{DC5B1632-DCF3-473F-A443-C2593F560A5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7/15/2022 SSS SAL. LOAN 1430.49
1ST DEDUCTION</t>
        </r>
      </text>
    </comment>
    <comment ref="W8" authorId="3" shapeId="0" xr:uid="{0EFDF759-0EA0-4807-A90C-3EA7F18F7840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950.00 NEW HDMF LOAN</t>
        </r>
      </text>
    </comment>
    <comment ref="Y8" authorId="1" shapeId="0" xr:uid="{01219BEE-B8B7-4295-97ED-15599267277B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CA</t>
        </r>
      </text>
    </comment>
    <comment ref="B9" authorId="0" shapeId="0" xr:uid="{89C213F0-8CEB-4DBF-8060-C4E5E11AAED3}">
      <text>
        <r>
          <rPr>
            <b/>
            <sz val="9"/>
            <color indexed="81"/>
            <rFont val="Tahoma"/>
            <family val="2"/>
          </rPr>
          <t>Ma. Eliza Borja:14867.50 OLD</t>
        </r>
      </text>
    </comment>
    <comment ref="B10" authorId="0" shapeId="0" xr:uid="{2FD25557-2E0E-44A3-8EB8-DFEC4ECEDAF6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B11" authorId="0" shapeId="0" xr:uid="{7B8939E1-257D-49F1-96D1-553B49C369C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17,167.50 old</t>
        </r>
      </text>
    </comment>
    <comment ref="L11" authorId="0" shapeId="0" xr:uid="{AB1FC87C-14E5-4D7F-A6BD-9CD2F0D1573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5/15/2022 NEW SSS SALARY LOAN 784.46</t>
        </r>
      </text>
    </comment>
    <comment ref="B12" authorId="0" shapeId="0" xr:uid="{55BDEDF6-3447-430A-A00C-9E3CAE5913B9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increase from 125,000 to 150,000 effective june 2022
ADD 30K OCT 2023</t>
        </r>
      </text>
    </comment>
    <comment ref="T12" authorId="2" shapeId="0" xr:uid="{3CD67076-7D0E-4D7A-A16F-69274DD3E84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T13" authorId="2" shapeId="0" xr:uid="{DF1A076E-80D9-4372-BE33-C1BC9A16A6E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W13" authorId="0" shapeId="0" xr:uid="{EFE74A4A-7218-47A1-B739-6ED75998BD9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1ST DEDUCTION 
3680.46 PAG-IBIG SALARY LOAN</t>
        </r>
      </text>
    </comment>
    <comment ref="Y13" authorId="1" shapeId="0" xr:uid="{6460F9A0-F839-41C1-9923-D040A01AE19B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CA 1500.00</t>
        </r>
      </text>
    </comment>
    <comment ref="L14" authorId="1" shapeId="0" xr:uid="{49D57E60-8B34-4B97-9262-26CE27ED0017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NEW SSS SALARY LOAN 1753.51
</t>
        </r>
      </text>
    </comment>
    <comment ref="AH14" authorId="0" shapeId="0" xr:uid="{A55680EB-341B-4EF7-82E1-2BE8769578A9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STOP DEVELOPMENTAL 
</t>
        </r>
      </text>
    </comment>
    <comment ref="B15" authorId="0" shapeId="0" xr:uid="{773B292E-0FDD-47AD-A868-D9FD880BF69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14,170.00 old
15170 OLD</t>
        </r>
      </text>
    </comment>
    <comment ref="L15" authorId="0" shapeId="0" xr:uid="{FB4F2D92-B61C-4A14-82CC-3388233B8AA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 1384.35
</t>
        </r>
      </text>
    </comment>
    <comment ref="W15" authorId="0" shapeId="0" xr:uid="{5429CC89-32F4-4FB3-9EBC-22D5615461FB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398.91 PAG IBIG SALARY LOAN</t>
        </r>
      </text>
    </comment>
    <comment ref="Y15" authorId="2" shapeId="0" xr:uid="{0A5BD6BC-A6D1-4AB4-95E5-9011B642997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c.a 1000.00
1500+1500 </t>
        </r>
      </text>
    </comment>
    <comment ref="B16" authorId="0" shapeId="0" xr:uid="{90BB6A97-D39E-4EB1-A7B7-63F68C6A972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21507 old 
25137 new
</t>
        </r>
      </text>
    </comment>
    <comment ref="L16" authorId="0" shapeId="0" xr:uid="{B1FE06A8-A568-4684-AEA9-51C70C66F40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LOAN 1845.80</t>
        </r>
      </text>
    </comment>
    <comment ref="T16" authorId="2" shapeId="0" xr:uid="{E0CB7FF8-6111-4CD9-AC35-398E0CBB71B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AH16" authorId="0" shapeId="0" xr:uid="{EA7B6CA0-E06A-4F32-AEF6-B08DA6BA81D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STOP DEVELOPMENTAL 
</t>
        </r>
      </text>
    </comment>
    <comment ref="L17" authorId="3" shapeId="0" xr:uid="{1A47B675-9745-44E4-AD33-A4CDE1EA8D39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1799.65 1ST DEDUCTION</t>
        </r>
      </text>
    </comment>
    <comment ref="W17" authorId="0" shapeId="0" xr:uid="{94CA5629-E5BE-463E-B1E8-CBD16CD3BE6C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HDMF SAL. LOAN
add: 1743.66 last deduction </t>
        </r>
      </text>
    </comment>
    <comment ref="L18" authorId="3" shapeId="0" xr:uid="{C97166C9-4873-4B99-866E-479B88DFC49F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1845.8 SSS SALARY LOAN 1ST DEDUCTION</t>
        </r>
      </text>
    </comment>
    <comment ref="T18" authorId="2" shapeId="0" xr:uid="{CE6AB2E9-4C92-4E7D-B8A6-57B747D2C1C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W18" authorId="1" shapeId="0" xr:uid="{EB86A6ED-7213-4949-94D6-1EAB7CEB869C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3826.05 HDMF SALARY LOAN</t>
        </r>
      </text>
    </comment>
    <comment ref="B19" authorId="0" shapeId="0" xr:uid="{04D6B6A2-1BB2-43EC-9AD3-A95B8E612D76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13,080.00 old</t>
        </r>
      </text>
    </comment>
    <comment ref="L19" authorId="2" shapeId="0" xr:uid="{DD6AE0C8-7EDC-4CCB-8B73-2D596B3503AE}">
      <text>
        <r>
          <rPr>
            <b/>
            <sz val="9"/>
            <color indexed="81"/>
            <rFont val="Tahoma"/>
            <family val="2"/>
          </rPr>
          <t>Ma. Eliza Borja:NEW SSS LOAN 1061.33 5/15/2021
1292.06 DEDUCTION FOR SEPT</t>
        </r>
      </text>
    </comment>
    <comment ref="B20" authorId="0" shapeId="0" xr:uid="{4ECEFDFB-205F-489A-997A-D879F34DBF0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20,140.00 old</t>
        </r>
      </text>
    </comment>
    <comment ref="L20" authorId="1" shapeId="0" xr:uid="{C9B3953A-A8B5-431C-868F-43422ED67823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SALARY LOAN 1845.8
</t>
        </r>
      </text>
    </comment>
    <comment ref="W20" authorId="0" shapeId="0" xr:uid="{EEC9E69A-D63E-455B-9BFE-7F3AC5F52B3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1514.63 HDMF LOAN
NO DEDUCTION FOR MAY 2023</t>
        </r>
      </text>
    </comment>
    <comment ref="Y20" authorId="2" shapeId="0" xr:uid="{96757825-EC2A-461B-B520-71E006F2C87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450.00 last ca
new c.a. oct. 15
1000.00
</t>
        </r>
      </text>
    </comment>
    <comment ref="B21" authorId="0" shapeId="0" xr:uid="{B9F1CE9D-4297-485D-A7E9-8DF2A28BCB8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15264.00 old</t>
        </r>
      </text>
    </comment>
    <comment ref="L21" authorId="0" shapeId="0" xr:uid="{73FDC5D3-0AF6-47E3-B049-8A1D816FAE5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 1522.78</t>
        </r>
      </text>
    </comment>
    <comment ref="W21" authorId="3" shapeId="0" xr:uid="{F2CD1259-67A8-4378-93ED-6F076432638D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HDMF LOAN1748.92
</t>
        </r>
      </text>
    </comment>
    <comment ref="Y21" authorId="3" shapeId="0" xr:uid="{76505529-633A-498E-BE12-89D161B05E70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CA</t>
        </r>
      </text>
    </comment>
    <comment ref="B22" authorId="3" shapeId="0" xr:uid="{D7EE9F4A-44FE-4F1C-BFE3-5A2F38AE907C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20520 OLD</t>
        </r>
      </text>
    </comment>
    <comment ref="L22" authorId="3" shapeId="0" xr:uid="{1124D768-4030-48E7-994B-F9EDDB7E0549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SSS SALARY LOAN 1ST DEDUCTION</t>
        </r>
      </text>
    </comment>
    <comment ref="W22" authorId="3" shapeId="0" xr:uid="{1F0CEE4C-4FB9-4AED-8752-4FCD7663247C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HDMF LOAN 1417.00
</t>
        </r>
      </text>
    </comment>
    <comment ref="B23" authorId="2" shapeId="0" xr:uid="{37142232-BCA1-4FF2-BE9A-C85125D0A7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7/02/2020 as per mam eunice 125,000 monthly salary</t>
        </r>
      </text>
    </comment>
    <comment ref="T23" authorId="2" shapeId="0" xr:uid="{47619D84-9D64-4962-AB21-3C6DF8F744C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24" authorId="0" shapeId="0" xr:uid="{9437868E-2B68-43F3-8E80-828536916E16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increase from 125,000 to 150,000 effective june 2022
ADD 30K OCT. 2023
ADD 50K FEB 2024</t>
        </r>
      </text>
    </comment>
    <comment ref="T24" authorId="2" shapeId="0" xr:uid="{D0FCB998-73CD-49BA-98BD-8C8A1BF6E0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25" authorId="0" shapeId="0" xr:uid="{BBDDE0ED-64DF-40BF-B6C3-6469FA875EBF}">
      <text>
        <r>
          <rPr>
            <b/>
            <sz val="9"/>
            <color indexed="81"/>
            <rFont val="Tahoma"/>
            <family val="2"/>
          </rPr>
          <t>Ma. Eliza Borja:
16000 OLD</t>
        </r>
      </text>
    </comment>
    <comment ref="AB25" authorId="1" shapeId="0" xr:uid="{A1E1FC84-28CF-46BD-BDF0-3DDB49DEF03E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13th month adj.</t>
        </r>
      </text>
    </comment>
    <comment ref="B26" authorId="3" shapeId="0" xr:uid="{3B12E2E4-C8C6-48AC-8252-02FA542880CB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20710 OLD</t>
        </r>
      </text>
    </comment>
    <comment ref="T26" authorId="3" shapeId="0" xr:uid="{7E57960E-3278-43D8-BD3E-71694D6D4886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W26" authorId="3" shapeId="0" xr:uid="{73FA0C22-B337-4AA1-84DA-873FDAB3F847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HDMF SAL. LOAN 1ST DEDUCTION</t>
        </r>
      </text>
    </comment>
    <comment ref="B27" authorId="0" shapeId="0" xr:uid="{6D1700BF-826E-4519-8CF5-6F53AEF4B8D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OLD 19,000.00
NEW 20,000.00</t>
        </r>
      </text>
    </comment>
    <comment ref="B28" authorId="0" shapeId="0" xr:uid="{0CB96B2E-8C01-469E-9878-D1E625C1340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</t>
        </r>
      </text>
    </comment>
    <comment ref="B29" authorId="0" shapeId="0" xr:uid="{9DE7B834-21E5-4AE3-B532-40460186D22D}">
      <text>
        <r>
          <rPr>
            <b/>
            <sz val="9"/>
            <color indexed="81"/>
            <rFont val="Tahoma"/>
            <family val="2"/>
          </rPr>
          <t>Ma. Eliza Borja
16000.00 OLD
17316.00 NEW</t>
        </r>
      </text>
    </comment>
    <comment ref="B30" authorId="0" shapeId="0" xr:uid="{FE455D93-77BE-4673-94C7-C1CCB184B7B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19822.00 old
</t>
        </r>
      </text>
    </comment>
    <comment ref="L30" authorId="0" shapeId="0" xr:uid="{E0CE5FE8-527E-4311-A48E-15196AF80F7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SSS LOAN 1799.65</t>
        </r>
      </text>
    </comment>
    <comment ref="T30" authorId="3" shapeId="0" xr:uid="{B76E6E0A-E35F-4626-B169-8CCC92D3E79D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W30" authorId="0" shapeId="0" xr:uid="{F06A2FB2-D8A5-447F-904E-CC23BE4627BB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SAL LOAN</t>
        </r>
      </text>
    </comment>
    <comment ref="AC30" authorId="1" shapeId="0" xr:uid="{CBCDE0E7-A449-41A6-8C8F-B9A447288369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salary loan return</t>
        </r>
      </text>
    </comment>
    <comment ref="T31" authorId="2" shapeId="0" xr:uid="{F474B7F1-69FC-4E82-9198-1B0CC4FCF2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Y31" authorId="3" shapeId="0" xr:uid="{D77B78E7-64B5-4850-B3A6-E03A747E873C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CA</t>
        </r>
      </text>
    </comment>
    <comment ref="B32" authorId="3" shapeId="0" xr:uid="{BF6483D5-D3ED-4816-BB75-9C77FD44FE62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16940 OLD</t>
        </r>
      </text>
    </comment>
    <comment ref="B33" authorId="0" shapeId="0" xr:uid="{35FBBF78-ECAA-4DA1-8668-C7A3D76D34A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17133.00 old</t>
        </r>
      </text>
    </comment>
    <comment ref="L33" authorId="0" shapeId="0" xr:uid="{024D1571-500D-4D87-83D2-DB36C48D8D7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SSS SALARY LOAN 1661.22</t>
        </r>
      </text>
    </comment>
    <comment ref="Y33" authorId="0" shapeId="0" xr:uid="{E421DD6C-C2F1-4F07-B3C0-67A90D46EB0C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 ca 1250.00
LAST CA 1750.00</t>
        </r>
      </text>
    </comment>
    <comment ref="B34" authorId="0" shapeId="0" xr:uid="{6A05F3B3-CC01-4B6F-8D93-0FD881D9ED5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15000 OLD</t>
        </r>
      </text>
    </comment>
    <comment ref="L34" authorId="1" shapeId="0" xr:uid="{871C2318-70E7-4149-97F6-0D432934991F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SALAY LOAN 738.32</t>
        </r>
      </text>
    </comment>
    <comment ref="B35" authorId="0" shapeId="0" xr:uid="{A355FD8B-751C-4CE7-AAE9-98EB6ACD6486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FROM HFC TRANSFER TO DRDC
15000 OLD
30000 NEW</t>
        </r>
      </text>
    </comment>
    <comment ref="L35" authorId="1" shapeId="0" xr:uid="{08CDDFA5-9055-4628-AE3D-96146732265E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NEW SSS SALARY LOAN 1523.08
</t>
        </r>
      </text>
    </comment>
    <comment ref="T35" authorId="3" shapeId="0" xr:uid="{00A9FF58-4F4C-45B7-8BA5-CB2C8AB9F852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Y35" authorId="1" shapeId="0" xr:uid="{A538049D-1E47-4160-9B30-D7883B23195C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c.a. 1000.00</t>
        </r>
      </text>
    </comment>
    <comment ref="B36" authorId="0" shapeId="0" xr:uid="{ECE101D3-BC5D-428F-86DA-BA735808D24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13,392.00 old</t>
        </r>
      </text>
    </comment>
    <comment ref="L36" authorId="0" shapeId="0" xr:uid="{F4BD00EC-3D28-438B-961A-7045357A480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</t>
        </r>
      </text>
    </comment>
    <comment ref="W36" authorId="0" shapeId="0" xr:uid="{3E3B0E45-DE75-4677-86D3-1E288F067ED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396.58 PAG IBIG SALARY LOAN </t>
        </r>
      </text>
    </comment>
    <comment ref="B37" authorId="3" shapeId="0" xr:uid="{3CA59784-0FC6-4DC4-A928-432CD07F3538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old 20140.00
</t>
        </r>
      </text>
    </comment>
    <comment ref="T37" authorId="3" shapeId="0" xr:uid="{A14703E2-3F85-42AA-BDA2-3A9F343B39CD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W37" authorId="1" shapeId="0" xr:uid="{C6138563-10CE-41B8-9924-F69E535FAA4B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HDMF SALARY LOAN</t>
        </r>
      </text>
    </comment>
    <comment ref="L38" authorId="1" shapeId="0" xr:uid="{2444603A-858B-414F-A3AD-3EF8FE9A72B5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SALARY LOAN 1845.80</t>
        </r>
      </text>
    </comment>
    <comment ref="W38" authorId="1" shapeId="0" xr:uid="{558F5505-6BC7-4109-A3DF-1CF9E5525077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HDMF SALARY LOAN</t>
        </r>
      </text>
    </comment>
    <comment ref="L39" authorId="0" shapeId="0" xr:uid="{4AD6A802-4358-4190-B8CC-1EFD403435B9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SSS SAL LOAN 1845.80</t>
        </r>
      </text>
    </comment>
    <comment ref="T39" authorId="3" shapeId="0" xr:uid="{9A6FD98A-5173-467A-88AB-71A5A6856632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40" authorId="0" shapeId="0" xr:uid="{A93D07B8-5FB1-42A5-A816-340A2754474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21,836.00 old</t>
        </r>
      </text>
    </comment>
    <comment ref="L40" authorId="1" shapeId="0" xr:uid="{9F5E5668-593A-46E9-8E68-73292FC3B0FF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salary loan</t>
        </r>
      </text>
    </comment>
    <comment ref="T40" authorId="3" shapeId="0" xr:uid="{1BC67D03-83BD-4515-A8DA-9A69831EC748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W40" authorId="1" shapeId="0" xr:uid="{91FC5331-3869-44FE-B4E5-BBF008C9C0FF}">
      <text>
        <r>
          <rPr>
            <b/>
            <sz val="9"/>
            <color indexed="81"/>
            <rFont val="Tahoma"/>
            <family val="2"/>
          </rPr>
          <t>Ma. Eliza Delis Borja:hdmf salary loan</t>
        </r>
      </text>
    </comment>
    <comment ref="L41" authorId="0" shapeId="0" xr:uid="{FE224A87-EF54-4C8F-AA26-BE1D7782D0BC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23691.80+660.84 OTHERS SSS SAL LOAN BAL YARTE JEFFREY</t>
        </r>
      </text>
    </comment>
    <comment ref="W41" authorId="0" shapeId="0" xr:uid="{112A2B11-9843-4C8F-9DB0-A7280B5EA00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12814.92+660.84 others deduction yarte jeffrey</t>
        </r>
      </text>
    </comment>
    <comment ref="G42" authorId="3" shapeId="0" xr:uid="{759EAE0C-5C2E-4ACC-843F-033FA259DC24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EMPLOYEE
</t>
        </r>
      </text>
    </comment>
    <comment ref="L42" authorId="0" shapeId="0" xr:uid="{99F213C0-A58A-41A8-9463-411D227467A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ADD:
OTHER DEDUCTION DOMIQUIL CONST. 841.01
6/30/2023</t>
        </r>
      </text>
    </comment>
    <comment ref="AD42" authorId="0" shapeId="0" xr:uid="{0EE54BBE-50E8-45B9-B54B-2E43E45A191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base on pay.reg.</t>
        </r>
      </text>
    </comment>
    <comment ref="AK42" authorId="0" shapeId="0" xr:uid="{14FF1F70-C230-4620-B994-973EE4D3DCF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base on payroll reg.</t>
        </r>
      </text>
    </comment>
    <comment ref="G43" authorId="3" shapeId="0" xr:uid="{A4A491FE-39DB-4266-99C9-9EB470F5265D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EXEC.</t>
        </r>
      </text>
    </comment>
    <comment ref="AD43" authorId="0" shapeId="0" xr:uid="{F550DCE5-3BC7-41C8-B9F6-6E927AFFEC8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exec</t>
        </r>
      </text>
    </comment>
    <comment ref="AK43" authorId="0" shapeId="0" xr:uid="{70208744-2172-4BE8-9AB7-3BC6D5E9286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exec</t>
        </r>
      </text>
    </comment>
    <comment ref="B50" authorId="0" shapeId="0" xr:uid="{5B373E19-0413-440C-AE13-54FC5E58969A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16786.00 old</t>
        </r>
      </text>
    </comment>
    <comment ref="W50" authorId="1" shapeId="0" xr:uid="{BB4A148A-1DA6-4622-B63A-281E218A3CE7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hdmf loan salary 941.46</t>
        </r>
      </text>
    </comment>
    <comment ref="L51" authorId="0" shapeId="0" xr:uid="{9F6EA977-64E6-4B16-B545-80DDF3F1A41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SAL. LOAN 1661.22
 SSS salary loan payment for July will be deducted on August 2nd half payou</t>
        </r>
      </text>
    </comment>
    <comment ref="B52" authorId="0" shapeId="0" xr:uid="{11DB3008-D2DD-4225-925A-593BD218D66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 
1ST SALARY</t>
        </r>
      </text>
    </comment>
    <comment ref="B53" authorId="0" shapeId="0" xr:uid="{147D8372-27C2-469F-A1C9-54324AD4018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18000.00 old
19303.00 old
28000 new</t>
        </r>
      </text>
    </comment>
    <comment ref="T53" authorId="2" shapeId="0" xr:uid="{415A694B-7994-4A80-A2DE-D2622E8458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54" authorId="3" shapeId="0" xr:uid="{31754611-FB8F-4F4A-9E4F-71FB0BCF7316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OLD 20K</t>
        </r>
      </text>
    </comment>
    <comment ref="T54" authorId="2" shapeId="0" xr:uid="{918683F4-3453-4E6F-89CE-AACBBAC47F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55" authorId="0" shapeId="0" xr:uid="{9B537EC3-30D1-466E-930E-CE7E17F1A37C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B57" authorId="0" shapeId="0" xr:uid="{505D6783-7B8D-4697-8361-B013D008ECA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27,200.00 old
</t>
        </r>
      </text>
    </comment>
    <comment ref="G57" authorId="1" shapeId="0" xr:uid="{7F0DE1E3-68BB-468A-A671-FCDC7789B960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FROM EP TO HER</t>
        </r>
      </text>
    </comment>
    <comment ref="Z57" authorId="0" shapeId="0" xr:uid="{9C7BD410-E8F0-4500-AF53-0934480AF18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2915.91 m.a.</t>
        </r>
      </text>
    </comment>
    <comment ref="B58" authorId="0" shapeId="0" xr:uid="{E7A6D314-5F83-4057-9B38-6603FD0D36B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B59" authorId="0" shapeId="0" xr:uid="{B8806343-9858-490A-BFCF-5E1EE0A8373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24600.00</t>
        </r>
      </text>
    </comment>
    <comment ref="T59" authorId="2" shapeId="0" xr:uid="{BF0272CB-8580-495D-9F8C-025BC11BDD0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60" authorId="0" shapeId="0" xr:uid="{9FBC0553-6910-478D-A642-6D9057A0F8C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12000 old
14000 new</t>
        </r>
      </text>
    </comment>
    <comment ref="L60" authorId="0" shapeId="0" xr:uid="{964B015C-B5E0-4726-8889-324C8CF2795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
</t>
        </r>
      </text>
    </comment>
    <comment ref="AK60" authorId="3" shapeId="0" xr:uid="{D638FB82-8219-49F6-BAA2-B9B2B72C30D1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CASH</t>
        </r>
      </text>
    </comment>
    <comment ref="L61" authorId="0" shapeId="0" xr:uid="{E15BF905-D6FF-45F0-8884-DDBC6A5C17D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4776.01+718.52 trinidad other deduction</t>
        </r>
      </text>
    </comment>
    <comment ref="B67" authorId="3" shapeId="0" xr:uid="{72FC6016-F969-45B5-8123-B92254B3C1C8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B77" authorId="3" shapeId="0" xr:uid="{5C01DDAD-34C2-46B8-9D3F-2CF278327006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L77" authorId="0" shapeId="0" xr:uid="{99222D7B-8C19-47E8-ABE5-BFB2FD2F4C7C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 1568.93</t>
        </r>
      </text>
    </comment>
    <comment ref="B78" authorId="0" shapeId="0" xr:uid="{9BFEBEBA-C4A4-4F30-9243-64471D424BA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11033.28 OLD 
16000 NEW</t>
        </r>
      </text>
    </comment>
    <comment ref="H78" authorId="1" shapeId="0" xr:uid="{F46A32E9-2B74-467D-AA78-41F3C5E9350C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NO CONTRI., TRANSFER TO HER</t>
        </r>
      </text>
    </comment>
    <comment ref="Y78" authorId="0" shapeId="0" xr:uid="{6D148415-2983-4D05-8835-11BA47EED53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1st c.a.</t>
        </r>
      </text>
    </comment>
    <comment ref="B87" authorId="0" shapeId="0" xr:uid="{A7FD2D52-461D-432C-925B-E6DB2B7BE13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14,100.00 old</t>
        </r>
      </text>
    </comment>
    <comment ref="B88" authorId="0" shapeId="0" xr:uid="{3E529504-0D2F-49F9-A37C-29F5A5BBA4AB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12000.00 old</t>
        </r>
      </text>
    </comment>
    <comment ref="X88" authorId="0" shapeId="0" xr:uid="{F93E76C0-1EEB-4FF6-A983-9A73C22C021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paid</t>
        </r>
      </text>
    </comment>
    <comment ref="B99" authorId="0" shapeId="0" xr:uid="{A6CB8EB8-A595-4465-B667-7C177EC1963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15,000.00 old
18000 OLD</t>
        </r>
      </text>
    </comment>
    <comment ref="T99" authorId="0" shapeId="0" xr:uid="{7702642C-509A-45B2-BE72-51F341086D1C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w/ tax</t>
        </r>
      </text>
    </comment>
    <comment ref="Y99" authorId="2" shapeId="0" xr:uid="{F2D79D9A-4263-4E01-A091-4027DEB6E59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 1000
</t>
        </r>
      </text>
    </comment>
    <comment ref="B100" authorId="0" shapeId="0" xr:uid="{BFCE1062-A857-4953-B828-A2AB7F0CBCBC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24,300.00 old</t>
        </r>
      </text>
    </comment>
    <comment ref="T100" authorId="0" shapeId="0" xr:uid="{B43880D3-5FC6-491C-9ABC-3A6086B85C8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w/ tax</t>
        </r>
      </text>
    </comment>
    <comment ref="B103" authorId="1" shapeId="0" xr:uid="{ABEB811F-627B-4BB8-9CC3-7F562CE76449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12350 OLD
13564.00 NEW</t>
        </r>
      </text>
    </comment>
    <comment ref="G108" authorId="0" shapeId="0" xr:uid="{A565670A-D9BE-4BC5-8294-0BD0821754F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QH 2</t>
        </r>
      </text>
    </comment>
    <comment ref="AL133" authorId="1" shapeId="0" xr:uid="{199B2F1C-3268-4896-A1A0-1024E3335F54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FROM WP TO 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Ma. Eliza Borja</author>
    <author>Ma. Eliza Delis Borja</author>
    <author>Author</author>
    <author>Jing Borja</author>
  </authors>
  <commentList>
    <comment ref="B2" authorId="0" shapeId="0" xr:uid="{EF751B01-37A2-4382-9BF2-FEBF92AD072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32100.00 old</t>
        </r>
      </text>
    </comment>
    <comment ref="L2" authorId="1" shapeId="0" xr:uid="{DBF1BC4B-1FCA-4679-BCB4-7061E14F75D5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SALARY LOAN 1845.80
</t>
        </r>
      </text>
    </comment>
    <comment ref="T2" authorId="2" shapeId="0" xr:uid="{048B9328-27A9-42E4-9BE6-0F616E4D5A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3" authorId="0" shapeId="0" xr:uid="{C0216A7B-5898-4F5B-9673-42CD3ACA045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15729.00 old</t>
        </r>
      </text>
    </comment>
    <comment ref="L3" authorId="0" shapeId="0" xr:uid="{BFE47CD4-33AE-4113-ABE1-167198C79609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7/15/2022 SSS SAL. LOAN 1430.49
1ST DEDUCTION</t>
        </r>
      </text>
    </comment>
    <comment ref="W3" authorId="3" shapeId="0" xr:uid="{193D6957-194B-4A57-B2A6-41198B68C1BA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950.00 NEW HDMF LOAN</t>
        </r>
      </text>
    </comment>
    <comment ref="Y3" authorId="1" shapeId="0" xr:uid="{805993B5-FBB9-46D3-ADE1-3130A7F427A3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CA</t>
        </r>
      </text>
    </comment>
    <comment ref="B4" authorId="0" shapeId="0" xr:uid="{3FFECD57-25C7-4DAA-BC87-235E890F9067}">
      <text>
        <r>
          <rPr>
            <b/>
            <sz val="9"/>
            <color indexed="81"/>
            <rFont val="Tahoma"/>
            <family val="2"/>
          </rPr>
          <t>Ma. Eliza Borja:14867.50 OLD</t>
        </r>
      </text>
    </comment>
    <comment ref="B5" authorId="0" shapeId="0" xr:uid="{38D94BCD-A2B1-42CA-B75A-3BDB46759FE9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B6" authorId="0" shapeId="0" xr:uid="{3C257AF0-E310-435E-B4AD-78B282264039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17,167.50 old</t>
        </r>
      </text>
    </comment>
    <comment ref="L6" authorId="0" shapeId="0" xr:uid="{2F06DFC3-7B10-4396-8DBB-B44C944130E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5/15/2022 NEW SSS SALARY LOAN 784.46</t>
        </r>
      </text>
    </comment>
    <comment ref="B7" authorId="0" shapeId="0" xr:uid="{ECCB5341-071F-45C2-A727-CE5369BD262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increase from 125,000 to 150,000 effective june 2022
ADD 30K OCT 2023</t>
        </r>
      </text>
    </comment>
    <comment ref="T7" authorId="2" shapeId="0" xr:uid="{B42E0343-B047-4648-9BE5-04C1C05815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T8" authorId="2" shapeId="0" xr:uid="{27272A88-E3D6-4068-B9C6-A6A1A89F869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W8" authorId="0" shapeId="0" xr:uid="{A9036082-5A3C-4688-863E-35E7844640D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1ST DEDUCTION 
3680.46 PAG-IBIG SALARY LOAN</t>
        </r>
      </text>
    </comment>
    <comment ref="Y8" authorId="1" shapeId="0" xr:uid="{F05CC580-7819-4944-AFCA-081987375A13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CA 1500.00</t>
        </r>
      </text>
    </comment>
    <comment ref="L9" authorId="1" shapeId="0" xr:uid="{8569C956-6915-4678-82C5-FA633FFFE397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NEW SSS SALARY LOAN 1753.51
</t>
        </r>
      </text>
    </comment>
    <comment ref="AH9" authorId="0" shapeId="0" xr:uid="{98770A5B-34B5-4F4A-A070-244EADDDA73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STOP DEVELOPMENTAL 
</t>
        </r>
      </text>
    </comment>
    <comment ref="B10" authorId="0" shapeId="0" xr:uid="{25854BA3-EEAB-4195-B45F-54828BE3983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14,170.00 old
15170 OLD</t>
        </r>
      </text>
    </comment>
    <comment ref="L10" authorId="0" shapeId="0" xr:uid="{F3AB4A34-EE3F-44A7-A6DC-07B8668CC80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 1384.35
</t>
        </r>
      </text>
    </comment>
    <comment ref="W10" authorId="0" shapeId="0" xr:uid="{7B4299C7-7B25-4732-B7FA-1B631A749A0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398.91 PAG IBIG SALARY LOAN</t>
        </r>
      </text>
    </comment>
    <comment ref="Y10" authorId="2" shapeId="0" xr:uid="{6DA2CD54-344A-4A15-B4C3-2FC19C1AA53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c.a 1000.00
1500+1500 </t>
        </r>
      </text>
    </comment>
    <comment ref="B11" authorId="0" shapeId="0" xr:uid="{A33A098C-91D2-442A-B2A2-8B013B5EAB1A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21507 old 
25137 new
</t>
        </r>
      </text>
    </comment>
    <comment ref="L11" authorId="0" shapeId="0" xr:uid="{41B08FE0-BA6B-4BF0-9F3F-9B62878F9F2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LOAN 1845.80</t>
        </r>
      </text>
    </comment>
    <comment ref="T11" authorId="2" shapeId="0" xr:uid="{6CE2DBB2-A0E2-446E-90E6-2AD162C937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AH11" authorId="0" shapeId="0" xr:uid="{E87D086D-10C3-453F-AE07-1B3FDA14EDA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STOP DEVELOPMENTAL 
</t>
        </r>
      </text>
    </comment>
    <comment ref="L12" authorId="3" shapeId="0" xr:uid="{7F5E4AD0-C17B-4CD5-BAB2-4761DCA5702E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1799.65 1ST DEDUCTION</t>
        </r>
      </text>
    </comment>
    <comment ref="W12" authorId="0" shapeId="0" xr:uid="{BFE95A0F-A36E-4336-A2D0-AC66CC8AADF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HDMF SAL. LOAN
add: 1743.66 last deduction </t>
        </r>
      </text>
    </comment>
    <comment ref="L13" authorId="3" shapeId="0" xr:uid="{C02F7327-461E-4C4B-838A-DC48D967B91F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1845.8 SSS SALARY LOAN 1ST DEDUCTION</t>
        </r>
      </text>
    </comment>
    <comment ref="T13" authorId="2" shapeId="0" xr:uid="{4D166E22-94E7-4BB0-AF74-7CE50210DB2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W13" authorId="1" shapeId="0" xr:uid="{5874E692-E3B6-4723-B633-F5E5D364C3CC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3826.05 HDMF SALARY LOAN</t>
        </r>
      </text>
    </comment>
    <comment ref="B14" authorId="0" shapeId="0" xr:uid="{C7D820DC-7A00-4B7A-A161-ED3FBE45D84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13,080.00 old</t>
        </r>
      </text>
    </comment>
    <comment ref="L14" authorId="2" shapeId="0" xr:uid="{DB16465E-7263-466A-A419-D33903847318}">
      <text>
        <r>
          <rPr>
            <b/>
            <sz val="9"/>
            <color indexed="81"/>
            <rFont val="Tahoma"/>
            <family val="2"/>
          </rPr>
          <t>Ma. Eliza Borja:NEW SSS LOAN 1061.33 5/15/2021
1292.06 DEDUCTION FOR SEPT</t>
        </r>
      </text>
    </comment>
    <comment ref="B15" authorId="0" shapeId="0" xr:uid="{F3550BA2-BD96-4A61-8E50-E6FBCF8AA9D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20,140.00 old</t>
        </r>
      </text>
    </comment>
    <comment ref="L15" authorId="1" shapeId="0" xr:uid="{1B1650D0-2A09-4A6D-B527-45DA2A9597D2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SALARY LOAN 1845.8
</t>
        </r>
      </text>
    </comment>
    <comment ref="W15" authorId="0" shapeId="0" xr:uid="{87C935F1-C2F2-4073-9738-AA104087B75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1514.63 HDMF LOAN
NO DEDUCTION FOR MAY 2023</t>
        </r>
      </text>
    </comment>
    <comment ref="Y15" authorId="2" shapeId="0" xr:uid="{E3E49693-495B-4385-8707-26ACA62CB5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450.00 last ca
new c.a. oct. 15
1000.00
</t>
        </r>
      </text>
    </comment>
    <comment ref="B16" authorId="0" shapeId="0" xr:uid="{22BE87FD-72F0-4C43-9E1C-9012056ACAE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15264.00 old</t>
        </r>
      </text>
    </comment>
    <comment ref="L16" authorId="0" shapeId="0" xr:uid="{EFF08D51-7866-4CAE-A29B-AB69D882463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 1522.78</t>
        </r>
      </text>
    </comment>
    <comment ref="W16" authorId="3" shapeId="0" xr:uid="{6B19AF23-4B83-49F2-BA86-AA9E40D3220A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HDMF LOAN1748.92
</t>
        </r>
      </text>
    </comment>
    <comment ref="Y16" authorId="3" shapeId="0" xr:uid="{8DDCB305-912C-4E73-8ECF-12BBE5232392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CA</t>
        </r>
      </text>
    </comment>
    <comment ref="B17" authorId="3" shapeId="0" xr:uid="{1FCB9915-74E1-4E95-947F-EBD9DF1CAA36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20520 OLD</t>
        </r>
      </text>
    </comment>
    <comment ref="L17" authorId="3" shapeId="0" xr:uid="{1D7CD8A2-8484-4F40-9634-FCE5DA7116C5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SSS SALARY LOAN 1ST DEDUCTION</t>
        </r>
      </text>
    </comment>
    <comment ref="W17" authorId="3" shapeId="0" xr:uid="{CAF14171-1355-4067-A72D-62A988AF155C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HDMF LOAN 1417.00
</t>
        </r>
      </text>
    </comment>
    <comment ref="B18" authorId="2" shapeId="0" xr:uid="{3317A8EE-89A5-47D5-B20B-CC491C3CEE9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7/02/2020 as per mam eunice 125,000 monthly salary</t>
        </r>
      </text>
    </comment>
    <comment ref="T18" authorId="2" shapeId="0" xr:uid="{538B1B67-D0DB-4A9F-B33A-9C817EE26CA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19" authorId="0" shapeId="0" xr:uid="{5F78E9F8-4B49-4891-B24F-54ED78E46FDB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increase from 125,000 to 150,000 effective june 2022
ADD 30K OCT. 2023
ADD 50K FEB 2024</t>
        </r>
      </text>
    </comment>
    <comment ref="T19" authorId="2" shapeId="0" xr:uid="{E63EFF0F-1F0A-4908-A013-FF65B6644DA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20" authorId="0" shapeId="0" xr:uid="{94D010E8-6A51-49DE-9C62-4AA92CB89ACB}">
      <text>
        <r>
          <rPr>
            <b/>
            <sz val="9"/>
            <color indexed="81"/>
            <rFont val="Tahoma"/>
            <family val="2"/>
          </rPr>
          <t>Ma. Eliza Borja:
16000 OLD</t>
        </r>
      </text>
    </comment>
    <comment ref="AB20" authorId="1" shapeId="0" xr:uid="{2B04C544-0300-44A1-83AC-C1A31BA8C679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13th month adj.</t>
        </r>
      </text>
    </comment>
    <comment ref="B21" authorId="3" shapeId="0" xr:uid="{FAC98A5B-21D5-43EF-AE39-A9054333036F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20710 OLD</t>
        </r>
      </text>
    </comment>
    <comment ref="T21" authorId="3" shapeId="0" xr:uid="{5382DAB9-E71A-45D9-8A00-04CAF8D33C1E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W21" authorId="3" shapeId="0" xr:uid="{86FF70A1-C02D-4571-AD1E-906A6A0475BE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HDMF SAL. LOAN 1ST DEDUCTION</t>
        </r>
      </text>
    </comment>
    <comment ref="B22" authorId="0" shapeId="0" xr:uid="{93718162-2F8B-44D2-A1E7-27F0ECCD2E5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OLD 19,000.00
NEW 20,000.00</t>
        </r>
      </text>
    </comment>
    <comment ref="B23" authorId="0" shapeId="0" xr:uid="{E12C2FE7-50AA-4AC6-A69E-F0834E922FD7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</t>
        </r>
      </text>
    </comment>
    <comment ref="B24" authorId="0" shapeId="0" xr:uid="{216FC7F6-052A-4F8B-B9EA-D8FB0A6CDBCC}">
      <text>
        <r>
          <rPr>
            <b/>
            <sz val="9"/>
            <color indexed="81"/>
            <rFont val="Tahoma"/>
            <family val="2"/>
          </rPr>
          <t>Ma. Eliza Borja
16000.00 OLD
17316.00 NEW</t>
        </r>
      </text>
    </comment>
    <comment ref="B25" authorId="0" shapeId="0" xr:uid="{8A2677C3-A069-435C-8611-772DAFDD262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19822.00 old
</t>
        </r>
      </text>
    </comment>
    <comment ref="L25" authorId="0" shapeId="0" xr:uid="{D276046C-33EC-4BA3-B19A-90D7E6A15D57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SSS LOAN 1799.65</t>
        </r>
      </text>
    </comment>
    <comment ref="T25" authorId="3" shapeId="0" xr:uid="{9AF903FD-EC2A-40E8-BA91-4F944CD89B64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W25" authorId="0" shapeId="0" xr:uid="{9CC9A7F7-95E5-4EAC-A002-B57C04D4EBE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SAL LOAN</t>
        </r>
      </text>
    </comment>
    <comment ref="AC25" authorId="1" shapeId="0" xr:uid="{E002D2B4-A0F2-41FF-8880-9A353DEC4CFA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salary loan return</t>
        </r>
      </text>
    </comment>
    <comment ref="T26" authorId="2" shapeId="0" xr:uid="{9991C91E-0511-4224-A3DA-F35A60A6C7A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Y26" authorId="3" shapeId="0" xr:uid="{8E693346-FB11-45EE-8676-7B16E55EB9CD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CA</t>
        </r>
      </text>
    </comment>
    <comment ref="B27" authorId="3" shapeId="0" xr:uid="{7D5D5D72-5969-414D-8FDD-D0F9FCA10730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16940 OLD</t>
        </r>
      </text>
    </comment>
    <comment ref="B28" authorId="0" shapeId="0" xr:uid="{655AE051-9456-464C-9809-142F37F5F34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17133.00 old</t>
        </r>
      </text>
    </comment>
    <comment ref="L28" authorId="0" shapeId="0" xr:uid="{144E9F4C-B612-4D17-B262-A5DB64B0B3B7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SSS SALARY LOAN 1661.22</t>
        </r>
      </text>
    </comment>
    <comment ref="Y28" authorId="0" shapeId="0" xr:uid="{DB885416-8BF0-4D8F-B684-69650A61FDE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 ca 1250.00
LAST CA 1750.00</t>
        </r>
      </text>
    </comment>
    <comment ref="B29" authorId="0" shapeId="0" xr:uid="{A1384A6D-4261-4371-9565-CCAA85CD0B9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15000 OLD</t>
        </r>
      </text>
    </comment>
    <comment ref="L29" authorId="1" shapeId="0" xr:uid="{094983E2-DF36-48A3-A5E9-00B6635348DD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SALAY LOAN 738.32</t>
        </r>
      </text>
    </comment>
    <comment ref="B30" authorId="0" shapeId="0" xr:uid="{A1117A78-D863-40B8-AF3B-5B4047FD240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FROM HFC TRANSFER TO DRDC
15000 OLD
30000 NEW</t>
        </r>
      </text>
    </comment>
    <comment ref="L30" authorId="1" shapeId="0" xr:uid="{205E2893-EF94-4844-9A19-7C7CE20BE3AF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NEW SSS SALARY LOAN 1523.08
</t>
        </r>
      </text>
    </comment>
    <comment ref="T30" authorId="3" shapeId="0" xr:uid="{0074F78C-8E15-4D69-86AF-3F69EBF19CC0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Y30" authorId="1" shapeId="0" xr:uid="{BC32CC24-C990-4210-9B1E-8E0CBA3DE571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c.a. 1000.00</t>
        </r>
      </text>
    </comment>
    <comment ref="B31" authorId="0" shapeId="0" xr:uid="{D7425C01-1F32-4D2E-92E4-107F586616F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13,392.00 old</t>
        </r>
      </text>
    </comment>
    <comment ref="L31" authorId="0" shapeId="0" xr:uid="{10ECD562-C561-41FF-B547-EB21DED3B077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</t>
        </r>
      </text>
    </comment>
    <comment ref="W31" authorId="0" shapeId="0" xr:uid="{EEAFDB5A-470E-47B5-992A-239238F24E8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396.58 PAG IBIG SALARY LOAN </t>
        </r>
      </text>
    </comment>
    <comment ref="B32" authorId="3" shapeId="0" xr:uid="{55BABED0-12E9-435D-B3E9-C9DFB139FC3A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old 20140.00
</t>
        </r>
      </text>
    </comment>
    <comment ref="T32" authorId="3" shapeId="0" xr:uid="{286DC206-D5D6-4BB4-9B53-2A98239EB3E8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W32" authorId="1" shapeId="0" xr:uid="{5BADEAED-E7FD-4180-9235-8487A7637EDF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HDMF SALARY LOAN</t>
        </r>
      </text>
    </comment>
    <comment ref="L33" authorId="1" shapeId="0" xr:uid="{ECBB25CC-38BA-4434-85F0-3A5681F56F7E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SALARY LOAN 1845.80</t>
        </r>
      </text>
    </comment>
    <comment ref="W33" authorId="1" shapeId="0" xr:uid="{D8CAE4AA-3C52-4256-862E-5257BD251872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HDMF SALARY LOAN</t>
        </r>
      </text>
    </comment>
    <comment ref="L34" authorId="0" shapeId="0" xr:uid="{93FFE9E0-8639-48D3-85DF-3B282786A89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SSS SAL LOAN 1845.80</t>
        </r>
      </text>
    </comment>
    <comment ref="T34" authorId="3" shapeId="0" xr:uid="{7C31E307-D401-4E30-8B9A-B37713C6B9B2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35" authorId="0" shapeId="0" xr:uid="{F87CE5B1-F385-4F50-A17E-C7D4AB32F196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21,836.00 old</t>
        </r>
      </text>
    </comment>
    <comment ref="L35" authorId="1" shapeId="0" xr:uid="{3B77B3F3-45EA-4245-AA4F-3F573FBB40B0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salary loan</t>
        </r>
      </text>
    </comment>
    <comment ref="T35" authorId="3" shapeId="0" xr:uid="{FFD6CE12-D605-4A04-A0C4-F2E77BAA4BD2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W35" authorId="1" shapeId="0" xr:uid="{FD7E062A-145F-4851-B684-812D23C4212A}">
      <text>
        <r>
          <rPr>
            <b/>
            <sz val="9"/>
            <color indexed="81"/>
            <rFont val="Tahoma"/>
            <family val="2"/>
          </rPr>
          <t>Ma. Eliza Delis Borja:hdmf salary loan</t>
        </r>
      </text>
    </comment>
    <comment ref="B36" authorId="0" shapeId="0" xr:uid="{62B972FC-4320-4B00-89D5-F25F953D37A9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16786.00 old</t>
        </r>
      </text>
    </comment>
    <comment ref="W36" authorId="1" shapeId="0" xr:uid="{C5434854-EDDD-4209-AC83-864ABED85762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hdmf loan salary 941.46</t>
        </r>
      </text>
    </comment>
    <comment ref="L37" authorId="0" shapeId="0" xr:uid="{77EE527B-DAC4-453F-9F88-FCC86569BB2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SAL. LOAN 1661.22
 SSS salary loan payment for July will be deducted on August 2nd half payou</t>
        </r>
      </text>
    </comment>
    <comment ref="B38" authorId="0" shapeId="0" xr:uid="{3E5E987C-1B62-4881-B7E8-28F637619BD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 
1ST SALARY</t>
        </r>
      </text>
    </comment>
    <comment ref="B39" authorId="0" shapeId="0" xr:uid="{2753B754-FD1C-419D-AEBB-7F26C5433AF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18000.00 old
19303.00 old
28000 new</t>
        </r>
      </text>
    </comment>
    <comment ref="T39" authorId="2" shapeId="0" xr:uid="{55A53783-280A-4EAC-B105-3713BE28A59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40" authorId="3" shapeId="0" xr:uid="{FC6DFB0F-E79C-4F45-A94C-147C666F6721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OLD 20K</t>
        </r>
      </text>
    </comment>
    <comment ref="T40" authorId="2" shapeId="0" xr:uid="{C4157EE7-0CAC-4151-9F82-593AC31318C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41" authorId="0" shapeId="0" xr:uid="{685AFE97-EA7A-4DC6-8BDD-833DADBCF23A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B43" authorId="0" shapeId="0" xr:uid="{5B493570-4E00-4382-AB4F-A7C2CBF4CC8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27,200.00 old
</t>
        </r>
      </text>
    </comment>
    <comment ref="G43" authorId="1" shapeId="0" xr:uid="{3CD4A9AE-6639-45C2-9711-998468C8C005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FROM EP TO HER</t>
        </r>
      </text>
    </comment>
    <comment ref="Z43" authorId="0" shapeId="0" xr:uid="{F57297EC-5C5C-47A2-8179-3177941F0106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2915.91 m.a.</t>
        </r>
      </text>
    </comment>
    <comment ref="B44" authorId="0" shapeId="0" xr:uid="{36FE8F83-E97E-4964-A987-21BFAB52C84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B45" authorId="0" shapeId="0" xr:uid="{24842BDF-7198-4056-A4C9-C9009F2DADF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24600.00</t>
        </r>
      </text>
    </comment>
    <comment ref="T45" authorId="2" shapeId="0" xr:uid="{A173C4D9-1822-4E60-9435-318CD945FA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46" authorId="0" shapeId="0" xr:uid="{ED13BE3A-DDA0-41D0-B090-528DB2B81E86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12000 old
14000 new</t>
        </r>
      </text>
    </comment>
    <comment ref="L46" authorId="0" shapeId="0" xr:uid="{4C598E51-5FC7-4D88-98CA-1148B85DFC1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
</t>
        </r>
      </text>
    </comment>
    <comment ref="AK46" authorId="3" shapeId="0" xr:uid="{27FE12B0-08A7-4F57-8059-225D5737EDD4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CASH</t>
        </r>
      </text>
    </comment>
    <comment ref="B47" authorId="3" shapeId="0" xr:uid="{4F6BD8F0-A10A-4658-8998-41432F55B3FB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L47" authorId="0" shapeId="0" xr:uid="{9E2C6A8A-B6FC-4EE6-8153-004E3EC7269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 1568.93</t>
        </r>
      </text>
    </comment>
    <comment ref="B48" authorId="0" shapeId="0" xr:uid="{7DA60F0C-6408-4950-8949-7A239C3188B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11033.28 OLD 
16000 NEW</t>
        </r>
      </text>
    </comment>
    <comment ref="H48" authorId="1" shapeId="0" xr:uid="{436B4EE7-3F25-4E9F-A83F-4D6A111F92BD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NO CONTRI., TRANSFER TO HER</t>
        </r>
      </text>
    </comment>
    <comment ref="Y48" authorId="0" shapeId="0" xr:uid="{73FD9F7B-5D08-45FB-B76F-1D20332E71F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1st c.a.</t>
        </r>
      </text>
    </comment>
    <comment ref="B49" authorId="0" shapeId="0" xr:uid="{7B8D7442-B4B6-41E3-9F8D-A3109DA3A25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14,100.00 old</t>
        </r>
      </text>
    </comment>
    <comment ref="B50" authorId="0" shapeId="0" xr:uid="{794B6CA2-B041-44EB-8E5C-7230743D9D06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12000.00 old</t>
        </r>
      </text>
    </comment>
    <comment ref="X50" authorId="0" shapeId="0" xr:uid="{74490BD4-903D-444E-8B47-7CC43CEF152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paid</t>
        </r>
      </text>
    </comment>
    <comment ref="B51" authorId="0" shapeId="0" xr:uid="{29F5555D-9D46-47F9-A60F-CC120BDB084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15,000.00 old
18000 OLD</t>
        </r>
      </text>
    </comment>
    <comment ref="T51" authorId="0" shapeId="0" xr:uid="{3F0118BB-8664-40EB-90A5-6C3DEEB5933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w/ tax</t>
        </r>
      </text>
    </comment>
    <comment ref="Y51" authorId="2" shapeId="0" xr:uid="{76D444A7-AD7F-4138-AA28-12CFD8FCAE9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 1000
</t>
        </r>
      </text>
    </comment>
    <comment ref="B52" authorId="0" shapeId="0" xr:uid="{52A1C5FC-F5A2-465A-B3E1-6CC104A6226B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24,300.00 old</t>
        </r>
      </text>
    </comment>
    <comment ref="T52" authorId="0" shapeId="0" xr:uid="{48CA8815-AFB0-485D-98ED-3C9ED6B8935B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w/ tax</t>
        </r>
      </text>
    </comment>
    <comment ref="B55" authorId="1" shapeId="0" xr:uid="{B8FA1D5B-1581-4359-8B4D-D6652EE243FA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12350 OLD
13564.00 NEW</t>
        </r>
      </text>
    </comment>
  </commentList>
</comments>
</file>

<file path=xl/sharedStrings.xml><?xml version="1.0" encoding="utf-8"?>
<sst xmlns="http://schemas.openxmlformats.org/spreadsheetml/2006/main" count="571" uniqueCount="181">
  <si>
    <t>DURAVILLE REALTY AND DEVELOPMENT CORPORATION</t>
  </si>
  <si>
    <t xml:space="preserve">MONTHLY PAYROLL DATA </t>
  </si>
  <si>
    <t>FOR THE MONTH OF FEBRUARY 2024</t>
  </si>
  <si>
    <t>Rate</t>
  </si>
  <si>
    <t>Gross Pay</t>
  </si>
  <si>
    <t>Hol. Pay          30%</t>
  </si>
  <si>
    <t>Basic pay adjustment</t>
  </si>
  <si>
    <t>OT Pay</t>
  </si>
  <si>
    <t>Total Gross</t>
  </si>
  <si>
    <t>SSS CONTRIBUTION</t>
  </si>
  <si>
    <t>SSS Loan</t>
  </si>
  <si>
    <t>SSS Calamity Loan</t>
  </si>
  <si>
    <t>PHILHEALTH CONTRIBUTION</t>
  </si>
  <si>
    <t>W/ TAX 2024</t>
  </si>
  <si>
    <t>HDMF CONTRIBUTION</t>
  </si>
  <si>
    <t>HDMF LOAN</t>
  </si>
  <si>
    <t>HDMF CALAMITY</t>
  </si>
  <si>
    <t>CASH ADVANCE</t>
  </si>
  <si>
    <t>Personal Loan (MA)</t>
  </si>
  <si>
    <t>Less: 13th Month Pay over Payment</t>
  </si>
  <si>
    <t xml:space="preserve">Add: 13th Month Pay </t>
  </si>
  <si>
    <t>NET GROSS</t>
  </si>
  <si>
    <t xml:space="preserve"> </t>
  </si>
  <si>
    <t>Add: Others                Adjustment</t>
  </si>
  <si>
    <t>Less: Other Adj.</t>
  </si>
  <si>
    <t>Net Pay</t>
  </si>
  <si>
    <t>Employee</t>
  </si>
  <si>
    <t>Share</t>
  </si>
  <si>
    <t>Total</t>
  </si>
  <si>
    <t>EC</t>
  </si>
  <si>
    <t>Comb.</t>
  </si>
  <si>
    <t>1% PHIC. EMP</t>
  </si>
  <si>
    <t>1% PHIC. EMPLR</t>
  </si>
  <si>
    <t>1% PHIC. COMB.</t>
  </si>
  <si>
    <t>Return</t>
  </si>
  <si>
    <t>Allowance</t>
  </si>
  <si>
    <t>SSS Salary Loan</t>
  </si>
  <si>
    <t>Regular Allowance</t>
  </si>
  <si>
    <t>Holiday/RDOT Pay</t>
  </si>
  <si>
    <t>Meal</t>
  </si>
  <si>
    <t>Developmental</t>
  </si>
  <si>
    <t>ASUNCION, SHERILYN DE GUZMAN</t>
  </si>
  <si>
    <t>CUARTEROS, ROCHELLE SARAH MERILLES</t>
  </si>
  <si>
    <t>1st cut-off</t>
  </si>
  <si>
    <t>allowance</t>
  </si>
  <si>
    <t>NATIVIDAD, LORA RUTH FRONDA</t>
  </si>
  <si>
    <t>Cash</t>
  </si>
  <si>
    <t>TOTAL</t>
  </si>
  <si>
    <t>2nd cut-off</t>
  </si>
  <si>
    <t>YARTE, JEFFREY CECILIO</t>
  </si>
  <si>
    <t>executive</t>
  </si>
  <si>
    <t>ELLISTON PLACE</t>
  </si>
  <si>
    <t>Others                Adjustment</t>
  </si>
  <si>
    <t>atm</t>
  </si>
  <si>
    <t>CASH</t>
  </si>
  <si>
    <t>total</t>
  </si>
  <si>
    <t>P</t>
  </si>
  <si>
    <t>ATM</t>
  </si>
  <si>
    <t>MARY CRIS COMPLEX</t>
  </si>
  <si>
    <t>Hol. Pay 30%</t>
  </si>
  <si>
    <t>Basic Adj.</t>
  </si>
  <si>
    <t>Tax Addition</t>
  </si>
  <si>
    <t>Incentive</t>
  </si>
  <si>
    <t xml:space="preserve">  </t>
  </si>
  <si>
    <t>WELLINGTON PLACE</t>
  </si>
  <si>
    <t>WELLINGTON TANZA RESIDENCES</t>
  </si>
  <si>
    <t>Other                Deduction</t>
  </si>
  <si>
    <t>Allowance Adj.</t>
  </si>
  <si>
    <t xml:space="preserve">atm </t>
  </si>
  <si>
    <t>QUEENSTOWN HEIGHTS 2</t>
  </si>
  <si>
    <t>Other &amp; leaves</t>
  </si>
  <si>
    <t>GRAND TOTAL</t>
  </si>
  <si>
    <t>PHIC</t>
  </si>
  <si>
    <t>BASE PAYROLL REGISTER</t>
  </si>
  <si>
    <t>DIFF.</t>
  </si>
  <si>
    <t>ATM TOTAL</t>
  </si>
  <si>
    <t>EXEC.</t>
  </si>
  <si>
    <t>AWOL</t>
  </si>
  <si>
    <t>PACHECO, JAYSON HILVANO</t>
  </si>
  <si>
    <t>WTR TO NLDC</t>
  </si>
  <si>
    <t>HANGOR, JENEGEN CORDANO</t>
  </si>
  <si>
    <t>DRDC</t>
  </si>
  <si>
    <t>COLUMNA, RODNEY ZAPATA - RESIGN</t>
  </si>
  <si>
    <t>EP to HER</t>
  </si>
  <si>
    <t xml:space="preserve">PILORIN, GENPER SIVILA </t>
  </si>
  <si>
    <t>CANTAR, PRINCESS ANGELINE</t>
  </si>
  <si>
    <t>DE GUZMAN, MIA DATINGINOO</t>
  </si>
  <si>
    <t>WP - RESIGNED</t>
  </si>
  <si>
    <t>DELA CRUZ, ANN ROZALYN LUZ</t>
  </si>
  <si>
    <t>WP TO HER</t>
  </si>
  <si>
    <t>CORNEL, JOSEPH CUELA - FROM WP TO HER 2/16/2024</t>
  </si>
  <si>
    <t>EP TO HER</t>
  </si>
  <si>
    <t>MARTEJA, GEORGE DELA TORRE FROM EP TO HER</t>
  </si>
  <si>
    <t>WTR - RESIGN 2/15/2024</t>
  </si>
  <si>
    <t>JEPOLLO, KIZIA MAE MONTESA - DEDUCT SSS, PHIC &amp; PAG-IBIG</t>
  </si>
  <si>
    <t xml:space="preserve">EP </t>
  </si>
  <si>
    <t>MALACAS, JERICO CRUZ RESIGN 2/17/2024 - DEDUCT SSS, PHIC &amp; PAG-IBIG</t>
  </si>
  <si>
    <t>ABRIAM, AGNES BURGOS</t>
  </si>
  <si>
    <t>BALDERAS, APRIL CLARISSE ALLEQUIR</t>
  </si>
  <si>
    <t>BOLANTE, IVAN MENDOZA</t>
  </si>
  <si>
    <t>BALOLOY, SARAH HIZO</t>
  </si>
  <si>
    <t>BONGAT, JEFFERSON SY</t>
  </si>
  <si>
    <t>BORJA, MA. ELIZA DELIS</t>
  </si>
  <si>
    <t>CAPILLAN, MURIEL TUANQUIN</t>
  </si>
  <si>
    <t>COLUMNA, ALMA ZAPATA</t>
  </si>
  <si>
    <t>DE JOSE, GLEDA GICANGAO</t>
  </si>
  <si>
    <t>DELOS REYES, ANGELICO ZENON MONTEMAYOR</t>
  </si>
  <si>
    <t>DIVINA, MICHELLE COBICO</t>
  </si>
  <si>
    <t>DOMIQUIL, CONSTANCIO NAVARRO</t>
  </si>
  <si>
    <t>DUNGQUE, MARIA RAYLEN AGANG</t>
  </si>
  <si>
    <t>FERNANDEZ, MARIBETH ANTIQUINA</t>
  </si>
  <si>
    <t>FLORESTA, GLEN</t>
  </si>
  <si>
    <t>LIM, JENNIFER BONGAT</t>
  </si>
  <si>
    <t>LEMON, LYRA NICANOR</t>
  </si>
  <si>
    <t>MAKIRAMDAM, MILYN PANGANIBAN</t>
  </si>
  <si>
    <t>MANAPAT, MYTRICIA LAIZEL FULGUERAS</t>
  </si>
  <si>
    <t xml:space="preserve">MANITAS, SYRA SHIN </t>
  </si>
  <si>
    <t>MARRAY, ALYSSA JORNACION</t>
  </si>
  <si>
    <t>MEDALLA, RIZZA ALMOETE</t>
  </si>
  <si>
    <t>MENDEZ, REDEEMER DE LEON</t>
  </si>
  <si>
    <t>MOYANO, MARY LAYKA PEDERIO</t>
  </si>
  <si>
    <t>PELAYO, LORENA EDEM</t>
  </si>
  <si>
    <t>SAN LUIS, MARIBEL MANAOG</t>
  </si>
  <si>
    <t>SEBESON, PAULA MAE DUSONG</t>
  </si>
  <si>
    <t>SIBUG, PATRIZIA LOU GUINTO</t>
  </si>
  <si>
    <t>TABOTABO, MARK STEPHEN PAMINTUAN</t>
  </si>
  <si>
    <t>VISMONTE, MA. CRISTINA BARBECHO</t>
  </si>
  <si>
    <t>Name</t>
  </si>
  <si>
    <t>BERNADIT, SERAPIO MAHAYAG</t>
  </si>
  <si>
    <t>CORONEJO, JOSEPH BUENO</t>
  </si>
  <si>
    <t>DELA PASION, RECEL DELIMA</t>
  </si>
  <si>
    <t>EVANGELISTA, JOSHUA CALINISAN</t>
  </si>
  <si>
    <t>HERMO, GRAZELENE ANNE</t>
  </si>
  <si>
    <t>LIPIAN, MA. CERLITA</t>
  </si>
  <si>
    <t>MALACAS, JERICO CRUZ</t>
  </si>
  <si>
    <t>MARTEJA, GEORGE DELA TORRE</t>
  </si>
  <si>
    <t>REQUISO, MERIAM LICAYAN</t>
  </si>
  <si>
    <t>SAMBAJON, MA. CRISTINA FAUNI</t>
  </si>
  <si>
    <t>SILONG, JIRALP VALDEZ</t>
  </si>
  <si>
    <t>ANGELES, LEOSELLE ARCENO</t>
  </si>
  <si>
    <t>CORNEL, JOSEPH CUELA</t>
  </si>
  <si>
    <t>JEPOLLO, KIZIA MAE MONTESA</t>
  </si>
  <si>
    <t>NAYANGGA, RICKY GUANDE</t>
  </si>
  <si>
    <t>CORONEJO, FREDDIE BUENO</t>
  </si>
  <si>
    <t>DELA TORRE, CHERRY BAUTISTA</t>
  </si>
  <si>
    <t>PARTIBLE, OSCAR AGLIAM</t>
  </si>
  <si>
    <t>REY, JOEL SERVILLA</t>
  </si>
  <si>
    <t>ROSALLOSA, MARJHON PONPON</t>
  </si>
  <si>
    <t>Gross_Pay</t>
  </si>
  <si>
    <t>Hol._Pay_30%</t>
  </si>
  <si>
    <t>Basic pay_adjustment</t>
  </si>
  <si>
    <t>OT_Pay</t>
  </si>
  <si>
    <t>Total_Gross</t>
  </si>
  <si>
    <t>SSS_Employer_share</t>
  </si>
  <si>
    <t>SSSS_Total</t>
  </si>
  <si>
    <t>SSS_Calamity Loan</t>
  </si>
  <si>
    <t>SSS_Loan</t>
  </si>
  <si>
    <t>PHIC_Employee</t>
  </si>
  <si>
    <t>PHIC_Rmployer_Share</t>
  </si>
  <si>
    <t>PHIC_Combi</t>
  </si>
  <si>
    <t>W_TAX_2024</t>
  </si>
  <si>
    <t>HDMF_CONTRIBUTION_employee</t>
  </si>
  <si>
    <t>HDMF_CONTRIBUTION_employer</t>
  </si>
  <si>
    <t>HDMF_LOAN</t>
  </si>
  <si>
    <t>HDMF_CALAMITY</t>
  </si>
  <si>
    <t>CASH_ADVANCE</t>
  </si>
  <si>
    <t>Personal_Loan_(MA)</t>
  </si>
  <si>
    <t>13th_Month_Pay_over_Payment</t>
  </si>
  <si>
    <t xml:space="preserve">Ad_13th_Month_Pay </t>
  </si>
  <si>
    <t>Return_loan_sss_loan</t>
  </si>
  <si>
    <t>NET_GROSS</t>
  </si>
  <si>
    <t>Regular_Allowance</t>
  </si>
  <si>
    <t>Holiday_RDOT_Pay</t>
  </si>
  <si>
    <t>meal</t>
  </si>
  <si>
    <t>Add_Others Adjustment</t>
  </si>
  <si>
    <t>Less_Other_Adj</t>
  </si>
  <si>
    <t>Net_Pay</t>
  </si>
  <si>
    <t>1%_PHIC_EMP</t>
  </si>
  <si>
    <t>1%_PHIC_ EMPLR</t>
  </si>
  <si>
    <t>1%_PHIC._COMB</t>
  </si>
  <si>
    <t>SSS_Employee_Remt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</si>
</sst>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rgb="FFFF0000"/>
      <name val="Arial"/>
      <family val="2"/>
    </font>
    <font>
      <b/>
      <sz val="8"/>
      <color rgb="FFFF0000"/>
      <name val="Arial"/>
      <family val="2"/>
    </font>
    <font>
      <sz val="7"/>
      <color theme="1"/>
      <name val="Arial"/>
      <family val="2"/>
    </font>
    <font>
      <b/>
      <sz val="5"/>
      <color theme="1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sz val="8"/>
      <color theme="1" tint="4.9989318521683403E-2"/>
      <name val="Arial"/>
      <family val="2"/>
    </font>
    <font>
      <sz val="8"/>
      <color theme="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3">
    <xf numFmtId="0" fontId="0" fillId="0" borderId="0" xfId="0"/>
    <xf numFmtId="0" fontId="2" fillId="2" borderId="0" xfId="0" applyFont="1" applyFill="1"/>
    <xf numFmtId="43" fontId="2" fillId="2" borderId="0" xfId="1" applyFont="1" applyFill="1"/>
    <xf numFmtId="43" fontId="4" fillId="2" borderId="0" xfId="1" applyFont="1" applyFill="1"/>
    <xf numFmtId="0" fontId="4" fillId="0" borderId="0" xfId="0" applyFont="1"/>
    <xf numFmtId="0" fontId="4" fillId="2" borderId="0" xfId="0" applyFont="1" applyFill="1"/>
    <xf numFmtId="43" fontId="2" fillId="0" borderId="0" xfId="1" applyFont="1"/>
    <xf numFmtId="0" fontId="2" fillId="0" borderId="0" xfId="0" applyFont="1"/>
    <xf numFmtId="43" fontId="6" fillId="2" borderId="1" xfId="1" applyFont="1" applyFill="1" applyBorder="1" applyAlignment="1">
      <alignment horizontal="center" wrapText="1"/>
    </xf>
    <xf numFmtId="43" fontId="6" fillId="2" borderId="1" xfId="1" applyFont="1" applyFill="1" applyBorder="1" applyAlignment="1">
      <alignment horizontal="center"/>
    </xf>
    <xf numFmtId="43" fontId="6" fillId="2" borderId="2" xfId="1" applyFont="1" applyFill="1" applyBorder="1" applyAlignment="1">
      <alignment horizontal="center" wrapText="1"/>
    </xf>
    <xf numFmtId="43" fontId="6" fillId="2" borderId="2" xfId="1" applyFont="1" applyFill="1" applyBorder="1" applyAlignment="1">
      <alignment wrapText="1"/>
    </xf>
    <xf numFmtId="43" fontId="6" fillId="2" borderId="2" xfId="1" applyFont="1" applyFill="1" applyBorder="1" applyAlignment="1">
      <alignment horizontal="center"/>
    </xf>
    <xf numFmtId="43" fontId="5" fillId="0" borderId="0" xfId="1" applyFont="1"/>
    <xf numFmtId="0" fontId="5" fillId="0" borderId="0" xfId="0" applyFont="1"/>
    <xf numFmtId="43" fontId="5" fillId="2" borderId="1" xfId="1" applyFont="1" applyFill="1" applyBorder="1" applyAlignment="1">
      <alignment horizontal="center"/>
    </xf>
    <xf numFmtId="43" fontId="6" fillId="2" borderId="6" xfId="1" applyFont="1" applyFill="1" applyBorder="1" applyAlignment="1">
      <alignment horizontal="center" wrapText="1"/>
    </xf>
    <xf numFmtId="43" fontId="6" fillId="2" borderId="7" xfId="1" applyFont="1" applyFill="1" applyBorder="1" applyAlignment="1">
      <alignment horizontal="center"/>
    </xf>
    <xf numFmtId="43" fontId="6" fillId="2" borderId="11" xfId="1" applyFont="1" applyFill="1" applyBorder="1" applyAlignment="1">
      <alignment horizontal="center"/>
    </xf>
    <xf numFmtId="43" fontId="6" fillId="2" borderId="6" xfId="1" applyFont="1" applyFill="1" applyBorder="1" applyAlignment="1">
      <alignment horizontal="center"/>
    </xf>
    <xf numFmtId="43" fontId="6" fillId="2" borderId="12" xfId="1" applyFont="1" applyFill="1" applyBorder="1" applyAlignment="1">
      <alignment horizontal="center" wrapText="1"/>
    </xf>
    <xf numFmtId="43" fontId="5" fillId="2" borderId="1" xfId="1" applyFont="1" applyFill="1" applyBorder="1" applyAlignment="1"/>
    <xf numFmtId="43" fontId="6" fillId="2" borderId="13" xfId="1" applyFont="1" applyFill="1" applyBorder="1" applyAlignment="1">
      <alignment horizontal="center" wrapText="1"/>
    </xf>
    <xf numFmtId="43" fontId="6" fillId="2" borderId="12" xfId="1" applyFont="1" applyFill="1" applyBorder="1" applyAlignment="1">
      <alignment horizontal="center"/>
    </xf>
    <xf numFmtId="14" fontId="5" fillId="0" borderId="0" xfId="1" applyNumberFormat="1" applyFont="1"/>
    <xf numFmtId="43" fontId="5" fillId="2" borderId="12" xfId="1" applyFont="1" applyFill="1" applyBorder="1"/>
    <xf numFmtId="43" fontId="6" fillId="2" borderId="12" xfId="1" applyFont="1" applyFill="1" applyBorder="1"/>
    <xf numFmtId="43" fontId="6" fillId="2" borderId="1" xfId="1" applyFont="1" applyFill="1" applyBorder="1"/>
    <xf numFmtId="43" fontId="8" fillId="2" borderId="12" xfId="1" applyFont="1" applyFill="1" applyBorder="1"/>
    <xf numFmtId="43" fontId="6" fillId="2" borderId="7" xfId="1" applyFont="1" applyFill="1" applyBorder="1"/>
    <xf numFmtId="43" fontId="6" fillId="2" borderId="13" xfId="1" applyFont="1" applyFill="1" applyBorder="1"/>
    <xf numFmtId="43" fontId="6" fillId="2" borderId="14" xfId="1" applyFont="1" applyFill="1" applyBorder="1"/>
    <xf numFmtId="164" fontId="5" fillId="0" borderId="0" xfId="0" applyNumberFormat="1" applyFont="1"/>
    <xf numFmtId="43" fontId="5" fillId="0" borderId="0" xfId="0" applyNumberFormat="1" applyFont="1"/>
    <xf numFmtId="43" fontId="5" fillId="2" borderId="1" xfId="1" applyFont="1" applyFill="1" applyBorder="1"/>
    <xf numFmtId="0" fontId="9" fillId="0" borderId="0" xfId="0" applyFont="1"/>
    <xf numFmtId="43" fontId="5" fillId="2" borderId="0" xfId="1" applyFont="1" applyFill="1"/>
    <xf numFmtId="164" fontId="5" fillId="2" borderId="0" xfId="0" applyNumberFormat="1" applyFont="1" applyFill="1"/>
    <xf numFmtId="0" fontId="5" fillId="2" borderId="0" xfId="0" applyFont="1" applyFill="1"/>
    <xf numFmtId="0" fontId="0" fillId="2" borderId="0" xfId="0" applyFill="1"/>
    <xf numFmtId="43" fontId="5" fillId="2" borderId="1" xfId="1" applyFont="1" applyFill="1" applyBorder="1" applyAlignment="1">
      <alignment wrapText="1"/>
    </xf>
    <xf numFmtId="43" fontId="10" fillId="0" borderId="0" xfId="1" applyFont="1"/>
    <xf numFmtId="0" fontId="11" fillId="2" borderId="0" xfId="0" applyFont="1" applyFill="1"/>
    <xf numFmtId="43" fontId="11" fillId="2" borderId="0" xfId="1" applyFont="1" applyFill="1"/>
    <xf numFmtId="43" fontId="11" fillId="2" borderId="0" xfId="1" applyFont="1" applyFill="1" applyBorder="1"/>
    <xf numFmtId="43" fontId="11" fillId="2" borderId="11" xfId="1" applyFont="1" applyFill="1" applyBorder="1"/>
    <xf numFmtId="43" fontId="5" fillId="2" borderId="12" xfId="1" applyFont="1" applyFill="1" applyBorder="1" applyAlignment="1">
      <alignment horizontal="center"/>
    </xf>
    <xf numFmtId="43" fontId="12" fillId="2" borderId="0" xfId="1" applyFont="1" applyFill="1" applyBorder="1"/>
    <xf numFmtId="43" fontId="5" fillId="2" borderId="0" xfId="1" applyFont="1" applyFill="1" applyAlignment="1">
      <alignment horizontal="center"/>
    </xf>
    <xf numFmtId="43" fontId="6" fillId="2" borderId="15" xfId="1" applyFont="1" applyFill="1" applyBorder="1"/>
    <xf numFmtId="43" fontId="6" fillId="2" borderId="16" xfId="1" applyFont="1" applyFill="1" applyBorder="1"/>
    <xf numFmtId="43" fontId="6" fillId="2" borderId="17" xfId="1" applyFont="1" applyFill="1" applyBorder="1"/>
    <xf numFmtId="43" fontId="6" fillId="2" borderId="0" xfId="1" applyFont="1" applyFill="1"/>
    <xf numFmtId="43" fontId="3" fillId="0" borderId="0" xfId="1" applyFont="1"/>
    <xf numFmtId="43" fontId="13" fillId="2" borderId="0" xfId="1" applyFont="1" applyFill="1"/>
    <xf numFmtId="43" fontId="14" fillId="0" borderId="0" xfId="0" applyNumberFormat="1" applyFont="1"/>
    <xf numFmtId="0" fontId="3" fillId="0" borderId="0" xfId="0" applyFont="1"/>
    <xf numFmtId="43" fontId="6" fillId="2" borderId="11" xfId="1" applyFont="1" applyFill="1" applyBorder="1"/>
    <xf numFmtId="43" fontId="15" fillId="2" borderId="0" xfId="1" applyFont="1" applyFill="1"/>
    <xf numFmtId="43" fontId="16" fillId="2" borderId="0" xfId="1" applyFont="1" applyFill="1"/>
    <xf numFmtId="43" fontId="5" fillId="2" borderId="0" xfId="0" applyNumberFormat="1" applyFont="1" applyFill="1"/>
    <xf numFmtId="43" fontId="17" fillId="2" borderId="0" xfId="1" applyFont="1" applyFill="1"/>
    <xf numFmtId="43" fontId="5" fillId="0" borderId="1" xfId="1" applyFont="1" applyBorder="1"/>
    <xf numFmtId="43" fontId="6" fillId="2" borderId="1" xfId="1" applyFont="1" applyFill="1" applyBorder="1" applyAlignment="1">
      <alignment horizontal="center" vertical="center" wrapText="1"/>
    </xf>
    <xf numFmtId="43" fontId="18" fillId="2" borderId="12" xfId="1" applyFont="1" applyFill="1" applyBorder="1"/>
    <xf numFmtId="43" fontId="18" fillId="2" borderId="1" xfId="1" applyFont="1" applyFill="1" applyBorder="1"/>
    <xf numFmtId="43" fontId="18" fillId="2" borderId="12" xfId="1" applyFont="1" applyFill="1" applyBorder="1" applyAlignment="1">
      <alignment horizontal="left"/>
    </xf>
    <xf numFmtId="43" fontId="5" fillId="0" borderId="12" xfId="1" applyFont="1" applyBorder="1"/>
    <xf numFmtId="43" fontId="5" fillId="2" borderId="0" xfId="1" applyFont="1" applyFill="1" applyBorder="1"/>
    <xf numFmtId="0" fontId="8" fillId="0" borderId="0" xfId="0" applyFont="1"/>
    <xf numFmtId="43" fontId="12" fillId="2" borderId="0" xfId="1" applyFont="1" applyFill="1"/>
    <xf numFmtId="43" fontId="5" fillId="2" borderId="0" xfId="1" applyFont="1" applyFill="1" applyAlignment="1">
      <alignment horizontal="right"/>
    </xf>
    <xf numFmtId="43" fontId="5" fillId="2" borderId="2" xfId="1" applyFont="1" applyFill="1" applyBorder="1"/>
    <xf numFmtId="43" fontId="6" fillId="2" borderId="6" xfId="1" applyFont="1" applyFill="1" applyBorder="1" applyAlignment="1">
      <alignment wrapText="1"/>
    </xf>
    <xf numFmtId="43" fontId="5" fillId="2" borderId="6" xfId="1" applyFont="1" applyFill="1" applyBorder="1"/>
    <xf numFmtId="43" fontId="6" fillId="2" borderId="12" xfId="1" applyFont="1" applyFill="1" applyBorder="1" applyAlignment="1">
      <alignment wrapText="1"/>
    </xf>
    <xf numFmtId="43" fontId="6" fillId="0" borderId="12" xfId="1" applyFont="1" applyBorder="1"/>
    <xf numFmtId="43" fontId="6" fillId="0" borderId="1" xfId="1" applyFont="1" applyBorder="1"/>
    <xf numFmtId="43" fontId="6" fillId="0" borderId="13" xfId="1" applyFont="1" applyBorder="1"/>
    <xf numFmtId="43" fontId="5" fillId="2" borderId="15" xfId="1" applyFont="1" applyFill="1" applyBorder="1"/>
    <xf numFmtId="43" fontId="5" fillId="2" borderId="13" xfId="1" applyFont="1" applyFill="1" applyBorder="1"/>
    <xf numFmtId="43" fontId="13" fillId="0" borderId="0" xfId="1" applyFont="1"/>
    <xf numFmtId="43" fontId="5" fillId="2" borderId="4" xfId="1" applyFont="1" applyFill="1" applyBorder="1"/>
    <xf numFmtId="43" fontId="5" fillId="2" borderId="10" xfId="1" applyFont="1" applyFill="1" applyBorder="1"/>
    <xf numFmtId="43" fontId="5" fillId="2" borderId="8" xfId="1" applyFont="1" applyFill="1" applyBorder="1" applyAlignment="1">
      <alignment horizontal="center"/>
    </xf>
    <xf numFmtId="43" fontId="18" fillId="0" borderId="12" xfId="1" applyFont="1" applyBorder="1"/>
    <xf numFmtId="43" fontId="18" fillId="0" borderId="1" xfId="1" applyFont="1" applyBorder="1"/>
    <xf numFmtId="43" fontId="5" fillId="0" borderId="15" xfId="1" applyFont="1" applyBorder="1"/>
    <xf numFmtId="43" fontId="5" fillId="2" borderId="4" xfId="1" applyFont="1" applyFill="1" applyBorder="1" applyAlignment="1">
      <alignment wrapText="1"/>
    </xf>
    <xf numFmtId="43" fontId="5" fillId="2" borderId="10" xfId="1" applyFont="1" applyFill="1" applyBorder="1" applyAlignment="1">
      <alignment wrapText="1"/>
    </xf>
    <xf numFmtId="43" fontId="5" fillId="2" borderId="8" xfId="1" applyFont="1" applyFill="1" applyBorder="1" applyAlignment="1">
      <alignment horizontal="center" wrapText="1"/>
    </xf>
    <xf numFmtId="43" fontId="9" fillId="0" borderId="0" xfId="1" applyFont="1"/>
    <xf numFmtId="43" fontId="4" fillId="2" borderId="18" xfId="1" applyFont="1" applyFill="1" applyBorder="1"/>
    <xf numFmtId="43" fontId="19" fillId="2" borderId="0" xfId="1" applyFont="1" applyFill="1"/>
    <xf numFmtId="0" fontId="6" fillId="2" borderId="0" xfId="0" applyFont="1" applyFill="1"/>
    <xf numFmtId="43" fontId="4" fillId="2" borderId="0" xfId="0" applyNumberFormat="1" applyFont="1" applyFill="1"/>
    <xf numFmtId="43" fontId="19" fillId="2" borderId="0" xfId="1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18" fillId="2" borderId="0" xfId="0" applyFont="1" applyFill="1"/>
    <xf numFmtId="0" fontId="18" fillId="2" borderId="0" xfId="0" applyFont="1" applyFill="1" applyAlignment="1">
      <alignment horizontal="right"/>
    </xf>
    <xf numFmtId="43" fontId="18" fillId="2" borderId="0" xfId="0" applyNumberFormat="1" applyFont="1" applyFill="1"/>
    <xf numFmtId="43" fontId="6" fillId="2" borderId="13" xfId="2" applyFont="1" applyFill="1" applyBorder="1"/>
    <xf numFmtId="43" fontId="6" fillId="2" borderId="19" xfId="2" applyFont="1" applyFill="1" applyBorder="1"/>
    <xf numFmtId="43" fontId="18" fillId="3" borderId="1" xfId="2" applyFont="1" applyFill="1" applyBorder="1"/>
    <xf numFmtId="43" fontId="6" fillId="2" borderId="1" xfId="2" applyFont="1" applyFill="1" applyBorder="1"/>
    <xf numFmtId="43" fontId="19" fillId="2" borderId="1" xfId="1" applyFont="1" applyFill="1" applyBorder="1"/>
    <xf numFmtId="0" fontId="5" fillId="2" borderId="1" xfId="0" applyFont="1" applyFill="1" applyBorder="1"/>
    <xf numFmtId="43" fontId="5" fillId="2" borderId="1" xfId="0" applyNumberFormat="1" applyFont="1" applyFill="1" applyBorder="1"/>
    <xf numFmtId="0" fontId="20" fillId="2" borderId="0" xfId="0" applyFont="1" applyFill="1"/>
    <xf numFmtId="43" fontId="5" fillId="2" borderId="11" xfId="1" applyFont="1" applyFill="1" applyBorder="1"/>
    <xf numFmtId="43" fontId="15" fillId="2" borderId="13" xfId="2" applyFont="1" applyFill="1" applyBorder="1"/>
    <xf numFmtId="43" fontId="2" fillId="2" borderId="0" xfId="0" applyNumberFormat="1" applyFont="1" applyFill="1"/>
    <xf numFmtId="43" fontId="2" fillId="2" borderId="0" xfId="1" applyFont="1" applyFill="1" applyBorder="1"/>
    <xf numFmtId="43" fontId="2" fillId="2" borderId="11" xfId="1" applyFont="1" applyFill="1" applyBorder="1"/>
    <xf numFmtId="0" fontId="21" fillId="2" borderId="0" xfId="0" applyFont="1" applyFill="1"/>
    <xf numFmtId="43" fontId="21" fillId="2" borderId="0" xfId="1" applyFont="1" applyFill="1"/>
    <xf numFmtId="0" fontId="9" fillId="2" borderId="0" xfId="0" applyFont="1" applyFill="1"/>
    <xf numFmtId="43" fontId="9" fillId="2" borderId="0" xfId="0" applyNumberFormat="1" applyFont="1" applyFill="1"/>
    <xf numFmtId="0" fontId="10" fillId="2" borderId="0" xfId="0" applyFont="1" applyFill="1"/>
    <xf numFmtId="43" fontId="18" fillId="2" borderId="0" xfId="1" applyFont="1" applyFill="1" applyBorder="1" applyAlignment="1"/>
    <xf numFmtId="43" fontId="10" fillId="2" borderId="0" xfId="1" applyFont="1" applyFill="1" applyBorder="1"/>
    <xf numFmtId="0" fontId="22" fillId="2" borderId="0" xfId="0" applyFont="1" applyFill="1"/>
    <xf numFmtId="43" fontId="10" fillId="2" borderId="0" xfId="1" applyFont="1" applyFill="1"/>
    <xf numFmtId="0" fontId="6" fillId="2" borderId="1" xfId="0" applyFont="1" applyFill="1" applyBorder="1"/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vertical="center" wrapText="1"/>
    </xf>
    <xf numFmtId="43" fontId="6" fillId="2" borderId="4" xfId="1" applyFont="1" applyFill="1" applyBorder="1" applyAlignment="1">
      <alignment wrapText="1"/>
    </xf>
    <xf numFmtId="43" fontId="6" fillId="2" borderId="5" xfId="1" applyFont="1" applyFill="1" applyBorder="1" applyAlignment="1"/>
    <xf numFmtId="43" fontId="6" fillId="2" borderId="4" xfId="1" applyFont="1" applyFill="1" applyBorder="1" applyAlignment="1"/>
    <xf numFmtId="43" fontId="5" fillId="2" borderId="2" xfId="1" applyFont="1" applyFill="1" applyBorder="1" applyAlignment="1">
      <alignment wrapText="1"/>
    </xf>
    <xf numFmtId="43" fontId="6" fillId="2" borderId="2" xfId="1" applyFont="1" applyFill="1" applyBorder="1" applyAlignment="1"/>
    <xf numFmtId="43" fontId="6" fillId="2" borderId="3" xfId="1" applyFont="1" applyFill="1" applyBorder="1" applyAlignment="1">
      <alignment wrapText="1"/>
    </xf>
    <xf numFmtId="43" fontId="6" fillId="2" borderId="1" xfId="1" applyFont="1" applyFill="1" applyBorder="1" applyAlignment="1">
      <alignment wrapText="1"/>
    </xf>
    <xf numFmtId="43" fontId="6" fillId="2" borderId="1" xfId="1" applyFont="1" applyFill="1" applyBorder="1" applyAlignment="1"/>
    <xf numFmtId="0" fontId="7" fillId="2" borderId="1" xfId="0" applyFont="1" applyFill="1" applyBorder="1" applyAlignment="1">
      <alignment horizontal="center" vertical="center" wrapText="1"/>
    </xf>
    <xf numFmtId="43" fontId="6" fillId="2" borderId="2" xfId="1" applyFont="1" applyFill="1" applyBorder="1" applyAlignment="1">
      <alignment horizontal="center" wrapText="1"/>
    </xf>
    <xf numFmtId="43" fontId="6" fillId="2" borderId="6" xfId="1" applyFont="1" applyFill="1" applyBorder="1" applyAlignment="1">
      <alignment horizontal="center" wrapText="1"/>
    </xf>
    <xf numFmtId="43" fontId="6" fillId="2" borderId="12" xfId="1" applyFont="1" applyFill="1" applyBorder="1" applyAlignment="1">
      <alignment horizontal="center" wrapText="1"/>
    </xf>
    <xf numFmtId="43" fontId="6" fillId="2" borderId="4" xfId="1" applyFont="1" applyFill="1" applyBorder="1" applyAlignment="1">
      <alignment horizontal="center" wrapText="1"/>
    </xf>
    <xf numFmtId="43" fontId="6" fillId="2" borderId="10" xfId="1" applyFont="1" applyFill="1" applyBorder="1" applyAlignment="1">
      <alignment horizontal="center" wrapText="1"/>
    </xf>
    <xf numFmtId="43" fontId="6" fillId="2" borderId="8" xfId="1" applyFont="1" applyFill="1" applyBorder="1" applyAlignment="1">
      <alignment horizontal="center" wrapText="1"/>
    </xf>
    <xf numFmtId="43" fontId="6" fillId="2" borderId="3" xfId="1" applyFont="1" applyFill="1" applyBorder="1" applyAlignment="1">
      <alignment horizontal="center"/>
    </xf>
    <xf numFmtId="43" fontId="6" fillId="2" borderId="5" xfId="1" applyFont="1" applyFill="1" applyBorder="1" applyAlignment="1">
      <alignment horizontal="center"/>
    </xf>
    <xf numFmtId="43" fontId="6" fillId="2" borderId="4" xfId="1" applyFont="1" applyFill="1" applyBorder="1" applyAlignment="1">
      <alignment horizontal="center"/>
    </xf>
    <xf numFmtId="43" fontId="5" fillId="2" borderId="2" xfId="1" applyFont="1" applyFill="1" applyBorder="1" applyAlignment="1">
      <alignment horizontal="center" wrapText="1"/>
    </xf>
    <xf numFmtId="43" fontId="5" fillId="2" borderId="6" xfId="1" applyFont="1" applyFill="1" applyBorder="1" applyAlignment="1">
      <alignment horizontal="center" wrapText="1"/>
    </xf>
    <xf numFmtId="43" fontId="5" fillId="2" borderId="12" xfId="1" applyFont="1" applyFill="1" applyBorder="1" applyAlignment="1">
      <alignment horizontal="center" wrapText="1"/>
    </xf>
    <xf numFmtId="43" fontId="6" fillId="2" borderId="2" xfId="1" applyFont="1" applyFill="1" applyBorder="1" applyAlignment="1">
      <alignment horizontal="center"/>
    </xf>
    <xf numFmtId="43" fontId="6" fillId="2" borderId="6" xfId="1" applyFont="1" applyFill="1" applyBorder="1" applyAlignment="1">
      <alignment horizontal="center"/>
    </xf>
    <xf numFmtId="43" fontId="6" fillId="2" borderId="12" xfId="1" applyFont="1" applyFill="1" applyBorder="1" applyAlignment="1">
      <alignment horizontal="center"/>
    </xf>
    <xf numFmtId="43" fontId="6" fillId="2" borderId="7" xfId="1" applyFont="1" applyFill="1" applyBorder="1" applyAlignment="1">
      <alignment horizontal="center"/>
    </xf>
    <xf numFmtId="43" fontId="6" fillId="2" borderId="11" xfId="1" applyFont="1" applyFill="1" applyBorder="1" applyAlignment="1">
      <alignment horizontal="center"/>
    </xf>
    <xf numFmtId="43" fontId="6" fillId="2" borderId="8" xfId="1" applyFont="1" applyFill="1" applyBorder="1" applyAlignment="1">
      <alignment horizontal="center"/>
    </xf>
    <xf numFmtId="43" fontId="6" fillId="2" borderId="3" xfId="1" applyFont="1" applyFill="1" applyBorder="1" applyAlignment="1">
      <alignment horizontal="center" wrapText="1"/>
    </xf>
    <xf numFmtId="43" fontId="6" fillId="2" borderId="7" xfId="1" applyFont="1" applyFill="1" applyBorder="1" applyAlignment="1">
      <alignment horizontal="center" wrapText="1"/>
    </xf>
    <xf numFmtId="43" fontId="6" fillId="2" borderId="9" xfId="1" applyFont="1" applyFill="1" applyBorder="1" applyAlignment="1">
      <alignment horizontal="center" wrapText="1"/>
    </xf>
    <xf numFmtId="43" fontId="6" fillId="2" borderId="1" xfId="1" applyFont="1" applyFill="1" applyBorder="1" applyAlignment="1">
      <alignment horizontal="center"/>
    </xf>
    <xf numFmtId="43" fontId="5" fillId="2" borderId="1" xfId="1" applyFont="1" applyFill="1" applyBorder="1" applyAlignment="1">
      <alignment horizontal="center" wrapText="1"/>
    </xf>
    <xf numFmtId="43" fontId="6" fillId="2" borderId="1" xfId="1" applyFont="1" applyFill="1" applyBorder="1" applyAlignment="1">
      <alignment horizontal="center" wrapText="1"/>
    </xf>
    <xf numFmtId="43" fontId="5" fillId="2" borderId="1" xfId="1" applyFont="1" applyFill="1" applyBorder="1" applyAlignment="1">
      <alignment horizontal="center"/>
    </xf>
    <xf numFmtId="43" fontId="6" fillId="2" borderId="13" xfId="1" applyFont="1" applyFill="1" applyBorder="1" applyAlignment="1">
      <alignment horizontal="center"/>
    </xf>
    <xf numFmtId="43" fontId="6" fillId="2" borderId="14" xfId="1" applyFont="1" applyFill="1" applyBorder="1" applyAlignment="1">
      <alignment horizontal="center"/>
    </xf>
    <xf numFmtId="0" fontId="18" fillId="2" borderId="0" xfId="0" applyFont="1" applyFill="1" applyAlignment="1">
      <alignment horizontal="left" wrapText="1"/>
    </xf>
  </cellXfs>
  <cellStyles count="3">
    <cellStyle name="Comma" xfId="1" builtinId="3"/>
    <cellStyle name="Comma 2" xfId="2" xr:uid="{A2A0A992-5E94-4E99-96E5-776A39A9421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138"/>
  <sheetViews>
    <sheetView workbookViewId="0">
      <pane xSplit="2" ySplit="6" topLeftCell="C7" activePane="bottomRight" state="frozen"/>
      <selection pane="topRight" activeCell="B1" sqref="B1"/>
      <selection pane="bottomLeft" activeCell="A7" sqref="A7"/>
      <selection pane="bottomRight" activeCell="C12" sqref="C12"/>
    </sheetView>
  </sheetViews>
  <sheetFormatPr defaultRowHeight="15" x14ac:dyDescent="0.25"/>
  <cols>
    <col min="1" max="1" width="21.7109375" customWidth="1"/>
    <col min="2" max="3" width="12.42578125" customWidth="1"/>
    <col min="7" max="7" width="16.28515625" customWidth="1"/>
    <col min="10" max="10" width="11.28515625" customWidth="1"/>
    <col min="20" max="20" width="13.140625" customWidth="1"/>
    <col min="30" max="30" width="12.42578125" customWidth="1"/>
    <col min="37" max="37" width="11.42578125" customWidth="1"/>
    <col min="39" max="39" width="13.7109375" customWidth="1"/>
    <col min="41" max="41" width="15.42578125" customWidth="1"/>
  </cols>
  <sheetData>
    <row r="1" spans="1:135" x14ac:dyDescent="0.25"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2"/>
      <c r="V1" s="3"/>
      <c r="W1" s="3"/>
      <c r="X1" s="3"/>
      <c r="Y1" s="4"/>
      <c r="Z1" s="5"/>
      <c r="AA1" s="4"/>
      <c r="AB1" s="4"/>
      <c r="AC1" s="4"/>
      <c r="AD1" s="5"/>
      <c r="AE1" s="4"/>
      <c r="AF1" s="4"/>
      <c r="AG1" s="6"/>
      <c r="AH1" s="6"/>
      <c r="AI1" s="7"/>
      <c r="AJ1" s="7"/>
      <c r="AK1" s="7"/>
      <c r="AL1" s="7"/>
      <c r="AM1" s="6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</row>
    <row r="2" spans="1:135" x14ac:dyDescent="0.25"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2"/>
      <c r="V2" s="3"/>
      <c r="W2" s="3"/>
      <c r="X2" s="3"/>
      <c r="Y2" s="4"/>
      <c r="Z2" s="5"/>
      <c r="AA2" s="4"/>
      <c r="AB2" s="4"/>
      <c r="AC2" s="4"/>
      <c r="AD2" s="5"/>
      <c r="AE2" s="4"/>
      <c r="AF2" s="4"/>
      <c r="AG2" s="6"/>
      <c r="AH2" s="6"/>
      <c r="AI2" s="7"/>
      <c r="AJ2" s="7"/>
      <c r="AK2" s="7"/>
      <c r="AL2" s="7"/>
      <c r="AM2" s="6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</row>
    <row r="3" spans="1:135" x14ac:dyDescent="0.25">
      <c r="B3" s="1" t="s">
        <v>2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2"/>
      <c r="V3" s="3"/>
      <c r="W3" s="3"/>
      <c r="X3" s="3"/>
      <c r="Y3" s="4"/>
      <c r="Z3" s="5"/>
      <c r="AA3" s="4"/>
      <c r="AB3" s="4"/>
      <c r="AC3" s="4"/>
      <c r="AD3" s="5"/>
      <c r="AE3" s="4"/>
      <c r="AF3" s="4"/>
      <c r="AG3" s="6"/>
      <c r="AH3" s="6"/>
      <c r="AI3" s="7"/>
      <c r="AJ3" s="7"/>
      <c r="AK3" s="7"/>
      <c r="AL3" s="7"/>
      <c r="AM3" s="6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</row>
    <row r="4" spans="1:135" ht="13.9" customHeight="1" x14ac:dyDescent="0.25">
      <c r="B4" s="157" t="s">
        <v>3</v>
      </c>
      <c r="C4" s="157" t="s">
        <v>4</v>
      </c>
      <c r="D4" s="158" t="s">
        <v>5</v>
      </c>
      <c r="E4" s="158" t="s">
        <v>6</v>
      </c>
      <c r="F4" s="158" t="s">
        <v>7</v>
      </c>
      <c r="G4" s="158" t="s">
        <v>8</v>
      </c>
      <c r="H4" s="156" t="s">
        <v>9</v>
      </c>
      <c r="I4" s="156"/>
      <c r="J4" s="156"/>
      <c r="K4" s="156"/>
      <c r="L4" s="158" t="s">
        <v>10</v>
      </c>
      <c r="M4" s="158" t="s">
        <v>11</v>
      </c>
      <c r="N4" s="156" t="s">
        <v>12</v>
      </c>
      <c r="O4" s="156"/>
      <c r="P4" s="156"/>
      <c r="Q4" s="156"/>
      <c r="R4" s="156"/>
      <c r="S4" s="156"/>
      <c r="T4" s="135" t="s">
        <v>13</v>
      </c>
      <c r="U4" s="153" t="s">
        <v>14</v>
      </c>
      <c r="V4" s="138"/>
      <c r="W4" s="144" t="s">
        <v>15</v>
      </c>
      <c r="X4" s="135" t="s">
        <v>16</v>
      </c>
      <c r="Y4" s="135" t="s">
        <v>17</v>
      </c>
      <c r="Z4" s="135" t="s">
        <v>18</v>
      </c>
      <c r="AA4" s="153" t="s">
        <v>19</v>
      </c>
      <c r="AB4" s="135" t="s">
        <v>20</v>
      </c>
      <c r="AC4" s="11"/>
      <c r="AD4" s="138" t="s">
        <v>21</v>
      </c>
      <c r="AE4" s="141" t="s">
        <v>22</v>
      </c>
      <c r="AF4" s="142"/>
      <c r="AG4" s="142"/>
      <c r="AH4" s="143"/>
      <c r="AI4" s="135" t="s">
        <v>23</v>
      </c>
      <c r="AJ4" s="144" t="s">
        <v>24</v>
      </c>
      <c r="AK4" s="147" t="s">
        <v>25</v>
      </c>
      <c r="AL4" s="13"/>
      <c r="AM4" s="13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</row>
    <row r="5" spans="1:135" ht="12.75" customHeight="1" x14ac:dyDescent="0.25">
      <c r="B5" s="157"/>
      <c r="C5" s="157"/>
      <c r="D5" s="158"/>
      <c r="E5" s="158"/>
      <c r="F5" s="158"/>
      <c r="G5" s="158"/>
      <c r="H5" s="156" t="s">
        <v>26</v>
      </c>
      <c r="I5" s="156" t="s">
        <v>27</v>
      </c>
      <c r="J5" s="156" t="s">
        <v>28</v>
      </c>
      <c r="K5" s="135" t="s">
        <v>29</v>
      </c>
      <c r="L5" s="158"/>
      <c r="M5" s="158"/>
      <c r="N5" s="159" t="s">
        <v>26</v>
      </c>
      <c r="O5" s="159" t="s">
        <v>27</v>
      </c>
      <c r="P5" s="159" t="s">
        <v>30</v>
      </c>
      <c r="Q5" s="134" t="s">
        <v>31</v>
      </c>
      <c r="R5" s="134" t="s">
        <v>32</v>
      </c>
      <c r="S5" s="134" t="s">
        <v>33</v>
      </c>
      <c r="T5" s="136"/>
      <c r="U5" s="154"/>
      <c r="V5" s="140"/>
      <c r="W5" s="145"/>
      <c r="X5" s="136"/>
      <c r="Y5" s="136"/>
      <c r="Z5" s="136"/>
      <c r="AA5" s="155"/>
      <c r="AB5" s="136"/>
      <c r="AC5" s="16" t="s">
        <v>34</v>
      </c>
      <c r="AD5" s="139"/>
      <c r="AE5" s="150" t="s">
        <v>35</v>
      </c>
      <c r="AF5" s="151"/>
      <c r="AG5" s="151"/>
      <c r="AH5" s="152"/>
      <c r="AI5" s="136"/>
      <c r="AJ5" s="145"/>
      <c r="AK5" s="148"/>
      <c r="AL5" s="13"/>
      <c r="AM5" s="13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</row>
    <row r="6" spans="1:135" ht="23.25" customHeight="1" x14ac:dyDescent="0.25">
      <c r="B6" s="157"/>
      <c r="C6" s="157"/>
      <c r="D6" s="158"/>
      <c r="E6" s="158"/>
      <c r="F6" s="158"/>
      <c r="G6" s="158"/>
      <c r="H6" s="156"/>
      <c r="I6" s="156"/>
      <c r="J6" s="156"/>
      <c r="K6" s="137"/>
      <c r="L6" s="158"/>
      <c r="M6" s="158"/>
      <c r="N6" s="159"/>
      <c r="O6" s="159"/>
      <c r="P6" s="159"/>
      <c r="Q6" s="134"/>
      <c r="R6" s="134"/>
      <c r="S6" s="134"/>
      <c r="T6" s="137"/>
      <c r="U6" s="21" t="s">
        <v>26</v>
      </c>
      <c r="V6" s="21" t="s">
        <v>27</v>
      </c>
      <c r="W6" s="146"/>
      <c r="X6" s="137"/>
      <c r="Y6" s="137"/>
      <c r="Z6" s="137"/>
      <c r="AA6" s="154"/>
      <c r="AB6" s="137"/>
      <c r="AC6" s="20" t="s">
        <v>36</v>
      </c>
      <c r="AD6" s="140"/>
      <c r="AE6" s="22" t="s">
        <v>37</v>
      </c>
      <c r="AF6" s="8" t="s">
        <v>38</v>
      </c>
      <c r="AG6" s="8" t="s">
        <v>39</v>
      </c>
      <c r="AH6" s="22" t="s">
        <v>40</v>
      </c>
      <c r="AI6" s="137"/>
      <c r="AJ6" s="146"/>
      <c r="AK6" s="149"/>
      <c r="AL6" s="24"/>
      <c r="AM6" s="13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</row>
    <row r="7" spans="1:135" x14ac:dyDescent="0.25">
      <c r="A7" s="123" t="s">
        <v>97</v>
      </c>
      <c r="B7" s="25">
        <f>17550+17550</f>
        <v>35100</v>
      </c>
      <c r="C7" s="25">
        <f>17550-126.16-504.63+17550-529.86</f>
        <v>33939.35</v>
      </c>
      <c r="D7" s="26">
        <f>402.19+399.67</f>
        <v>801.86</v>
      </c>
      <c r="E7" s="26">
        <v>0</v>
      </c>
      <c r="F7" s="26">
        <v>0</v>
      </c>
      <c r="G7" s="26">
        <f t="shared" ref="G7:G33" si="0">C7+D7+E7+F7</f>
        <v>34741.21</v>
      </c>
      <c r="H7" s="26">
        <v>1350</v>
      </c>
      <c r="I7" s="27">
        <f>1900+950</f>
        <v>2850</v>
      </c>
      <c r="J7" s="26">
        <f t="shared" ref="J7:J40" si="1">H7+I7</f>
        <v>4200</v>
      </c>
      <c r="K7" s="26">
        <v>30</v>
      </c>
      <c r="L7" s="26">
        <f>1845.8</f>
        <v>1845.8</v>
      </c>
      <c r="M7" s="26">
        <v>0</v>
      </c>
      <c r="N7" s="26">
        <f>B7*5%/2</f>
        <v>877.5</v>
      </c>
      <c r="O7" s="26">
        <f t="shared" ref="O7:O32" si="2">N7</f>
        <v>877.5</v>
      </c>
      <c r="P7" s="26">
        <f>N7+O7</f>
        <v>1755</v>
      </c>
      <c r="Q7" s="26">
        <v>0</v>
      </c>
      <c r="R7" s="26">
        <v>0</v>
      </c>
      <c r="S7" s="26">
        <v>0</v>
      </c>
      <c r="T7" s="28">
        <f>(G7-H7-N7-Q7-U7-20833)*15%</f>
        <v>1722.1064999999999</v>
      </c>
      <c r="U7" s="26">
        <v>200</v>
      </c>
      <c r="V7" s="26">
        <f t="shared" ref="V7:V40" si="3">U7</f>
        <v>200</v>
      </c>
      <c r="W7" s="25">
        <v>0</v>
      </c>
      <c r="X7" s="26">
        <v>0</v>
      </c>
      <c r="Y7" s="26">
        <v>0</v>
      </c>
      <c r="Z7" s="26">
        <v>0</v>
      </c>
      <c r="AA7" s="26">
        <v>72.680000000000007</v>
      </c>
      <c r="AB7" s="26">
        <v>0</v>
      </c>
      <c r="AC7" s="26">
        <v>0</v>
      </c>
      <c r="AD7" s="26">
        <f>G7-L7-M7-W7-X7-Y7-Z7-AA7-H7-N7-T7-U7</f>
        <v>28673.123499999994</v>
      </c>
      <c r="AE7" s="26">
        <f>5200+5200</f>
        <v>10400</v>
      </c>
      <c r="AF7" s="26">
        <f>119.63+119.63</f>
        <v>239.26</v>
      </c>
      <c r="AG7" s="29">
        <f>1000+1000</f>
        <v>2000</v>
      </c>
      <c r="AH7" s="30">
        <v>0</v>
      </c>
      <c r="AI7" s="29">
        <v>0</v>
      </c>
      <c r="AJ7" s="27">
        <v>0</v>
      </c>
      <c r="AK7" s="31">
        <f t="shared" ref="AK7:AK31" si="4">AD7+AE7+AF7+AG7</f>
        <v>41312.383499999996</v>
      </c>
      <c r="AL7" s="13"/>
      <c r="AM7" s="13"/>
      <c r="AN7" s="32"/>
      <c r="AO7" s="33">
        <f>G7-H7-L7-M7-N7-T7-U7-W7-X7-Y7-Z7-AA7+AB7+AC7+AE7+AF7+AG7+AH7</f>
        <v>41312.383500000004</v>
      </c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</row>
    <row r="8" spans="1:135" x14ac:dyDescent="0.25">
      <c r="A8" s="123" t="s">
        <v>41</v>
      </c>
      <c r="B8" s="25">
        <f>8364.5+8364.5</f>
        <v>16729</v>
      </c>
      <c r="C8" s="25">
        <f>8364.5-1.34+8364.5-28.06</f>
        <v>16699.599999999999</v>
      </c>
      <c r="D8" s="26">
        <f>192.41+192.41</f>
        <v>384.82</v>
      </c>
      <c r="E8" s="26">
        <v>0</v>
      </c>
      <c r="F8" s="26">
        <v>0</v>
      </c>
      <c r="G8" s="26">
        <f t="shared" si="0"/>
        <v>17084.419999999998</v>
      </c>
      <c r="H8" s="26">
        <v>742.5</v>
      </c>
      <c r="I8" s="27">
        <v>1567.5</v>
      </c>
      <c r="J8" s="26">
        <f t="shared" si="1"/>
        <v>2310</v>
      </c>
      <c r="K8" s="26">
        <v>30</v>
      </c>
      <c r="L8" s="26">
        <v>1430.49</v>
      </c>
      <c r="M8" s="26">
        <v>0</v>
      </c>
      <c r="N8" s="26">
        <f>B8*5%/2</f>
        <v>418.22500000000002</v>
      </c>
      <c r="O8" s="26">
        <f t="shared" si="2"/>
        <v>418.22500000000002</v>
      </c>
      <c r="P8" s="26">
        <f>N8+O8+0.01</f>
        <v>836.46</v>
      </c>
      <c r="Q8" s="26">
        <v>0</v>
      </c>
      <c r="R8" s="26">
        <v>0</v>
      </c>
      <c r="S8" s="26">
        <v>0</v>
      </c>
      <c r="T8" s="26">
        <v>0</v>
      </c>
      <c r="U8" s="26">
        <v>200</v>
      </c>
      <c r="V8" s="26">
        <f t="shared" si="3"/>
        <v>200</v>
      </c>
      <c r="W8" s="25">
        <v>950</v>
      </c>
      <c r="X8" s="26">
        <v>0</v>
      </c>
      <c r="Y8" s="26">
        <f>500+500</f>
        <v>1000</v>
      </c>
      <c r="Z8" s="26">
        <v>0</v>
      </c>
      <c r="AA8" s="26">
        <v>0</v>
      </c>
      <c r="AB8" s="26">
        <v>0</v>
      </c>
      <c r="AC8" s="26">
        <v>0</v>
      </c>
      <c r="AD8" s="26">
        <f t="shared" ref="AD8:AD40" si="5">G8-L8-M8-W8-X8-Y8-Z8-AA8-H8-N8-T8-U8</f>
        <v>12343.204999999998</v>
      </c>
      <c r="AE8" s="26">
        <v>0</v>
      </c>
      <c r="AF8" s="26">
        <v>0</v>
      </c>
      <c r="AG8" s="29">
        <v>0</v>
      </c>
      <c r="AH8" s="26">
        <v>0</v>
      </c>
      <c r="AI8" s="26">
        <v>0</v>
      </c>
      <c r="AJ8" s="26">
        <v>0</v>
      </c>
      <c r="AK8" s="31">
        <f t="shared" si="4"/>
        <v>12343.204999999998</v>
      </c>
      <c r="AL8" s="13"/>
      <c r="AM8" s="13"/>
      <c r="AN8" s="32"/>
      <c r="AO8" s="33">
        <f t="shared" ref="AO8:AO40" si="6">G8-H8-L8-M8-N8-T8-U8-W8-X8-Y8-Z8-AA8+AB8+AC8+AE8+AF8+AG8+AH8</f>
        <v>12343.204999999998</v>
      </c>
      <c r="AP8" s="33">
        <f>AO8-AK8</f>
        <v>0</v>
      </c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</row>
    <row r="9" spans="1:135" s="35" customFormat="1" ht="12.75" x14ac:dyDescent="0.2">
      <c r="A9" s="123" t="s">
        <v>98</v>
      </c>
      <c r="B9" s="34">
        <f>16000</f>
        <v>16000</v>
      </c>
      <c r="C9" s="25">
        <f>8000-1533.55-122.69+8000-141.86</f>
        <v>14201.9</v>
      </c>
      <c r="D9" s="26">
        <v>176.67</v>
      </c>
      <c r="E9" s="26">
        <v>0</v>
      </c>
      <c r="F9" s="26">
        <v>0</v>
      </c>
      <c r="G9" s="26">
        <f t="shared" si="0"/>
        <v>14378.57</v>
      </c>
      <c r="H9" s="26">
        <v>720</v>
      </c>
      <c r="I9" s="27">
        <v>1520</v>
      </c>
      <c r="J9" s="26">
        <f t="shared" si="1"/>
        <v>2240</v>
      </c>
      <c r="K9" s="27">
        <v>30</v>
      </c>
      <c r="L9" s="26">
        <v>0</v>
      </c>
      <c r="M9" s="26">
        <v>0</v>
      </c>
      <c r="N9" s="26">
        <f>B9*5%/2</f>
        <v>400</v>
      </c>
      <c r="O9" s="26">
        <f t="shared" si="2"/>
        <v>400</v>
      </c>
      <c r="P9" s="27">
        <f t="shared" ref="P9:P15" si="7">N9+O9</f>
        <v>800</v>
      </c>
      <c r="Q9" s="26">
        <v>0</v>
      </c>
      <c r="R9" s="26">
        <v>0</v>
      </c>
      <c r="S9" s="26">
        <v>0</v>
      </c>
      <c r="T9" s="26">
        <v>0</v>
      </c>
      <c r="U9" s="26">
        <v>200</v>
      </c>
      <c r="V9" s="26">
        <f t="shared" si="3"/>
        <v>200</v>
      </c>
      <c r="W9" s="25">
        <v>0</v>
      </c>
      <c r="X9" s="26">
        <v>0</v>
      </c>
      <c r="Y9" s="26">
        <v>0</v>
      </c>
      <c r="Z9" s="26">
        <v>0</v>
      </c>
      <c r="AA9" s="26">
        <v>230.03</v>
      </c>
      <c r="AB9" s="26">
        <v>0</v>
      </c>
      <c r="AC9" s="26">
        <v>0</v>
      </c>
      <c r="AD9" s="26">
        <f t="shared" si="5"/>
        <v>12828.539999999999</v>
      </c>
      <c r="AE9" s="26">
        <v>0</v>
      </c>
      <c r="AF9" s="26">
        <v>0</v>
      </c>
      <c r="AG9" s="29">
        <v>0</v>
      </c>
      <c r="AH9" s="30">
        <v>0</v>
      </c>
      <c r="AI9" s="29">
        <v>0</v>
      </c>
      <c r="AJ9" s="27">
        <v>0</v>
      </c>
      <c r="AK9" s="31">
        <f t="shared" si="4"/>
        <v>12828.539999999999</v>
      </c>
      <c r="AL9" s="13"/>
      <c r="AM9" s="13"/>
      <c r="AN9" s="32"/>
      <c r="AO9" s="33">
        <f t="shared" si="6"/>
        <v>12828.539999999999</v>
      </c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</row>
    <row r="10" spans="1:135" s="35" customFormat="1" ht="12.75" x14ac:dyDescent="0.2">
      <c r="A10" s="123" t="s">
        <v>99</v>
      </c>
      <c r="B10" s="34">
        <f>12500+12500</f>
        <v>25000</v>
      </c>
      <c r="C10" s="25">
        <f>12500-3833.88-203.68+12500-1916.94</f>
        <v>19045.5</v>
      </c>
      <c r="D10" s="26">
        <v>287.54000000000002</v>
      </c>
      <c r="E10" s="26">
        <v>0</v>
      </c>
      <c r="F10" s="26">
        <v>149.76</v>
      </c>
      <c r="G10" s="26">
        <f t="shared" si="0"/>
        <v>19482.8</v>
      </c>
      <c r="H10" s="26">
        <f>900+225</f>
        <v>1125</v>
      </c>
      <c r="I10" s="27">
        <f>1900+475</f>
        <v>2375</v>
      </c>
      <c r="J10" s="26">
        <f t="shared" si="1"/>
        <v>3500</v>
      </c>
      <c r="K10" s="27">
        <v>30</v>
      </c>
      <c r="L10" s="26">
        <v>0</v>
      </c>
      <c r="M10" s="26">
        <v>0</v>
      </c>
      <c r="N10" s="26">
        <f>B10*5%/2</f>
        <v>625</v>
      </c>
      <c r="O10" s="26">
        <f t="shared" si="2"/>
        <v>625</v>
      </c>
      <c r="P10" s="27">
        <f t="shared" si="7"/>
        <v>1250</v>
      </c>
      <c r="Q10" s="26">
        <v>0</v>
      </c>
      <c r="R10" s="26">
        <v>0</v>
      </c>
      <c r="S10" s="26">
        <v>0</v>
      </c>
      <c r="T10" s="26">
        <v>0</v>
      </c>
      <c r="U10" s="26">
        <v>200</v>
      </c>
      <c r="V10" s="26">
        <f t="shared" si="3"/>
        <v>200</v>
      </c>
      <c r="W10" s="25"/>
      <c r="X10" s="26"/>
      <c r="Y10" s="26"/>
      <c r="Z10" s="26">
        <v>0</v>
      </c>
      <c r="AA10" s="26">
        <v>6.66</v>
      </c>
      <c r="AB10" s="26">
        <v>0</v>
      </c>
      <c r="AC10" s="26">
        <v>0</v>
      </c>
      <c r="AD10" s="26">
        <f t="shared" si="5"/>
        <v>17526.14</v>
      </c>
      <c r="AE10" s="26">
        <v>0</v>
      </c>
      <c r="AF10" s="26">
        <v>0</v>
      </c>
      <c r="AG10" s="29">
        <v>0</v>
      </c>
      <c r="AH10" s="30"/>
      <c r="AI10" s="29"/>
      <c r="AJ10" s="27"/>
      <c r="AK10" s="31">
        <f t="shared" si="4"/>
        <v>17526.14</v>
      </c>
      <c r="AL10" s="13"/>
      <c r="AM10" s="13"/>
      <c r="AN10" s="32"/>
      <c r="AO10" s="33">
        <f t="shared" si="6"/>
        <v>17526.14</v>
      </c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</row>
    <row r="11" spans="1:135" x14ac:dyDescent="0.25">
      <c r="A11" s="123" t="s">
        <v>100</v>
      </c>
      <c r="B11" s="34">
        <f>9083.75+9083.75</f>
        <v>18167.5</v>
      </c>
      <c r="C11" s="25">
        <f>9083.75+9083.75-348.26-7.25</f>
        <v>17811.990000000002</v>
      </c>
      <c r="D11" s="26">
        <v>208.94</v>
      </c>
      <c r="E11" s="26">
        <v>0</v>
      </c>
      <c r="F11" s="26">
        <v>0</v>
      </c>
      <c r="G11" s="26">
        <f t="shared" si="0"/>
        <v>18020.93</v>
      </c>
      <c r="H11" s="26">
        <v>810</v>
      </c>
      <c r="I11" s="27">
        <v>1710</v>
      </c>
      <c r="J11" s="26">
        <f t="shared" si="1"/>
        <v>2520</v>
      </c>
      <c r="K11" s="27">
        <v>30</v>
      </c>
      <c r="L11" s="26">
        <v>784.46</v>
      </c>
      <c r="M11" s="26">
        <v>0</v>
      </c>
      <c r="N11" s="26">
        <f>B11*5%/2</f>
        <v>454.1875</v>
      </c>
      <c r="O11" s="26">
        <f t="shared" si="2"/>
        <v>454.1875</v>
      </c>
      <c r="P11" s="27">
        <f t="shared" si="7"/>
        <v>908.375</v>
      </c>
      <c r="Q11" s="26">
        <v>0</v>
      </c>
      <c r="R11" s="26">
        <v>0</v>
      </c>
      <c r="S11" s="26">
        <v>0</v>
      </c>
      <c r="T11" s="26">
        <v>0</v>
      </c>
      <c r="U11" s="26">
        <v>200</v>
      </c>
      <c r="V11" s="26">
        <f t="shared" si="3"/>
        <v>200</v>
      </c>
      <c r="W11" s="25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f t="shared" si="5"/>
        <v>15772.282500000001</v>
      </c>
      <c r="AE11" s="26">
        <v>0</v>
      </c>
      <c r="AF11" s="26">
        <v>0</v>
      </c>
      <c r="AG11" s="29">
        <v>0</v>
      </c>
      <c r="AH11" s="30">
        <v>0</v>
      </c>
      <c r="AI11" s="29">
        <v>0</v>
      </c>
      <c r="AJ11" s="27">
        <v>0</v>
      </c>
      <c r="AK11" s="31">
        <f t="shared" si="4"/>
        <v>15772.282500000001</v>
      </c>
      <c r="AL11" s="13" t="s">
        <v>22</v>
      </c>
      <c r="AM11" s="13"/>
      <c r="AN11" s="32"/>
      <c r="AO11" s="33">
        <f t="shared" si="6"/>
        <v>15772.282500000001</v>
      </c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</row>
    <row r="12" spans="1:135" s="39" customFormat="1" x14ac:dyDescent="0.25">
      <c r="A12" s="123" t="s">
        <v>101</v>
      </c>
      <c r="B12" s="34">
        <f>150000+30000+50000</f>
        <v>230000</v>
      </c>
      <c r="C12" s="25">
        <f>B12</f>
        <v>230000</v>
      </c>
      <c r="D12" s="26">
        <v>0</v>
      </c>
      <c r="E12" s="26">
        <v>0</v>
      </c>
      <c r="F12" s="26">
        <v>0</v>
      </c>
      <c r="G12" s="26">
        <f t="shared" si="0"/>
        <v>230000</v>
      </c>
      <c r="H12" s="26">
        <f>900+450</f>
        <v>1350</v>
      </c>
      <c r="I12" s="27">
        <f>1900+950</f>
        <v>2850</v>
      </c>
      <c r="J12" s="26">
        <f t="shared" si="1"/>
        <v>4200</v>
      </c>
      <c r="K12" s="27">
        <v>30</v>
      </c>
      <c r="L12" s="26">
        <v>0</v>
      </c>
      <c r="M12" s="26">
        <v>0</v>
      </c>
      <c r="N12" s="26">
        <v>2500</v>
      </c>
      <c r="O12" s="26">
        <f t="shared" si="2"/>
        <v>2500</v>
      </c>
      <c r="P12" s="27">
        <f t="shared" si="7"/>
        <v>5000</v>
      </c>
      <c r="Q12" s="26">
        <v>0</v>
      </c>
      <c r="R12" s="26">
        <v>0</v>
      </c>
      <c r="S12" s="26">
        <f>Q12+R12</f>
        <v>0</v>
      </c>
      <c r="T12" s="26">
        <f>(G12-H12-N12-U12-166667)*30%+33541.8</f>
        <v>51326.7</v>
      </c>
      <c r="U12" s="26">
        <v>200</v>
      </c>
      <c r="V12" s="26">
        <f t="shared" si="3"/>
        <v>200</v>
      </c>
      <c r="W12" s="25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f t="shared" si="5"/>
        <v>174623.3</v>
      </c>
      <c r="AE12" s="26">
        <v>0</v>
      </c>
      <c r="AF12" s="26">
        <v>0</v>
      </c>
      <c r="AG12" s="29">
        <v>0</v>
      </c>
      <c r="AH12" s="30">
        <v>0</v>
      </c>
      <c r="AI12" s="29">
        <v>0</v>
      </c>
      <c r="AJ12" s="27">
        <v>0</v>
      </c>
      <c r="AK12" s="31">
        <f t="shared" si="4"/>
        <v>174623.3</v>
      </c>
      <c r="AL12" s="36">
        <f>90000+50000+90000</f>
        <v>230000</v>
      </c>
      <c r="AM12" s="36">
        <f>230000-H12-N12-T12-U12</f>
        <v>174623.3</v>
      </c>
      <c r="AN12" s="37">
        <f>AL12-AM12</f>
        <v>55376.700000000012</v>
      </c>
      <c r="AO12" s="33">
        <f t="shared" si="6"/>
        <v>174623.3</v>
      </c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</row>
    <row r="13" spans="1:135" x14ac:dyDescent="0.25">
      <c r="A13" s="123" t="s">
        <v>102</v>
      </c>
      <c r="B13" s="34">
        <f>10706+10706</f>
        <v>21412</v>
      </c>
      <c r="C13" s="25">
        <f>10706-205.22+10706</f>
        <v>21206.78</v>
      </c>
      <c r="D13" s="26">
        <v>246.26</v>
      </c>
      <c r="E13" s="26">
        <v>0</v>
      </c>
      <c r="F13" s="26">
        <f>769.58+641.31</f>
        <v>1410.8899999999999</v>
      </c>
      <c r="G13" s="26">
        <f t="shared" si="0"/>
        <v>22863.929999999997</v>
      </c>
      <c r="H13" s="26">
        <v>967.5</v>
      </c>
      <c r="I13" s="27">
        <f>1900+142.5</f>
        <v>2042.5</v>
      </c>
      <c r="J13" s="26">
        <f t="shared" si="1"/>
        <v>3010</v>
      </c>
      <c r="K13" s="27">
        <v>30</v>
      </c>
      <c r="L13" s="26">
        <v>0</v>
      </c>
      <c r="M13" s="26">
        <v>0</v>
      </c>
      <c r="N13" s="26">
        <f t="shared" ref="N13:N22" si="8">B13*5%/2</f>
        <v>535.30000000000007</v>
      </c>
      <c r="O13" s="26">
        <f t="shared" si="2"/>
        <v>535.30000000000007</v>
      </c>
      <c r="P13" s="27">
        <f t="shared" si="7"/>
        <v>1070.6000000000001</v>
      </c>
      <c r="Q13" s="26">
        <v>0</v>
      </c>
      <c r="R13" s="26">
        <v>0</v>
      </c>
      <c r="S13" s="26">
        <v>0</v>
      </c>
      <c r="T13" s="28">
        <f>(G13-H13-N13-Q13-U13-20833)*15%</f>
        <v>49.219499999999606</v>
      </c>
      <c r="U13" s="26">
        <v>200</v>
      </c>
      <c r="V13" s="26">
        <f t="shared" si="3"/>
        <v>200</v>
      </c>
      <c r="W13" s="25">
        <v>3680.46</v>
      </c>
      <c r="X13" s="26">
        <v>0</v>
      </c>
      <c r="Y13" s="26">
        <f>1500+1500</f>
        <v>3000</v>
      </c>
      <c r="Z13" s="26">
        <v>0</v>
      </c>
      <c r="AA13" s="26">
        <v>0</v>
      </c>
      <c r="AB13" s="26">
        <v>0</v>
      </c>
      <c r="AC13" s="26">
        <v>0</v>
      </c>
      <c r="AD13" s="26">
        <f t="shared" si="5"/>
        <v>14431.450499999999</v>
      </c>
      <c r="AE13" s="26">
        <f>2550+2550</f>
        <v>5100</v>
      </c>
      <c r="AF13" s="26">
        <v>58.67</v>
      </c>
      <c r="AG13" s="29">
        <v>0</v>
      </c>
      <c r="AH13" s="30">
        <v>0</v>
      </c>
      <c r="AI13" s="29">
        <v>0</v>
      </c>
      <c r="AJ13" s="27">
        <v>0</v>
      </c>
      <c r="AK13" s="31">
        <f t="shared" si="4"/>
        <v>19590.120499999997</v>
      </c>
      <c r="AL13" s="13"/>
      <c r="AM13" s="13"/>
      <c r="AN13" s="32"/>
      <c r="AO13" s="33">
        <f t="shared" si="6"/>
        <v>19590.120499999997</v>
      </c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</row>
    <row r="14" spans="1:135" ht="14.25" customHeight="1" x14ac:dyDescent="0.25">
      <c r="A14" s="123" t="s">
        <v>103</v>
      </c>
      <c r="B14" s="34">
        <f>9500+9500</f>
        <v>19000</v>
      </c>
      <c r="C14" s="25">
        <f>9500-9.1-273.15+9500-1.52-91.05</f>
        <v>18625.18</v>
      </c>
      <c r="D14" s="26">
        <v>0</v>
      </c>
      <c r="E14" s="26">
        <v>0</v>
      </c>
      <c r="F14" s="26">
        <v>0</v>
      </c>
      <c r="G14" s="26">
        <f t="shared" si="0"/>
        <v>18625.18</v>
      </c>
      <c r="H14" s="26">
        <v>855</v>
      </c>
      <c r="I14" s="27">
        <v>1805</v>
      </c>
      <c r="J14" s="26">
        <f t="shared" si="1"/>
        <v>2660</v>
      </c>
      <c r="K14" s="26">
        <v>30</v>
      </c>
      <c r="L14" s="26">
        <v>1753.51</v>
      </c>
      <c r="M14" s="26">
        <v>0</v>
      </c>
      <c r="N14" s="26">
        <f t="shared" si="8"/>
        <v>475</v>
      </c>
      <c r="O14" s="26">
        <f t="shared" si="2"/>
        <v>475</v>
      </c>
      <c r="P14" s="27">
        <f t="shared" si="7"/>
        <v>950</v>
      </c>
      <c r="Q14" s="26">
        <v>0</v>
      </c>
      <c r="R14" s="26">
        <v>0</v>
      </c>
      <c r="S14" s="26">
        <v>0</v>
      </c>
      <c r="T14" s="26">
        <v>0</v>
      </c>
      <c r="U14" s="26">
        <v>200</v>
      </c>
      <c r="V14" s="26">
        <f t="shared" si="3"/>
        <v>200</v>
      </c>
      <c r="W14" s="25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f t="shared" si="5"/>
        <v>15341.670000000002</v>
      </c>
      <c r="AE14" s="26">
        <f>3100+3100</f>
        <v>6200</v>
      </c>
      <c r="AF14" s="26">
        <v>0</v>
      </c>
      <c r="AG14" s="29">
        <v>0</v>
      </c>
      <c r="AH14" s="30">
        <v>0</v>
      </c>
      <c r="AI14" s="29">
        <v>0</v>
      </c>
      <c r="AJ14" s="27">
        <v>0</v>
      </c>
      <c r="AK14" s="31">
        <f t="shared" si="4"/>
        <v>21541.670000000002</v>
      </c>
      <c r="AL14" s="13"/>
      <c r="AM14" s="13"/>
      <c r="AN14" s="32"/>
      <c r="AO14" s="33">
        <f t="shared" si="6"/>
        <v>21541.67</v>
      </c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</row>
    <row r="15" spans="1:135" ht="14.25" customHeight="1" x14ac:dyDescent="0.25">
      <c r="A15" s="123" t="s">
        <v>104</v>
      </c>
      <c r="B15" s="34">
        <f>7585+7585</f>
        <v>15170</v>
      </c>
      <c r="C15" s="25">
        <f>7585-32.72+7585-26.66</f>
        <v>15110.619999999999</v>
      </c>
      <c r="D15" s="26">
        <v>174.04</v>
      </c>
      <c r="E15" s="26">
        <v>0</v>
      </c>
      <c r="F15" s="26">
        <v>0</v>
      </c>
      <c r="G15" s="26">
        <f t="shared" si="0"/>
        <v>15284.66</v>
      </c>
      <c r="H15" s="26">
        <v>675</v>
      </c>
      <c r="I15" s="27">
        <v>1425</v>
      </c>
      <c r="J15" s="26">
        <f t="shared" si="1"/>
        <v>2100</v>
      </c>
      <c r="K15" s="27">
        <v>30</v>
      </c>
      <c r="L15" s="26">
        <v>1384.35</v>
      </c>
      <c r="M15" s="26">
        <v>0</v>
      </c>
      <c r="N15" s="26">
        <f t="shared" si="8"/>
        <v>379.25</v>
      </c>
      <c r="O15" s="26">
        <f t="shared" si="2"/>
        <v>379.25</v>
      </c>
      <c r="P15" s="27">
        <f t="shared" si="7"/>
        <v>758.5</v>
      </c>
      <c r="Q15" s="26">
        <v>0</v>
      </c>
      <c r="R15" s="26">
        <v>0</v>
      </c>
      <c r="S15" s="26">
        <v>0</v>
      </c>
      <c r="T15" s="26">
        <v>0</v>
      </c>
      <c r="U15" s="26">
        <v>200</v>
      </c>
      <c r="V15" s="26">
        <f t="shared" si="3"/>
        <v>200</v>
      </c>
      <c r="W15" s="25">
        <v>398.91</v>
      </c>
      <c r="X15" s="26">
        <v>0</v>
      </c>
      <c r="Y15" s="23">
        <f>1000+1000</f>
        <v>2000</v>
      </c>
      <c r="Z15" s="26">
        <v>0</v>
      </c>
      <c r="AA15" s="26">
        <v>72.7</v>
      </c>
      <c r="AB15" s="26">
        <v>0</v>
      </c>
      <c r="AC15" s="26">
        <v>0</v>
      </c>
      <c r="AD15" s="26">
        <f t="shared" si="5"/>
        <v>10174.449999999999</v>
      </c>
      <c r="AE15" s="26">
        <v>0</v>
      </c>
      <c r="AF15" s="26">
        <v>0</v>
      </c>
      <c r="AG15" s="29">
        <v>0</v>
      </c>
      <c r="AH15" s="30">
        <v>0</v>
      </c>
      <c r="AI15" s="29">
        <v>0</v>
      </c>
      <c r="AJ15" s="27">
        <v>0</v>
      </c>
      <c r="AK15" s="31">
        <f t="shared" si="4"/>
        <v>10174.449999999999</v>
      </c>
      <c r="AL15" s="13"/>
      <c r="AM15" s="13"/>
      <c r="AN15" s="32"/>
      <c r="AO15" s="33">
        <f t="shared" si="6"/>
        <v>10174.449999999999</v>
      </c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</row>
    <row r="16" spans="1:135" x14ac:dyDescent="0.25">
      <c r="A16" s="123" t="s">
        <v>42</v>
      </c>
      <c r="B16" s="40">
        <f>12568.5+12568.5</f>
        <v>25137</v>
      </c>
      <c r="C16" s="25">
        <f>12568.5-112.43+12568.5-88.34</f>
        <v>24936.23</v>
      </c>
      <c r="D16" s="26">
        <f>289.1+289.1</f>
        <v>578.20000000000005</v>
      </c>
      <c r="E16" s="26">
        <v>0</v>
      </c>
      <c r="F16" s="26">
        <v>0</v>
      </c>
      <c r="G16" s="26">
        <f t="shared" si="0"/>
        <v>25514.43</v>
      </c>
      <c r="H16" s="26">
        <v>1125</v>
      </c>
      <c r="I16" s="27">
        <f>1900+475</f>
        <v>2375</v>
      </c>
      <c r="J16" s="26">
        <f t="shared" si="1"/>
        <v>3500</v>
      </c>
      <c r="K16" s="26">
        <v>30</v>
      </c>
      <c r="L16" s="26">
        <v>1845.8</v>
      </c>
      <c r="M16" s="26">
        <v>0</v>
      </c>
      <c r="N16" s="26">
        <f t="shared" si="8"/>
        <v>628.42500000000007</v>
      </c>
      <c r="O16" s="26">
        <f t="shared" si="2"/>
        <v>628.42500000000007</v>
      </c>
      <c r="P16" s="27">
        <f>N16+O16+0.01</f>
        <v>1256.8600000000001</v>
      </c>
      <c r="Q16" s="26">
        <v>0</v>
      </c>
      <c r="R16" s="26">
        <v>0</v>
      </c>
      <c r="S16" s="26">
        <v>0</v>
      </c>
      <c r="T16" s="28">
        <f>(G16-H16-N16-Q16-U16-20833)*15%</f>
        <v>409.20075000000014</v>
      </c>
      <c r="U16" s="26">
        <v>200</v>
      </c>
      <c r="V16" s="26">
        <f t="shared" si="3"/>
        <v>200</v>
      </c>
      <c r="W16" s="25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f t="shared" si="5"/>
        <v>21306.004250000002</v>
      </c>
      <c r="AE16" s="26">
        <v>0</v>
      </c>
      <c r="AF16" s="26">
        <v>0</v>
      </c>
      <c r="AG16" s="29">
        <v>0</v>
      </c>
      <c r="AH16" s="30">
        <v>0</v>
      </c>
      <c r="AI16" s="29">
        <v>0</v>
      </c>
      <c r="AJ16" s="27">
        <v>0</v>
      </c>
      <c r="AK16" s="31">
        <f t="shared" si="4"/>
        <v>21306.004250000002</v>
      </c>
      <c r="AL16" s="41"/>
      <c r="AM16" s="13"/>
      <c r="AN16" s="32"/>
      <c r="AO16" s="33">
        <f t="shared" si="6"/>
        <v>21306.004250000002</v>
      </c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</row>
    <row r="17" spans="1:135" x14ac:dyDescent="0.25">
      <c r="A17" s="123" t="s">
        <v>105</v>
      </c>
      <c r="B17" s="34">
        <f>9646+9646</f>
        <v>19292</v>
      </c>
      <c r="C17" s="25">
        <f>9646-739.63-134.05-554.7+9646-1479.26-115.56</f>
        <v>16268.800000000005</v>
      </c>
      <c r="D17" s="26">
        <v>221.88</v>
      </c>
      <c r="E17" s="26">
        <v>0</v>
      </c>
      <c r="F17" s="26">
        <f>231.12+173.34</f>
        <v>404.46000000000004</v>
      </c>
      <c r="G17" s="26">
        <f t="shared" si="0"/>
        <v>16895.140000000003</v>
      </c>
      <c r="H17" s="27">
        <v>877.5</v>
      </c>
      <c r="I17" s="27">
        <v>1852.5</v>
      </c>
      <c r="J17" s="26">
        <f t="shared" si="1"/>
        <v>2730</v>
      </c>
      <c r="K17" s="27">
        <v>30</v>
      </c>
      <c r="L17" s="26">
        <v>1799.65</v>
      </c>
      <c r="M17" s="26">
        <v>0</v>
      </c>
      <c r="N17" s="26">
        <f t="shared" si="8"/>
        <v>482.3</v>
      </c>
      <c r="O17" s="26">
        <f t="shared" si="2"/>
        <v>482.3</v>
      </c>
      <c r="P17" s="27">
        <f t="shared" ref="P17:P32" si="9">N17+O17</f>
        <v>964.6</v>
      </c>
      <c r="Q17" s="26">
        <v>0</v>
      </c>
      <c r="R17" s="26">
        <v>0</v>
      </c>
      <c r="S17" s="26">
        <f>Q17+R17</f>
        <v>0</v>
      </c>
      <c r="T17" s="26">
        <v>0</v>
      </c>
      <c r="U17" s="26">
        <v>200</v>
      </c>
      <c r="V17" s="26">
        <f t="shared" si="3"/>
        <v>200</v>
      </c>
      <c r="W17" s="25">
        <f>1717.05</f>
        <v>1717.05</v>
      </c>
      <c r="X17" s="26">
        <v>0</v>
      </c>
      <c r="Y17" s="26">
        <v>0</v>
      </c>
      <c r="Z17" s="26">
        <v>0</v>
      </c>
      <c r="AA17" s="26">
        <v>76.34</v>
      </c>
      <c r="AB17" s="26">
        <v>0</v>
      </c>
      <c r="AC17" s="26">
        <v>0</v>
      </c>
      <c r="AD17" s="26">
        <f t="shared" si="5"/>
        <v>11742.300000000005</v>
      </c>
      <c r="AE17" s="26">
        <f>2300-176.36+2300-352.72</f>
        <v>4070.9199999999992</v>
      </c>
      <c r="AF17" s="26">
        <v>52.91</v>
      </c>
      <c r="AG17" s="29">
        <v>0</v>
      </c>
      <c r="AH17" s="30">
        <v>0</v>
      </c>
      <c r="AI17" s="29">
        <v>0</v>
      </c>
      <c r="AJ17" s="27">
        <v>0</v>
      </c>
      <c r="AK17" s="31">
        <f t="shared" si="4"/>
        <v>15866.130000000005</v>
      </c>
      <c r="AL17" s="13"/>
      <c r="AM17" s="13"/>
      <c r="AN17" s="32"/>
      <c r="AO17" s="33">
        <f t="shared" si="6"/>
        <v>15866.130000000005</v>
      </c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</row>
    <row r="18" spans="1:135" x14ac:dyDescent="0.25">
      <c r="A18" s="123" t="s">
        <v>106</v>
      </c>
      <c r="B18" s="34">
        <f>35000+35000</f>
        <v>70000</v>
      </c>
      <c r="C18" s="25">
        <f>35000-866.6-167.73+35000-2683.71-777.15-110.7</f>
        <v>65394.109999999993</v>
      </c>
      <c r="D18" s="26">
        <v>779.94</v>
      </c>
      <c r="E18" s="26">
        <v>0</v>
      </c>
      <c r="F18" s="26">
        <v>0</v>
      </c>
      <c r="G18" s="26">
        <f t="shared" si="0"/>
        <v>66174.049999999988</v>
      </c>
      <c r="H18" s="26">
        <v>1350</v>
      </c>
      <c r="I18" s="27">
        <v>2850</v>
      </c>
      <c r="J18" s="26">
        <f t="shared" si="1"/>
        <v>4200</v>
      </c>
      <c r="K18" s="27">
        <v>30</v>
      </c>
      <c r="L18" s="26">
        <v>1845.8</v>
      </c>
      <c r="M18" s="26">
        <v>0</v>
      </c>
      <c r="N18" s="26">
        <f t="shared" si="8"/>
        <v>1750</v>
      </c>
      <c r="O18" s="26">
        <f t="shared" si="2"/>
        <v>1750</v>
      </c>
      <c r="P18" s="27">
        <f t="shared" si="9"/>
        <v>3500</v>
      </c>
      <c r="Q18" s="26">
        <v>0</v>
      </c>
      <c r="R18" s="26">
        <v>0</v>
      </c>
      <c r="S18" s="26">
        <v>0</v>
      </c>
      <c r="T18" s="26">
        <f>(G18-H18-N18-Q18-U18-33333)*20%+1875</f>
        <v>7783.2099999999982</v>
      </c>
      <c r="U18" s="26">
        <v>200</v>
      </c>
      <c r="V18" s="26">
        <f t="shared" si="3"/>
        <v>200</v>
      </c>
      <c r="W18" s="26">
        <v>3826.05</v>
      </c>
      <c r="X18" s="26">
        <v>0</v>
      </c>
      <c r="Y18" s="26">
        <v>0</v>
      </c>
      <c r="Z18" s="26">
        <f>10000+8157.16</f>
        <v>18157.16</v>
      </c>
      <c r="AA18" s="26">
        <v>0</v>
      </c>
      <c r="AB18" s="26">
        <v>0</v>
      </c>
      <c r="AC18" s="26">
        <v>0</v>
      </c>
      <c r="AD18" s="26">
        <f t="shared" si="5"/>
        <v>31261.82999999998</v>
      </c>
      <c r="AE18" s="26">
        <v>0</v>
      </c>
      <c r="AF18" s="26">
        <v>0</v>
      </c>
      <c r="AG18" s="29">
        <f>1000+1000</f>
        <v>2000</v>
      </c>
      <c r="AH18" s="30">
        <v>0</v>
      </c>
      <c r="AI18" s="29">
        <v>0</v>
      </c>
      <c r="AJ18" s="27">
        <v>0</v>
      </c>
      <c r="AK18" s="31">
        <f t="shared" si="4"/>
        <v>33261.82999999998</v>
      </c>
      <c r="AL18" s="13"/>
      <c r="AM18" s="13"/>
      <c r="AN18" s="32"/>
      <c r="AO18" s="33">
        <f t="shared" si="6"/>
        <v>33261.829999999987</v>
      </c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</row>
    <row r="19" spans="1:135" x14ac:dyDescent="0.25">
      <c r="A19" s="123" t="s">
        <v>107</v>
      </c>
      <c r="B19" s="34">
        <f>7040+7040</f>
        <v>14080</v>
      </c>
      <c r="C19" s="25">
        <f>7040-809.72-75.35+7040-269.9-3.37</f>
        <v>12921.66</v>
      </c>
      <c r="D19" s="26">
        <v>80.98</v>
      </c>
      <c r="E19" s="26">
        <v>0</v>
      </c>
      <c r="F19" s="26">
        <f>506.1+701.79+114.04+759.15+161.95</f>
        <v>2243.0299999999997</v>
      </c>
      <c r="G19" s="26">
        <f t="shared" si="0"/>
        <v>15245.669999999998</v>
      </c>
      <c r="H19" s="26">
        <v>630</v>
      </c>
      <c r="I19" s="27">
        <v>1330</v>
      </c>
      <c r="J19" s="26">
        <f t="shared" si="1"/>
        <v>1960</v>
      </c>
      <c r="K19" s="27">
        <v>10</v>
      </c>
      <c r="L19" s="26">
        <v>1292.06</v>
      </c>
      <c r="M19" s="26">
        <v>0</v>
      </c>
      <c r="N19" s="26">
        <f t="shared" si="8"/>
        <v>352</v>
      </c>
      <c r="O19" s="26">
        <f t="shared" si="2"/>
        <v>352</v>
      </c>
      <c r="P19" s="27">
        <f t="shared" si="9"/>
        <v>704</v>
      </c>
      <c r="Q19" s="26">
        <v>0</v>
      </c>
      <c r="R19" s="26">
        <v>0</v>
      </c>
      <c r="S19" s="26">
        <v>0</v>
      </c>
      <c r="T19" s="26">
        <v>0</v>
      </c>
      <c r="U19" s="26">
        <v>200</v>
      </c>
      <c r="V19" s="26">
        <f t="shared" si="3"/>
        <v>200</v>
      </c>
      <c r="W19" s="25">
        <v>0</v>
      </c>
      <c r="X19" s="26">
        <v>0</v>
      </c>
      <c r="Y19" s="26">
        <v>0</v>
      </c>
      <c r="Z19" s="26">
        <v>0</v>
      </c>
      <c r="AA19" s="26">
        <v>44.98</v>
      </c>
      <c r="AB19" s="26">
        <v>0</v>
      </c>
      <c r="AC19" s="26">
        <v>0</v>
      </c>
      <c r="AD19" s="26">
        <f t="shared" si="5"/>
        <v>12726.63</v>
      </c>
      <c r="AE19" s="26">
        <v>0</v>
      </c>
      <c r="AF19" s="26">
        <v>0</v>
      </c>
      <c r="AG19" s="29">
        <v>0</v>
      </c>
      <c r="AH19" s="30">
        <v>0</v>
      </c>
      <c r="AI19" s="29">
        <v>0</v>
      </c>
      <c r="AJ19" s="27">
        <v>0</v>
      </c>
      <c r="AK19" s="31">
        <f t="shared" si="4"/>
        <v>12726.63</v>
      </c>
      <c r="AL19" s="41" t="s">
        <v>22</v>
      </c>
      <c r="AM19" s="13"/>
      <c r="AN19" s="32"/>
      <c r="AO19" s="33">
        <f t="shared" si="6"/>
        <v>12726.63</v>
      </c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</row>
    <row r="20" spans="1:135" x14ac:dyDescent="0.25">
      <c r="A20" s="123" t="s">
        <v>108</v>
      </c>
      <c r="B20" s="34">
        <f>10570+10570</f>
        <v>21140</v>
      </c>
      <c r="C20" s="25">
        <f>10570-810.48-99.62+10570-258.34</f>
        <v>19971.560000000001</v>
      </c>
      <c r="D20" s="26">
        <v>228.56</v>
      </c>
      <c r="E20" s="26">
        <v>0</v>
      </c>
      <c r="F20" s="26">
        <v>0</v>
      </c>
      <c r="G20" s="26">
        <f t="shared" si="0"/>
        <v>20200.120000000003</v>
      </c>
      <c r="H20" s="26">
        <v>945</v>
      </c>
      <c r="I20" s="27">
        <f>1900+95</f>
        <v>1995</v>
      </c>
      <c r="J20" s="26">
        <f t="shared" si="1"/>
        <v>2940</v>
      </c>
      <c r="K20" s="27">
        <v>30</v>
      </c>
      <c r="L20" s="26">
        <v>1845.8</v>
      </c>
      <c r="M20" s="26">
        <f>0</f>
        <v>0</v>
      </c>
      <c r="N20" s="26">
        <f t="shared" si="8"/>
        <v>528.5</v>
      </c>
      <c r="O20" s="26">
        <f t="shared" si="2"/>
        <v>528.5</v>
      </c>
      <c r="P20" s="27">
        <f t="shared" si="9"/>
        <v>1057</v>
      </c>
      <c r="Q20" s="26">
        <v>0</v>
      </c>
      <c r="R20" s="26">
        <v>0</v>
      </c>
      <c r="S20" s="26">
        <v>0</v>
      </c>
      <c r="T20" s="27">
        <v>0</v>
      </c>
      <c r="U20" s="26">
        <v>200</v>
      </c>
      <c r="V20" s="26">
        <f t="shared" si="3"/>
        <v>200</v>
      </c>
      <c r="W20" s="25">
        <v>1611.71</v>
      </c>
      <c r="X20" s="26">
        <v>0</v>
      </c>
      <c r="Y20" s="26">
        <f>1000+1000</f>
        <v>2000</v>
      </c>
      <c r="Z20" s="26">
        <v>0</v>
      </c>
      <c r="AA20" s="26">
        <v>0</v>
      </c>
      <c r="AB20" s="26">
        <v>0</v>
      </c>
      <c r="AC20" s="26">
        <v>0</v>
      </c>
      <c r="AD20" s="26">
        <f t="shared" si="5"/>
        <v>13069.110000000004</v>
      </c>
      <c r="AE20" s="26">
        <v>0</v>
      </c>
      <c r="AF20" s="26">
        <v>0</v>
      </c>
      <c r="AG20" s="29">
        <v>0</v>
      </c>
      <c r="AH20" s="30">
        <v>0</v>
      </c>
      <c r="AI20" s="29">
        <v>0</v>
      </c>
      <c r="AJ20" s="27">
        <v>0</v>
      </c>
      <c r="AK20" s="31">
        <f t="shared" si="4"/>
        <v>13069.110000000004</v>
      </c>
      <c r="AL20" s="13"/>
      <c r="AM20" s="13"/>
      <c r="AN20" s="32"/>
      <c r="AO20" s="33">
        <f t="shared" si="6"/>
        <v>13069.110000000004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</row>
    <row r="21" spans="1:135" s="42" customFormat="1" ht="13.15" customHeight="1" x14ac:dyDescent="0.2">
      <c r="A21" s="123" t="s">
        <v>109</v>
      </c>
      <c r="B21" s="34">
        <f>8382+8382</f>
        <v>16764</v>
      </c>
      <c r="C21" s="25">
        <f>8382-1928.13-17.41+8382-13.39</f>
        <v>14805.07</v>
      </c>
      <c r="D21" s="26">
        <f>192.82+189.92</f>
        <v>382.74</v>
      </c>
      <c r="E21" s="26">
        <v>0</v>
      </c>
      <c r="F21" s="26">
        <f>1405.95+1405.95</f>
        <v>2811.9</v>
      </c>
      <c r="G21" s="27">
        <f t="shared" si="0"/>
        <v>17999.71</v>
      </c>
      <c r="H21" s="26">
        <v>765</v>
      </c>
      <c r="I21" s="27">
        <v>1615</v>
      </c>
      <c r="J21" s="26">
        <f t="shared" si="1"/>
        <v>2380</v>
      </c>
      <c r="K21" s="27">
        <v>30</v>
      </c>
      <c r="L21" s="26">
        <v>1522.78</v>
      </c>
      <c r="M21" s="26">
        <v>0</v>
      </c>
      <c r="N21" s="26">
        <f t="shared" si="8"/>
        <v>419.1</v>
      </c>
      <c r="O21" s="26">
        <f t="shared" si="2"/>
        <v>419.1</v>
      </c>
      <c r="P21" s="27">
        <f t="shared" si="9"/>
        <v>838.2</v>
      </c>
      <c r="Q21" s="26">
        <v>0</v>
      </c>
      <c r="R21" s="26">
        <v>0</v>
      </c>
      <c r="S21" s="26">
        <v>0</v>
      </c>
      <c r="T21" s="26">
        <v>0</v>
      </c>
      <c r="U21" s="26">
        <v>200</v>
      </c>
      <c r="V21" s="27">
        <f t="shared" si="3"/>
        <v>200</v>
      </c>
      <c r="W21" s="25">
        <v>1748.92</v>
      </c>
      <c r="X21" s="30">
        <v>0</v>
      </c>
      <c r="Y21" s="30">
        <f>1000+1000</f>
        <v>2000</v>
      </c>
      <c r="Z21" s="26">
        <v>0</v>
      </c>
      <c r="AA21" s="26">
        <v>0</v>
      </c>
      <c r="AB21" s="26">
        <v>0</v>
      </c>
      <c r="AC21" s="26">
        <v>0</v>
      </c>
      <c r="AD21" s="26">
        <f t="shared" si="5"/>
        <v>11343.91</v>
      </c>
      <c r="AE21" s="26">
        <v>0</v>
      </c>
      <c r="AF21" s="26">
        <v>0</v>
      </c>
      <c r="AG21" s="29">
        <v>0</v>
      </c>
      <c r="AH21" s="30">
        <v>0</v>
      </c>
      <c r="AI21" s="29">
        <v>0</v>
      </c>
      <c r="AJ21" s="27">
        <v>0</v>
      </c>
      <c r="AK21" s="31">
        <f t="shared" si="4"/>
        <v>11343.91</v>
      </c>
      <c r="AL21" s="13"/>
      <c r="AM21" s="13"/>
      <c r="AN21" s="32"/>
      <c r="AO21" s="33">
        <f t="shared" si="6"/>
        <v>11343.909999999998</v>
      </c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</row>
    <row r="22" spans="1:135" x14ac:dyDescent="0.25">
      <c r="A22" s="123" t="s">
        <v>110</v>
      </c>
      <c r="B22" s="34">
        <f>11260+11260</f>
        <v>22520</v>
      </c>
      <c r="C22" s="25">
        <f>11260-19.79+11260-46.77</f>
        <v>22453.439999999999</v>
      </c>
      <c r="D22" s="26">
        <v>259.01</v>
      </c>
      <c r="E22" s="26">
        <v>0</v>
      </c>
      <c r="F22" s="26">
        <f>741.95+741.95</f>
        <v>1483.9</v>
      </c>
      <c r="G22" s="26">
        <f t="shared" si="0"/>
        <v>24196.35</v>
      </c>
      <c r="H22" s="26">
        <f>900+112.5</f>
        <v>1012.5</v>
      </c>
      <c r="I22" s="27">
        <f>1900+237.5</f>
        <v>2137.5</v>
      </c>
      <c r="J22" s="26">
        <f t="shared" si="1"/>
        <v>3150</v>
      </c>
      <c r="K22" s="27">
        <v>30</v>
      </c>
      <c r="L22" s="26">
        <v>1845.8</v>
      </c>
      <c r="M22" s="26">
        <v>0</v>
      </c>
      <c r="N22" s="26">
        <f t="shared" si="8"/>
        <v>563</v>
      </c>
      <c r="O22" s="26">
        <f t="shared" si="2"/>
        <v>563</v>
      </c>
      <c r="P22" s="27">
        <f t="shared" si="9"/>
        <v>1126</v>
      </c>
      <c r="Q22" s="26">
        <v>0</v>
      </c>
      <c r="R22" s="26">
        <v>0</v>
      </c>
      <c r="S22" s="26">
        <v>0</v>
      </c>
      <c r="T22" s="26">
        <f>(G22-H22-N22-U22-20833)*15%</f>
        <v>238.17749999999978</v>
      </c>
      <c r="U22" s="26">
        <v>200</v>
      </c>
      <c r="V22" s="26">
        <f t="shared" si="3"/>
        <v>200</v>
      </c>
      <c r="W22" s="25">
        <v>1417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f t="shared" si="5"/>
        <v>18919.872499999998</v>
      </c>
      <c r="AE22" s="26">
        <f>1900+1900</f>
        <v>3800</v>
      </c>
      <c r="AF22" s="26">
        <v>43.71</v>
      </c>
      <c r="AG22" s="29">
        <v>0</v>
      </c>
      <c r="AH22" s="30">
        <v>0</v>
      </c>
      <c r="AI22" s="29">
        <v>0</v>
      </c>
      <c r="AJ22" s="27">
        <v>0</v>
      </c>
      <c r="AK22" s="31">
        <f t="shared" si="4"/>
        <v>22763.582499999997</v>
      </c>
      <c r="AL22" s="13" t="s">
        <v>22</v>
      </c>
      <c r="AM22" s="13"/>
      <c r="AN22" s="32"/>
      <c r="AO22" s="33">
        <f t="shared" si="6"/>
        <v>22763.582499999997</v>
      </c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</row>
    <row r="23" spans="1:135" s="39" customFormat="1" x14ac:dyDescent="0.25">
      <c r="A23" s="123" t="s">
        <v>111</v>
      </c>
      <c r="B23" s="34">
        <f>62500+62500</f>
        <v>125000</v>
      </c>
      <c r="C23" s="25">
        <f>B23</f>
        <v>125000</v>
      </c>
      <c r="D23" s="26">
        <v>0</v>
      </c>
      <c r="E23" s="26">
        <v>0</v>
      </c>
      <c r="F23" s="26">
        <v>0</v>
      </c>
      <c r="G23" s="26">
        <f t="shared" si="0"/>
        <v>125000</v>
      </c>
      <c r="H23" s="26">
        <f>900+450</f>
        <v>1350</v>
      </c>
      <c r="I23" s="27">
        <f>1900+950</f>
        <v>2850</v>
      </c>
      <c r="J23" s="26">
        <f t="shared" si="1"/>
        <v>4200</v>
      </c>
      <c r="K23" s="27">
        <v>30</v>
      </c>
      <c r="L23" s="26">
        <v>0</v>
      </c>
      <c r="M23" s="26">
        <v>0</v>
      </c>
      <c r="N23" s="26">
        <f>5000/2</f>
        <v>2500</v>
      </c>
      <c r="O23" s="26">
        <f t="shared" si="2"/>
        <v>2500</v>
      </c>
      <c r="P23" s="27">
        <f t="shared" si="9"/>
        <v>5000</v>
      </c>
      <c r="Q23" s="26">
        <v>0</v>
      </c>
      <c r="R23" s="26">
        <v>0</v>
      </c>
      <c r="S23" s="26">
        <v>0</v>
      </c>
      <c r="T23" s="26">
        <f>(G23-H23-N23-U23-66667)*25%+8541.8</f>
        <v>22112.55</v>
      </c>
      <c r="U23" s="26">
        <v>200</v>
      </c>
      <c r="V23" s="26">
        <f t="shared" si="3"/>
        <v>200</v>
      </c>
      <c r="W23" s="25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f t="shared" si="5"/>
        <v>98837.45</v>
      </c>
      <c r="AE23" s="26">
        <v>0</v>
      </c>
      <c r="AF23" s="26">
        <v>0</v>
      </c>
      <c r="AG23" s="29">
        <v>0</v>
      </c>
      <c r="AH23" s="30">
        <v>0</v>
      </c>
      <c r="AI23" s="29">
        <v>0</v>
      </c>
      <c r="AJ23" s="27">
        <v>0</v>
      </c>
      <c r="AK23" s="31">
        <f t="shared" si="4"/>
        <v>98837.45</v>
      </c>
      <c r="AL23" s="36">
        <v>62500</v>
      </c>
      <c r="AM23" s="36">
        <f>62500-H23-N23-T23-U23</f>
        <v>36337.449999999997</v>
      </c>
      <c r="AN23" s="37">
        <f>AL23+AM23</f>
        <v>98837.45</v>
      </c>
      <c r="AO23" s="33">
        <f t="shared" si="6"/>
        <v>98837.45</v>
      </c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</row>
    <row r="24" spans="1:135" s="39" customFormat="1" x14ac:dyDescent="0.25">
      <c r="A24" s="124" t="s">
        <v>112</v>
      </c>
      <c r="B24" s="34">
        <f>150000+30000+50000</f>
        <v>230000</v>
      </c>
      <c r="C24" s="25">
        <f>B24</f>
        <v>230000</v>
      </c>
      <c r="D24" s="26">
        <v>0</v>
      </c>
      <c r="E24" s="26">
        <v>0</v>
      </c>
      <c r="F24" s="26">
        <v>0</v>
      </c>
      <c r="G24" s="26">
        <f t="shared" si="0"/>
        <v>230000</v>
      </c>
      <c r="H24" s="26">
        <f>900+450</f>
        <v>1350</v>
      </c>
      <c r="I24" s="27">
        <f>1900+950</f>
        <v>2850</v>
      </c>
      <c r="J24" s="26">
        <f t="shared" si="1"/>
        <v>4200</v>
      </c>
      <c r="K24" s="27">
        <v>30</v>
      </c>
      <c r="L24" s="26">
        <v>0</v>
      </c>
      <c r="M24" s="26">
        <v>0</v>
      </c>
      <c r="N24" s="26">
        <f>5000/2</f>
        <v>2500</v>
      </c>
      <c r="O24" s="26">
        <f t="shared" si="2"/>
        <v>2500</v>
      </c>
      <c r="P24" s="27">
        <f t="shared" si="9"/>
        <v>5000</v>
      </c>
      <c r="Q24" s="26">
        <v>0</v>
      </c>
      <c r="R24" s="26">
        <v>0</v>
      </c>
      <c r="S24" s="26">
        <v>0</v>
      </c>
      <c r="T24" s="26">
        <f>(G24-H24-N24-U24-166667)*30%+33541.8</f>
        <v>51326.7</v>
      </c>
      <c r="U24" s="26">
        <v>200</v>
      </c>
      <c r="V24" s="26">
        <f t="shared" si="3"/>
        <v>200</v>
      </c>
      <c r="W24" s="25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</v>
      </c>
      <c r="AD24" s="26">
        <f t="shared" si="5"/>
        <v>174623.3</v>
      </c>
      <c r="AE24" s="26">
        <v>0</v>
      </c>
      <c r="AF24" s="26">
        <v>0</v>
      </c>
      <c r="AG24" s="29">
        <v>0</v>
      </c>
      <c r="AH24" s="30">
        <v>0</v>
      </c>
      <c r="AI24" s="29">
        <v>0</v>
      </c>
      <c r="AJ24" s="27">
        <v>0</v>
      </c>
      <c r="AK24" s="31">
        <f t="shared" si="4"/>
        <v>174623.3</v>
      </c>
      <c r="AL24" s="36">
        <f>90000+50000+90000</f>
        <v>230000</v>
      </c>
      <c r="AM24" s="36">
        <f>230000-H24-N24-T24-U24</f>
        <v>174623.3</v>
      </c>
      <c r="AN24" s="37">
        <f>AL24-AM24</f>
        <v>55376.700000000012</v>
      </c>
      <c r="AO24" s="33">
        <f t="shared" si="6"/>
        <v>174623.3</v>
      </c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</row>
    <row r="25" spans="1:135" s="39" customFormat="1" x14ac:dyDescent="0.25">
      <c r="A25" s="123" t="s">
        <v>113</v>
      </c>
      <c r="B25" s="34">
        <f>8750+8750</f>
        <v>17500</v>
      </c>
      <c r="C25" s="25">
        <f>8750+8750</f>
        <v>17500</v>
      </c>
      <c r="D25" s="26">
        <v>201.29</v>
      </c>
      <c r="E25" s="26">
        <v>0</v>
      </c>
      <c r="F25" s="26">
        <f>1100.79+1048.38</f>
        <v>2149.17</v>
      </c>
      <c r="G25" s="26">
        <f t="shared" si="0"/>
        <v>19850.46</v>
      </c>
      <c r="H25" s="26">
        <v>787.5</v>
      </c>
      <c r="I25" s="27">
        <v>1662.5</v>
      </c>
      <c r="J25" s="26">
        <f t="shared" si="1"/>
        <v>2450</v>
      </c>
      <c r="K25" s="26">
        <v>30</v>
      </c>
      <c r="L25" s="26">
        <v>0</v>
      </c>
      <c r="M25" s="26">
        <v>0</v>
      </c>
      <c r="N25" s="26">
        <f t="shared" ref="N25:N32" si="10">B25*5%/2</f>
        <v>437.5</v>
      </c>
      <c r="O25" s="26">
        <f t="shared" si="2"/>
        <v>437.5</v>
      </c>
      <c r="P25" s="27">
        <f t="shared" si="9"/>
        <v>875</v>
      </c>
      <c r="Q25" s="26">
        <v>0</v>
      </c>
      <c r="R25" s="26">
        <v>0</v>
      </c>
      <c r="S25" s="26">
        <v>0</v>
      </c>
      <c r="T25" s="23">
        <v>0</v>
      </c>
      <c r="U25" s="26">
        <v>200</v>
      </c>
      <c r="V25" s="26">
        <f t="shared" si="3"/>
        <v>200</v>
      </c>
      <c r="W25" s="25">
        <v>0</v>
      </c>
      <c r="X25" s="26">
        <v>0</v>
      </c>
      <c r="Y25" s="26">
        <v>0</v>
      </c>
      <c r="Z25" s="26">
        <v>0</v>
      </c>
      <c r="AA25" s="26">
        <v>0</v>
      </c>
      <c r="AB25" s="29">
        <v>111.82</v>
      </c>
      <c r="AC25" s="26">
        <v>0</v>
      </c>
      <c r="AD25" s="26">
        <f>G25-L25-M25-W25-X25-Y25-Z25-AA25-H25-N25-T25-U25+AB25+AC25</f>
        <v>18537.28</v>
      </c>
      <c r="AE25" s="26">
        <v>0</v>
      </c>
      <c r="AF25" s="26">
        <v>0</v>
      </c>
      <c r="AG25" s="29">
        <v>0</v>
      </c>
      <c r="AH25" s="30">
        <v>0</v>
      </c>
      <c r="AI25" s="29">
        <v>0</v>
      </c>
      <c r="AJ25" s="27">
        <v>0</v>
      </c>
      <c r="AK25" s="31">
        <f t="shared" si="4"/>
        <v>18537.28</v>
      </c>
      <c r="AL25" s="36"/>
      <c r="AM25" s="36"/>
      <c r="AN25" s="37"/>
      <c r="AO25" s="33">
        <f t="shared" si="6"/>
        <v>18537.28</v>
      </c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</row>
    <row r="26" spans="1:135" x14ac:dyDescent="0.25">
      <c r="A26" s="123" t="s">
        <v>114</v>
      </c>
      <c r="B26" s="34">
        <f>12355+12355</f>
        <v>24710</v>
      </c>
      <c r="C26" s="25">
        <f>12355-11.84+12355</f>
        <v>24698.16</v>
      </c>
      <c r="D26" s="26">
        <v>284.20999999999998</v>
      </c>
      <c r="E26" s="26">
        <v>0</v>
      </c>
      <c r="F26" s="26">
        <v>0</v>
      </c>
      <c r="G26" s="26">
        <f t="shared" si="0"/>
        <v>24982.37</v>
      </c>
      <c r="H26" s="26">
        <f>900+202.5</f>
        <v>1102.5</v>
      </c>
      <c r="I26" s="27">
        <f>1900+427.5</f>
        <v>2327.5</v>
      </c>
      <c r="J26" s="26">
        <f t="shared" si="1"/>
        <v>3430</v>
      </c>
      <c r="K26" s="26">
        <v>30</v>
      </c>
      <c r="L26" s="26">
        <v>0</v>
      </c>
      <c r="M26" s="26">
        <v>0</v>
      </c>
      <c r="N26" s="26">
        <f t="shared" si="10"/>
        <v>617.75</v>
      </c>
      <c r="O26" s="26">
        <f t="shared" si="2"/>
        <v>617.75</v>
      </c>
      <c r="P26" s="27">
        <f t="shared" si="9"/>
        <v>1235.5</v>
      </c>
      <c r="Q26" s="26">
        <v>0</v>
      </c>
      <c r="R26" s="26">
        <v>0</v>
      </c>
      <c r="S26" s="26">
        <v>0</v>
      </c>
      <c r="T26" s="23">
        <f>(G26-H26-N26-Q26-U26-20833)*15%</f>
        <v>334.36799999999982</v>
      </c>
      <c r="U26" s="26">
        <v>200</v>
      </c>
      <c r="V26" s="26">
        <f t="shared" si="3"/>
        <v>200</v>
      </c>
      <c r="W26" s="25">
        <v>2412.8200000000002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  <c r="AC26" s="26">
        <v>0</v>
      </c>
      <c r="AD26" s="26">
        <f t="shared" si="5"/>
        <v>20314.932000000001</v>
      </c>
      <c r="AE26" s="26">
        <f>1400+1400</f>
        <v>2800</v>
      </c>
      <c r="AF26" s="26">
        <v>32.21</v>
      </c>
      <c r="AG26" s="29">
        <f>1000+1000</f>
        <v>2000</v>
      </c>
      <c r="AH26" s="30">
        <v>0</v>
      </c>
      <c r="AI26" s="29">
        <v>0</v>
      </c>
      <c r="AJ26" s="27">
        <v>0</v>
      </c>
      <c r="AK26" s="31">
        <f t="shared" si="4"/>
        <v>25147.142</v>
      </c>
      <c r="AL26" s="13"/>
      <c r="AM26" s="36"/>
      <c r="AN26" s="38" t="s">
        <v>22</v>
      </c>
      <c r="AO26" s="33">
        <f t="shared" si="6"/>
        <v>25147.142</v>
      </c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</row>
    <row r="27" spans="1:135" x14ac:dyDescent="0.25">
      <c r="A27" s="123" t="s">
        <v>115</v>
      </c>
      <c r="B27" s="34">
        <f>10000+10000</f>
        <v>20000</v>
      </c>
      <c r="C27" s="25">
        <f>10000-19.17+10000-14.38</f>
        <v>19966.45</v>
      </c>
      <c r="D27" s="26">
        <v>230.04</v>
      </c>
      <c r="E27" s="26">
        <v>0</v>
      </c>
      <c r="F27" s="26">
        <f>958.5+1138.22</f>
        <v>2096.7200000000003</v>
      </c>
      <c r="G27" s="26">
        <f t="shared" si="0"/>
        <v>22293.210000000003</v>
      </c>
      <c r="H27" s="26">
        <v>900</v>
      </c>
      <c r="I27" s="27">
        <v>1900</v>
      </c>
      <c r="J27" s="26">
        <f t="shared" si="1"/>
        <v>2800</v>
      </c>
      <c r="K27" s="26">
        <v>30</v>
      </c>
      <c r="L27" s="26">
        <v>0</v>
      </c>
      <c r="M27" s="26">
        <v>0</v>
      </c>
      <c r="N27" s="26">
        <f t="shared" si="10"/>
        <v>500</v>
      </c>
      <c r="O27" s="26">
        <f t="shared" si="2"/>
        <v>500</v>
      </c>
      <c r="P27" s="27">
        <f t="shared" si="9"/>
        <v>1000</v>
      </c>
      <c r="Q27" s="26">
        <v>0</v>
      </c>
      <c r="R27" s="26">
        <v>0</v>
      </c>
      <c r="S27" s="26">
        <v>0</v>
      </c>
      <c r="T27" s="23">
        <v>0</v>
      </c>
      <c r="U27" s="26">
        <v>200</v>
      </c>
      <c r="V27" s="26">
        <f t="shared" si="3"/>
        <v>200</v>
      </c>
      <c r="W27" s="25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6">
        <v>0</v>
      </c>
      <c r="AD27" s="26">
        <f t="shared" si="5"/>
        <v>20693.210000000003</v>
      </c>
      <c r="AE27" s="26">
        <v>0</v>
      </c>
      <c r="AF27" s="26">
        <v>0</v>
      </c>
      <c r="AG27" s="29">
        <v>0</v>
      </c>
      <c r="AH27" s="30">
        <v>0</v>
      </c>
      <c r="AI27" s="29">
        <v>0</v>
      </c>
      <c r="AJ27" s="27">
        <v>0</v>
      </c>
      <c r="AK27" s="31">
        <f t="shared" si="4"/>
        <v>20693.210000000003</v>
      </c>
      <c r="AL27" s="13"/>
      <c r="AM27" s="36"/>
      <c r="AN27" s="38"/>
      <c r="AO27" s="33">
        <f t="shared" si="6"/>
        <v>20693.210000000003</v>
      </c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</row>
    <row r="28" spans="1:135" x14ac:dyDescent="0.25">
      <c r="A28" s="123" t="s">
        <v>116</v>
      </c>
      <c r="B28" s="34">
        <f>9500+9500</f>
        <v>19000</v>
      </c>
      <c r="C28" s="25">
        <f>9500-728.43-9.1+9500-3277.94-4.55-275.88</f>
        <v>14704.100000000002</v>
      </c>
      <c r="D28" s="26">
        <v>0</v>
      </c>
      <c r="E28" s="26">
        <v>0</v>
      </c>
      <c r="F28" s="26">
        <f>796.69+341.44</f>
        <v>1138.1300000000001</v>
      </c>
      <c r="G28" s="26">
        <f t="shared" si="0"/>
        <v>15842.230000000003</v>
      </c>
      <c r="H28" s="26">
        <v>855</v>
      </c>
      <c r="I28" s="27">
        <v>1805</v>
      </c>
      <c r="J28" s="26">
        <f t="shared" si="1"/>
        <v>2660</v>
      </c>
      <c r="K28" s="26">
        <v>30</v>
      </c>
      <c r="L28" s="26">
        <v>0</v>
      </c>
      <c r="M28" s="26">
        <v>0</v>
      </c>
      <c r="N28" s="26">
        <f t="shared" si="10"/>
        <v>475</v>
      </c>
      <c r="O28" s="26">
        <f t="shared" si="2"/>
        <v>475</v>
      </c>
      <c r="P28" s="27">
        <f t="shared" si="9"/>
        <v>950</v>
      </c>
      <c r="Q28" s="26">
        <v>0</v>
      </c>
      <c r="R28" s="26">
        <v>0</v>
      </c>
      <c r="S28" s="26">
        <v>0</v>
      </c>
      <c r="T28" s="23">
        <v>0</v>
      </c>
      <c r="U28" s="26">
        <v>200</v>
      </c>
      <c r="V28" s="26">
        <f t="shared" si="3"/>
        <v>200</v>
      </c>
      <c r="W28" s="25">
        <v>0</v>
      </c>
      <c r="X28" s="26">
        <v>0</v>
      </c>
      <c r="Y28" s="26">
        <v>0</v>
      </c>
      <c r="Z28" s="26">
        <v>0</v>
      </c>
      <c r="AA28" s="26">
        <v>91.05</v>
      </c>
      <c r="AB28" s="26">
        <v>0</v>
      </c>
      <c r="AC28" s="26">
        <v>0</v>
      </c>
      <c r="AD28" s="26">
        <f t="shared" si="5"/>
        <v>14221.180000000004</v>
      </c>
      <c r="AE28" s="26">
        <v>0</v>
      </c>
      <c r="AF28" s="26">
        <v>0</v>
      </c>
      <c r="AG28" s="29">
        <v>0</v>
      </c>
      <c r="AH28" s="30">
        <v>0</v>
      </c>
      <c r="AI28" s="29">
        <v>0</v>
      </c>
      <c r="AJ28" s="27">
        <v>0</v>
      </c>
      <c r="AK28" s="31">
        <f t="shared" si="4"/>
        <v>14221.180000000004</v>
      </c>
      <c r="AL28" s="13"/>
      <c r="AM28" s="36"/>
      <c r="AN28" s="38"/>
      <c r="AO28" s="33">
        <f t="shared" si="6"/>
        <v>14221.180000000004</v>
      </c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</row>
    <row r="29" spans="1:135" x14ac:dyDescent="0.25">
      <c r="A29" s="123" t="s">
        <v>117</v>
      </c>
      <c r="B29" s="34">
        <f>8658+8658</f>
        <v>17316</v>
      </c>
      <c r="C29" s="25">
        <f>8658-5.53+8658</f>
        <v>17310.47</v>
      </c>
      <c r="D29" s="26">
        <f>199.15+199.15</f>
        <v>398.3</v>
      </c>
      <c r="E29" s="26">
        <v>0</v>
      </c>
      <c r="F29" s="26">
        <v>0</v>
      </c>
      <c r="G29" s="26">
        <f t="shared" si="0"/>
        <v>17708.77</v>
      </c>
      <c r="H29" s="26">
        <v>787.5</v>
      </c>
      <c r="I29" s="27">
        <v>1662.5</v>
      </c>
      <c r="J29" s="26">
        <f t="shared" si="1"/>
        <v>2450</v>
      </c>
      <c r="K29" s="26">
        <v>30</v>
      </c>
      <c r="L29" s="26">
        <v>0</v>
      </c>
      <c r="M29" s="26">
        <v>0</v>
      </c>
      <c r="N29" s="26">
        <f t="shared" si="10"/>
        <v>432.90000000000003</v>
      </c>
      <c r="O29" s="26">
        <f t="shared" si="2"/>
        <v>432.90000000000003</v>
      </c>
      <c r="P29" s="27">
        <f t="shared" si="9"/>
        <v>865.80000000000007</v>
      </c>
      <c r="Q29" s="26">
        <v>0</v>
      </c>
      <c r="R29" s="26">
        <v>0</v>
      </c>
      <c r="S29" s="26">
        <v>0</v>
      </c>
      <c r="T29" s="23">
        <v>0</v>
      </c>
      <c r="U29" s="26">
        <v>200</v>
      </c>
      <c r="V29" s="26">
        <f t="shared" si="3"/>
        <v>200</v>
      </c>
      <c r="W29" s="25">
        <v>0</v>
      </c>
      <c r="X29" s="26">
        <v>0</v>
      </c>
      <c r="Y29" s="26">
        <v>0</v>
      </c>
      <c r="Z29" s="26">
        <v>0</v>
      </c>
      <c r="AA29" s="26">
        <v>0</v>
      </c>
      <c r="AB29" s="26">
        <v>0</v>
      </c>
      <c r="AC29" s="26">
        <v>0</v>
      </c>
      <c r="AD29" s="26">
        <f t="shared" si="5"/>
        <v>16288.369999999999</v>
      </c>
      <c r="AE29" s="26">
        <v>0</v>
      </c>
      <c r="AF29" s="26">
        <v>0</v>
      </c>
      <c r="AG29" s="29">
        <v>0</v>
      </c>
      <c r="AH29" s="30">
        <v>0</v>
      </c>
      <c r="AI29" s="29">
        <v>0</v>
      </c>
      <c r="AJ29" s="27">
        <v>0</v>
      </c>
      <c r="AK29" s="31">
        <f t="shared" si="4"/>
        <v>16288.369999999999</v>
      </c>
      <c r="AL29" s="13"/>
      <c r="AM29" s="36"/>
      <c r="AN29" s="38"/>
      <c r="AO29" s="33">
        <f t="shared" si="6"/>
        <v>16288.369999999999</v>
      </c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</row>
    <row r="30" spans="1:135" x14ac:dyDescent="0.25">
      <c r="A30" s="123" t="s">
        <v>118</v>
      </c>
      <c r="B30" s="34">
        <f>10911+10911</f>
        <v>21822</v>
      </c>
      <c r="C30" s="25">
        <f>10911-17.43+10911</f>
        <v>21804.57</v>
      </c>
      <c r="D30" s="26">
        <v>250.99</v>
      </c>
      <c r="E30" s="26">
        <v>0</v>
      </c>
      <c r="F30" s="26">
        <v>1045.8</v>
      </c>
      <c r="G30" s="26">
        <f t="shared" si="0"/>
        <v>23101.360000000001</v>
      </c>
      <c r="H30" s="26">
        <v>990</v>
      </c>
      <c r="I30" s="26">
        <f>1900+190</f>
        <v>2090</v>
      </c>
      <c r="J30" s="26">
        <f t="shared" si="1"/>
        <v>3080</v>
      </c>
      <c r="K30" s="26">
        <v>30</v>
      </c>
      <c r="L30" s="26">
        <v>1799.65</v>
      </c>
      <c r="M30" s="26">
        <v>0</v>
      </c>
      <c r="N30" s="26">
        <f t="shared" si="10"/>
        <v>545.55000000000007</v>
      </c>
      <c r="O30" s="26">
        <f t="shared" si="2"/>
        <v>545.55000000000007</v>
      </c>
      <c r="P30" s="27">
        <f t="shared" si="9"/>
        <v>1091.1000000000001</v>
      </c>
      <c r="Q30" s="26">
        <v>0</v>
      </c>
      <c r="R30" s="26">
        <v>0</v>
      </c>
      <c r="S30" s="26">
        <v>0</v>
      </c>
      <c r="T30" s="23">
        <f>(G30-H30-N30-Q30-U30-20833)*15%</f>
        <v>79.921500000000194</v>
      </c>
      <c r="U30" s="26">
        <v>200</v>
      </c>
      <c r="V30" s="26">
        <f t="shared" si="3"/>
        <v>200</v>
      </c>
      <c r="W30" s="26">
        <v>1293.73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6">
        <v>455.6</v>
      </c>
      <c r="AD30" s="26">
        <f>G30-L30-M30-W30-X30-Y30-Z30-AA30-H30-N30-T30-U30+AC30+AB30</f>
        <v>18648.108499999998</v>
      </c>
      <c r="AE30" s="26">
        <f>3150+3150</f>
        <v>6300</v>
      </c>
      <c r="AF30" s="26">
        <f>72.47+72.47</f>
        <v>144.94</v>
      </c>
      <c r="AG30" s="29">
        <v>0</v>
      </c>
      <c r="AH30" s="30">
        <v>0</v>
      </c>
      <c r="AI30" s="30">
        <v>0</v>
      </c>
      <c r="AJ30" s="27">
        <v>0</v>
      </c>
      <c r="AK30" s="31">
        <f t="shared" si="4"/>
        <v>25093.048499999997</v>
      </c>
      <c r="AL30" s="38"/>
      <c r="AM30" s="36"/>
      <c r="AN30" s="38"/>
      <c r="AO30" s="33">
        <f t="shared" si="6"/>
        <v>25093.048499999997</v>
      </c>
      <c r="AP30" s="33">
        <f>AO30-AK30</f>
        <v>0</v>
      </c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</row>
    <row r="31" spans="1:135" x14ac:dyDescent="0.25">
      <c r="A31" s="123" t="s">
        <v>119</v>
      </c>
      <c r="B31" s="34">
        <f>20000+20000</f>
        <v>40000</v>
      </c>
      <c r="C31" s="25">
        <f>20000-230.03+20000-35.14</f>
        <v>39734.83</v>
      </c>
      <c r="D31" s="26">
        <v>452.58</v>
      </c>
      <c r="E31" s="26">
        <v>0</v>
      </c>
      <c r="F31" s="26">
        <v>0</v>
      </c>
      <c r="G31" s="26">
        <f t="shared" si="0"/>
        <v>40187.410000000003</v>
      </c>
      <c r="H31" s="26">
        <f>900+450</f>
        <v>1350</v>
      </c>
      <c r="I31" s="27">
        <f>1900+950</f>
        <v>2850</v>
      </c>
      <c r="J31" s="26">
        <f t="shared" si="1"/>
        <v>4200</v>
      </c>
      <c r="K31" s="27">
        <v>30</v>
      </c>
      <c r="L31" s="26">
        <v>0</v>
      </c>
      <c r="M31" s="26">
        <v>0</v>
      </c>
      <c r="N31" s="26">
        <f t="shared" si="10"/>
        <v>1000</v>
      </c>
      <c r="O31" s="26">
        <f t="shared" si="2"/>
        <v>1000</v>
      </c>
      <c r="P31" s="27">
        <f t="shared" si="9"/>
        <v>2000</v>
      </c>
      <c r="Q31" s="26">
        <v>0</v>
      </c>
      <c r="R31" s="26">
        <v>0</v>
      </c>
      <c r="S31" s="26">
        <v>0</v>
      </c>
      <c r="T31" s="28">
        <f>(G31-H31-N31-Q31-U31-33333)*20%+1875</f>
        <v>2735.8820000000005</v>
      </c>
      <c r="U31" s="26">
        <v>200</v>
      </c>
      <c r="V31" s="26">
        <f t="shared" si="3"/>
        <v>200</v>
      </c>
      <c r="W31" s="25">
        <v>0</v>
      </c>
      <c r="X31" s="26">
        <v>0</v>
      </c>
      <c r="Y31" s="26">
        <f>2300+2300</f>
        <v>4600</v>
      </c>
      <c r="Z31" s="26">
        <v>0</v>
      </c>
      <c r="AA31" s="26">
        <v>0</v>
      </c>
      <c r="AB31" s="26">
        <v>0</v>
      </c>
      <c r="AC31" s="26">
        <v>0</v>
      </c>
      <c r="AD31" s="26">
        <f t="shared" si="5"/>
        <v>30301.528000000002</v>
      </c>
      <c r="AE31" s="26">
        <f>10000+10000</f>
        <v>20000</v>
      </c>
      <c r="AF31" s="26">
        <v>230.06</v>
      </c>
      <c r="AG31" s="29">
        <v>0</v>
      </c>
      <c r="AH31" s="30">
        <v>0</v>
      </c>
      <c r="AI31" s="30">
        <v>0</v>
      </c>
      <c r="AJ31" s="27">
        <v>0</v>
      </c>
      <c r="AK31" s="31">
        <f t="shared" si="4"/>
        <v>50531.588000000003</v>
      </c>
      <c r="AL31" s="43" t="s">
        <v>43</v>
      </c>
      <c r="AM31" s="43">
        <v>270335.37</v>
      </c>
      <c r="AN31" s="38"/>
      <c r="AO31" s="33">
        <f t="shared" si="6"/>
        <v>50531.588000000003</v>
      </c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</row>
    <row r="32" spans="1:135" x14ac:dyDescent="0.25">
      <c r="A32" s="123" t="s">
        <v>120</v>
      </c>
      <c r="B32" s="34">
        <f>10500+10500</f>
        <v>21000</v>
      </c>
      <c r="C32" s="25">
        <f>10500-1006.39-603.84+10500</f>
        <v>19389.77</v>
      </c>
      <c r="D32" s="26">
        <f>241.54+241.54</f>
        <v>483.08</v>
      </c>
      <c r="E32" s="26">
        <v>0</v>
      </c>
      <c r="F32" s="26">
        <f>377.4</f>
        <v>377.4</v>
      </c>
      <c r="G32" s="26">
        <f t="shared" si="0"/>
        <v>20250.250000000004</v>
      </c>
      <c r="H32" s="26">
        <v>945</v>
      </c>
      <c r="I32" s="27">
        <f>1900+95</f>
        <v>1995</v>
      </c>
      <c r="J32" s="26">
        <f t="shared" si="1"/>
        <v>2940</v>
      </c>
      <c r="K32" s="26">
        <v>30</v>
      </c>
      <c r="L32" s="26">
        <v>0</v>
      </c>
      <c r="M32" s="23">
        <v>0</v>
      </c>
      <c r="N32" s="26">
        <f t="shared" si="10"/>
        <v>525</v>
      </c>
      <c r="O32" s="26">
        <f t="shared" si="2"/>
        <v>525</v>
      </c>
      <c r="P32" s="27">
        <f t="shared" si="9"/>
        <v>1050</v>
      </c>
      <c r="Q32" s="26">
        <v>0</v>
      </c>
      <c r="R32" s="26">
        <v>0</v>
      </c>
      <c r="S32" s="26">
        <v>0</v>
      </c>
      <c r="T32" s="26">
        <v>0</v>
      </c>
      <c r="U32" s="26">
        <v>200</v>
      </c>
      <c r="V32" s="26">
        <f t="shared" si="3"/>
        <v>200</v>
      </c>
      <c r="W32" s="25">
        <v>0</v>
      </c>
      <c r="X32" s="26">
        <v>0</v>
      </c>
      <c r="Y32" s="26">
        <v>0</v>
      </c>
      <c r="Z32" s="26">
        <v>0</v>
      </c>
      <c r="AA32" s="26">
        <v>0</v>
      </c>
      <c r="AB32" s="26">
        <v>0</v>
      </c>
      <c r="AC32" s="26">
        <v>0</v>
      </c>
      <c r="AD32" s="26">
        <f t="shared" si="5"/>
        <v>18580.250000000004</v>
      </c>
      <c r="AE32" s="26">
        <v>0</v>
      </c>
      <c r="AF32" s="26">
        <v>0</v>
      </c>
      <c r="AG32" s="29">
        <v>0</v>
      </c>
      <c r="AH32" s="30">
        <f>500+500</f>
        <v>1000</v>
      </c>
      <c r="AI32" s="30">
        <v>0</v>
      </c>
      <c r="AJ32" s="27">
        <v>0</v>
      </c>
      <c r="AK32" s="31">
        <f>AD32+AE32+AF32+AG32+AH32</f>
        <v>19580.250000000004</v>
      </c>
      <c r="AL32" s="43" t="s">
        <v>44</v>
      </c>
      <c r="AM32" s="44">
        <v>34486.129999999997</v>
      </c>
      <c r="AN32" s="38"/>
      <c r="AO32" s="33">
        <f t="shared" si="6"/>
        <v>19580.250000000004</v>
      </c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</row>
    <row r="33" spans="1:135" x14ac:dyDescent="0.25">
      <c r="A33" s="123" t="s">
        <v>45</v>
      </c>
      <c r="B33" s="34">
        <f>9066.5+9066.5</f>
        <v>18133</v>
      </c>
      <c r="C33" s="25">
        <f>9066.5-133.25+9066.5-68.07</f>
        <v>17931.68</v>
      </c>
      <c r="D33" s="26">
        <f>208.56+208.56</f>
        <v>417.12</v>
      </c>
      <c r="E33" s="26">
        <v>0</v>
      </c>
      <c r="F33" s="26">
        <v>0</v>
      </c>
      <c r="G33" s="26">
        <f t="shared" si="0"/>
        <v>18348.8</v>
      </c>
      <c r="H33" s="26">
        <v>810</v>
      </c>
      <c r="I33" s="27">
        <v>1710</v>
      </c>
      <c r="J33" s="26">
        <f t="shared" si="1"/>
        <v>2520</v>
      </c>
      <c r="K33" s="27">
        <v>30</v>
      </c>
      <c r="L33" s="26">
        <v>1661.22</v>
      </c>
      <c r="M33" s="23">
        <v>0</v>
      </c>
      <c r="N33" s="26">
        <f>B33*5%/2-0.01</f>
        <v>453.31500000000005</v>
      </c>
      <c r="O33" s="26">
        <f>N33+0.01</f>
        <v>453.32500000000005</v>
      </c>
      <c r="P33" s="27">
        <f>N33+O33+0.01</f>
        <v>906.65000000000009</v>
      </c>
      <c r="Q33" s="26">
        <v>0</v>
      </c>
      <c r="R33" s="26">
        <v>0</v>
      </c>
      <c r="S33" s="26">
        <v>0</v>
      </c>
      <c r="T33" s="26">
        <v>0</v>
      </c>
      <c r="U33" s="26">
        <v>200</v>
      </c>
      <c r="V33" s="26">
        <f t="shared" si="3"/>
        <v>200</v>
      </c>
      <c r="W33" s="25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f t="shared" si="5"/>
        <v>15224.264999999998</v>
      </c>
      <c r="AE33" s="26">
        <v>0</v>
      </c>
      <c r="AF33" s="26">
        <v>0</v>
      </c>
      <c r="AG33" s="29">
        <v>0</v>
      </c>
      <c r="AH33" s="30">
        <v>0</v>
      </c>
      <c r="AI33" s="30">
        <v>0</v>
      </c>
      <c r="AJ33" s="27">
        <v>0</v>
      </c>
      <c r="AK33" s="31">
        <f>AD33+AE33+AF33+AG33</f>
        <v>15224.264999999998</v>
      </c>
      <c r="AL33" s="43" t="s">
        <v>46</v>
      </c>
      <c r="AM33" s="45">
        <v>0</v>
      </c>
      <c r="AN33" s="38"/>
      <c r="AO33" s="33">
        <f t="shared" si="6"/>
        <v>15224.264999999999</v>
      </c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</row>
    <row r="34" spans="1:135" x14ac:dyDescent="0.25">
      <c r="A34" s="124" t="s">
        <v>121</v>
      </c>
      <c r="B34" s="15">
        <f>8000+8000</f>
        <v>16000</v>
      </c>
      <c r="C34" s="25">
        <f>8000+8000-1840.26-14.06</f>
        <v>14145.68</v>
      </c>
      <c r="D34" s="26">
        <v>184.03</v>
      </c>
      <c r="E34" s="26">
        <v>0</v>
      </c>
      <c r="F34" s="26">
        <v>0</v>
      </c>
      <c r="G34" s="23">
        <f>C34+E34+F34+D34</f>
        <v>14329.710000000001</v>
      </c>
      <c r="H34" s="26">
        <v>720</v>
      </c>
      <c r="I34" s="27">
        <v>1520</v>
      </c>
      <c r="J34" s="26">
        <f t="shared" si="1"/>
        <v>2240</v>
      </c>
      <c r="K34" s="27">
        <v>30</v>
      </c>
      <c r="L34" s="26">
        <v>738.32</v>
      </c>
      <c r="M34" s="23">
        <v>0</v>
      </c>
      <c r="N34" s="26">
        <f t="shared" ref="N34:N40" si="11">B34*5%/2</f>
        <v>400</v>
      </c>
      <c r="O34" s="26">
        <f t="shared" ref="O34:O40" si="12">N34</f>
        <v>400</v>
      </c>
      <c r="P34" s="9">
        <f t="shared" ref="P34:P39" si="13">N34+O34</f>
        <v>800</v>
      </c>
      <c r="Q34" s="26">
        <v>0</v>
      </c>
      <c r="R34" s="26">
        <v>0</v>
      </c>
      <c r="S34" s="26">
        <v>0</v>
      </c>
      <c r="T34" s="23">
        <v>0</v>
      </c>
      <c r="U34" s="26">
        <v>200</v>
      </c>
      <c r="V34" s="23">
        <f t="shared" si="3"/>
        <v>200</v>
      </c>
      <c r="W34" s="46">
        <v>0</v>
      </c>
      <c r="X34" s="26">
        <v>0</v>
      </c>
      <c r="Y34" s="26">
        <v>0</v>
      </c>
      <c r="Z34" s="26">
        <v>0</v>
      </c>
      <c r="AA34" s="26">
        <v>153.36000000000001</v>
      </c>
      <c r="AB34" s="26">
        <v>0</v>
      </c>
      <c r="AC34" s="26">
        <v>0</v>
      </c>
      <c r="AD34" s="26">
        <f t="shared" si="5"/>
        <v>12118.03</v>
      </c>
      <c r="AE34" s="26">
        <v>0</v>
      </c>
      <c r="AF34" s="26">
        <v>0</v>
      </c>
      <c r="AG34" s="29">
        <v>0</v>
      </c>
      <c r="AH34" s="30">
        <v>0</v>
      </c>
      <c r="AI34" s="30">
        <v>0</v>
      </c>
      <c r="AJ34" s="27">
        <v>0</v>
      </c>
      <c r="AK34" s="31">
        <f>AD34+AE34+AF34+AG34</f>
        <v>12118.03</v>
      </c>
      <c r="AL34" s="43" t="s">
        <v>47</v>
      </c>
      <c r="AM34" s="47">
        <f>AM31+AM32+AM33</f>
        <v>304821.5</v>
      </c>
      <c r="AN34" s="38"/>
      <c r="AO34" s="33">
        <f t="shared" si="6"/>
        <v>12118.03</v>
      </c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  <c r="EA34" s="42"/>
      <c r="EB34" s="42"/>
      <c r="EC34" s="42"/>
      <c r="ED34" s="42"/>
      <c r="EE34" s="42"/>
    </row>
    <row r="35" spans="1:135" x14ac:dyDescent="0.25">
      <c r="A35" s="123" t="s">
        <v>122</v>
      </c>
      <c r="B35" s="34">
        <f>15000+15000</f>
        <v>30000</v>
      </c>
      <c r="C35" s="25">
        <f>15000-117.41+15000-57.51</f>
        <v>29825.08</v>
      </c>
      <c r="D35" s="26">
        <v>0</v>
      </c>
      <c r="E35" s="26">
        <v>0</v>
      </c>
      <c r="F35" s="26">
        <v>179.71</v>
      </c>
      <c r="G35" s="26">
        <f t="shared" ref="G35:G40" si="14">C35+D35+E35+F35</f>
        <v>30004.79</v>
      </c>
      <c r="H35" s="23">
        <v>1350</v>
      </c>
      <c r="I35" s="23">
        <v>2850</v>
      </c>
      <c r="J35" s="23">
        <f t="shared" si="1"/>
        <v>4200</v>
      </c>
      <c r="K35" s="23">
        <v>30</v>
      </c>
      <c r="L35" s="23">
        <v>1523.08</v>
      </c>
      <c r="M35" s="23">
        <v>0</v>
      </c>
      <c r="N35" s="26">
        <f t="shared" si="11"/>
        <v>750</v>
      </c>
      <c r="O35" s="23">
        <f t="shared" si="12"/>
        <v>750</v>
      </c>
      <c r="P35" s="9">
        <f t="shared" si="13"/>
        <v>1500</v>
      </c>
      <c r="Q35" s="26">
        <v>0</v>
      </c>
      <c r="R35" s="26">
        <v>0</v>
      </c>
      <c r="S35" s="26">
        <v>0</v>
      </c>
      <c r="T35" s="26">
        <f>(G35-H35-N35-Q35-U35-20833)*15%</f>
        <v>1030.7685000000001</v>
      </c>
      <c r="U35" s="26">
        <v>200</v>
      </c>
      <c r="V35" s="23">
        <f t="shared" si="3"/>
        <v>200</v>
      </c>
      <c r="W35" s="23">
        <v>0</v>
      </c>
      <c r="X35" s="23">
        <v>0</v>
      </c>
      <c r="Y35" s="23">
        <f>1000+1000</f>
        <v>2000</v>
      </c>
      <c r="Z35" s="23">
        <v>0</v>
      </c>
      <c r="AA35" s="23">
        <v>0</v>
      </c>
      <c r="AB35" s="26">
        <v>0</v>
      </c>
      <c r="AC35" s="26">
        <v>0</v>
      </c>
      <c r="AD35" s="26">
        <f t="shared" si="5"/>
        <v>23150.941500000001</v>
      </c>
      <c r="AE35" s="26">
        <v>0</v>
      </c>
      <c r="AF35" s="26">
        <v>0</v>
      </c>
      <c r="AG35" s="29">
        <v>0</v>
      </c>
      <c r="AH35" s="23">
        <v>0</v>
      </c>
      <c r="AI35" s="23">
        <v>0</v>
      </c>
      <c r="AJ35" s="27">
        <v>0</v>
      </c>
      <c r="AK35" s="31">
        <f>AD35+AE35+AF35+AG35</f>
        <v>23150.941500000001</v>
      </c>
      <c r="AL35" s="42" t="s">
        <v>22</v>
      </c>
      <c r="AM35" s="44" t="s">
        <v>22</v>
      </c>
      <c r="AN35" s="38"/>
      <c r="AO35" s="33">
        <f t="shared" si="6"/>
        <v>23150.941500000001</v>
      </c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  <c r="EA35" s="42"/>
      <c r="EB35" s="42"/>
      <c r="EC35" s="42"/>
      <c r="ED35" s="42"/>
      <c r="EE35" s="42"/>
    </row>
    <row r="36" spans="1:135" x14ac:dyDescent="0.25">
      <c r="A36" s="123" t="s">
        <v>123</v>
      </c>
      <c r="B36" s="34">
        <f>7196+7196</f>
        <v>14392</v>
      </c>
      <c r="C36" s="25">
        <f>7196-551.77-210.36-68.97+7196-551.77-45.98</f>
        <v>12963.15</v>
      </c>
      <c r="D36" s="26">
        <v>165.53</v>
      </c>
      <c r="E36" s="26">
        <v>0</v>
      </c>
      <c r="F36" s="26">
        <v>0</v>
      </c>
      <c r="G36" s="26">
        <f t="shared" si="14"/>
        <v>13128.68</v>
      </c>
      <c r="H36" s="26">
        <v>652.5</v>
      </c>
      <c r="I36" s="27">
        <v>1377.5</v>
      </c>
      <c r="J36" s="26">
        <f t="shared" si="1"/>
        <v>2030</v>
      </c>
      <c r="K36" s="27">
        <v>10</v>
      </c>
      <c r="L36" s="26">
        <v>1338.2</v>
      </c>
      <c r="M36" s="27">
        <v>0</v>
      </c>
      <c r="N36" s="26">
        <f t="shared" si="11"/>
        <v>359.8</v>
      </c>
      <c r="O36" s="26">
        <f t="shared" si="12"/>
        <v>359.8</v>
      </c>
      <c r="P36" s="27">
        <f t="shared" si="13"/>
        <v>719.6</v>
      </c>
      <c r="Q36" s="26">
        <v>0</v>
      </c>
      <c r="R36" s="26">
        <v>0</v>
      </c>
      <c r="S36" s="26">
        <v>0</v>
      </c>
      <c r="T36" s="26">
        <v>0</v>
      </c>
      <c r="U36" s="26">
        <v>200</v>
      </c>
      <c r="V36" s="26">
        <f t="shared" si="3"/>
        <v>200</v>
      </c>
      <c r="W36" s="25">
        <v>396.58</v>
      </c>
      <c r="X36" s="26">
        <v>0</v>
      </c>
      <c r="Y36" s="26">
        <v>0</v>
      </c>
      <c r="Z36" s="26">
        <v>0</v>
      </c>
      <c r="AA36" s="26">
        <v>22.99</v>
      </c>
      <c r="AB36" s="26">
        <v>0</v>
      </c>
      <c r="AC36" s="26">
        <v>0</v>
      </c>
      <c r="AD36" s="26">
        <f t="shared" si="5"/>
        <v>10158.61</v>
      </c>
      <c r="AE36" s="26">
        <v>0</v>
      </c>
      <c r="AF36" s="26">
        <v>0</v>
      </c>
      <c r="AG36" s="29">
        <v>0</v>
      </c>
      <c r="AH36" s="30">
        <v>0</v>
      </c>
      <c r="AI36" s="34">
        <v>0</v>
      </c>
      <c r="AJ36" s="27">
        <v>0</v>
      </c>
      <c r="AK36" s="31">
        <f>AD36+AE36+AF36+AG36</f>
        <v>10158.61</v>
      </c>
      <c r="AL36" s="42" t="s">
        <v>48</v>
      </c>
      <c r="AM36" s="44">
        <v>255585.91</v>
      </c>
      <c r="AN36" s="38"/>
      <c r="AO36" s="33">
        <f t="shared" si="6"/>
        <v>10158.61</v>
      </c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</row>
    <row r="37" spans="1:135" s="39" customFormat="1" x14ac:dyDescent="0.25">
      <c r="A37" s="123" t="s">
        <v>124</v>
      </c>
      <c r="B37" s="34">
        <f>11570+11570</f>
        <v>23140</v>
      </c>
      <c r="C37" s="25">
        <f>11570-110.89+11570-59.14</f>
        <v>22969.97</v>
      </c>
      <c r="D37" s="26">
        <f>261.81+266.14</f>
        <v>527.95000000000005</v>
      </c>
      <c r="E37" s="26">
        <v>0</v>
      </c>
      <c r="F37" s="26">
        <v>831.68</v>
      </c>
      <c r="G37" s="26">
        <f t="shared" si="14"/>
        <v>24329.600000000002</v>
      </c>
      <c r="H37" s="26">
        <f>900+135</f>
        <v>1035</v>
      </c>
      <c r="I37" s="27">
        <f>1900+285</f>
        <v>2185</v>
      </c>
      <c r="J37" s="26">
        <f t="shared" si="1"/>
        <v>3220</v>
      </c>
      <c r="K37" s="27">
        <v>30</v>
      </c>
      <c r="L37" s="26">
        <v>0</v>
      </c>
      <c r="M37" s="26">
        <v>0</v>
      </c>
      <c r="N37" s="26">
        <f t="shared" si="11"/>
        <v>578.5</v>
      </c>
      <c r="O37" s="26">
        <f t="shared" si="12"/>
        <v>578.5</v>
      </c>
      <c r="P37" s="27">
        <f t="shared" si="13"/>
        <v>1157</v>
      </c>
      <c r="Q37" s="26">
        <v>0</v>
      </c>
      <c r="R37" s="26">
        <v>0</v>
      </c>
      <c r="S37" s="26">
        <v>0</v>
      </c>
      <c r="T37" s="26">
        <f>(G37-H37-N37-Q37-U37-20833)*15%</f>
        <v>252.46500000000032</v>
      </c>
      <c r="U37" s="26">
        <v>200</v>
      </c>
      <c r="V37" s="26">
        <f t="shared" si="3"/>
        <v>200</v>
      </c>
      <c r="W37" s="25">
        <v>309.3</v>
      </c>
      <c r="X37" s="26">
        <v>0</v>
      </c>
      <c r="Y37" s="26">
        <v>0</v>
      </c>
      <c r="Z37" s="26">
        <f>4750+4750</f>
        <v>9500</v>
      </c>
      <c r="AA37" s="26">
        <v>0</v>
      </c>
      <c r="AB37" s="26">
        <v>0</v>
      </c>
      <c r="AC37" s="26">
        <v>0</v>
      </c>
      <c r="AD37" s="26">
        <f t="shared" si="5"/>
        <v>12454.335000000003</v>
      </c>
      <c r="AE37" s="26">
        <f>500+500</f>
        <v>1000</v>
      </c>
      <c r="AF37" s="26">
        <v>11.5</v>
      </c>
      <c r="AG37" s="29">
        <v>0</v>
      </c>
      <c r="AH37" s="30">
        <f>500+500</f>
        <v>1000</v>
      </c>
      <c r="AI37" s="30">
        <v>0</v>
      </c>
      <c r="AJ37" s="27">
        <v>0</v>
      </c>
      <c r="AK37" s="31">
        <f>AD37+AE37+AF37+AG37+AH37</f>
        <v>14465.835000000003</v>
      </c>
      <c r="AL37" s="43" t="s">
        <v>35</v>
      </c>
      <c r="AM37" s="44">
        <v>34009.550000000003</v>
      </c>
      <c r="AN37" s="38"/>
      <c r="AO37" s="33">
        <f t="shared" si="6"/>
        <v>14465.835000000003</v>
      </c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</row>
    <row r="38" spans="1:135" s="39" customFormat="1" x14ac:dyDescent="0.25">
      <c r="A38" s="123" t="s">
        <v>125</v>
      </c>
      <c r="B38" s="34">
        <f>7500+7500</f>
        <v>15000</v>
      </c>
      <c r="C38" s="25">
        <f>7500-287.54-4.79+7500-8.39</f>
        <v>14699.28</v>
      </c>
      <c r="D38" s="26">
        <f>172.51+21.56</f>
        <v>194.07</v>
      </c>
      <c r="E38" s="26">
        <v>0</v>
      </c>
      <c r="F38" s="26">
        <v>314.48</v>
      </c>
      <c r="G38" s="26">
        <f t="shared" si="14"/>
        <v>15207.83</v>
      </c>
      <c r="H38" s="26">
        <v>675</v>
      </c>
      <c r="I38" s="27">
        <v>1425</v>
      </c>
      <c r="J38" s="26">
        <f t="shared" si="1"/>
        <v>2100</v>
      </c>
      <c r="K38" s="27">
        <v>30</v>
      </c>
      <c r="L38" s="26">
        <v>1845.8</v>
      </c>
      <c r="M38" s="26">
        <v>0</v>
      </c>
      <c r="N38" s="26">
        <f t="shared" si="11"/>
        <v>375</v>
      </c>
      <c r="O38" s="26">
        <f t="shared" si="12"/>
        <v>375</v>
      </c>
      <c r="P38" s="27">
        <f t="shared" si="13"/>
        <v>750</v>
      </c>
      <c r="Q38" s="26">
        <v>0</v>
      </c>
      <c r="R38" s="26">
        <v>0</v>
      </c>
      <c r="S38" s="26">
        <v>0</v>
      </c>
      <c r="T38" s="26">
        <v>0</v>
      </c>
      <c r="U38" s="26">
        <v>200</v>
      </c>
      <c r="V38" s="26">
        <f t="shared" si="3"/>
        <v>200</v>
      </c>
      <c r="W38" s="25">
        <v>318.44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f t="shared" si="5"/>
        <v>11793.59</v>
      </c>
      <c r="AE38" s="26"/>
      <c r="AF38" s="26"/>
      <c r="AG38" s="29"/>
      <c r="AH38" s="30"/>
      <c r="AI38" s="30"/>
      <c r="AJ38" s="27"/>
      <c r="AK38" s="31">
        <f>AD38+AE38+AF38+AG38</f>
        <v>11793.59</v>
      </c>
      <c r="AL38" s="43" t="s">
        <v>46</v>
      </c>
      <c r="AM38" s="45">
        <v>0</v>
      </c>
      <c r="AN38" s="38"/>
      <c r="AO38" s="33">
        <f t="shared" si="6"/>
        <v>11793.59</v>
      </c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</row>
    <row r="39" spans="1:135" x14ac:dyDescent="0.25">
      <c r="A39" s="123" t="s">
        <v>126</v>
      </c>
      <c r="B39" s="34">
        <f>11880+11880</f>
        <v>23760</v>
      </c>
      <c r="C39" s="25">
        <f>11880+11880-37.96</f>
        <v>23722.04</v>
      </c>
      <c r="D39" s="26">
        <v>273.29000000000002</v>
      </c>
      <c r="E39" s="26">
        <v>0</v>
      </c>
      <c r="F39" s="26">
        <v>0</v>
      </c>
      <c r="G39" s="26">
        <f t="shared" si="14"/>
        <v>23995.33</v>
      </c>
      <c r="H39" s="26">
        <v>1080</v>
      </c>
      <c r="I39" s="27">
        <f>1900+380</f>
        <v>2280</v>
      </c>
      <c r="J39" s="26">
        <f t="shared" si="1"/>
        <v>3360</v>
      </c>
      <c r="K39" s="27">
        <v>30</v>
      </c>
      <c r="L39" s="26">
        <v>1845.8</v>
      </c>
      <c r="M39" s="26">
        <v>0</v>
      </c>
      <c r="N39" s="26">
        <f t="shared" si="11"/>
        <v>594</v>
      </c>
      <c r="O39" s="26">
        <f t="shared" si="12"/>
        <v>594</v>
      </c>
      <c r="P39" s="27">
        <f t="shared" si="13"/>
        <v>1188</v>
      </c>
      <c r="Q39" s="26">
        <v>0</v>
      </c>
      <c r="R39" s="26">
        <v>0</v>
      </c>
      <c r="S39" s="26">
        <v>0</v>
      </c>
      <c r="T39" s="26">
        <f>(G39-H39-N39-Q39-U39-20833)*15%</f>
        <v>193.24950000000027</v>
      </c>
      <c r="U39" s="26">
        <v>200</v>
      </c>
      <c r="V39" s="26">
        <f t="shared" si="3"/>
        <v>200</v>
      </c>
      <c r="W39" s="25">
        <v>0</v>
      </c>
      <c r="X39" s="26">
        <v>0</v>
      </c>
      <c r="Y39" s="26">
        <f>1500+1500</f>
        <v>3000</v>
      </c>
      <c r="Z39" s="26">
        <v>0</v>
      </c>
      <c r="AA39" s="26">
        <v>0</v>
      </c>
      <c r="AB39" s="26">
        <v>0</v>
      </c>
      <c r="AC39" s="26">
        <v>0</v>
      </c>
      <c r="AD39" s="26">
        <f t="shared" si="5"/>
        <v>17082.280500000001</v>
      </c>
      <c r="AE39" s="26">
        <v>0</v>
      </c>
      <c r="AF39" s="26">
        <v>0</v>
      </c>
      <c r="AG39" s="29">
        <v>0</v>
      </c>
      <c r="AH39" s="30">
        <v>0</v>
      </c>
      <c r="AI39" s="30">
        <v>0</v>
      </c>
      <c r="AJ39" s="34">
        <v>0</v>
      </c>
      <c r="AK39" s="31">
        <f>AD39+AE39+AF39+AG39</f>
        <v>17082.280500000001</v>
      </c>
      <c r="AL39" s="43" t="s">
        <v>47</v>
      </c>
      <c r="AM39" s="47">
        <f>AM36+AM37+AM38</f>
        <v>289595.46000000002</v>
      </c>
      <c r="AN39" s="38"/>
      <c r="AO39" s="33">
        <f t="shared" si="6"/>
        <v>17082.280500000001</v>
      </c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</row>
    <row r="40" spans="1:135" x14ac:dyDescent="0.25">
      <c r="A40" s="123" t="s">
        <v>49</v>
      </c>
      <c r="B40" s="34">
        <f>12568.5+12568.5</f>
        <v>25137</v>
      </c>
      <c r="C40" s="25">
        <f>12568.5-265.01-240.92+12568.5-963.72-44.17</f>
        <v>23623.18</v>
      </c>
      <c r="D40" s="26">
        <v>278.26</v>
      </c>
      <c r="E40" s="26">
        <v>0</v>
      </c>
      <c r="F40" s="26">
        <v>0</v>
      </c>
      <c r="G40" s="26">
        <f t="shared" si="14"/>
        <v>23901.439999999999</v>
      </c>
      <c r="H40" s="26">
        <v>1125</v>
      </c>
      <c r="I40" s="27">
        <f>1900+475</f>
        <v>2375</v>
      </c>
      <c r="J40" s="26">
        <f t="shared" si="1"/>
        <v>3500</v>
      </c>
      <c r="K40" s="27">
        <v>30</v>
      </c>
      <c r="L40" s="26">
        <v>1845.8</v>
      </c>
      <c r="M40" s="26">
        <v>0</v>
      </c>
      <c r="N40" s="26">
        <f t="shared" si="11"/>
        <v>628.42500000000007</v>
      </c>
      <c r="O40" s="26">
        <f t="shared" si="12"/>
        <v>628.42500000000007</v>
      </c>
      <c r="P40" s="27">
        <f>N40+O40+0.01</f>
        <v>1256.8600000000001</v>
      </c>
      <c r="Q40" s="26">
        <v>0</v>
      </c>
      <c r="R40" s="26">
        <v>0</v>
      </c>
      <c r="S40" s="26">
        <v>0</v>
      </c>
      <c r="T40" s="26">
        <f>(G40-H40-N40-Q40-U40-20833)*15%</f>
        <v>167.25224999999992</v>
      </c>
      <c r="U40" s="26">
        <v>200</v>
      </c>
      <c r="V40" s="26">
        <f t="shared" si="3"/>
        <v>200</v>
      </c>
      <c r="W40" s="25">
        <v>920.61</v>
      </c>
      <c r="X40" s="26">
        <v>0</v>
      </c>
      <c r="Y40" s="26">
        <v>0</v>
      </c>
      <c r="Z40" s="26">
        <v>0</v>
      </c>
      <c r="AA40" s="26">
        <v>120.47</v>
      </c>
      <c r="AB40" s="26">
        <v>0</v>
      </c>
      <c r="AC40" s="26">
        <v>0</v>
      </c>
      <c r="AD40" s="26">
        <f t="shared" si="5"/>
        <v>18893.882749999997</v>
      </c>
      <c r="AE40" s="26">
        <v>0</v>
      </c>
      <c r="AF40" s="26">
        <v>0</v>
      </c>
      <c r="AG40" s="29">
        <v>0</v>
      </c>
      <c r="AH40" s="30">
        <v>0</v>
      </c>
      <c r="AI40" s="30">
        <v>0</v>
      </c>
      <c r="AJ40" s="27">
        <v>0</v>
      </c>
      <c r="AK40" s="31">
        <f>AD40+AE40+AF40+AG40</f>
        <v>18893.882749999997</v>
      </c>
      <c r="AL40" s="43" t="s">
        <v>22</v>
      </c>
      <c r="AM40" s="47" t="s">
        <v>22</v>
      </c>
      <c r="AN40" s="38"/>
      <c r="AO40" s="33">
        <f t="shared" si="6"/>
        <v>18893.882749999997</v>
      </c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</row>
    <row r="41" spans="1:135" ht="15.75" thickBot="1" x14ac:dyDescent="0.3">
      <c r="B41" s="48"/>
      <c r="C41" s="49">
        <f t="shared" ref="C41:M41" si="15">SUM(C7:C40)</f>
        <v>1253380.1999999995</v>
      </c>
      <c r="D41" s="49">
        <f t="shared" si="15"/>
        <v>9152.18</v>
      </c>
      <c r="E41" s="49">
        <f t="shared" si="15"/>
        <v>0</v>
      </c>
      <c r="F41" s="49">
        <f t="shared" si="15"/>
        <v>16637.03</v>
      </c>
      <c r="G41" s="49">
        <f t="shared" si="15"/>
        <v>1279169.4099999999</v>
      </c>
      <c r="H41" s="49">
        <f t="shared" si="15"/>
        <v>33165</v>
      </c>
      <c r="I41" s="49">
        <f t="shared" si="15"/>
        <v>70015</v>
      </c>
      <c r="J41" s="49">
        <f t="shared" si="15"/>
        <v>103180</v>
      </c>
      <c r="K41" s="49">
        <f t="shared" si="15"/>
        <v>980</v>
      </c>
      <c r="L41" s="49">
        <f t="shared" si="15"/>
        <v>31794.17</v>
      </c>
      <c r="M41" s="49">
        <f t="shared" si="15"/>
        <v>0</v>
      </c>
      <c r="N41" s="49">
        <f>SUM(N7:N40)+0.02</f>
        <v>25060.547499999997</v>
      </c>
      <c r="O41" s="49">
        <f>SUM(O7:O40)+0.01</f>
        <v>25060.547499999997</v>
      </c>
      <c r="P41" s="49">
        <f>SUM(P7:P40)-0.02</f>
        <v>50121.085000000006</v>
      </c>
      <c r="Q41" s="49">
        <f>SUM(Q7:Q40)</f>
        <v>0</v>
      </c>
      <c r="R41" s="49">
        <f>SUM(R7:R40)</f>
        <v>0</v>
      </c>
      <c r="S41" s="49">
        <f>SUM(S7:S40)</f>
        <v>0</v>
      </c>
      <c r="T41" s="49">
        <f>SUM(T7:T40)+0.01</f>
        <v>139761.78099999999</v>
      </c>
      <c r="U41" s="49">
        <f t="shared" ref="U41:AK41" si="16">SUM(U7:U40)</f>
        <v>6800</v>
      </c>
      <c r="V41" s="49">
        <f t="shared" si="16"/>
        <v>6800</v>
      </c>
      <c r="W41" s="49">
        <f t="shared" si="16"/>
        <v>21001.58</v>
      </c>
      <c r="X41" s="49">
        <f t="shared" si="16"/>
        <v>0</v>
      </c>
      <c r="Y41" s="49">
        <f t="shared" si="16"/>
        <v>19600</v>
      </c>
      <c r="Z41" s="49">
        <f t="shared" si="16"/>
        <v>27657.16</v>
      </c>
      <c r="AA41" s="49">
        <f t="shared" si="16"/>
        <v>891.2600000000001</v>
      </c>
      <c r="AB41" s="49">
        <f t="shared" si="16"/>
        <v>111.82</v>
      </c>
      <c r="AC41" s="49">
        <f t="shared" si="16"/>
        <v>455.6</v>
      </c>
      <c r="AD41" s="50">
        <f t="shared" si="16"/>
        <v>974005.36149999988</v>
      </c>
      <c r="AE41" s="49">
        <f t="shared" si="16"/>
        <v>59670.92</v>
      </c>
      <c r="AF41" s="49">
        <f t="shared" si="16"/>
        <v>813.26</v>
      </c>
      <c r="AG41" s="49">
        <f t="shared" si="16"/>
        <v>6000</v>
      </c>
      <c r="AH41" s="49">
        <f t="shared" si="16"/>
        <v>2000</v>
      </c>
      <c r="AI41" s="51">
        <f t="shared" si="16"/>
        <v>0</v>
      </c>
      <c r="AJ41" s="51">
        <f t="shared" si="16"/>
        <v>0</v>
      </c>
      <c r="AK41" s="51">
        <f t="shared" si="16"/>
        <v>1042489.5414999999</v>
      </c>
      <c r="AL41" s="43" t="s">
        <v>50</v>
      </c>
      <c r="AM41" s="45">
        <f>AK43</f>
        <v>448072.58149999985</v>
      </c>
      <c r="AN41" s="38"/>
      <c r="AO41" s="33">
        <f>SUM(AO7:AO40)</f>
        <v>1042489.5414999999</v>
      </c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</row>
    <row r="42" spans="1:135" s="56" customFormat="1" ht="13.5" thickTop="1" x14ac:dyDescent="0.2">
      <c r="B42" s="36" t="s">
        <v>26</v>
      </c>
      <c r="C42" s="36"/>
      <c r="D42" s="52"/>
      <c r="E42" s="52"/>
      <c r="F42" s="52"/>
      <c r="G42" s="52">
        <f>348572.38-111.82+346164.45-455.6</f>
        <v>694169.41</v>
      </c>
      <c r="H42" s="52">
        <f>H41-H24-H23-H12</f>
        <v>29115</v>
      </c>
      <c r="I42" s="52"/>
      <c r="J42" s="52"/>
      <c r="K42" s="52"/>
      <c r="L42" s="52">
        <f>L41-31794.17</f>
        <v>0</v>
      </c>
      <c r="M42" s="52"/>
      <c r="N42" s="52">
        <f>N41-N24-N23-N12</f>
        <v>17560.547499999997</v>
      </c>
      <c r="O42" s="52"/>
      <c r="P42" s="52"/>
      <c r="Q42" s="52">
        <v>0</v>
      </c>
      <c r="R42" s="52">
        <v>0</v>
      </c>
      <c r="S42" s="52">
        <v>0</v>
      </c>
      <c r="T42" s="52">
        <f>167.25+193.25+252.47+1030.77+2735.88+79.92+334.37+238.18+7783.21+409.2+49.22+1722.11</f>
        <v>14995.83</v>
      </c>
      <c r="U42" s="52">
        <f>U41-U24-U23-U12</f>
        <v>6200</v>
      </c>
      <c r="V42" s="52" t="s">
        <v>22</v>
      </c>
      <c r="W42" s="52">
        <f>W41-21001.58</f>
        <v>0</v>
      </c>
      <c r="X42" s="52"/>
      <c r="Y42" s="52"/>
      <c r="Z42" s="52"/>
      <c r="AA42" s="3"/>
      <c r="AB42" s="3"/>
      <c r="AC42" s="3"/>
      <c r="AD42" s="52">
        <f>270335.37+255585.91</f>
        <v>525921.28000000003</v>
      </c>
      <c r="AE42" s="52"/>
      <c r="AF42" s="52"/>
      <c r="AG42" s="52"/>
      <c r="AH42" s="52"/>
      <c r="AI42" s="52"/>
      <c r="AJ42" s="53"/>
      <c r="AK42" s="52">
        <f>270335.37+34486.13+255585.91+34009.55</f>
        <v>594416.96000000008</v>
      </c>
      <c r="AL42" s="54" t="s">
        <v>47</v>
      </c>
      <c r="AM42" s="55">
        <f>AM41+AM39+AM34</f>
        <v>1042489.5414999998</v>
      </c>
      <c r="AN42" s="38"/>
      <c r="AO42" s="33">
        <f>AO41-AK41</f>
        <v>0</v>
      </c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</row>
    <row r="43" spans="1:135" x14ac:dyDescent="0.25">
      <c r="B43" s="36"/>
      <c r="C43" s="2"/>
      <c r="D43" s="3"/>
      <c r="E43" s="3"/>
      <c r="F43" s="3"/>
      <c r="G43" s="57">
        <f>G24+G12+G23</f>
        <v>585000</v>
      </c>
      <c r="H43" s="3"/>
      <c r="I43" s="3"/>
      <c r="J43" s="3"/>
      <c r="K43" s="3"/>
      <c r="L43" s="3"/>
      <c r="M43" s="3"/>
      <c r="N43" s="3" t="s">
        <v>22</v>
      </c>
      <c r="O43" s="3"/>
      <c r="P43" s="3"/>
      <c r="Q43" s="3"/>
      <c r="R43" s="52"/>
      <c r="S43" s="52"/>
      <c r="T43" s="3"/>
      <c r="U43" s="3" t="s">
        <v>22</v>
      </c>
      <c r="V43" s="3"/>
      <c r="W43" s="2"/>
      <c r="X43" s="3"/>
      <c r="Y43" s="3"/>
      <c r="Z43" s="3"/>
      <c r="AA43" s="3"/>
      <c r="AB43" s="3"/>
      <c r="AC43" s="3"/>
      <c r="AD43" s="57">
        <f>AD41-AD42</f>
        <v>448084.08149999985</v>
      </c>
      <c r="AE43" s="3"/>
      <c r="AF43" s="3"/>
      <c r="AG43" s="3"/>
      <c r="AH43" s="3" t="s">
        <v>22</v>
      </c>
      <c r="AI43" s="3"/>
      <c r="AJ43" s="36"/>
      <c r="AK43" s="57">
        <f>AK41-AK42</f>
        <v>448072.58149999985</v>
      </c>
      <c r="AL43" s="13"/>
      <c r="AM43" s="36"/>
      <c r="AN43" s="38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</row>
    <row r="44" spans="1:135" x14ac:dyDescent="0.25">
      <c r="B44" s="36"/>
      <c r="C44" s="2"/>
      <c r="D44" s="3"/>
      <c r="E44" s="3"/>
      <c r="F44" s="3"/>
      <c r="G44" s="52">
        <f>G42+G43</f>
        <v>1279169.4100000001</v>
      </c>
      <c r="H44" s="3"/>
      <c r="I44" s="3"/>
      <c r="J44" s="3"/>
      <c r="K44" s="3"/>
      <c r="L44" s="3"/>
      <c r="M44" s="3"/>
      <c r="N44" s="58" t="s">
        <v>22</v>
      </c>
      <c r="O44" s="58"/>
      <c r="P44" s="58"/>
      <c r="Q44" s="58"/>
      <c r="R44" s="52"/>
      <c r="S44" s="52"/>
      <c r="T44" s="58"/>
      <c r="U44" s="59"/>
      <c r="V44" s="58"/>
      <c r="W44" s="2"/>
      <c r="X44" s="3"/>
      <c r="Y44" s="3"/>
      <c r="Z44" s="3"/>
      <c r="AA44" s="3"/>
      <c r="AB44" s="3"/>
      <c r="AC44" s="3"/>
      <c r="AD44" s="3">
        <f>AD42+AD43-AI41</f>
        <v>974005.36149999988</v>
      </c>
      <c r="AE44" s="3"/>
      <c r="AF44" s="3"/>
      <c r="AG44" s="3"/>
      <c r="AH44" s="3"/>
      <c r="AI44" s="3"/>
      <c r="AJ44" s="36"/>
      <c r="AK44" s="3">
        <f>AK42+AK43</f>
        <v>1042489.5414999999</v>
      </c>
      <c r="AL44" s="13" t="s">
        <v>22</v>
      </c>
      <c r="AM44" s="36"/>
      <c r="AN44" s="60" t="s">
        <v>22</v>
      </c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</row>
    <row r="45" spans="1:135" x14ac:dyDescent="0.25">
      <c r="B45" s="36"/>
      <c r="C45" s="2" t="s">
        <v>22</v>
      </c>
      <c r="D45" s="3"/>
      <c r="E45" s="3"/>
      <c r="F45" s="3"/>
      <c r="G45" s="52"/>
      <c r="H45" s="3"/>
      <c r="I45" s="3"/>
      <c r="J45" s="3"/>
      <c r="K45" s="3"/>
      <c r="L45" s="3"/>
      <c r="M45" s="3"/>
      <c r="N45" s="58"/>
      <c r="O45" s="58"/>
      <c r="P45" s="58"/>
      <c r="Q45" s="58"/>
      <c r="R45" s="52"/>
      <c r="S45" s="52"/>
      <c r="T45" s="58" t="s">
        <v>22</v>
      </c>
      <c r="U45" s="59"/>
      <c r="V45" s="58"/>
      <c r="W45" s="2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6"/>
      <c r="AK45" s="13" t="s">
        <v>22</v>
      </c>
      <c r="AL45" s="42"/>
      <c r="AM45" s="36"/>
      <c r="AN45" s="38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</row>
    <row r="46" spans="1:135" x14ac:dyDescent="0.25">
      <c r="B46" s="1" t="s">
        <v>51</v>
      </c>
      <c r="C46" s="36"/>
      <c r="D46" s="52"/>
      <c r="E46" s="52"/>
      <c r="F46" s="52"/>
      <c r="G46" s="3" t="s">
        <v>22</v>
      </c>
      <c r="H46" s="3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36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36"/>
      <c r="AK46" s="13"/>
      <c r="AL46" s="42" t="s">
        <v>22</v>
      </c>
      <c r="AM46" s="61" t="s">
        <v>22</v>
      </c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</row>
    <row r="47" spans="1:135" ht="13.15" customHeight="1" x14ac:dyDescent="0.25">
      <c r="B47" s="157" t="s">
        <v>3</v>
      </c>
      <c r="C47" s="157" t="s">
        <v>4</v>
      </c>
      <c r="D47" s="158" t="s">
        <v>5</v>
      </c>
      <c r="E47" s="158" t="s">
        <v>6</v>
      </c>
      <c r="F47" s="158" t="s">
        <v>7</v>
      </c>
      <c r="G47" s="158" t="s">
        <v>8</v>
      </c>
      <c r="H47" s="156" t="s">
        <v>9</v>
      </c>
      <c r="I47" s="156"/>
      <c r="J47" s="156"/>
      <c r="K47" s="156"/>
      <c r="L47" s="158" t="s">
        <v>10</v>
      </c>
      <c r="M47" s="158" t="s">
        <v>11</v>
      </c>
      <c r="N47" s="156" t="s">
        <v>12</v>
      </c>
      <c r="O47" s="156"/>
      <c r="P47" s="156"/>
      <c r="Q47" s="156"/>
      <c r="R47" s="156"/>
      <c r="S47" s="156"/>
      <c r="T47" s="135" t="s">
        <v>13</v>
      </c>
      <c r="U47" s="153" t="s">
        <v>14</v>
      </c>
      <c r="V47" s="138"/>
      <c r="W47" s="144" t="s">
        <v>15</v>
      </c>
      <c r="X47" s="135" t="s">
        <v>16</v>
      </c>
      <c r="Y47" s="135" t="s">
        <v>17</v>
      </c>
      <c r="Z47" s="135" t="s">
        <v>18</v>
      </c>
      <c r="AA47" s="153" t="s">
        <v>19</v>
      </c>
      <c r="AB47" s="135" t="s">
        <v>20</v>
      </c>
      <c r="AC47" s="11"/>
      <c r="AD47" s="135" t="s">
        <v>21</v>
      </c>
      <c r="AE47" s="141" t="s">
        <v>35</v>
      </c>
      <c r="AF47" s="142"/>
      <c r="AG47" s="142"/>
      <c r="AH47" s="143"/>
      <c r="AI47" s="135" t="s">
        <v>52</v>
      </c>
      <c r="AJ47" s="144" t="s">
        <v>24</v>
      </c>
      <c r="AK47" s="147" t="s">
        <v>25</v>
      </c>
      <c r="AL47" s="38"/>
      <c r="AM47" s="36"/>
      <c r="AN47" s="38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</row>
    <row r="48" spans="1:135" ht="12.75" customHeight="1" x14ac:dyDescent="0.25">
      <c r="B48" s="157"/>
      <c r="C48" s="157"/>
      <c r="D48" s="158"/>
      <c r="E48" s="158"/>
      <c r="F48" s="158"/>
      <c r="G48" s="158"/>
      <c r="H48" s="156" t="s">
        <v>26</v>
      </c>
      <c r="I48" s="156" t="s">
        <v>27</v>
      </c>
      <c r="J48" s="156" t="s">
        <v>28</v>
      </c>
      <c r="K48" s="135" t="s">
        <v>29</v>
      </c>
      <c r="L48" s="158"/>
      <c r="M48" s="158"/>
      <c r="N48" s="159" t="s">
        <v>26</v>
      </c>
      <c r="O48" s="159" t="s">
        <v>27</v>
      </c>
      <c r="P48" s="159" t="s">
        <v>30</v>
      </c>
      <c r="Q48" s="134" t="s">
        <v>31</v>
      </c>
      <c r="R48" s="134" t="s">
        <v>32</v>
      </c>
      <c r="S48" s="134" t="s">
        <v>33</v>
      </c>
      <c r="T48" s="136"/>
      <c r="U48" s="154"/>
      <c r="V48" s="140"/>
      <c r="W48" s="145"/>
      <c r="X48" s="136"/>
      <c r="Y48" s="136"/>
      <c r="Z48" s="136"/>
      <c r="AA48" s="155"/>
      <c r="AB48" s="136"/>
      <c r="AC48" s="16" t="s">
        <v>34</v>
      </c>
      <c r="AD48" s="136"/>
      <c r="AE48" s="17"/>
      <c r="AF48" s="18"/>
      <c r="AG48" s="18"/>
      <c r="AH48" s="18"/>
      <c r="AI48" s="136"/>
      <c r="AJ48" s="145"/>
      <c r="AK48" s="148"/>
      <c r="AL48" s="14"/>
      <c r="AM48" s="13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</row>
    <row r="49" spans="2:135" ht="21.75" customHeight="1" x14ac:dyDescent="0.25">
      <c r="B49" s="157"/>
      <c r="C49" s="157"/>
      <c r="D49" s="158"/>
      <c r="E49" s="158"/>
      <c r="F49" s="158"/>
      <c r="G49" s="158"/>
      <c r="H49" s="156"/>
      <c r="I49" s="156"/>
      <c r="J49" s="156"/>
      <c r="K49" s="137"/>
      <c r="L49" s="158"/>
      <c r="M49" s="158"/>
      <c r="N49" s="159"/>
      <c r="O49" s="159"/>
      <c r="P49" s="159"/>
      <c r="Q49" s="134"/>
      <c r="R49" s="134"/>
      <c r="S49" s="134"/>
      <c r="T49" s="137"/>
      <c r="U49" s="21" t="s">
        <v>26</v>
      </c>
      <c r="V49" s="21" t="s">
        <v>27</v>
      </c>
      <c r="W49" s="146"/>
      <c r="X49" s="137"/>
      <c r="Y49" s="137"/>
      <c r="Z49" s="137"/>
      <c r="AA49" s="154"/>
      <c r="AB49" s="137"/>
      <c r="AC49" s="20" t="s">
        <v>36</v>
      </c>
      <c r="AD49" s="137"/>
      <c r="AE49" s="22" t="s">
        <v>37</v>
      </c>
      <c r="AF49" s="8" t="s">
        <v>38</v>
      </c>
      <c r="AG49" s="8" t="s">
        <v>39</v>
      </c>
      <c r="AH49" s="22" t="s">
        <v>40</v>
      </c>
      <c r="AI49" s="137"/>
      <c r="AJ49" s="146"/>
      <c r="AK49" s="149"/>
      <c r="AL49" s="14"/>
      <c r="AM49" s="13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</row>
    <row r="50" spans="2:135" x14ac:dyDescent="0.25">
      <c r="B50" s="62">
        <f>8893+8893</f>
        <v>17786</v>
      </c>
      <c r="C50" s="34">
        <f>8893+8893-681.89</f>
        <v>17104.11</v>
      </c>
      <c r="D50" s="34">
        <v>204.58</v>
      </c>
      <c r="E50" s="34">
        <v>0</v>
      </c>
      <c r="F50" s="34">
        <v>0</v>
      </c>
      <c r="G50" s="26">
        <f t="shared" ref="G50:G57" si="17">C50+D50+E50+F50</f>
        <v>17308.690000000002</v>
      </c>
      <c r="H50" s="26">
        <v>810</v>
      </c>
      <c r="I50" s="26">
        <v>1710</v>
      </c>
      <c r="J50" s="26">
        <f t="shared" ref="J50:J56" si="18">H50+I50</f>
        <v>2520</v>
      </c>
      <c r="K50" s="26">
        <v>30</v>
      </c>
      <c r="L50" s="26">
        <v>0</v>
      </c>
      <c r="M50" s="26">
        <v>0</v>
      </c>
      <c r="N50" s="26">
        <f t="shared" ref="N50:N56" si="19">B50*5%/2</f>
        <v>444.65000000000003</v>
      </c>
      <c r="O50" s="26">
        <f t="shared" ref="O50:O56" si="20">N50</f>
        <v>444.65000000000003</v>
      </c>
      <c r="P50" s="27">
        <f t="shared" ref="P50:P56" si="21">N50+O50</f>
        <v>889.30000000000007</v>
      </c>
      <c r="Q50" s="27">
        <v>0</v>
      </c>
      <c r="R50" s="27">
        <v>0</v>
      </c>
      <c r="S50" s="26">
        <v>0</v>
      </c>
      <c r="T50" s="26">
        <v>0</v>
      </c>
      <c r="U50" s="27">
        <v>200</v>
      </c>
      <c r="V50" s="27">
        <f t="shared" ref="V50:V56" si="22">U50</f>
        <v>200</v>
      </c>
      <c r="W50" s="34">
        <v>941.46</v>
      </c>
      <c r="X50" s="27">
        <v>0</v>
      </c>
      <c r="Y50" s="27">
        <v>0</v>
      </c>
      <c r="Z50" s="30">
        <v>0</v>
      </c>
      <c r="AA50" s="26">
        <v>0</v>
      </c>
      <c r="AB50" s="26"/>
      <c r="AC50" s="26"/>
      <c r="AD50" s="26">
        <f>G50-L50-M50-W50-X50-Y50-Z50-AA50-H50-N50-T50-U50</f>
        <v>14912.580000000004</v>
      </c>
      <c r="AE50" s="26">
        <f>+AF50</f>
        <v>0</v>
      </c>
      <c r="AF50" s="26">
        <v>0</v>
      </c>
      <c r="AG50" s="26">
        <v>0</v>
      </c>
      <c r="AH50" s="27">
        <v>0</v>
      </c>
      <c r="AI50" s="26">
        <v>0</v>
      </c>
      <c r="AJ50" s="26">
        <v>0</v>
      </c>
      <c r="AK50" s="62">
        <f>AD50+AE50+AF50+AG50+AH50+AI50</f>
        <v>14912.580000000004</v>
      </c>
      <c r="AL50" s="14"/>
      <c r="AM50" s="13"/>
      <c r="AN50" s="33"/>
      <c r="AO50" s="33">
        <f>G50-H50-L50-M50-N50-T50-U50-W50-X50-Y50-Z50+AA50-AB50-AC50</f>
        <v>14912.580000000002</v>
      </c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</row>
    <row r="51" spans="2:135" x14ac:dyDescent="0.25">
      <c r="B51" s="62">
        <f>9000+9000</f>
        <v>18000</v>
      </c>
      <c r="C51" s="34">
        <f>9000+9000-690.1</f>
        <v>17309.900000000001</v>
      </c>
      <c r="D51" s="34">
        <v>207.02</v>
      </c>
      <c r="E51" s="34">
        <v>0</v>
      </c>
      <c r="F51" s="34">
        <v>0</v>
      </c>
      <c r="G51" s="26">
        <f t="shared" si="17"/>
        <v>17516.920000000002</v>
      </c>
      <c r="H51" s="26">
        <v>810</v>
      </c>
      <c r="I51" s="26">
        <v>1710</v>
      </c>
      <c r="J51" s="26">
        <f t="shared" si="18"/>
        <v>2520</v>
      </c>
      <c r="K51" s="26">
        <v>30</v>
      </c>
      <c r="L51" s="26">
        <f>1661.22</f>
        <v>1661.22</v>
      </c>
      <c r="M51" s="26">
        <v>0</v>
      </c>
      <c r="N51" s="26">
        <f t="shared" si="19"/>
        <v>450</v>
      </c>
      <c r="O51" s="26">
        <f t="shared" si="20"/>
        <v>450</v>
      </c>
      <c r="P51" s="27">
        <f t="shared" si="21"/>
        <v>900</v>
      </c>
      <c r="Q51" s="27">
        <v>0</v>
      </c>
      <c r="R51" s="27">
        <v>0</v>
      </c>
      <c r="S51" s="26">
        <v>0</v>
      </c>
      <c r="T51" s="26">
        <v>0</v>
      </c>
      <c r="U51" s="27">
        <v>200</v>
      </c>
      <c r="V51" s="27">
        <f t="shared" si="22"/>
        <v>200</v>
      </c>
      <c r="W51" s="27">
        <v>0</v>
      </c>
      <c r="X51" s="63">
        <v>0</v>
      </c>
      <c r="Y51" s="27">
        <v>0</v>
      </c>
      <c r="Z51" s="30">
        <v>0</v>
      </c>
      <c r="AA51" s="26">
        <v>0</v>
      </c>
      <c r="AB51" s="26"/>
      <c r="AC51" s="26"/>
      <c r="AD51" s="26">
        <f t="shared" ref="AD51:AD55" si="23">G51-L51-M51-W51-X51-Y51-Z51-AA51-H51-N51-T51-U51</f>
        <v>14395.700000000003</v>
      </c>
      <c r="AE51" s="26">
        <v>0</v>
      </c>
      <c r="AF51" s="26">
        <v>0</v>
      </c>
      <c r="AG51" s="26">
        <v>0</v>
      </c>
      <c r="AH51" s="27">
        <v>0</v>
      </c>
      <c r="AI51" s="26">
        <v>0</v>
      </c>
      <c r="AJ51" s="26">
        <v>0</v>
      </c>
      <c r="AK51" s="62">
        <f t="shared" ref="AK51:AK60" si="24">AD51+AE51+AF51+AG51+AH51+AI51</f>
        <v>14395.700000000003</v>
      </c>
      <c r="AL51" s="42"/>
      <c r="AM51" s="43"/>
      <c r="AN51" s="32"/>
      <c r="AO51" s="33">
        <f t="shared" ref="AO51:AO54" si="25">G51-H51-L51-M51-N51-T51-U51-W51-X51-Y51-Z51+AA51-AB51-AC51</f>
        <v>14395.700000000003</v>
      </c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</row>
    <row r="52" spans="2:135" x14ac:dyDescent="0.25">
      <c r="B52" s="62">
        <f>11000+11000</f>
        <v>22000</v>
      </c>
      <c r="C52" s="34">
        <f>11000-35.14+11000-36.9</f>
        <v>21927.96</v>
      </c>
      <c r="D52" s="34">
        <f>251.45+253.03</f>
        <v>504.48</v>
      </c>
      <c r="E52" s="34">
        <v>0</v>
      </c>
      <c r="F52" s="34">
        <v>0</v>
      </c>
      <c r="G52" s="26">
        <f t="shared" si="17"/>
        <v>22432.44</v>
      </c>
      <c r="H52" s="26">
        <v>990</v>
      </c>
      <c r="I52" s="26">
        <f>1900+190</f>
        <v>2090</v>
      </c>
      <c r="J52" s="26">
        <f t="shared" si="18"/>
        <v>3080</v>
      </c>
      <c r="K52" s="26">
        <v>30</v>
      </c>
      <c r="L52" s="26">
        <v>0</v>
      </c>
      <c r="M52" s="26">
        <v>0</v>
      </c>
      <c r="N52" s="26">
        <f t="shared" si="19"/>
        <v>550</v>
      </c>
      <c r="O52" s="26">
        <f t="shared" si="20"/>
        <v>550</v>
      </c>
      <c r="P52" s="27">
        <f t="shared" si="21"/>
        <v>1100</v>
      </c>
      <c r="Q52" s="27">
        <v>0</v>
      </c>
      <c r="R52" s="27">
        <v>0</v>
      </c>
      <c r="S52" s="26">
        <v>0</v>
      </c>
      <c r="T52" s="26">
        <v>0</v>
      </c>
      <c r="U52" s="27">
        <v>200</v>
      </c>
      <c r="V52" s="27">
        <f t="shared" si="22"/>
        <v>200</v>
      </c>
      <c r="W52" s="27">
        <v>0</v>
      </c>
      <c r="X52" s="63">
        <v>0</v>
      </c>
      <c r="Y52" s="27">
        <v>0</v>
      </c>
      <c r="Z52" s="30">
        <v>0</v>
      </c>
      <c r="AA52" s="26">
        <v>0</v>
      </c>
      <c r="AB52" s="26"/>
      <c r="AC52" s="26"/>
      <c r="AD52" s="26">
        <f t="shared" si="23"/>
        <v>20692.439999999999</v>
      </c>
      <c r="AE52" s="26">
        <v>0</v>
      </c>
      <c r="AF52" s="26">
        <v>0</v>
      </c>
      <c r="AG52" s="26">
        <v>0</v>
      </c>
      <c r="AH52" s="27">
        <v>0</v>
      </c>
      <c r="AI52" s="26">
        <v>0</v>
      </c>
      <c r="AJ52" s="26">
        <v>0</v>
      </c>
      <c r="AK52" s="62">
        <f t="shared" si="24"/>
        <v>20692.439999999999</v>
      </c>
      <c r="AL52" s="43" t="s">
        <v>43</v>
      </c>
      <c r="AM52" s="43">
        <v>105802.62</v>
      </c>
      <c r="AN52" s="32"/>
      <c r="AO52" s="33">
        <f t="shared" si="25"/>
        <v>20692.439999999999</v>
      </c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</row>
    <row r="53" spans="2:135" x14ac:dyDescent="0.25">
      <c r="B53" s="34">
        <f>14000+14000</f>
        <v>28000</v>
      </c>
      <c r="C53" s="34">
        <f>14000-2.24+14000</f>
        <v>27997.760000000002</v>
      </c>
      <c r="D53" s="34">
        <f>161.03+322.06</f>
        <v>483.09000000000003</v>
      </c>
      <c r="E53" s="34">
        <v>0</v>
      </c>
      <c r="F53" s="34">
        <v>0</v>
      </c>
      <c r="G53" s="26">
        <f t="shared" si="17"/>
        <v>28480.850000000002</v>
      </c>
      <c r="H53" s="26">
        <v>1260</v>
      </c>
      <c r="I53" s="26">
        <f>1900+760</f>
        <v>2660</v>
      </c>
      <c r="J53" s="26">
        <f t="shared" si="18"/>
        <v>3920</v>
      </c>
      <c r="K53" s="26">
        <v>30</v>
      </c>
      <c r="L53" s="26">
        <v>0</v>
      </c>
      <c r="M53" s="26">
        <v>0</v>
      </c>
      <c r="N53" s="26">
        <f t="shared" si="19"/>
        <v>700</v>
      </c>
      <c r="O53" s="26">
        <f t="shared" si="20"/>
        <v>700</v>
      </c>
      <c r="P53" s="27">
        <f t="shared" si="21"/>
        <v>1400</v>
      </c>
      <c r="Q53" s="27">
        <v>0</v>
      </c>
      <c r="R53" s="27">
        <v>0</v>
      </c>
      <c r="S53" s="26">
        <v>0</v>
      </c>
      <c r="T53" s="27">
        <f>(G53-H53-N53-U53-20833)*15%</f>
        <v>823.17750000000035</v>
      </c>
      <c r="U53" s="27">
        <v>200</v>
      </c>
      <c r="V53" s="27">
        <f t="shared" si="22"/>
        <v>200</v>
      </c>
      <c r="W53" s="34">
        <v>0</v>
      </c>
      <c r="X53" s="27">
        <v>0</v>
      </c>
      <c r="Y53" s="27">
        <v>0</v>
      </c>
      <c r="Z53" s="30">
        <v>0</v>
      </c>
      <c r="AA53" s="26">
        <v>0</v>
      </c>
      <c r="AB53" s="26"/>
      <c r="AC53" s="26"/>
      <c r="AD53" s="26">
        <f t="shared" si="23"/>
        <v>25497.672500000001</v>
      </c>
      <c r="AE53" s="26">
        <v>0</v>
      </c>
      <c r="AF53" s="26">
        <v>0</v>
      </c>
      <c r="AG53" s="26">
        <v>0</v>
      </c>
      <c r="AH53" s="27">
        <v>0</v>
      </c>
      <c r="AI53" s="26">
        <v>0</v>
      </c>
      <c r="AJ53" s="26">
        <v>0</v>
      </c>
      <c r="AK53" s="62">
        <f t="shared" si="24"/>
        <v>25497.672500000001</v>
      </c>
      <c r="AL53" s="42" t="s">
        <v>44</v>
      </c>
      <c r="AM53" s="44">
        <v>15447.39</v>
      </c>
      <c r="AN53" s="32" t="s">
        <v>53</v>
      </c>
      <c r="AO53" s="33">
        <f t="shared" si="25"/>
        <v>25497.672500000001</v>
      </c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</row>
    <row r="54" spans="2:135" x14ac:dyDescent="0.25">
      <c r="B54" s="34">
        <f>12500+12500</f>
        <v>25000</v>
      </c>
      <c r="C54" s="34">
        <f>12500-5.99+12500</f>
        <v>24994.010000000002</v>
      </c>
      <c r="D54" s="34">
        <v>0</v>
      </c>
      <c r="E54" s="34">
        <v>5.99</v>
      </c>
      <c r="F54" s="34">
        <v>0</v>
      </c>
      <c r="G54" s="26">
        <f t="shared" si="17"/>
        <v>25000.000000000004</v>
      </c>
      <c r="H54" s="26">
        <f>900+225</f>
        <v>1125</v>
      </c>
      <c r="I54" s="27">
        <f>1900+475</f>
        <v>2375</v>
      </c>
      <c r="J54" s="26">
        <f t="shared" si="18"/>
        <v>3500</v>
      </c>
      <c r="K54" s="27">
        <v>30</v>
      </c>
      <c r="L54" s="26">
        <v>0</v>
      </c>
      <c r="M54" s="26">
        <v>0</v>
      </c>
      <c r="N54" s="26">
        <f t="shared" si="19"/>
        <v>625</v>
      </c>
      <c r="O54" s="26">
        <f t="shared" si="20"/>
        <v>625</v>
      </c>
      <c r="P54" s="27">
        <f t="shared" si="21"/>
        <v>1250</v>
      </c>
      <c r="Q54" s="27">
        <v>0</v>
      </c>
      <c r="R54" s="27">
        <v>0</v>
      </c>
      <c r="S54" s="26">
        <v>0</v>
      </c>
      <c r="T54" s="27">
        <f>(G54-H54-N54-U54-20833)*15%</f>
        <v>332.55000000000052</v>
      </c>
      <c r="U54" s="27">
        <v>200</v>
      </c>
      <c r="V54" s="27">
        <f t="shared" si="22"/>
        <v>200</v>
      </c>
      <c r="W54" s="34">
        <v>0</v>
      </c>
      <c r="X54" s="27">
        <v>0</v>
      </c>
      <c r="Y54" s="27">
        <v>0</v>
      </c>
      <c r="Z54" s="30">
        <f>0</f>
        <v>0</v>
      </c>
      <c r="AA54" s="26">
        <v>0</v>
      </c>
      <c r="AB54" s="26"/>
      <c r="AC54" s="26"/>
      <c r="AD54" s="26">
        <f t="shared" si="23"/>
        <v>22717.450000000004</v>
      </c>
      <c r="AE54" s="26">
        <v>0</v>
      </c>
      <c r="AF54" s="26">
        <v>0</v>
      </c>
      <c r="AG54" s="26">
        <v>0</v>
      </c>
      <c r="AH54" s="27">
        <v>0</v>
      </c>
      <c r="AI54" s="26">
        <v>0</v>
      </c>
      <c r="AJ54" s="26">
        <v>0</v>
      </c>
      <c r="AK54" s="62">
        <f t="shared" si="24"/>
        <v>22717.450000000004</v>
      </c>
      <c r="AL54" s="42" t="s">
        <v>54</v>
      </c>
      <c r="AM54" s="45">
        <v>0</v>
      </c>
      <c r="AN54" s="32" t="s">
        <v>54</v>
      </c>
      <c r="AO54" s="33">
        <f t="shared" si="25"/>
        <v>22717.450000000004</v>
      </c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</row>
    <row r="55" spans="2:135" x14ac:dyDescent="0.25">
      <c r="B55" s="34">
        <f>14000</f>
        <v>14000</v>
      </c>
      <c r="C55" s="34">
        <f>7000-159.9-1341.85+7000-1073.48-65.97</f>
        <v>11358.800000000001</v>
      </c>
      <c r="D55" s="34">
        <f>136.86+161.02</f>
        <v>297.88</v>
      </c>
      <c r="E55" s="34">
        <v>0</v>
      </c>
      <c r="F55" s="34">
        <v>0</v>
      </c>
      <c r="G55" s="26">
        <f t="shared" si="17"/>
        <v>11656.68</v>
      </c>
      <c r="H55" s="26">
        <v>630</v>
      </c>
      <c r="I55" s="27">
        <v>1330</v>
      </c>
      <c r="J55" s="26">
        <f t="shared" si="18"/>
        <v>1960</v>
      </c>
      <c r="K55" s="27">
        <v>10</v>
      </c>
      <c r="L55" s="26">
        <v>0</v>
      </c>
      <c r="M55" s="26">
        <v>0</v>
      </c>
      <c r="N55" s="26">
        <f t="shared" si="19"/>
        <v>350</v>
      </c>
      <c r="O55" s="26">
        <f t="shared" si="20"/>
        <v>350</v>
      </c>
      <c r="P55" s="27">
        <f t="shared" si="21"/>
        <v>700</v>
      </c>
      <c r="Q55" s="27">
        <v>0</v>
      </c>
      <c r="R55" s="27">
        <v>0</v>
      </c>
      <c r="S55" s="26">
        <v>0</v>
      </c>
      <c r="T55" s="26">
        <v>0</v>
      </c>
      <c r="U55" s="27">
        <v>200</v>
      </c>
      <c r="V55" s="27">
        <f t="shared" si="22"/>
        <v>200</v>
      </c>
      <c r="W55" s="34">
        <v>0</v>
      </c>
      <c r="X55" s="27">
        <v>0</v>
      </c>
      <c r="Y55" s="27">
        <v>0</v>
      </c>
      <c r="Z55" s="30">
        <v>0</v>
      </c>
      <c r="AA55" s="26">
        <v>44.73</v>
      </c>
      <c r="AB55" s="26"/>
      <c r="AC55" s="26"/>
      <c r="AD55" s="26">
        <f t="shared" si="23"/>
        <v>10431.950000000001</v>
      </c>
      <c r="AE55" s="26">
        <v>0</v>
      </c>
      <c r="AF55" s="26">
        <v>0</v>
      </c>
      <c r="AG55" s="26">
        <v>0</v>
      </c>
      <c r="AH55" s="26">
        <v>0</v>
      </c>
      <c r="AI55" s="26">
        <v>0</v>
      </c>
      <c r="AJ55" s="26">
        <v>0</v>
      </c>
      <c r="AK55" s="62">
        <f>AD55+AE55+AF55+AG55+AH55+AI55</f>
        <v>10431.950000000001</v>
      </c>
      <c r="AL55" s="42" t="s">
        <v>22</v>
      </c>
      <c r="AM55" s="2">
        <f>AM52+AM53+AM54</f>
        <v>121250.01</v>
      </c>
      <c r="AN55" s="32" t="s">
        <v>22</v>
      </c>
      <c r="AO55" s="33">
        <f>G55-H55-L55-M55-N55-U55-AA55</f>
        <v>10431.950000000001</v>
      </c>
      <c r="AP55" s="33">
        <f>AO55-AK55</f>
        <v>0</v>
      </c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</row>
    <row r="56" spans="2:135" x14ac:dyDescent="0.25">
      <c r="B56" s="34">
        <v>14000</v>
      </c>
      <c r="C56" s="34">
        <f>7000-92.81-1610.22</f>
        <v>5296.9699999999993</v>
      </c>
      <c r="D56" s="34">
        <v>156.59</v>
      </c>
      <c r="E56" s="34">
        <v>0</v>
      </c>
      <c r="F56" s="34">
        <v>0</v>
      </c>
      <c r="G56" s="26">
        <f t="shared" si="17"/>
        <v>5453.5599999999995</v>
      </c>
      <c r="H56" s="64">
        <v>630</v>
      </c>
      <c r="I56" s="64">
        <v>1330</v>
      </c>
      <c r="J56" s="64">
        <f t="shared" si="18"/>
        <v>1960</v>
      </c>
      <c r="K56" s="64">
        <v>10</v>
      </c>
      <c r="L56" s="64">
        <v>0</v>
      </c>
      <c r="M56" s="64">
        <v>0</v>
      </c>
      <c r="N56" s="64">
        <f t="shared" si="19"/>
        <v>350</v>
      </c>
      <c r="O56" s="64">
        <f t="shared" si="20"/>
        <v>350</v>
      </c>
      <c r="P56" s="65">
        <f t="shared" si="21"/>
        <v>700</v>
      </c>
      <c r="Q56" s="65"/>
      <c r="R56" s="65"/>
      <c r="S56" s="64"/>
      <c r="T56" s="66"/>
      <c r="U56" s="65">
        <v>200</v>
      </c>
      <c r="V56" s="65">
        <f t="shared" si="22"/>
        <v>200</v>
      </c>
      <c r="W56" s="27"/>
      <c r="X56" s="63"/>
      <c r="Y56" s="30"/>
      <c r="Z56" s="30"/>
      <c r="AA56" s="26">
        <v>44.73</v>
      </c>
      <c r="AB56" s="26"/>
      <c r="AC56" s="26"/>
      <c r="AD56" s="26">
        <f>G56-L56-M56-W56-X56-Y56-Z56-AA56</f>
        <v>5408.83</v>
      </c>
      <c r="AE56" s="26"/>
      <c r="AF56" s="26"/>
      <c r="AG56" s="26"/>
      <c r="AH56" s="27"/>
      <c r="AI56" s="26"/>
      <c r="AJ56" s="26"/>
      <c r="AK56" s="62">
        <f t="shared" si="24"/>
        <v>5408.83</v>
      </c>
      <c r="AL56" s="38"/>
      <c r="AM56" s="36"/>
      <c r="AN56" s="38"/>
      <c r="AO56" s="33">
        <f>G56-AA56</f>
        <v>5408.83</v>
      </c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</row>
    <row r="57" spans="2:135" x14ac:dyDescent="0.25">
      <c r="B57" s="34">
        <f>14600+14600</f>
        <v>29200</v>
      </c>
      <c r="C57" s="34">
        <f>14600</f>
        <v>14600</v>
      </c>
      <c r="D57" s="34">
        <v>335.86</v>
      </c>
      <c r="E57" s="34">
        <v>0</v>
      </c>
      <c r="F57" s="34">
        <v>0</v>
      </c>
      <c r="G57" s="26">
        <f t="shared" si="17"/>
        <v>14935.86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7">
        <v>0</v>
      </c>
      <c r="S57" s="26">
        <v>0</v>
      </c>
      <c r="T57" s="26">
        <v>0</v>
      </c>
      <c r="U57" s="26">
        <v>0</v>
      </c>
      <c r="V57" s="26">
        <v>0</v>
      </c>
      <c r="W57" s="34">
        <v>0</v>
      </c>
      <c r="X57" s="27">
        <v>0</v>
      </c>
      <c r="Y57" s="27">
        <v>0</v>
      </c>
      <c r="Z57" s="30">
        <f>2915.91</f>
        <v>2915.91</v>
      </c>
      <c r="AA57" s="26">
        <v>0</v>
      </c>
      <c r="AB57" s="26"/>
      <c r="AC57" s="26"/>
      <c r="AD57" s="26">
        <f>G57-L57-M57-W57-X57-Y57-Z57-AA57</f>
        <v>12019.95</v>
      </c>
      <c r="AE57" s="26">
        <v>7900</v>
      </c>
      <c r="AF57" s="26">
        <v>181.75</v>
      </c>
      <c r="AG57" s="26">
        <v>0</v>
      </c>
      <c r="AH57" s="27">
        <v>0</v>
      </c>
      <c r="AI57" s="26">
        <v>0</v>
      </c>
      <c r="AJ57" s="26">
        <v>0</v>
      </c>
      <c r="AK57" s="62">
        <f t="shared" si="24"/>
        <v>20101.7</v>
      </c>
      <c r="AL57" s="42" t="s">
        <v>48</v>
      </c>
      <c r="AM57" s="36">
        <v>73042.27</v>
      </c>
      <c r="AN57" s="32" t="s">
        <v>53</v>
      </c>
      <c r="AO57" s="33">
        <f>G57-Z57+AE57+AF57</f>
        <v>20101.7</v>
      </c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</row>
    <row r="58" spans="2:135" s="69" customFormat="1" ht="12.75" customHeight="1" x14ac:dyDescent="0.2">
      <c r="B58" s="67">
        <f>8054+8054</f>
        <v>16108</v>
      </c>
      <c r="C58" s="34">
        <f>8054-18.01+8054-6.43</f>
        <v>16083.56</v>
      </c>
      <c r="D58" s="34">
        <f>185.26+185.26</f>
        <v>370.52</v>
      </c>
      <c r="E58" s="34">
        <v>0</v>
      </c>
      <c r="F58" s="34">
        <v>0</v>
      </c>
      <c r="G58" s="26">
        <f>C58+D58+E58+F58</f>
        <v>16454.079999999998</v>
      </c>
      <c r="H58" s="26">
        <v>720</v>
      </c>
      <c r="I58" s="26">
        <v>1520</v>
      </c>
      <c r="J58" s="26">
        <f>H58+I58</f>
        <v>2240</v>
      </c>
      <c r="K58" s="26">
        <v>30</v>
      </c>
      <c r="L58" s="26">
        <v>0</v>
      </c>
      <c r="M58" s="26">
        <v>0</v>
      </c>
      <c r="N58" s="26">
        <f>B58*5%/2</f>
        <v>402.70000000000005</v>
      </c>
      <c r="O58" s="26">
        <f>N58</f>
        <v>402.70000000000005</v>
      </c>
      <c r="P58" s="26">
        <f>N58+O58</f>
        <v>805.40000000000009</v>
      </c>
      <c r="Q58" s="26">
        <v>0</v>
      </c>
      <c r="R58" s="26">
        <v>0</v>
      </c>
      <c r="S58" s="26">
        <v>0</v>
      </c>
      <c r="T58" s="26">
        <v>0</v>
      </c>
      <c r="U58" s="27">
        <v>200</v>
      </c>
      <c r="V58" s="27">
        <f>U58</f>
        <v>200</v>
      </c>
      <c r="W58" s="25">
        <v>0</v>
      </c>
      <c r="X58" s="26">
        <v>0</v>
      </c>
      <c r="Y58" s="26">
        <v>0</v>
      </c>
      <c r="Z58" s="26">
        <v>0</v>
      </c>
      <c r="AA58" s="26">
        <v>0</v>
      </c>
      <c r="AB58" s="26"/>
      <c r="AC58" s="26"/>
      <c r="AD58" s="26">
        <f>G58-L58-M58-W58-X58-Y58-Z58-AA58-H58-N58-T58-U58</f>
        <v>15131.379999999997</v>
      </c>
      <c r="AE58" s="26">
        <v>0</v>
      </c>
      <c r="AF58" s="26"/>
      <c r="AG58" s="26">
        <v>0</v>
      </c>
      <c r="AH58" s="27">
        <v>0</v>
      </c>
      <c r="AI58" s="26">
        <v>0</v>
      </c>
      <c r="AJ58" s="26">
        <v>0</v>
      </c>
      <c r="AK58" s="62">
        <f t="shared" si="24"/>
        <v>15131.379999999997</v>
      </c>
      <c r="AL58" s="38" t="s">
        <v>44</v>
      </c>
      <c r="AM58" s="68">
        <v>7365.64</v>
      </c>
      <c r="AN58" s="32" t="s">
        <v>53</v>
      </c>
      <c r="AO58" s="33">
        <f>G58-H58-L58-M58-N58-U58-AA58</f>
        <v>15131.379999999997</v>
      </c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</row>
    <row r="59" spans="2:135" s="69" customFormat="1" ht="12.75" customHeight="1" x14ac:dyDescent="0.2">
      <c r="B59" s="67">
        <f>14800+14800</f>
        <v>29600</v>
      </c>
      <c r="C59" s="34">
        <f>14800+14800</f>
        <v>29600</v>
      </c>
      <c r="D59" s="34">
        <f>340.44+340.44</f>
        <v>680.88</v>
      </c>
      <c r="E59" s="34">
        <v>0</v>
      </c>
      <c r="F59" s="34">
        <v>0</v>
      </c>
      <c r="G59" s="26">
        <f>C59+D59+E59+F59</f>
        <v>30280.880000000001</v>
      </c>
      <c r="H59" s="26">
        <v>1327.5</v>
      </c>
      <c r="I59" s="26">
        <f>1900+902.5</f>
        <v>2802.5</v>
      </c>
      <c r="J59" s="26">
        <f>H59+I59</f>
        <v>4130</v>
      </c>
      <c r="K59" s="26">
        <v>30</v>
      </c>
      <c r="L59" s="26">
        <v>0</v>
      </c>
      <c r="M59" s="26">
        <v>0</v>
      </c>
      <c r="N59" s="26">
        <f>B59*5%/2</f>
        <v>740</v>
      </c>
      <c r="O59" s="26">
        <f>N59</f>
        <v>740</v>
      </c>
      <c r="P59" s="26">
        <f>N59+O59</f>
        <v>1480</v>
      </c>
      <c r="Q59" s="27">
        <v>0</v>
      </c>
      <c r="R59" s="27">
        <v>0</v>
      </c>
      <c r="S59" s="26">
        <v>0</v>
      </c>
      <c r="T59" s="27">
        <f>(G59-H59-N59-U59-20833)*15%</f>
        <v>1077.057</v>
      </c>
      <c r="U59" s="27">
        <v>200</v>
      </c>
      <c r="V59" s="27">
        <v>100</v>
      </c>
      <c r="W59" s="34">
        <v>0</v>
      </c>
      <c r="X59" s="26">
        <v>0</v>
      </c>
      <c r="Y59" s="26">
        <v>0</v>
      </c>
      <c r="Z59" s="26">
        <v>0</v>
      </c>
      <c r="AA59" s="26">
        <v>0</v>
      </c>
      <c r="AB59" s="26"/>
      <c r="AC59" s="26"/>
      <c r="AD59" s="26">
        <f>G59-L59-M59-W59-X59-Y59-Z59-AA59-H59-N59-T59-U59</f>
        <v>26936.323</v>
      </c>
      <c r="AE59" s="26">
        <f>7200+7200</f>
        <v>14400</v>
      </c>
      <c r="AF59" s="26">
        <f>165.64+165.64</f>
        <v>331.28</v>
      </c>
      <c r="AG59" s="26">
        <v>0</v>
      </c>
      <c r="AH59" s="27">
        <v>0</v>
      </c>
      <c r="AI59" s="26">
        <v>0</v>
      </c>
      <c r="AJ59" s="26">
        <v>0</v>
      </c>
      <c r="AK59" s="62">
        <f t="shared" si="24"/>
        <v>41667.603000000003</v>
      </c>
      <c r="AL59" s="42" t="s">
        <v>54</v>
      </c>
      <c r="AM59" s="45">
        <v>0</v>
      </c>
      <c r="AN59" s="32" t="s">
        <v>22</v>
      </c>
      <c r="AO59" s="33">
        <f>G59-H59-N59-T59-U59+AE59+AF59</f>
        <v>41667.603000000003</v>
      </c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</row>
    <row r="60" spans="2:135" s="39" customFormat="1" x14ac:dyDescent="0.25">
      <c r="B60" s="34">
        <f>7000+7000</f>
        <v>14000</v>
      </c>
      <c r="C60" s="34">
        <f>7000-68.21-805.11+7000-1073.48-49.2</f>
        <v>12004</v>
      </c>
      <c r="D60" s="34">
        <f>161.02+152.56</f>
        <v>313.58000000000004</v>
      </c>
      <c r="E60" s="34">
        <v>0</v>
      </c>
      <c r="F60" s="34">
        <v>0</v>
      </c>
      <c r="G60" s="26">
        <f>C60+D60+E60+F60</f>
        <v>12317.58</v>
      </c>
      <c r="H60" s="26">
        <v>630</v>
      </c>
      <c r="I60" s="26">
        <v>1330</v>
      </c>
      <c r="J60" s="26">
        <f>H60+I60</f>
        <v>1960</v>
      </c>
      <c r="K60" s="26">
        <v>10</v>
      </c>
      <c r="L60" s="26">
        <v>392.23</v>
      </c>
      <c r="M60" s="26"/>
      <c r="N60" s="26">
        <f>B60*5%/2</f>
        <v>350</v>
      </c>
      <c r="O60" s="26">
        <f>N60</f>
        <v>350</v>
      </c>
      <c r="P60" s="27">
        <f>N60+O60</f>
        <v>700</v>
      </c>
      <c r="Q60" s="27">
        <v>0</v>
      </c>
      <c r="R60" s="27">
        <v>0</v>
      </c>
      <c r="S60" s="26">
        <v>0</v>
      </c>
      <c r="T60" s="26"/>
      <c r="U60" s="27">
        <v>200</v>
      </c>
      <c r="V60" s="26">
        <f>U60</f>
        <v>200</v>
      </c>
      <c r="W60" s="25"/>
      <c r="X60" s="26"/>
      <c r="Y60" s="26"/>
      <c r="Z60" s="26"/>
      <c r="AA60" s="26">
        <v>44.73</v>
      </c>
      <c r="AB60" s="26"/>
      <c r="AC60" s="26"/>
      <c r="AD60" s="26">
        <f>G60-L60-M60-W60-X60-Y60-Z60-AA60-H60-N60-T60-U60</f>
        <v>10700.62</v>
      </c>
      <c r="AE60" s="26">
        <v>0</v>
      </c>
      <c r="AF60" s="26">
        <v>0</v>
      </c>
      <c r="AG60" s="26">
        <v>0</v>
      </c>
      <c r="AH60" s="27">
        <v>0</v>
      </c>
      <c r="AI60" s="26">
        <v>0</v>
      </c>
      <c r="AJ60" s="26">
        <v>0</v>
      </c>
      <c r="AK60" s="31">
        <f t="shared" si="24"/>
        <v>10700.62</v>
      </c>
      <c r="AL60" s="42" t="s">
        <v>55</v>
      </c>
      <c r="AM60" s="70">
        <f>AM57+AM58+AM59</f>
        <v>80407.91</v>
      </c>
      <c r="AN60" s="14"/>
      <c r="AO60" s="33">
        <f>G60-H60-L60-M60-N60-U60-AA60</f>
        <v>10700.62</v>
      </c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</row>
    <row r="61" spans="2:135" ht="15.75" thickBot="1" x14ac:dyDescent="0.3">
      <c r="B61" s="71" t="s">
        <v>56</v>
      </c>
      <c r="C61" s="49">
        <f t="shared" ref="C61:AC61" si="26">SUM(C50:C60)</f>
        <v>198277.07</v>
      </c>
      <c r="D61" s="49">
        <f t="shared" si="26"/>
        <v>3554.48</v>
      </c>
      <c r="E61" s="49">
        <f t="shared" si="26"/>
        <v>5.99</v>
      </c>
      <c r="F61" s="49">
        <f t="shared" si="26"/>
        <v>0</v>
      </c>
      <c r="G61" s="49">
        <f t="shared" si="26"/>
        <v>201837.53999999998</v>
      </c>
      <c r="H61" s="49">
        <f t="shared" si="26"/>
        <v>8932.5</v>
      </c>
      <c r="I61" s="49">
        <f t="shared" si="26"/>
        <v>18857.5</v>
      </c>
      <c r="J61" s="49">
        <f t="shared" si="26"/>
        <v>27790</v>
      </c>
      <c r="K61" s="49">
        <f t="shared" si="26"/>
        <v>240</v>
      </c>
      <c r="L61" s="49">
        <f t="shared" si="26"/>
        <v>2053.4499999999998</v>
      </c>
      <c r="M61" s="49">
        <f t="shared" si="26"/>
        <v>0</v>
      </c>
      <c r="N61" s="49">
        <f t="shared" si="26"/>
        <v>4962.3500000000004</v>
      </c>
      <c r="O61" s="49">
        <f t="shared" si="26"/>
        <v>4962.3500000000004</v>
      </c>
      <c r="P61" s="49">
        <f t="shared" si="26"/>
        <v>9924.7000000000007</v>
      </c>
      <c r="Q61" s="49">
        <f t="shared" si="26"/>
        <v>0</v>
      </c>
      <c r="R61" s="49">
        <f t="shared" si="26"/>
        <v>0</v>
      </c>
      <c r="S61" s="49">
        <f t="shared" si="26"/>
        <v>0</v>
      </c>
      <c r="T61" s="49">
        <f t="shared" si="26"/>
        <v>2232.7845000000007</v>
      </c>
      <c r="U61" s="49">
        <f t="shared" si="26"/>
        <v>2000</v>
      </c>
      <c r="V61" s="49">
        <f t="shared" si="26"/>
        <v>1900</v>
      </c>
      <c r="W61" s="49">
        <f t="shared" si="26"/>
        <v>941.46</v>
      </c>
      <c r="X61" s="49">
        <f t="shared" si="26"/>
        <v>0</v>
      </c>
      <c r="Y61" s="49">
        <f t="shared" si="26"/>
        <v>0</v>
      </c>
      <c r="Z61" s="49">
        <f t="shared" si="26"/>
        <v>2915.91</v>
      </c>
      <c r="AA61" s="49">
        <f t="shared" si="26"/>
        <v>134.19</v>
      </c>
      <c r="AB61" s="49">
        <f t="shared" si="26"/>
        <v>0</v>
      </c>
      <c r="AC61" s="49">
        <f t="shared" si="26"/>
        <v>0</v>
      </c>
      <c r="AD61" s="49">
        <f>SUM(AD50:AD60)-0.01</f>
        <v>178844.88549999997</v>
      </c>
      <c r="AE61" s="49">
        <f t="shared" ref="AE61:AJ61" si="27">SUM(AE50:AE60)</f>
        <v>22300</v>
      </c>
      <c r="AF61" s="49">
        <f t="shared" si="27"/>
        <v>513.03</v>
      </c>
      <c r="AG61" s="49">
        <f t="shared" si="27"/>
        <v>0</v>
      </c>
      <c r="AH61" s="49">
        <f t="shared" si="27"/>
        <v>0</v>
      </c>
      <c r="AI61" s="49">
        <f t="shared" si="27"/>
        <v>0</v>
      </c>
      <c r="AJ61" s="49">
        <f t="shared" si="27"/>
        <v>0</v>
      </c>
      <c r="AK61" s="49">
        <f>SUM(AK50:AK60)-0.01</f>
        <v>201657.9155</v>
      </c>
      <c r="AL61" s="38" t="s">
        <v>47</v>
      </c>
      <c r="AM61" s="61">
        <f>AM60+AM55</f>
        <v>201657.91999999998</v>
      </c>
      <c r="AN61" s="37" t="s">
        <v>57</v>
      </c>
      <c r="AO61" s="33">
        <f>SUM(AO50:AO60)-0.01</f>
        <v>201657.9155</v>
      </c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</row>
    <row r="62" spans="2:135" ht="15.75" thickTop="1" x14ac:dyDescent="0.25">
      <c r="B62" s="36"/>
      <c r="C62" s="36" t="s">
        <v>22</v>
      </c>
      <c r="D62" s="52"/>
      <c r="E62" s="52"/>
      <c r="F62" s="52"/>
      <c r="G62" s="3">
        <f>111847.63+89989.91</f>
        <v>201837.54</v>
      </c>
      <c r="H62" s="3" t="s">
        <v>22</v>
      </c>
      <c r="I62" s="52"/>
      <c r="J62" s="52"/>
      <c r="K62" s="52"/>
      <c r="L62" s="52"/>
      <c r="M62" s="52"/>
      <c r="N62" s="3" t="e">
        <f>N61-#REF!-N56</f>
        <v>#REF!</v>
      </c>
      <c r="O62" s="52"/>
      <c r="P62" s="52"/>
      <c r="Q62" s="52"/>
      <c r="R62" s="52"/>
      <c r="S62" s="52"/>
      <c r="T62" s="52"/>
      <c r="U62" s="3"/>
      <c r="V62" s="52"/>
      <c r="W62" s="36"/>
      <c r="X62" s="52"/>
      <c r="Y62" s="52"/>
      <c r="Z62" s="52"/>
      <c r="AA62" s="52"/>
      <c r="AB62" s="52"/>
      <c r="AC62" s="52"/>
      <c r="AD62" s="52">
        <f>105802.62+73042.27</f>
        <v>178844.89</v>
      </c>
      <c r="AE62" s="52"/>
      <c r="AF62" s="52"/>
      <c r="AG62" s="52"/>
      <c r="AH62" s="52"/>
      <c r="AI62" s="52"/>
      <c r="AJ62" s="36"/>
      <c r="AK62" s="13">
        <f>105802.62+15447.39+73042.27+7365.64</f>
        <v>201657.92</v>
      </c>
      <c r="AL62" s="38"/>
      <c r="AM62" s="36"/>
      <c r="AN62" s="38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</row>
    <row r="63" spans="2:135" x14ac:dyDescent="0.25">
      <c r="B63" s="1" t="s">
        <v>58</v>
      </c>
      <c r="C63" s="36" t="s">
        <v>22</v>
      </c>
      <c r="D63" s="52"/>
      <c r="E63" s="52"/>
      <c r="F63" s="52"/>
      <c r="G63" s="3" t="s">
        <v>22</v>
      </c>
      <c r="H63" s="3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 t="s">
        <v>22</v>
      </c>
      <c r="U63" s="52"/>
      <c r="V63" s="52"/>
      <c r="W63" s="36"/>
      <c r="X63" s="52"/>
      <c r="Y63" s="52"/>
      <c r="Z63" s="52"/>
      <c r="AA63" s="52"/>
      <c r="AB63" s="52"/>
      <c r="AC63" s="52" t="s">
        <v>22</v>
      </c>
      <c r="AD63" s="3"/>
      <c r="AE63" s="52"/>
      <c r="AF63" s="52"/>
      <c r="AG63" s="52"/>
      <c r="AH63" s="52"/>
      <c r="AI63" s="52"/>
      <c r="AJ63" s="36"/>
      <c r="AK63" s="13" t="s">
        <v>22</v>
      </c>
      <c r="AL63" s="42" t="s">
        <v>22</v>
      </c>
      <c r="AM63" s="43" t="s">
        <v>22</v>
      </c>
      <c r="AN63" s="32" t="s">
        <v>22</v>
      </c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</row>
    <row r="64" spans="2:135" ht="17.25" customHeight="1" x14ac:dyDescent="0.25">
      <c r="B64" s="157" t="s">
        <v>3</v>
      </c>
      <c r="C64" s="157" t="s">
        <v>4</v>
      </c>
      <c r="D64" s="158" t="s">
        <v>59</v>
      </c>
      <c r="E64" s="158" t="s">
        <v>60</v>
      </c>
      <c r="F64" s="158" t="s">
        <v>7</v>
      </c>
      <c r="G64" s="158" t="s">
        <v>8</v>
      </c>
      <c r="H64" s="156" t="s">
        <v>22</v>
      </c>
      <c r="I64" s="156"/>
      <c r="J64" s="156"/>
      <c r="K64" s="156"/>
      <c r="L64" s="158" t="s">
        <v>10</v>
      </c>
      <c r="M64" s="158" t="s">
        <v>11</v>
      </c>
      <c r="N64" s="156" t="s">
        <v>12</v>
      </c>
      <c r="O64" s="156"/>
      <c r="P64" s="156"/>
      <c r="Q64" s="156"/>
      <c r="R64" s="156"/>
      <c r="S64" s="156"/>
      <c r="T64" s="135" t="s">
        <v>13</v>
      </c>
      <c r="U64" s="153" t="s">
        <v>14</v>
      </c>
      <c r="V64" s="138"/>
      <c r="W64" s="144" t="s">
        <v>15</v>
      </c>
      <c r="X64" s="135" t="s">
        <v>16</v>
      </c>
      <c r="Y64" s="135" t="s">
        <v>17</v>
      </c>
      <c r="Z64" s="135" t="s">
        <v>18</v>
      </c>
      <c r="AA64" s="153" t="s">
        <v>19</v>
      </c>
      <c r="AB64" s="135" t="s">
        <v>20</v>
      </c>
      <c r="AC64" s="11"/>
      <c r="AD64" s="135" t="s">
        <v>21</v>
      </c>
      <c r="AE64" s="141" t="s">
        <v>35</v>
      </c>
      <c r="AF64" s="142"/>
      <c r="AG64" s="142"/>
      <c r="AH64" s="143"/>
      <c r="AI64" s="135" t="s">
        <v>23</v>
      </c>
      <c r="AJ64" s="72"/>
      <c r="AK64" s="147" t="s">
        <v>25</v>
      </c>
      <c r="AL64" s="42"/>
      <c r="AM64" s="43"/>
      <c r="AN64" s="32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</row>
    <row r="65" spans="2:135" ht="13.5" customHeight="1" x14ac:dyDescent="0.25">
      <c r="B65" s="157"/>
      <c r="C65" s="157"/>
      <c r="D65" s="158"/>
      <c r="E65" s="158"/>
      <c r="F65" s="158"/>
      <c r="G65" s="158"/>
      <c r="H65" s="156" t="s">
        <v>26</v>
      </c>
      <c r="I65" s="156" t="s">
        <v>27</v>
      </c>
      <c r="J65" s="156" t="s">
        <v>28</v>
      </c>
      <c r="K65" s="135" t="s">
        <v>29</v>
      </c>
      <c r="L65" s="158"/>
      <c r="M65" s="158"/>
      <c r="N65" s="159" t="s">
        <v>26</v>
      </c>
      <c r="O65" s="159" t="s">
        <v>27</v>
      </c>
      <c r="P65" s="159" t="s">
        <v>30</v>
      </c>
      <c r="Q65" s="134" t="s">
        <v>31</v>
      </c>
      <c r="R65" s="134" t="s">
        <v>32</v>
      </c>
      <c r="S65" s="134" t="s">
        <v>33</v>
      </c>
      <c r="T65" s="136"/>
      <c r="U65" s="154"/>
      <c r="V65" s="140"/>
      <c r="W65" s="145"/>
      <c r="X65" s="136"/>
      <c r="Y65" s="136"/>
      <c r="Z65" s="136"/>
      <c r="AA65" s="155"/>
      <c r="AB65" s="136"/>
      <c r="AC65" s="73" t="s">
        <v>61</v>
      </c>
      <c r="AD65" s="136"/>
      <c r="AE65" s="150"/>
      <c r="AF65" s="151"/>
      <c r="AG65" s="151"/>
      <c r="AH65" s="152"/>
      <c r="AI65" s="136"/>
      <c r="AJ65" s="74"/>
      <c r="AK65" s="148"/>
      <c r="AL65" s="42"/>
      <c r="AM65" s="43"/>
      <c r="AN65" s="32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</row>
    <row r="66" spans="2:135" ht="24.75" customHeight="1" x14ac:dyDescent="0.25">
      <c r="B66" s="157"/>
      <c r="C66" s="157"/>
      <c r="D66" s="158"/>
      <c r="E66" s="158"/>
      <c r="F66" s="158"/>
      <c r="G66" s="158"/>
      <c r="H66" s="156"/>
      <c r="I66" s="156"/>
      <c r="J66" s="156"/>
      <c r="K66" s="137"/>
      <c r="L66" s="158"/>
      <c r="M66" s="158"/>
      <c r="N66" s="159"/>
      <c r="O66" s="159"/>
      <c r="P66" s="159"/>
      <c r="Q66" s="134"/>
      <c r="R66" s="134"/>
      <c r="S66" s="134"/>
      <c r="T66" s="137"/>
      <c r="U66" s="21" t="s">
        <v>26</v>
      </c>
      <c r="V66" s="21" t="s">
        <v>27</v>
      </c>
      <c r="W66" s="146"/>
      <c r="X66" s="137"/>
      <c r="Y66" s="137"/>
      <c r="Z66" s="137"/>
      <c r="AA66" s="154"/>
      <c r="AB66" s="137"/>
      <c r="AC66" s="75"/>
      <c r="AD66" s="137"/>
      <c r="AE66" s="22" t="s">
        <v>37</v>
      </c>
      <c r="AF66" s="8" t="s">
        <v>38</v>
      </c>
      <c r="AG66" s="8" t="s">
        <v>39</v>
      </c>
      <c r="AH66" s="22" t="s">
        <v>40</v>
      </c>
      <c r="AI66" s="137"/>
      <c r="AJ66" s="46" t="s">
        <v>62</v>
      </c>
      <c r="AK66" s="149"/>
      <c r="AL66" s="42" t="s">
        <v>43</v>
      </c>
      <c r="AM66" s="43">
        <v>0</v>
      </c>
      <c r="AN66" s="32" t="s">
        <v>53</v>
      </c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</row>
    <row r="67" spans="2:135" x14ac:dyDescent="0.25">
      <c r="B67" s="62">
        <f>7500+7500</f>
        <v>15000</v>
      </c>
      <c r="C67" s="34">
        <f>7500-94.64</f>
        <v>7405.36</v>
      </c>
      <c r="D67" s="34">
        <v>170.79</v>
      </c>
      <c r="E67" s="34"/>
      <c r="F67" s="27"/>
      <c r="G67" s="26">
        <f>D67+C67+E67+F67</f>
        <v>7576.15</v>
      </c>
      <c r="H67" s="26">
        <v>675</v>
      </c>
      <c r="I67" s="27">
        <v>1425</v>
      </c>
      <c r="J67" s="26">
        <f>H67+I67</f>
        <v>2100</v>
      </c>
      <c r="K67" s="27">
        <v>30</v>
      </c>
      <c r="L67" s="76">
        <v>0</v>
      </c>
      <c r="M67" s="76">
        <v>0</v>
      </c>
      <c r="N67" s="26">
        <f>B67*5%/2</f>
        <v>375</v>
      </c>
      <c r="O67" s="76">
        <f>N67</f>
        <v>375</v>
      </c>
      <c r="P67" s="27">
        <f>N67+O67</f>
        <v>750</v>
      </c>
      <c r="Q67" s="76">
        <v>0</v>
      </c>
      <c r="R67" s="76">
        <v>0</v>
      </c>
      <c r="S67" s="76">
        <f>Q67+R67</f>
        <v>0</v>
      </c>
      <c r="T67" s="76">
        <v>0</v>
      </c>
      <c r="U67" s="77">
        <v>200</v>
      </c>
      <c r="V67" s="77">
        <f>U67</f>
        <v>200</v>
      </c>
      <c r="W67" s="78">
        <v>0</v>
      </c>
      <c r="X67" s="78">
        <v>0</v>
      </c>
      <c r="Y67" s="78">
        <v>0</v>
      </c>
      <c r="Z67" s="30">
        <v>0</v>
      </c>
      <c r="AA67" s="26">
        <v>0</v>
      </c>
      <c r="AB67" s="26"/>
      <c r="AC67" s="26"/>
      <c r="AD67" s="26">
        <f>G67-H67-L67-M67-N67-T67-U67-W67-X67-Y67-Z67-AA67-AB67-AC67</f>
        <v>6326.15</v>
      </c>
      <c r="AE67" s="27">
        <v>0</v>
      </c>
      <c r="AF67" s="27">
        <v>0</v>
      </c>
      <c r="AG67" s="27">
        <v>0</v>
      </c>
      <c r="AH67" s="27">
        <v>0</v>
      </c>
      <c r="AI67" s="27">
        <v>0</v>
      </c>
      <c r="AJ67" s="27">
        <v>0</v>
      </c>
      <c r="AK67" s="62">
        <f>AD67+AE67+AF67+AG67+AH67+AI67</f>
        <v>6326.15</v>
      </c>
      <c r="AL67" s="42" t="s">
        <v>48</v>
      </c>
      <c r="AM67" s="43">
        <v>6326.15</v>
      </c>
      <c r="AN67" s="32" t="s">
        <v>53</v>
      </c>
      <c r="AO67" s="14">
        <v>6326.15</v>
      </c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</row>
    <row r="68" spans="2:135" ht="15.75" thickBot="1" x14ac:dyDescent="0.3">
      <c r="B68" s="71" t="s">
        <v>56</v>
      </c>
      <c r="C68" s="79">
        <f>SUM(C67:C67)</f>
        <v>7405.36</v>
      </c>
      <c r="D68" s="79">
        <f>D67</f>
        <v>170.79</v>
      </c>
      <c r="E68" s="79">
        <f>E67</f>
        <v>0</v>
      </c>
      <c r="F68" s="79">
        <f>F67</f>
        <v>0</v>
      </c>
      <c r="G68" s="79">
        <f>G67</f>
        <v>7576.15</v>
      </c>
      <c r="H68" s="79">
        <f t="shared" ref="H68:AK68" si="28">SUM(H67:H67)</f>
        <v>675</v>
      </c>
      <c r="I68" s="79">
        <f t="shared" si="28"/>
        <v>1425</v>
      </c>
      <c r="J68" s="79">
        <f t="shared" si="28"/>
        <v>2100</v>
      </c>
      <c r="K68" s="79">
        <f t="shared" si="28"/>
        <v>30</v>
      </c>
      <c r="L68" s="79">
        <f t="shared" si="28"/>
        <v>0</v>
      </c>
      <c r="M68" s="79">
        <f t="shared" si="28"/>
        <v>0</v>
      </c>
      <c r="N68" s="79">
        <f t="shared" si="28"/>
        <v>375</v>
      </c>
      <c r="O68" s="79">
        <f t="shared" si="28"/>
        <v>375</v>
      </c>
      <c r="P68" s="79">
        <f t="shared" si="28"/>
        <v>750</v>
      </c>
      <c r="Q68" s="79">
        <f t="shared" si="28"/>
        <v>0</v>
      </c>
      <c r="R68" s="79">
        <f t="shared" si="28"/>
        <v>0</v>
      </c>
      <c r="S68" s="79">
        <f t="shared" si="28"/>
        <v>0</v>
      </c>
      <c r="T68" s="79">
        <f t="shared" si="28"/>
        <v>0</v>
      </c>
      <c r="U68" s="79">
        <f t="shared" si="28"/>
        <v>200</v>
      </c>
      <c r="V68" s="79">
        <f t="shared" si="28"/>
        <v>200</v>
      </c>
      <c r="W68" s="79">
        <f t="shared" si="28"/>
        <v>0</v>
      </c>
      <c r="X68" s="79">
        <f t="shared" si="28"/>
        <v>0</v>
      </c>
      <c r="Y68" s="79">
        <f t="shared" si="28"/>
        <v>0</v>
      </c>
      <c r="Z68" s="79">
        <f t="shared" si="28"/>
        <v>0</v>
      </c>
      <c r="AA68" s="79">
        <f t="shared" si="28"/>
        <v>0</v>
      </c>
      <c r="AB68" s="79">
        <f t="shared" si="28"/>
        <v>0</v>
      </c>
      <c r="AC68" s="79">
        <f t="shared" si="28"/>
        <v>0</v>
      </c>
      <c r="AD68" s="79">
        <f t="shared" si="28"/>
        <v>6326.15</v>
      </c>
      <c r="AE68" s="79">
        <f t="shared" si="28"/>
        <v>0</v>
      </c>
      <c r="AF68" s="79">
        <f t="shared" si="28"/>
        <v>0</v>
      </c>
      <c r="AG68" s="79">
        <f t="shared" si="28"/>
        <v>0</v>
      </c>
      <c r="AH68" s="79">
        <f t="shared" si="28"/>
        <v>0</v>
      </c>
      <c r="AI68" s="79">
        <f t="shared" si="28"/>
        <v>0</v>
      </c>
      <c r="AJ68" s="79">
        <f t="shared" si="28"/>
        <v>0</v>
      </c>
      <c r="AK68" s="79">
        <f t="shared" si="28"/>
        <v>6326.15</v>
      </c>
      <c r="AL68" s="42"/>
      <c r="AM68" s="44"/>
      <c r="AN68" s="32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</row>
    <row r="69" spans="2:135" ht="15.75" thickTop="1" x14ac:dyDescent="0.25">
      <c r="B69" s="36"/>
      <c r="C69" s="36" t="s">
        <v>22</v>
      </c>
      <c r="D69" s="52"/>
      <c r="E69" s="52"/>
      <c r="F69" s="52"/>
      <c r="G69" s="3" t="s">
        <v>22</v>
      </c>
      <c r="H69" s="3"/>
      <c r="I69" s="52"/>
      <c r="J69" s="52" t="s">
        <v>63</v>
      </c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36"/>
      <c r="X69" s="52"/>
      <c r="Y69" s="52"/>
      <c r="Z69" s="52"/>
      <c r="AA69" s="52"/>
      <c r="AB69" s="52"/>
      <c r="AC69" s="52"/>
      <c r="AD69" s="52">
        <f>13955.75</f>
        <v>13955.75</v>
      </c>
      <c r="AE69" s="52"/>
      <c r="AF69" s="52"/>
      <c r="AG69" s="52"/>
      <c r="AH69" s="52"/>
      <c r="AI69" s="52"/>
      <c r="AJ69" s="36"/>
      <c r="AK69" s="13">
        <v>6326.15</v>
      </c>
      <c r="AL69" s="42" t="s">
        <v>47</v>
      </c>
      <c r="AM69" s="54">
        <f>AM67</f>
        <v>6326.15</v>
      </c>
      <c r="AN69" s="14" t="s">
        <v>22</v>
      </c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</row>
    <row r="70" spans="2:135" x14ac:dyDescent="0.25">
      <c r="B70" s="36"/>
      <c r="C70" s="36" t="s">
        <v>22</v>
      </c>
      <c r="D70" s="52"/>
      <c r="E70" s="52"/>
      <c r="F70" s="52"/>
      <c r="G70" s="3" t="s">
        <v>22</v>
      </c>
      <c r="H70" s="3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 t="s">
        <v>22</v>
      </c>
      <c r="U70" s="52"/>
      <c r="V70" s="52"/>
      <c r="W70" s="36"/>
      <c r="X70" s="52"/>
      <c r="Y70" s="52"/>
      <c r="Z70" s="52"/>
      <c r="AA70" s="52"/>
      <c r="AB70" s="52"/>
      <c r="AC70" s="52" t="s">
        <v>22</v>
      </c>
      <c r="AD70" s="3"/>
      <c r="AE70" s="52"/>
      <c r="AF70" s="52"/>
      <c r="AG70" s="52"/>
      <c r="AH70" s="52"/>
      <c r="AI70" s="52"/>
      <c r="AJ70" s="36"/>
      <c r="AK70" s="13" t="s">
        <v>22</v>
      </c>
      <c r="AL70" s="42" t="s">
        <v>22</v>
      </c>
      <c r="AM70" s="43" t="s">
        <v>22</v>
      </c>
      <c r="AN70" s="32" t="s">
        <v>22</v>
      </c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</row>
    <row r="71" spans="2:135" x14ac:dyDescent="0.25">
      <c r="B71" s="36"/>
      <c r="C71" s="36"/>
      <c r="D71" s="52"/>
      <c r="E71" s="52"/>
      <c r="F71" s="52"/>
      <c r="G71" s="3"/>
      <c r="H71" s="3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36"/>
      <c r="X71" s="52"/>
      <c r="Y71" s="52"/>
      <c r="Z71" s="52"/>
      <c r="AA71" s="52"/>
      <c r="AB71" s="52"/>
      <c r="AC71" s="52"/>
      <c r="AD71" s="3"/>
      <c r="AE71" s="52"/>
      <c r="AF71" s="52"/>
      <c r="AG71" s="52"/>
      <c r="AH71" s="52"/>
      <c r="AI71" s="52"/>
      <c r="AJ71" s="36"/>
      <c r="AK71" s="13"/>
      <c r="AL71" s="42"/>
      <c r="AM71" s="43"/>
      <c r="AN71" s="32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</row>
    <row r="72" spans="2:135" x14ac:dyDescent="0.25">
      <c r="B72" s="36"/>
      <c r="C72" s="36"/>
      <c r="D72" s="52"/>
      <c r="E72" s="52"/>
      <c r="F72" s="52"/>
      <c r="G72" s="3"/>
      <c r="H72" s="3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36"/>
      <c r="X72" s="52"/>
      <c r="Y72" s="52"/>
      <c r="Z72" s="52"/>
      <c r="AA72" s="52"/>
      <c r="AB72" s="52"/>
      <c r="AC72" s="52"/>
      <c r="AD72" s="3"/>
      <c r="AE72" s="52"/>
      <c r="AF72" s="52"/>
      <c r="AG72" s="52"/>
      <c r="AH72" s="52"/>
      <c r="AI72" s="52"/>
      <c r="AJ72" s="36"/>
      <c r="AK72" s="13"/>
      <c r="AL72" s="42"/>
      <c r="AM72" s="43"/>
      <c r="AN72" s="32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</row>
    <row r="73" spans="2:135" x14ac:dyDescent="0.25">
      <c r="B73" s="1" t="s">
        <v>64</v>
      </c>
      <c r="C73" s="36"/>
      <c r="D73" s="52"/>
      <c r="E73" s="52"/>
      <c r="F73" s="52"/>
      <c r="G73" s="3"/>
      <c r="H73" s="3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36"/>
      <c r="X73" s="52"/>
      <c r="Y73" s="52"/>
      <c r="Z73" s="52"/>
      <c r="AA73" s="52"/>
      <c r="AB73" s="52"/>
      <c r="AC73" s="52"/>
      <c r="AD73" s="3"/>
      <c r="AE73" s="52"/>
      <c r="AF73" s="52"/>
      <c r="AG73" s="52"/>
      <c r="AH73" s="52"/>
      <c r="AI73" s="52"/>
      <c r="AJ73" s="36"/>
      <c r="AK73" s="13"/>
      <c r="AL73" s="42"/>
      <c r="AM73" s="43"/>
      <c r="AN73" s="32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</row>
    <row r="74" spans="2:135" ht="17.25" customHeight="1" x14ac:dyDescent="0.25">
      <c r="B74" s="157" t="s">
        <v>3</v>
      </c>
      <c r="C74" s="157" t="s">
        <v>4</v>
      </c>
      <c r="D74" s="158" t="s">
        <v>59</v>
      </c>
      <c r="E74" s="158" t="s">
        <v>60</v>
      </c>
      <c r="F74" s="158" t="s">
        <v>7</v>
      </c>
      <c r="G74" s="158" t="s">
        <v>8</v>
      </c>
      <c r="H74" s="156" t="s">
        <v>22</v>
      </c>
      <c r="I74" s="156"/>
      <c r="J74" s="156"/>
      <c r="K74" s="156"/>
      <c r="L74" s="158" t="s">
        <v>10</v>
      </c>
      <c r="M74" s="158" t="s">
        <v>11</v>
      </c>
      <c r="N74" s="156" t="s">
        <v>12</v>
      </c>
      <c r="O74" s="156"/>
      <c r="P74" s="156"/>
      <c r="Q74" s="156"/>
      <c r="R74" s="156"/>
      <c r="S74" s="156"/>
      <c r="T74" s="135" t="s">
        <v>13</v>
      </c>
      <c r="U74" s="153" t="s">
        <v>14</v>
      </c>
      <c r="V74" s="138"/>
      <c r="W74" s="144" t="s">
        <v>15</v>
      </c>
      <c r="X74" s="135" t="s">
        <v>16</v>
      </c>
      <c r="Y74" s="135" t="s">
        <v>17</v>
      </c>
      <c r="Z74" s="135" t="s">
        <v>18</v>
      </c>
      <c r="AA74" s="153" t="s">
        <v>19</v>
      </c>
      <c r="AB74" s="135" t="s">
        <v>20</v>
      </c>
      <c r="AC74" s="11"/>
      <c r="AD74" s="135" t="s">
        <v>21</v>
      </c>
      <c r="AE74" s="141" t="s">
        <v>35</v>
      </c>
      <c r="AF74" s="142"/>
      <c r="AG74" s="142"/>
      <c r="AH74" s="143"/>
      <c r="AI74" s="135" t="s">
        <v>23</v>
      </c>
      <c r="AJ74" s="72"/>
      <c r="AK74" s="147" t="s">
        <v>25</v>
      </c>
      <c r="AL74" s="42" t="s">
        <v>43</v>
      </c>
      <c r="AM74" s="43">
        <v>13955.75</v>
      </c>
      <c r="AN74" s="32" t="s">
        <v>53</v>
      </c>
      <c r="AO74" s="14">
        <v>13955.75</v>
      </c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</row>
    <row r="75" spans="2:135" ht="13.5" customHeight="1" x14ac:dyDescent="0.25">
      <c r="B75" s="157"/>
      <c r="C75" s="157"/>
      <c r="D75" s="158"/>
      <c r="E75" s="158"/>
      <c r="F75" s="158"/>
      <c r="G75" s="158"/>
      <c r="H75" s="156" t="s">
        <v>26</v>
      </c>
      <c r="I75" s="156" t="s">
        <v>27</v>
      </c>
      <c r="J75" s="156" t="s">
        <v>28</v>
      </c>
      <c r="K75" s="135" t="s">
        <v>29</v>
      </c>
      <c r="L75" s="158"/>
      <c r="M75" s="158"/>
      <c r="N75" s="159" t="s">
        <v>26</v>
      </c>
      <c r="O75" s="159" t="s">
        <v>27</v>
      </c>
      <c r="P75" s="159" t="s">
        <v>30</v>
      </c>
      <c r="Q75" s="134" t="s">
        <v>31</v>
      </c>
      <c r="R75" s="134" t="s">
        <v>32</v>
      </c>
      <c r="S75" s="134" t="s">
        <v>33</v>
      </c>
      <c r="T75" s="136"/>
      <c r="U75" s="154"/>
      <c r="V75" s="140"/>
      <c r="W75" s="145"/>
      <c r="X75" s="136"/>
      <c r="Y75" s="136"/>
      <c r="Z75" s="136"/>
      <c r="AA75" s="155"/>
      <c r="AB75" s="136"/>
      <c r="AC75" s="73" t="s">
        <v>61</v>
      </c>
      <c r="AD75" s="136"/>
      <c r="AE75" s="150"/>
      <c r="AF75" s="151"/>
      <c r="AG75" s="151"/>
      <c r="AH75" s="152"/>
      <c r="AI75" s="136"/>
      <c r="AJ75" s="74"/>
      <c r="AK75" s="148"/>
      <c r="AL75" s="42" t="s">
        <v>44</v>
      </c>
      <c r="AM75" s="45">
        <v>0</v>
      </c>
      <c r="AN75" s="32" t="s">
        <v>53</v>
      </c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</row>
    <row r="76" spans="2:135" ht="24.75" customHeight="1" x14ac:dyDescent="0.25">
      <c r="B76" s="157"/>
      <c r="C76" s="157"/>
      <c r="D76" s="158"/>
      <c r="E76" s="158"/>
      <c r="F76" s="158"/>
      <c r="G76" s="158"/>
      <c r="H76" s="156"/>
      <c r="I76" s="156"/>
      <c r="J76" s="156"/>
      <c r="K76" s="137"/>
      <c r="L76" s="158"/>
      <c r="M76" s="158"/>
      <c r="N76" s="159"/>
      <c r="O76" s="159"/>
      <c r="P76" s="159"/>
      <c r="Q76" s="134"/>
      <c r="R76" s="134"/>
      <c r="S76" s="134"/>
      <c r="T76" s="137"/>
      <c r="U76" s="21" t="s">
        <v>26</v>
      </c>
      <c r="V76" s="21" t="s">
        <v>27</v>
      </c>
      <c r="W76" s="146"/>
      <c r="X76" s="137"/>
      <c r="Y76" s="137"/>
      <c r="Z76" s="137"/>
      <c r="AA76" s="154"/>
      <c r="AB76" s="137"/>
      <c r="AC76" s="75"/>
      <c r="AD76" s="137"/>
      <c r="AE76" s="22" t="s">
        <v>37</v>
      </c>
      <c r="AF76" s="8" t="s">
        <v>38</v>
      </c>
      <c r="AG76" s="8" t="s">
        <v>39</v>
      </c>
      <c r="AH76" s="22" t="s">
        <v>40</v>
      </c>
      <c r="AI76" s="137"/>
      <c r="AJ76" s="46" t="s">
        <v>62</v>
      </c>
      <c r="AK76" s="149"/>
      <c r="AL76" s="42" t="s">
        <v>55</v>
      </c>
      <c r="AM76" s="70">
        <f>AM74+AM75</f>
        <v>13955.75</v>
      </c>
      <c r="AN76" s="32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</row>
    <row r="77" spans="2:135" x14ac:dyDescent="0.25">
      <c r="B77" s="62">
        <f>7500+7500</f>
        <v>15000</v>
      </c>
      <c r="C77" s="34">
        <f>7500-44.33</f>
        <v>7455.67</v>
      </c>
      <c r="D77" s="34">
        <v>172.51</v>
      </c>
      <c r="E77" s="34"/>
      <c r="F77" s="27"/>
      <c r="G77" s="26">
        <f>D77+C77+E77+F77</f>
        <v>7628.18</v>
      </c>
      <c r="H77" s="26">
        <v>0</v>
      </c>
      <c r="I77" s="26">
        <v>0</v>
      </c>
      <c r="J77" s="26">
        <v>0</v>
      </c>
      <c r="K77" s="26">
        <v>0</v>
      </c>
      <c r="L77" s="76">
        <v>1568.93</v>
      </c>
      <c r="M77" s="76">
        <v>0</v>
      </c>
      <c r="N77" s="26">
        <v>0</v>
      </c>
      <c r="O77" s="26">
        <v>0</v>
      </c>
      <c r="P77" s="26">
        <v>0</v>
      </c>
      <c r="Q77" s="26">
        <v>0</v>
      </c>
      <c r="R77" s="76">
        <v>0</v>
      </c>
      <c r="S77" s="76">
        <f>Q77+R77</f>
        <v>0</v>
      </c>
      <c r="T77" s="76">
        <v>0</v>
      </c>
      <c r="U77" s="77">
        <v>0</v>
      </c>
      <c r="V77" s="77">
        <f>U77</f>
        <v>0</v>
      </c>
      <c r="W77" s="78">
        <v>0</v>
      </c>
      <c r="X77" s="78">
        <v>0</v>
      </c>
      <c r="Y77" s="78">
        <v>0</v>
      </c>
      <c r="Z77" s="30">
        <v>0</v>
      </c>
      <c r="AA77" s="26">
        <v>23.96</v>
      </c>
      <c r="AB77" s="26"/>
      <c r="AC77" s="26"/>
      <c r="AD77" s="26">
        <f>G77-L77-M77-W77-X77-Y77-Z77-AA77</f>
        <v>6035.29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62">
        <f>AD77+AE77+AF77+AG77+AH77+AI77</f>
        <v>6035.29</v>
      </c>
      <c r="AL77" s="42"/>
      <c r="AM77" s="44"/>
      <c r="AN77" s="32"/>
      <c r="AO77" s="33">
        <f>G77-L77-AA77</f>
        <v>6035.29</v>
      </c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</row>
    <row r="78" spans="2:135" x14ac:dyDescent="0.25">
      <c r="B78" s="62">
        <f>8000+8000</f>
        <v>16000</v>
      </c>
      <c r="C78" s="34">
        <f>8000</f>
        <v>8000</v>
      </c>
      <c r="D78" s="34">
        <v>184.03</v>
      </c>
      <c r="E78" s="34"/>
      <c r="F78" s="27">
        <v>287.55</v>
      </c>
      <c r="G78" s="26">
        <f>D78+C78+E78+F78</f>
        <v>8471.58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  <c r="M78" s="76">
        <v>0</v>
      </c>
      <c r="N78" s="26">
        <v>0</v>
      </c>
      <c r="O78" s="26">
        <v>0</v>
      </c>
      <c r="P78" s="26">
        <v>0</v>
      </c>
      <c r="Q78" s="76">
        <v>0</v>
      </c>
      <c r="R78" s="76">
        <v>0</v>
      </c>
      <c r="S78" s="76">
        <f>Q78+R78</f>
        <v>0</v>
      </c>
      <c r="T78" s="76">
        <v>0</v>
      </c>
      <c r="U78" s="76">
        <v>0</v>
      </c>
      <c r="V78" s="76">
        <v>0</v>
      </c>
      <c r="W78" s="80">
        <v>0</v>
      </c>
      <c r="X78" s="78">
        <v>0</v>
      </c>
      <c r="Y78" s="78">
        <v>500</v>
      </c>
      <c r="Z78" s="30">
        <v>0</v>
      </c>
      <c r="AA78" s="27">
        <v>51.12</v>
      </c>
      <c r="AB78" s="26"/>
      <c r="AC78" s="26"/>
      <c r="AD78" s="26">
        <f>G78-L78-M78-W78-X78-Y78-Z78-AA78</f>
        <v>7920.46</v>
      </c>
      <c r="AE78" s="27">
        <v>0</v>
      </c>
      <c r="AF78" s="27">
        <v>0</v>
      </c>
      <c r="AG78" s="27">
        <v>0</v>
      </c>
      <c r="AH78" s="27">
        <v>0</v>
      </c>
      <c r="AI78" s="27">
        <v>0</v>
      </c>
      <c r="AJ78" s="27" t="s">
        <v>22</v>
      </c>
      <c r="AK78" s="62">
        <f>AD78+AE78+AF78+AG78+AH78+AI78</f>
        <v>7920.46</v>
      </c>
      <c r="AL78" s="42" t="s">
        <v>48</v>
      </c>
      <c r="AM78" s="43">
        <v>0</v>
      </c>
      <c r="AN78" s="32" t="s">
        <v>53</v>
      </c>
      <c r="AO78" s="33">
        <f>G78-Y78-AA78</f>
        <v>7920.46</v>
      </c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</row>
    <row r="79" spans="2:135" ht="15.75" thickBot="1" x14ac:dyDescent="0.3">
      <c r="B79" s="71" t="s">
        <v>56</v>
      </c>
      <c r="C79" s="79">
        <f>SUM(C77:C78)</f>
        <v>15455.67</v>
      </c>
      <c r="D79" s="79">
        <f>SUM(D78:D78)</f>
        <v>184.03</v>
      </c>
      <c r="E79" s="79">
        <f>SUM(E78:E78)</f>
        <v>0</v>
      </c>
      <c r="F79" s="79">
        <f>SUM(F78:F78)</f>
        <v>287.55</v>
      </c>
      <c r="G79" s="79">
        <f t="shared" ref="G79:AK79" si="29">SUM(G77:G78)</f>
        <v>16099.76</v>
      </c>
      <c r="H79" s="79">
        <f t="shared" si="29"/>
        <v>0</v>
      </c>
      <c r="I79" s="79">
        <f t="shared" si="29"/>
        <v>0</v>
      </c>
      <c r="J79" s="79">
        <f t="shared" si="29"/>
        <v>0</v>
      </c>
      <c r="K79" s="79">
        <f t="shared" si="29"/>
        <v>0</v>
      </c>
      <c r="L79" s="79">
        <f t="shared" si="29"/>
        <v>1568.93</v>
      </c>
      <c r="M79" s="79">
        <f t="shared" si="29"/>
        <v>0</v>
      </c>
      <c r="N79" s="79">
        <f t="shared" si="29"/>
        <v>0</v>
      </c>
      <c r="O79" s="79">
        <f t="shared" si="29"/>
        <v>0</v>
      </c>
      <c r="P79" s="79">
        <f t="shared" si="29"/>
        <v>0</v>
      </c>
      <c r="Q79" s="79">
        <f t="shared" si="29"/>
        <v>0</v>
      </c>
      <c r="R79" s="79">
        <f t="shared" si="29"/>
        <v>0</v>
      </c>
      <c r="S79" s="79">
        <f t="shared" si="29"/>
        <v>0</v>
      </c>
      <c r="T79" s="79">
        <f t="shared" si="29"/>
        <v>0</v>
      </c>
      <c r="U79" s="79">
        <f t="shared" si="29"/>
        <v>0</v>
      </c>
      <c r="V79" s="79">
        <f t="shared" si="29"/>
        <v>0</v>
      </c>
      <c r="W79" s="79">
        <f t="shared" si="29"/>
        <v>0</v>
      </c>
      <c r="X79" s="79">
        <f t="shared" si="29"/>
        <v>0</v>
      </c>
      <c r="Y79" s="79">
        <f t="shared" si="29"/>
        <v>500</v>
      </c>
      <c r="Z79" s="79">
        <f t="shared" si="29"/>
        <v>0</v>
      </c>
      <c r="AA79" s="79">
        <f t="shared" si="29"/>
        <v>75.08</v>
      </c>
      <c r="AB79" s="79">
        <f t="shared" si="29"/>
        <v>0</v>
      </c>
      <c r="AC79" s="79">
        <f t="shared" si="29"/>
        <v>0</v>
      </c>
      <c r="AD79" s="79">
        <f t="shared" si="29"/>
        <v>13955.75</v>
      </c>
      <c r="AE79" s="79">
        <f t="shared" si="29"/>
        <v>0</v>
      </c>
      <c r="AF79" s="79">
        <f t="shared" si="29"/>
        <v>0</v>
      </c>
      <c r="AG79" s="79">
        <f t="shared" si="29"/>
        <v>0</v>
      </c>
      <c r="AH79" s="79">
        <f t="shared" si="29"/>
        <v>0</v>
      </c>
      <c r="AI79" s="79">
        <f t="shared" si="29"/>
        <v>0</v>
      </c>
      <c r="AJ79" s="79">
        <f t="shared" si="29"/>
        <v>0</v>
      </c>
      <c r="AK79" s="79">
        <f t="shared" si="29"/>
        <v>13955.75</v>
      </c>
      <c r="AL79" s="42" t="s">
        <v>47</v>
      </c>
      <c r="AM79" s="2">
        <f>AM78</f>
        <v>0</v>
      </c>
      <c r="AN79" s="14" t="s">
        <v>22</v>
      </c>
      <c r="AO79" s="33">
        <f>AO77+AO78</f>
        <v>13955.75</v>
      </c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</row>
    <row r="80" spans="2:135" ht="15.75" thickTop="1" x14ac:dyDescent="0.25">
      <c r="B80" s="36"/>
      <c r="C80" s="36" t="s">
        <v>22</v>
      </c>
      <c r="D80" s="52"/>
      <c r="E80" s="52"/>
      <c r="F80" s="52"/>
      <c r="G80" s="3">
        <f>16099.76</f>
        <v>16099.76</v>
      </c>
      <c r="H80" s="3"/>
      <c r="I80" s="52"/>
      <c r="J80" s="52" t="s">
        <v>63</v>
      </c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36"/>
      <c r="X80" s="52"/>
      <c r="Y80" s="52"/>
      <c r="Z80" s="52"/>
      <c r="AA80" s="52"/>
      <c r="AB80" s="52"/>
      <c r="AC80" s="52"/>
      <c r="AD80" s="52">
        <f>13955.75</f>
        <v>13955.75</v>
      </c>
      <c r="AE80" s="52"/>
      <c r="AF80" s="52"/>
      <c r="AG80" s="52"/>
      <c r="AH80" s="52"/>
      <c r="AI80" s="52"/>
      <c r="AJ80" s="36"/>
      <c r="AK80" s="13">
        <f>13955.75</f>
        <v>13955.75</v>
      </c>
      <c r="AL80" s="42" t="s">
        <v>47</v>
      </c>
      <c r="AM80" s="81">
        <f>AM79+AM76</f>
        <v>13955.75</v>
      </c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</row>
    <row r="81" spans="2:135" x14ac:dyDescent="0.25">
      <c r="B81" s="36"/>
      <c r="C81" s="36"/>
      <c r="D81" s="52"/>
      <c r="E81" s="52"/>
      <c r="F81" s="52"/>
      <c r="G81" s="3"/>
      <c r="H81" s="3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36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36"/>
      <c r="AK81" s="13"/>
      <c r="AL81" s="42"/>
      <c r="AM81" s="81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</row>
    <row r="82" spans="2:135" x14ac:dyDescent="0.25">
      <c r="B82" s="36"/>
      <c r="C82" s="36"/>
      <c r="D82" s="52"/>
      <c r="E82" s="52"/>
      <c r="F82" s="52"/>
      <c r="G82" s="3"/>
      <c r="H82" s="3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36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36"/>
      <c r="AK82" s="13"/>
      <c r="AL82" s="42"/>
      <c r="AM82" s="81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</row>
    <row r="83" spans="2:135" x14ac:dyDescent="0.25">
      <c r="B83" s="1" t="s">
        <v>65</v>
      </c>
      <c r="C83" s="36"/>
      <c r="D83" s="52"/>
      <c r="E83" s="52"/>
      <c r="F83" s="52"/>
      <c r="G83" s="3"/>
      <c r="H83" s="3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36"/>
      <c r="X83" s="52"/>
      <c r="Y83" s="52"/>
      <c r="Z83" s="52"/>
      <c r="AA83" s="52"/>
      <c r="AB83" s="52"/>
      <c r="AC83" s="52"/>
      <c r="AD83" s="52" t="s">
        <v>22</v>
      </c>
      <c r="AE83" s="52"/>
      <c r="AF83" s="52" t="s">
        <v>22</v>
      </c>
      <c r="AG83" s="52" t="s">
        <v>22</v>
      </c>
      <c r="AH83" s="52" t="s">
        <v>22</v>
      </c>
      <c r="AI83" s="52"/>
      <c r="AJ83" s="36"/>
      <c r="AK83" s="13"/>
      <c r="AL83" s="14"/>
      <c r="AM83" s="13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</row>
    <row r="84" spans="2:135" ht="13.15" customHeight="1" x14ac:dyDescent="0.25">
      <c r="B84" s="157" t="s">
        <v>3</v>
      </c>
      <c r="C84" s="157" t="s">
        <v>4</v>
      </c>
      <c r="D84" s="158" t="s">
        <v>59</v>
      </c>
      <c r="E84" s="158" t="s">
        <v>6</v>
      </c>
      <c r="F84" s="158" t="s">
        <v>7</v>
      </c>
      <c r="G84" s="158" t="s">
        <v>8</v>
      </c>
      <c r="H84" s="156" t="s">
        <v>9</v>
      </c>
      <c r="I84" s="156"/>
      <c r="J84" s="156"/>
      <c r="K84" s="156"/>
      <c r="L84" s="158" t="s">
        <v>10</v>
      </c>
      <c r="M84" s="158" t="s">
        <v>11</v>
      </c>
      <c r="N84" s="156" t="s">
        <v>12</v>
      </c>
      <c r="O84" s="156"/>
      <c r="P84" s="156"/>
      <c r="Q84" s="156"/>
      <c r="R84" s="156"/>
      <c r="S84" s="156"/>
      <c r="T84" s="135" t="s">
        <v>13</v>
      </c>
      <c r="U84" s="160" t="s">
        <v>14</v>
      </c>
      <c r="V84" s="161"/>
      <c r="W84" s="144" t="s">
        <v>15</v>
      </c>
      <c r="X84" s="135" t="s">
        <v>16</v>
      </c>
      <c r="Y84" s="135" t="s">
        <v>17</v>
      </c>
      <c r="Z84" s="135" t="s">
        <v>18</v>
      </c>
      <c r="AA84" s="153" t="s">
        <v>19</v>
      </c>
      <c r="AB84" s="135" t="s">
        <v>20</v>
      </c>
      <c r="AC84" s="11"/>
      <c r="AD84" s="135" t="s">
        <v>21</v>
      </c>
      <c r="AE84" s="141" t="s">
        <v>35</v>
      </c>
      <c r="AF84" s="142"/>
      <c r="AG84" s="142"/>
      <c r="AH84" s="142"/>
      <c r="AI84" s="10" t="s">
        <v>66</v>
      </c>
      <c r="AJ84" s="82"/>
      <c r="AK84" s="12" t="s">
        <v>25</v>
      </c>
      <c r="AL84" s="42"/>
      <c r="AM84" s="43"/>
      <c r="AN84" s="32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</row>
    <row r="85" spans="2:135" ht="12.75" customHeight="1" x14ac:dyDescent="0.25">
      <c r="B85" s="157"/>
      <c r="C85" s="157"/>
      <c r="D85" s="158"/>
      <c r="E85" s="158"/>
      <c r="F85" s="158"/>
      <c r="G85" s="158"/>
      <c r="H85" s="156" t="s">
        <v>26</v>
      </c>
      <c r="I85" s="156" t="s">
        <v>27</v>
      </c>
      <c r="J85" s="156" t="s">
        <v>28</v>
      </c>
      <c r="K85" s="135" t="s">
        <v>29</v>
      </c>
      <c r="L85" s="158"/>
      <c r="M85" s="158"/>
      <c r="N85" s="159" t="s">
        <v>26</v>
      </c>
      <c r="O85" s="159" t="s">
        <v>27</v>
      </c>
      <c r="P85" s="159" t="s">
        <v>30</v>
      </c>
      <c r="Q85" s="134" t="s">
        <v>31</v>
      </c>
      <c r="R85" s="134" t="s">
        <v>32</v>
      </c>
      <c r="S85" s="134" t="s">
        <v>33</v>
      </c>
      <c r="T85" s="136"/>
      <c r="U85" s="147" t="s">
        <v>26</v>
      </c>
      <c r="V85" s="147" t="s">
        <v>27</v>
      </c>
      <c r="W85" s="145"/>
      <c r="X85" s="136"/>
      <c r="Y85" s="136"/>
      <c r="Z85" s="136"/>
      <c r="AA85" s="155"/>
      <c r="AB85" s="136"/>
      <c r="AC85" s="73" t="s">
        <v>61</v>
      </c>
      <c r="AD85" s="136"/>
      <c r="AE85" s="150"/>
      <c r="AF85" s="151"/>
      <c r="AG85" s="151"/>
      <c r="AH85" s="151"/>
      <c r="AI85" s="16"/>
      <c r="AJ85" s="83"/>
      <c r="AK85" s="19"/>
      <c r="AL85" s="42" t="s">
        <v>43</v>
      </c>
      <c r="AM85" s="43">
        <v>13269.69</v>
      </c>
      <c r="AN85" s="32" t="s">
        <v>53</v>
      </c>
      <c r="AO85" s="14">
        <v>13269.69</v>
      </c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</row>
    <row r="86" spans="2:135" ht="24.75" customHeight="1" x14ac:dyDescent="0.25">
      <c r="B86" s="157"/>
      <c r="C86" s="157"/>
      <c r="D86" s="158"/>
      <c r="E86" s="158"/>
      <c r="F86" s="158"/>
      <c r="G86" s="158"/>
      <c r="H86" s="156"/>
      <c r="I86" s="156"/>
      <c r="J86" s="156"/>
      <c r="K86" s="137"/>
      <c r="L86" s="158"/>
      <c r="M86" s="158"/>
      <c r="N86" s="159"/>
      <c r="O86" s="159"/>
      <c r="P86" s="159"/>
      <c r="Q86" s="134"/>
      <c r="R86" s="134"/>
      <c r="S86" s="134"/>
      <c r="T86" s="137"/>
      <c r="U86" s="149"/>
      <c r="V86" s="149"/>
      <c r="W86" s="146"/>
      <c r="X86" s="137"/>
      <c r="Y86" s="137"/>
      <c r="Z86" s="137"/>
      <c r="AA86" s="154"/>
      <c r="AB86" s="137"/>
      <c r="AC86" s="75"/>
      <c r="AD86" s="137"/>
      <c r="AE86" s="22" t="s">
        <v>37</v>
      </c>
      <c r="AF86" s="8" t="s">
        <v>38</v>
      </c>
      <c r="AG86" s="8" t="s">
        <v>67</v>
      </c>
      <c r="AH86" s="22" t="s">
        <v>40</v>
      </c>
      <c r="AI86" s="20"/>
      <c r="AJ86" s="84" t="s">
        <v>62</v>
      </c>
      <c r="AK86" s="23"/>
      <c r="AL86" s="42" t="s">
        <v>44</v>
      </c>
      <c r="AM86" s="45">
        <v>0</v>
      </c>
      <c r="AN86" s="32" t="s">
        <v>53</v>
      </c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</row>
    <row r="87" spans="2:135" x14ac:dyDescent="0.25">
      <c r="B87" s="62">
        <f>7270+7270</f>
        <v>14540</v>
      </c>
      <c r="C87" s="34">
        <f>7270-1114.88</f>
        <v>6155.12</v>
      </c>
      <c r="D87" s="34"/>
      <c r="E87" s="27">
        <v>0</v>
      </c>
      <c r="F87" s="27">
        <v>0</v>
      </c>
      <c r="G87" s="76">
        <f>C87+D87+E87+F87</f>
        <v>6155.12</v>
      </c>
      <c r="H87" s="85">
        <v>652.5</v>
      </c>
      <c r="I87" s="86">
        <v>1377.5</v>
      </c>
      <c r="J87" s="85">
        <f>H87+I87</f>
        <v>2030</v>
      </c>
      <c r="K87" s="85">
        <v>10</v>
      </c>
      <c r="L87" s="85">
        <v>0</v>
      </c>
      <c r="M87" s="85">
        <v>0</v>
      </c>
      <c r="N87" s="64">
        <f>B87*5%/2</f>
        <v>363.5</v>
      </c>
      <c r="O87" s="85">
        <f>N87</f>
        <v>363.5</v>
      </c>
      <c r="P87" s="65">
        <f>N87+O87</f>
        <v>727</v>
      </c>
      <c r="Q87" s="86">
        <v>0</v>
      </c>
      <c r="R87" s="86">
        <v>0</v>
      </c>
      <c r="S87" s="86">
        <f>Q87+R87</f>
        <v>0</v>
      </c>
      <c r="T87" s="86">
        <v>0</v>
      </c>
      <c r="U87" s="86">
        <v>200</v>
      </c>
      <c r="V87" s="86">
        <f>U87</f>
        <v>200</v>
      </c>
      <c r="W87" s="34">
        <v>0</v>
      </c>
      <c r="X87" s="77">
        <v>0</v>
      </c>
      <c r="Y87" s="27">
        <v>0</v>
      </c>
      <c r="Z87" s="27">
        <v>0</v>
      </c>
      <c r="AA87" s="27">
        <v>46.45</v>
      </c>
      <c r="AB87" s="26"/>
      <c r="AC87" s="26"/>
      <c r="AD87" s="26">
        <f>G87-L87-M87-W87-X87-Y87-Z87-AA87</f>
        <v>6108.67</v>
      </c>
      <c r="AE87" s="27">
        <v>0</v>
      </c>
      <c r="AF87" s="27">
        <v>0</v>
      </c>
      <c r="AG87" s="27">
        <v>0</v>
      </c>
      <c r="AH87" s="27">
        <v>0</v>
      </c>
      <c r="AI87" s="27">
        <f>AE87+AF87+AG87</f>
        <v>0</v>
      </c>
      <c r="AJ87" s="27">
        <f>AF87+AG87+AH87</f>
        <v>0</v>
      </c>
      <c r="AK87" s="62">
        <f>AD87+AE87+AF87+AG87+AH87+AI87</f>
        <v>6108.67</v>
      </c>
      <c r="AL87" s="42" t="s">
        <v>55</v>
      </c>
      <c r="AM87" s="70">
        <f>AM85+AM86</f>
        <v>13269.69</v>
      </c>
      <c r="AN87" s="32"/>
      <c r="AO87" s="33">
        <f>G87-AA87</f>
        <v>6108.67</v>
      </c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</row>
    <row r="88" spans="2:135" x14ac:dyDescent="0.25">
      <c r="B88" s="62">
        <f>7000+7000</f>
        <v>14000</v>
      </c>
      <c r="C88" s="34">
        <f>7000+7000-536.74</f>
        <v>13463.26</v>
      </c>
      <c r="D88" s="34">
        <f>161.02+161.02</f>
        <v>322.04000000000002</v>
      </c>
      <c r="E88" s="27">
        <v>0</v>
      </c>
      <c r="F88" s="27">
        <v>0</v>
      </c>
      <c r="G88" s="76">
        <f>C88+D88+E88+F88</f>
        <v>13785.300000000001</v>
      </c>
      <c r="H88" s="76">
        <v>630</v>
      </c>
      <c r="I88" s="77">
        <v>1330</v>
      </c>
      <c r="J88" s="76">
        <f>H88+I88</f>
        <v>1960</v>
      </c>
      <c r="K88" s="76">
        <v>10</v>
      </c>
      <c r="L88" s="76">
        <v>0</v>
      </c>
      <c r="M88" s="76">
        <v>0</v>
      </c>
      <c r="N88" s="26">
        <f>B88*5%/2</f>
        <v>350</v>
      </c>
      <c r="O88" s="76">
        <f>N88</f>
        <v>350</v>
      </c>
      <c r="P88" s="27">
        <f>N88+O88</f>
        <v>700</v>
      </c>
      <c r="Q88" s="77">
        <v>0</v>
      </c>
      <c r="R88" s="77">
        <v>0</v>
      </c>
      <c r="S88" s="77">
        <f>Q88+R88</f>
        <v>0</v>
      </c>
      <c r="T88" s="77">
        <v>0</v>
      </c>
      <c r="U88" s="77">
        <v>200</v>
      </c>
      <c r="V88" s="77">
        <f>U88</f>
        <v>200</v>
      </c>
      <c r="W88" s="34">
        <v>0</v>
      </c>
      <c r="X88" s="27">
        <v>0</v>
      </c>
      <c r="Y88" s="27">
        <v>0</v>
      </c>
      <c r="Z88" s="27">
        <v>0</v>
      </c>
      <c r="AA88" s="27">
        <v>0</v>
      </c>
      <c r="AB88" s="26"/>
      <c r="AC88" s="26"/>
      <c r="AD88" s="26">
        <f>G88-H88-L88-M88-N88-T88-U88-W88-X88-Y88-Z88-AA88-AB88-AC88</f>
        <v>12605.300000000001</v>
      </c>
      <c r="AE88" s="27">
        <v>0</v>
      </c>
      <c r="AF88" s="27">
        <v>0</v>
      </c>
      <c r="AG88" s="27">
        <v>0</v>
      </c>
      <c r="AH88" s="27">
        <v>0</v>
      </c>
      <c r="AI88" s="27">
        <f>AE88+AF88+AG88</f>
        <v>0</v>
      </c>
      <c r="AJ88" s="27">
        <f>AF88+AG88+AH88</f>
        <v>0</v>
      </c>
      <c r="AK88" s="62">
        <f>AD88+AE88+AF88+AG88+AH88+AI88</f>
        <v>12605.300000000001</v>
      </c>
      <c r="AL88" s="42" t="s">
        <v>48</v>
      </c>
      <c r="AM88" s="43">
        <v>5444.28</v>
      </c>
      <c r="AN88" s="37" t="s">
        <v>68</v>
      </c>
      <c r="AO88" s="33">
        <f>G88-H88-N88-U88</f>
        <v>12605.300000000001</v>
      </c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</row>
    <row r="89" spans="2:135" ht="15.75" thickBot="1" x14ac:dyDescent="0.3">
      <c r="B89" s="71" t="s">
        <v>56</v>
      </c>
      <c r="C89" s="79">
        <f t="shared" ref="C89:AK89" si="30">SUM(C87:C88)</f>
        <v>19618.38</v>
      </c>
      <c r="D89" s="49">
        <f t="shared" si="30"/>
        <v>322.04000000000002</v>
      </c>
      <c r="E89" s="49">
        <f t="shared" si="30"/>
        <v>0</v>
      </c>
      <c r="F89" s="49">
        <f t="shared" si="30"/>
        <v>0</v>
      </c>
      <c r="G89" s="49">
        <f t="shared" si="30"/>
        <v>19940.420000000002</v>
      </c>
      <c r="H89" s="49">
        <f t="shared" si="30"/>
        <v>1282.5</v>
      </c>
      <c r="I89" s="49">
        <f t="shared" si="30"/>
        <v>2707.5</v>
      </c>
      <c r="J89" s="49">
        <f t="shared" si="30"/>
        <v>3990</v>
      </c>
      <c r="K89" s="49">
        <f t="shared" si="30"/>
        <v>20</v>
      </c>
      <c r="L89" s="49">
        <f t="shared" si="30"/>
        <v>0</v>
      </c>
      <c r="M89" s="49">
        <f t="shared" si="30"/>
        <v>0</v>
      </c>
      <c r="N89" s="49">
        <f t="shared" si="30"/>
        <v>713.5</v>
      </c>
      <c r="O89" s="49">
        <f t="shared" si="30"/>
        <v>713.5</v>
      </c>
      <c r="P89" s="49">
        <f t="shared" si="30"/>
        <v>1427</v>
      </c>
      <c r="Q89" s="49">
        <f t="shared" si="30"/>
        <v>0</v>
      </c>
      <c r="R89" s="49">
        <f t="shared" si="30"/>
        <v>0</v>
      </c>
      <c r="S89" s="49">
        <f t="shared" si="30"/>
        <v>0</v>
      </c>
      <c r="T89" s="49">
        <f t="shared" si="30"/>
        <v>0</v>
      </c>
      <c r="U89" s="49">
        <f t="shared" si="30"/>
        <v>400</v>
      </c>
      <c r="V89" s="49">
        <f t="shared" si="30"/>
        <v>400</v>
      </c>
      <c r="W89" s="79">
        <f t="shared" si="30"/>
        <v>0</v>
      </c>
      <c r="X89" s="79">
        <f t="shared" si="30"/>
        <v>0</v>
      </c>
      <c r="Y89" s="79">
        <f t="shared" si="30"/>
        <v>0</v>
      </c>
      <c r="Z89" s="79">
        <f t="shared" si="30"/>
        <v>0</v>
      </c>
      <c r="AA89" s="79">
        <f t="shared" si="30"/>
        <v>46.45</v>
      </c>
      <c r="AB89" s="79">
        <f t="shared" si="30"/>
        <v>0</v>
      </c>
      <c r="AC89" s="79">
        <f t="shared" si="30"/>
        <v>0</v>
      </c>
      <c r="AD89" s="49">
        <f t="shared" si="30"/>
        <v>18713.97</v>
      </c>
      <c r="AE89" s="49">
        <f t="shared" si="30"/>
        <v>0</v>
      </c>
      <c r="AF89" s="49">
        <f t="shared" si="30"/>
        <v>0</v>
      </c>
      <c r="AG89" s="49">
        <f t="shared" si="30"/>
        <v>0</v>
      </c>
      <c r="AH89" s="49">
        <f t="shared" si="30"/>
        <v>0</v>
      </c>
      <c r="AI89" s="49">
        <f t="shared" si="30"/>
        <v>0</v>
      </c>
      <c r="AJ89" s="49">
        <f t="shared" si="30"/>
        <v>0</v>
      </c>
      <c r="AK89" s="87">
        <f t="shared" si="30"/>
        <v>18713.97</v>
      </c>
      <c r="AL89" s="42" t="s">
        <v>44</v>
      </c>
      <c r="AM89" s="45">
        <v>0</v>
      </c>
      <c r="AN89" s="32" t="s">
        <v>53</v>
      </c>
      <c r="AO89" s="33">
        <f>AO87+AO88</f>
        <v>18713.97</v>
      </c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</row>
    <row r="90" spans="2:135" ht="15.75" thickTop="1" x14ac:dyDescent="0.25">
      <c r="B90" s="71"/>
      <c r="C90" s="36"/>
      <c r="D90" s="52"/>
      <c r="E90" s="52"/>
      <c r="F90" s="52"/>
      <c r="G90" s="3">
        <f>13316.14+6624.28</f>
        <v>19940.419999999998</v>
      </c>
      <c r="H90" s="52">
        <v>0</v>
      </c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 t="s">
        <v>22</v>
      </c>
      <c r="V90" s="52"/>
      <c r="W90" s="36"/>
      <c r="X90" s="52"/>
      <c r="Y90" s="52"/>
      <c r="Z90" s="52"/>
      <c r="AA90" s="52"/>
      <c r="AB90" s="52"/>
      <c r="AC90" s="52"/>
      <c r="AD90" s="52">
        <f>13269.69+5444.28</f>
        <v>18713.97</v>
      </c>
      <c r="AE90" s="52"/>
      <c r="AF90" s="52"/>
      <c r="AG90" s="52"/>
      <c r="AH90" s="52"/>
      <c r="AI90" s="52"/>
      <c r="AJ90" s="36"/>
      <c r="AK90" s="13">
        <f>13269.69+5444.28</f>
        <v>18713.97</v>
      </c>
      <c r="AL90" s="42" t="s">
        <v>28</v>
      </c>
      <c r="AM90" s="54">
        <f>AM88+AM87</f>
        <v>18713.97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</row>
    <row r="91" spans="2:135" x14ac:dyDescent="0.25">
      <c r="B91" s="71"/>
      <c r="C91" s="36"/>
      <c r="D91" s="52"/>
      <c r="E91" s="52"/>
      <c r="F91" s="52"/>
      <c r="G91" s="3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36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36"/>
      <c r="AK91" s="13"/>
      <c r="AL91" s="42"/>
      <c r="AM91" s="61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</row>
    <row r="92" spans="2:135" x14ac:dyDescent="0.25">
      <c r="B92" s="71"/>
      <c r="C92" s="36"/>
      <c r="D92" s="52"/>
      <c r="E92" s="52"/>
      <c r="F92" s="52"/>
      <c r="G92" s="3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36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36"/>
      <c r="AK92" s="13"/>
      <c r="AL92" s="42"/>
      <c r="AM92" s="61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</row>
    <row r="93" spans="2:135" x14ac:dyDescent="0.25">
      <c r="B93" s="71"/>
      <c r="C93" s="36"/>
      <c r="D93" s="52"/>
      <c r="E93" s="52"/>
      <c r="F93" s="52"/>
      <c r="G93" s="3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36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36"/>
      <c r="AK93" s="13"/>
      <c r="AL93" s="42"/>
      <c r="AM93" s="61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</row>
    <row r="94" spans="2:135" x14ac:dyDescent="0.25">
      <c r="B94" s="71"/>
      <c r="C94" s="36"/>
      <c r="D94" s="52"/>
      <c r="E94" s="52"/>
      <c r="F94" s="52"/>
      <c r="G94" s="3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36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36"/>
      <c r="AK94" s="13"/>
      <c r="AL94" s="42"/>
      <c r="AM94" s="61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</row>
    <row r="95" spans="2:135" x14ac:dyDescent="0.25">
      <c r="B95" s="1" t="s">
        <v>69</v>
      </c>
      <c r="C95" s="36"/>
      <c r="D95" s="52"/>
      <c r="E95" s="52"/>
      <c r="F95" s="52"/>
      <c r="G95" s="3"/>
      <c r="H95" s="3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36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36"/>
      <c r="AK95" s="13"/>
      <c r="AL95" s="14"/>
      <c r="AM95" s="13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</row>
    <row r="96" spans="2:135" ht="13.9" customHeight="1" x14ac:dyDescent="0.25">
      <c r="B96" s="157" t="s">
        <v>3</v>
      </c>
      <c r="C96" s="157" t="s">
        <v>4</v>
      </c>
      <c r="D96" s="158" t="s">
        <v>5</v>
      </c>
      <c r="E96" s="158" t="s">
        <v>70</v>
      </c>
      <c r="F96" s="158" t="s">
        <v>7</v>
      </c>
      <c r="G96" s="158" t="s">
        <v>8</v>
      </c>
      <c r="H96" s="156" t="s">
        <v>9</v>
      </c>
      <c r="I96" s="156"/>
      <c r="J96" s="156"/>
      <c r="K96" s="156"/>
      <c r="L96" s="158" t="s">
        <v>10</v>
      </c>
      <c r="M96" s="158" t="s">
        <v>11</v>
      </c>
      <c r="N96" s="156" t="s">
        <v>12</v>
      </c>
      <c r="O96" s="156"/>
      <c r="P96" s="156"/>
      <c r="Q96" s="156"/>
      <c r="R96" s="156"/>
      <c r="S96" s="156"/>
      <c r="T96" s="135" t="s">
        <v>13</v>
      </c>
      <c r="U96" s="153" t="s">
        <v>14</v>
      </c>
      <c r="V96" s="138"/>
      <c r="W96" s="144" t="s">
        <v>15</v>
      </c>
      <c r="X96" s="135" t="s">
        <v>16</v>
      </c>
      <c r="Y96" s="135" t="s">
        <v>17</v>
      </c>
      <c r="Z96" s="135" t="s">
        <v>18</v>
      </c>
      <c r="AA96" s="153" t="s">
        <v>19</v>
      </c>
      <c r="AB96" s="135" t="s">
        <v>20</v>
      </c>
      <c r="AC96" s="11"/>
      <c r="AD96" s="135" t="s">
        <v>21</v>
      </c>
      <c r="AE96" s="141" t="s">
        <v>22</v>
      </c>
      <c r="AF96" s="142"/>
      <c r="AG96" s="142"/>
      <c r="AH96" s="143"/>
      <c r="AI96" s="135" t="s">
        <v>66</v>
      </c>
      <c r="AJ96" s="88"/>
      <c r="AK96" s="147" t="s">
        <v>25</v>
      </c>
      <c r="AL96" s="42" t="s">
        <v>43</v>
      </c>
      <c r="AM96" s="43">
        <v>44923.4</v>
      </c>
      <c r="AN96" s="32" t="s">
        <v>53</v>
      </c>
      <c r="AO96" s="14">
        <v>44923.4</v>
      </c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</row>
    <row r="97" spans="2:135" ht="12.75" customHeight="1" x14ac:dyDescent="0.25">
      <c r="B97" s="157"/>
      <c r="C97" s="157"/>
      <c r="D97" s="158"/>
      <c r="E97" s="158"/>
      <c r="F97" s="158"/>
      <c r="G97" s="158"/>
      <c r="H97" s="156" t="s">
        <v>26</v>
      </c>
      <c r="I97" s="156" t="s">
        <v>27</v>
      </c>
      <c r="J97" s="156" t="s">
        <v>28</v>
      </c>
      <c r="K97" s="135" t="s">
        <v>29</v>
      </c>
      <c r="L97" s="158"/>
      <c r="M97" s="158"/>
      <c r="N97" s="159" t="s">
        <v>26</v>
      </c>
      <c r="O97" s="159" t="s">
        <v>27</v>
      </c>
      <c r="P97" s="159" t="s">
        <v>30</v>
      </c>
      <c r="Q97" s="134" t="s">
        <v>31</v>
      </c>
      <c r="R97" s="134" t="s">
        <v>32</v>
      </c>
      <c r="S97" s="134" t="s">
        <v>33</v>
      </c>
      <c r="T97" s="136"/>
      <c r="U97" s="154"/>
      <c r="V97" s="140"/>
      <c r="W97" s="145"/>
      <c r="X97" s="136"/>
      <c r="Y97" s="136"/>
      <c r="Z97" s="136"/>
      <c r="AA97" s="155"/>
      <c r="AB97" s="136"/>
      <c r="AC97" s="73" t="s">
        <v>61</v>
      </c>
      <c r="AD97" s="136"/>
      <c r="AE97" s="150" t="s">
        <v>35</v>
      </c>
      <c r="AF97" s="151"/>
      <c r="AG97" s="151"/>
      <c r="AH97" s="152"/>
      <c r="AI97" s="136"/>
      <c r="AJ97" s="89"/>
      <c r="AK97" s="148"/>
      <c r="AL97" s="42" t="s">
        <v>44</v>
      </c>
      <c r="AM97" s="45">
        <v>3120.17</v>
      </c>
      <c r="AN97" s="32" t="s">
        <v>53</v>
      </c>
      <c r="AO97" s="14">
        <v>3120.17</v>
      </c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</row>
    <row r="98" spans="2:135" ht="23.25" customHeight="1" x14ac:dyDescent="0.25">
      <c r="B98" s="157"/>
      <c r="C98" s="157"/>
      <c r="D98" s="158"/>
      <c r="E98" s="158"/>
      <c r="F98" s="158"/>
      <c r="G98" s="158"/>
      <c r="H98" s="156"/>
      <c r="I98" s="156"/>
      <c r="J98" s="156"/>
      <c r="K98" s="137"/>
      <c r="L98" s="158"/>
      <c r="M98" s="158"/>
      <c r="N98" s="159"/>
      <c r="O98" s="159"/>
      <c r="P98" s="159"/>
      <c r="Q98" s="134"/>
      <c r="R98" s="134"/>
      <c r="S98" s="134"/>
      <c r="T98" s="137"/>
      <c r="U98" s="21" t="s">
        <v>26</v>
      </c>
      <c r="V98" s="21" t="s">
        <v>27</v>
      </c>
      <c r="W98" s="146"/>
      <c r="X98" s="137"/>
      <c r="Y98" s="137"/>
      <c r="Z98" s="137"/>
      <c r="AA98" s="154"/>
      <c r="AB98" s="137"/>
      <c r="AC98" s="75"/>
      <c r="AD98" s="137"/>
      <c r="AE98" s="22" t="s">
        <v>37</v>
      </c>
      <c r="AF98" s="8" t="s">
        <v>38</v>
      </c>
      <c r="AG98" s="8" t="s">
        <v>39</v>
      </c>
      <c r="AH98" s="22" t="s">
        <v>40</v>
      </c>
      <c r="AI98" s="137"/>
      <c r="AJ98" s="90" t="s">
        <v>62</v>
      </c>
      <c r="AK98" s="149"/>
      <c r="AL98" s="42" t="s">
        <v>55</v>
      </c>
      <c r="AM98" s="70">
        <f>AM96+AM97</f>
        <v>48043.57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</row>
    <row r="99" spans="2:135" x14ac:dyDescent="0.25">
      <c r="B99" s="34">
        <f>9500+9500</f>
        <v>19000</v>
      </c>
      <c r="C99" s="34">
        <f>9500+9500</f>
        <v>19000</v>
      </c>
      <c r="D99" s="34">
        <f>218.52</f>
        <v>218.52</v>
      </c>
      <c r="E99" s="27">
        <v>0</v>
      </c>
      <c r="F99" s="27">
        <f>3755.81+3300.56+307.75</f>
        <v>7364.12</v>
      </c>
      <c r="G99" s="26">
        <f>C99+D99+E99+F99</f>
        <v>26582.639999999999</v>
      </c>
      <c r="H99" s="27">
        <v>855</v>
      </c>
      <c r="I99" s="27">
        <v>1805</v>
      </c>
      <c r="J99" s="26">
        <f>H99+I99</f>
        <v>2660</v>
      </c>
      <c r="K99" s="27">
        <v>30</v>
      </c>
      <c r="L99" s="26">
        <v>0</v>
      </c>
      <c r="M99" s="26">
        <v>0</v>
      </c>
      <c r="N99" s="26">
        <f>B99*5%/2</f>
        <v>475</v>
      </c>
      <c r="O99" s="27">
        <f>N99</f>
        <v>475</v>
      </c>
      <c r="P99" s="27">
        <f>N99+O99</f>
        <v>950</v>
      </c>
      <c r="Q99" s="27">
        <v>0</v>
      </c>
      <c r="R99" s="27">
        <v>0</v>
      </c>
      <c r="S99" s="27">
        <f>Q99+R99</f>
        <v>0</v>
      </c>
      <c r="T99" s="27">
        <f>(G99-H99-N99-U99-20833)*15%</f>
        <v>632.94599999999991</v>
      </c>
      <c r="U99" s="27">
        <v>200</v>
      </c>
      <c r="V99" s="27">
        <f>U99</f>
        <v>200</v>
      </c>
      <c r="W99" s="25">
        <v>0</v>
      </c>
      <c r="X99" s="26">
        <v>0</v>
      </c>
      <c r="Y99" s="26">
        <f>1500+1500</f>
        <v>3000</v>
      </c>
      <c r="Z99" s="26">
        <v>0</v>
      </c>
      <c r="AA99" s="26">
        <v>0</v>
      </c>
      <c r="AB99" s="26">
        <v>0</v>
      </c>
      <c r="AC99" s="26">
        <v>0</v>
      </c>
      <c r="AD99" s="26">
        <f>G99-H99-L99-M99-N99-T99-U99-W99-X99-Y99-Z99-AA99+AB99-AC99</f>
        <v>21419.694</v>
      </c>
      <c r="AE99" s="26">
        <v>0</v>
      </c>
      <c r="AF99" s="26">
        <v>0</v>
      </c>
      <c r="AG99" s="26">
        <v>0</v>
      </c>
      <c r="AH99" s="26">
        <v>0</v>
      </c>
      <c r="AI99" s="26">
        <v>0</v>
      </c>
      <c r="AJ99" s="26">
        <v>0</v>
      </c>
      <c r="AK99" s="62">
        <f>AD99+AE99+AF99+AG99+AH99+AI99</f>
        <v>21419.694</v>
      </c>
      <c r="AM99" s="91"/>
      <c r="AN99" s="14"/>
      <c r="AO99" s="33">
        <f>G99-H99-L99-M99-N99-T99-U99-Y99+AE99+AF99</f>
        <v>21419.694</v>
      </c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</row>
    <row r="100" spans="2:135" ht="14.25" customHeight="1" x14ac:dyDescent="0.25">
      <c r="B100" s="34">
        <f>13650+13650</f>
        <v>27300</v>
      </c>
      <c r="C100" s="34">
        <f>13650+13650</f>
        <v>27300</v>
      </c>
      <c r="D100" s="34">
        <f>313.99+313.99</f>
        <v>627.98</v>
      </c>
      <c r="E100" s="27">
        <v>0</v>
      </c>
      <c r="F100" s="27">
        <v>0</v>
      </c>
      <c r="G100" s="26">
        <f>C100+D100+E100+F100</f>
        <v>27927.98</v>
      </c>
      <c r="H100" s="27">
        <v>1237.5</v>
      </c>
      <c r="I100" s="27">
        <f>1900+712.5</f>
        <v>2612.5</v>
      </c>
      <c r="J100" s="26">
        <f>H100+I100</f>
        <v>3850</v>
      </c>
      <c r="K100" s="27">
        <v>30</v>
      </c>
      <c r="L100" s="26">
        <v>0</v>
      </c>
      <c r="M100" s="26">
        <v>0</v>
      </c>
      <c r="N100" s="26">
        <f>B100*5%/2</f>
        <v>682.5</v>
      </c>
      <c r="O100" s="27">
        <f>N100</f>
        <v>682.5</v>
      </c>
      <c r="P100" s="27">
        <f>N100+O100</f>
        <v>1365</v>
      </c>
      <c r="Q100" s="27">
        <v>0</v>
      </c>
      <c r="R100" s="27">
        <v>0</v>
      </c>
      <c r="S100" s="27">
        <f>Q100+R100</f>
        <v>0</v>
      </c>
      <c r="T100" s="27">
        <f>(G100-H100-N100-U100-20833)*15%</f>
        <v>746.24699999999996</v>
      </c>
      <c r="U100" s="27">
        <v>200</v>
      </c>
      <c r="V100" s="27">
        <f>U100</f>
        <v>200</v>
      </c>
      <c r="W100" s="25">
        <v>0</v>
      </c>
      <c r="X100" s="26">
        <v>0</v>
      </c>
      <c r="Y100" s="26">
        <v>0</v>
      </c>
      <c r="Z100" s="26">
        <v>0</v>
      </c>
      <c r="AA100" s="26">
        <v>0</v>
      </c>
      <c r="AB100" s="26">
        <v>0</v>
      </c>
      <c r="AC100" s="26">
        <v>0</v>
      </c>
      <c r="AD100" s="26">
        <f>G100-H100-L100-M100-N100-T100-U100-W100-X100-Y100-Z100-AA100+AB100-AC100</f>
        <v>25061.733</v>
      </c>
      <c r="AE100" s="26">
        <f>3050+3050</f>
        <v>6100</v>
      </c>
      <c r="AF100" s="26">
        <f>70.17+70.17</f>
        <v>140.34</v>
      </c>
      <c r="AG100" s="26">
        <v>0</v>
      </c>
      <c r="AH100" s="26">
        <v>0</v>
      </c>
      <c r="AI100" s="26">
        <v>0</v>
      </c>
      <c r="AJ100" s="26">
        <v>0</v>
      </c>
      <c r="AK100" s="62">
        <f>AD100+AE100+AF100+AG100+AH100+AI100</f>
        <v>31302.073</v>
      </c>
      <c r="AL100" s="42" t="s">
        <v>48</v>
      </c>
      <c r="AM100" s="43">
        <v>36464.86</v>
      </c>
      <c r="AN100" s="32" t="s">
        <v>53</v>
      </c>
      <c r="AO100" s="33">
        <f t="shared" ref="AO100:AO102" si="31">G100-H100-L100-M100-N100-T100-U100-Y100+AE100+AF100</f>
        <v>31302.073</v>
      </c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</row>
    <row r="101" spans="2:135" ht="14.25" customHeight="1" x14ac:dyDescent="0.25">
      <c r="B101" s="62">
        <f>6825+6825</f>
        <v>13650</v>
      </c>
      <c r="C101" s="34">
        <f>6825+6825</f>
        <v>13650</v>
      </c>
      <c r="D101" s="34">
        <f>157.01+157.01</f>
        <v>314.02</v>
      </c>
      <c r="E101" s="27">
        <v>0</v>
      </c>
      <c r="F101" s="27">
        <v>0</v>
      </c>
      <c r="G101" s="26">
        <f>C101+D101+E101+F101</f>
        <v>13964.02</v>
      </c>
      <c r="H101" s="27">
        <v>607.5</v>
      </c>
      <c r="I101" s="27">
        <v>1282.5</v>
      </c>
      <c r="J101" s="26">
        <f>H101+I101</f>
        <v>1890</v>
      </c>
      <c r="K101" s="27">
        <v>10</v>
      </c>
      <c r="L101" s="76">
        <v>0</v>
      </c>
      <c r="M101" s="76">
        <v>0</v>
      </c>
      <c r="N101" s="26">
        <f>B101*5%/2</f>
        <v>341.25</v>
      </c>
      <c r="O101" s="76">
        <f>N101</f>
        <v>341.25</v>
      </c>
      <c r="P101" s="27">
        <f>N101+O101</f>
        <v>682.5</v>
      </c>
      <c r="Q101" s="27">
        <v>0</v>
      </c>
      <c r="R101" s="27">
        <v>0</v>
      </c>
      <c r="S101" s="27">
        <f>Q101+R101</f>
        <v>0</v>
      </c>
      <c r="T101" s="76">
        <v>0</v>
      </c>
      <c r="U101" s="76">
        <v>200</v>
      </c>
      <c r="V101" s="76">
        <f>U101</f>
        <v>200</v>
      </c>
      <c r="W101" s="67">
        <v>0</v>
      </c>
      <c r="X101" s="76">
        <f>0</f>
        <v>0</v>
      </c>
      <c r="Y101" s="76">
        <f>1000+1000</f>
        <v>2000</v>
      </c>
      <c r="Z101" s="26">
        <v>0</v>
      </c>
      <c r="AA101" s="26">
        <v>0</v>
      </c>
      <c r="AB101" s="26">
        <v>0</v>
      </c>
      <c r="AC101" s="26">
        <v>0</v>
      </c>
      <c r="AD101" s="26">
        <f>G101-H101-L101-M101-N101-T101-U101-W101-X101-Y101-Z101-AA101+AB101-AC101</f>
        <v>10815.27</v>
      </c>
      <c r="AE101" s="26">
        <v>0</v>
      </c>
      <c r="AF101" s="26">
        <v>0</v>
      </c>
      <c r="AG101" s="26">
        <v>0</v>
      </c>
      <c r="AH101" s="26">
        <v>0</v>
      </c>
      <c r="AI101" s="26">
        <v>0</v>
      </c>
      <c r="AJ101" s="26">
        <v>0</v>
      </c>
      <c r="AK101" s="62">
        <f>AD101+AE101+AF101+AG101+AH101+AI101</f>
        <v>10815.27</v>
      </c>
      <c r="AL101" s="42" t="s">
        <v>44</v>
      </c>
      <c r="AM101" s="45">
        <v>3120.17</v>
      </c>
      <c r="AN101" s="32" t="s">
        <v>53</v>
      </c>
      <c r="AO101" s="33">
        <f t="shared" si="31"/>
        <v>10815.27</v>
      </c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</row>
    <row r="102" spans="2:135" x14ac:dyDescent="0.25">
      <c r="B102" s="62">
        <f>6825+6825</f>
        <v>13650</v>
      </c>
      <c r="C102" s="34">
        <f>6825+6825</f>
        <v>13650</v>
      </c>
      <c r="D102" s="34">
        <f>157.01+157.01</f>
        <v>314.02</v>
      </c>
      <c r="E102" s="27">
        <v>0</v>
      </c>
      <c r="F102" s="27">
        <v>245.32</v>
      </c>
      <c r="G102" s="26">
        <f>C102+D102+E102+F102</f>
        <v>14209.34</v>
      </c>
      <c r="H102" s="27">
        <v>607.5</v>
      </c>
      <c r="I102" s="27">
        <v>1282.5</v>
      </c>
      <c r="J102" s="26">
        <f>H102+I102</f>
        <v>1890</v>
      </c>
      <c r="K102" s="27">
        <v>10</v>
      </c>
      <c r="L102" s="76">
        <v>0</v>
      </c>
      <c r="M102" s="76">
        <v>0</v>
      </c>
      <c r="N102" s="26">
        <f>B102*5%/2</f>
        <v>341.25</v>
      </c>
      <c r="O102" s="76">
        <f>N102</f>
        <v>341.25</v>
      </c>
      <c r="P102" s="27">
        <f>N102+O102</f>
        <v>682.5</v>
      </c>
      <c r="Q102" s="27">
        <v>0</v>
      </c>
      <c r="R102" s="27">
        <v>0</v>
      </c>
      <c r="S102" s="27">
        <f>Q102+R102</f>
        <v>0</v>
      </c>
      <c r="T102" s="76">
        <v>0</v>
      </c>
      <c r="U102" s="76">
        <v>200</v>
      </c>
      <c r="V102" s="76">
        <f>U102</f>
        <v>200</v>
      </c>
      <c r="W102" s="67">
        <v>0</v>
      </c>
      <c r="X102" s="76">
        <v>0</v>
      </c>
      <c r="Y102" s="76">
        <f>1000+1000</f>
        <v>2000</v>
      </c>
      <c r="Z102" s="26">
        <v>0</v>
      </c>
      <c r="AA102" s="26">
        <v>0</v>
      </c>
      <c r="AB102" s="26">
        <v>0</v>
      </c>
      <c r="AC102" s="26">
        <v>0</v>
      </c>
      <c r="AD102" s="26">
        <f>G102-H102-L102-M102-N102-T102-U102-W102-X102-Y102-Z102-AA102+AB102-AC102</f>
        <v>11060.59</v>
      </c>
      <c r="AE102" s="26">
        <v>0</v>
      </c>
      <c r="AF102" s="26">
        <v>0</v>
      </c>
      <c r="AG102" s="26">
        <v>0</v>
      </c>
      <c r="AH102" s="26">
        <v>0</v>
      </c>
      <c r="AI102" s="26">
        <v>0</v>
      </c>
      <c r="AJ102" s="26">
        <v>0</v>
      </c>
      <c r="AK102" s="62">
        <f>AD102+AE102+AF102+AG102+AH102+AI102</f>
        <v>11060.59</v>
      </c>
      <c r="AL102" s="42" t="s">
        <v>55</v>
      </c>
      <c r="AM102" s="70">
        <f>AM100+AM101</f>
        <v>39585.03</v>
      </c>
      <c r="AN102" s="14"/>
      <c r="AO102" s="33">
        <f t="shared" si="31"/>
        <v>11060.59</v>
      </c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</row>
    <row r="103" spans="2:135" s="38" customFormat="1" x14ac:dyDescent="0.25">
      <c r="B103" s="34">
        <f>6782+6782</f>
        <v>13564</v>
      </c>
      <c r="C103" s="34">
        <f>6782+6782</f>
        <v>13564</v>
      </c>
      <c r="D103" s="34">
        <f>156+156</f>
        <v>312</v>
      </c>
      <c r="E103" s="27">
        <v>0</v>
      </c>
      <c r="F103" s="27">
        <f>243.75</f>
        <v>243.75</v>
      </c>
      <c r="G103" s="26">
        <f>C103+D103+E103+F103</f>
        <v>14119.75</v>
      </c>
      <c r="H103" s="27">
        <v>607.5</v>
      </c>
      <c r="I103" s="27">
        <v>1282.5</v>
      </c>
      <c r="J103" s="26">
        <f>H103+I103</f>
        <v>1890</v>
      </c>
      <c r="K103" s="27">
        <v>10</v>
      </c>
      <c r="L103" s="76">
        <v>0</v>
      </c>
      <c r="M103" s="76">
        <v>0</v>
      </c>
      <c r="N103" s="26">
        <f>B103*5%/2</f>
        <v>339.1</v>
      </c>
      <c r="O103" s="76">
        <f>N103</f>
        <v>339.1</v>
      </c>
      <c r="P103" s="27">
        <f>N103+O103</f>
        <v>678.2</v>
      </c>
      <c r="Q103" s="27">
        <v>0</v>
      </c>
      <c r="R103" s="27">
        <v>0</v>
      </c>
      <c r="S103" s="27">
        <f>Q103+R103</f>
        <v>0</v>
      </c>
      <c r="T103" s="76">
        <v>0</v>
      </c>
      <c r="U103" s="76">
        <v>200</v>
      </c>
      <c r="V103" s="76">
        <f>U103</f>
        <v>200</v>
      </c>
      <c r="W103" s="67">
        <v>0</v>
      </c>
      <c r="X103" s="76">
        <v>0</v>
      </c>
      <c r="Y103" s="76">
        <v>0</v>
      </c>
      <c r="Z103" s="26">
        <v>0</v>
      </c>
      <c r="AA103" s="26">
        <v>0</v>
      </c>
      <c r="AB103" s="26">
        <v>57.83</v>
      </c>
      <c r="AC103" s="26">
        <v>0</v>
      </c>
      <c r="AD103" s="26">
        <f>G103-H103-L103-M103-N103-T103-U103-W103-X103-Y103-Z103-AA103+AB103-AC103</f>
        <v>13030.98</v>
      </c>
      <c r="AE103" s="26">
        <v>0</v>
      </c>
      <c r="AF103" s="26">
        <v>0</v>
      </c>
      <c r="AG103" s="26">
        <v>0</v>
      </c>
      <c r="AH103" s="26">
        <v>0</v>
      </c>
      <c r="AI103" s="26">
        <v>0</v>
      </c>
      <c r="AJ103" s="26">
        <v>0</v>
      </c>
      <c r="AK103" s="62">
        <f>AD103+AE103+AF103+AG103+AH103+AI103</f>
        <v>13030.98</v>
      </c>
      <c r="AL103"/>
      <c r="AM103" s="91"/>
      <c r="AN103" s="14"/>
      <c r="AO103" s="33">
        <f>G103-H103-N103-U103+AB103</f>
        <v>13030.98</v>
      </c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</row>
    <row r="104" spans="2:135" s="38" customFormat="1" ht="13.5" thickBot="1" x14ac:dyDescent="0.25">
      <c r="B104" s="71" t="s">
        <v>56</v>
      </c>
      <c r="C104" s="79">
        <f t="shared" ref="C104:AC104" si="32">SUM(C99:C103)</f>
        <v>87164</v>
      </c>
      <c r="D104" s="49">
        <f t="shared" si="32"/>
        <v>1786.54</v>
      </c>
      <c r="E104" s="49">
        <f t="shared" si="32"/>
        <v>0</v>
      </c>
      <c r="F104" s="49">
        <f t="shared" si="32"/>
        <v>7853.19</v>
      </c>
      <c r="G104" s="49">
        <f>SUM(G99:G103)</f>
        <v>96803.73</v>
      </c>
      <c r="H104" s="49">
        <f t="shared" si="32"/>
        <v>3915</v>
      </c>
      <c r="I104" s="49">
        <f t="shared" si="32"/>
        <v>8265</v>
      </c>
      <c r="J104" s="49">
        <f t="shared" si="32"/>
        <v>12180</v>
      </c>
      <c r="K104" s="49">
        <f t="shared" si="32"/>
        <v>90</v>
      </c>
      <c r="L104" s="49">
        <f t="shared" si="32"/>
        <v>0</v>
      </c>
      <c r="M104" s="49">
        <f t="shared" si="32"/>
        <v>0</v>
      </c>
      <c r="N104" s="49">
        <f t="shared" si="32"/>
        <v>2179.1</v>
      </c>
      <c r="O104" s="49">
        <f t="shared" si="32"/>
        <v>2179.1</v>
      </c>
      <c r="P104" s="49">
        <f t="shared" si="32"/>
        <v>4358.2</v>
      </c>
      <c r="Q104" s="49">
        <f t="shared" si="32"/>
        <v>0</v>
      </c>
      <c r="R104" s="49">
        <f t="shared" si="32"/>
        <v>0</v>
      </c>
      <c r="S104" s="49">
        <f t="shared" si="32"/>
        <v>0</v>
      </c>
      <c r="T104" s="49">
        <f t="shared" si="32"/>
        <v>1379.1929999999998</v>
      </c>
      <c r="U104" s="49">
        <f t="shared" si="32"/>
        <v>1000</v>
      </c>
      <c r="V104" s="49">
        <f t="shared" si="32"/>
        <v>1000</v>
      </c>
      <c r="W104" s="79">
        <f t="shared" si="32"/>
        <v>0</v>
      </c>
      <c r="X104" s="49">
        <f t="shared" si="32"/>
        <v>0</v>
      </c>
      <c r="Y104" s="49">
        <f t="shared" si="32"/>
        <v>7000</v>
      </c>
      <c r="Z104" s="49">
        <f t="shared" si="32"/>
        <v>0</v>
      </c>
      <c r="AA104" s="49">
        <f t="shared" si="32"/>
        <v>0</v>
      </c>
      <c r="AB104" s="49">
        <f t="shared" si="32"/>
        <v>57.83</v>
      </c>
      <c r="AC104" s="49">
        <f t="shared" si="32"/>
        <v>0</v>
      </c>
      <c r="AD104" s="49">
        <f>SUM(AD99:AD103)-0.01</f>
        <v>81388.256999999998</v>
      </c>
      <c r="AE104" s="49">
        <f t="shared" ref="AE104:AJ104" si="33">SUM(AE99:AE103)</f>
        <v>6100</v>
      </c>
      <c r="AF104" s="49">
        <f t="shared" si="33"/>
        <v>140.34</v>
      </c>
      <c r="AG104" s="49">
        <f t="shared" si="33"/>
        <v>0</v>
      </c>
      <c r="AH104" s="49">
        <f t="shared" si="33"/>
        <v>0</v>
      </c>
      <c r="AI104" s="49">
        <f t="shared" si="33"/>
        <v>0</v>
      </c>
      <c r="AJ104" s="49">
        <f t="shared" si="33"/>
        <v>0</v>
      </c>
      <c r="AK104" s="49">
        <f>SUM(AK99:AK103)-0.01</f>
        <v>87628.596999999994</v>
      </c>
      <c r="AL104" s="42" t="s">
        <v>47</v>
      </c>
      <c r="AM104" s="61">
        <f>AM102+AM98</f>
        <v>87628.6</v>
      </c>
      <c r="AN104" s="14"/>
      <c r="AO104" s="33">
        <f>SUM(AO99:AO103)</f>
        <v>87628.606999999989</v>
      </c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</row>
    <row r="105" spans="2:135" s="38" customFormat="1" ht="12.75" thickTop="1" x14ac:dyDescent="0.2">
      <c r="B105" s="36"/>
      <c r="C105" s="36"/>
      <c r="D105" s="52"/>
      <c r="E105" s="52"/>
      <c r="F105" s="52"/>
      <c r="G105" s="3"/>
      <c r="H105" s="3"/>
      <c r="I105" s="52"/>
      <c r="J105" s="52"/>
      <c r="K105" s="52"/>
      <c r="L105" s="52"/>
      <c r="M105" s="52"/>
      <c r="N105" s="52"/>
      <c r="O105" s="36"/>
      <c r="P105" s="36"/>
      <c r="Q105" s="52"/>
      <c r="T105" s="52"/>
      <c r="U105" s="36"/>
      <c r="V105" s="36"/>
      <c r="W105" s="36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36"/>
      <c r="AK105" s="52" t="s">
        <v>22</v>
      </c>
      <c r="AL105" s="13"/>
      <c r="AM105" s="13"/>
      <c r="AN105" s="33" t="s">
        <v>22</v>
      </c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</row>
    <row r="106" spans="2:135" s="38" customFormat="1" ht="12.75" thickBot="1" x14ac:dyDescent="0.25">
      <c r="B106" s="71" t="s">
        <v>56</v>
      </c>
      <c r="C106" s="92">
        <f t="shared" ref="C106:AJ106" si="34">C104+C89+C79+C61+C41</f>
        <v>1573895.3199999994</v>
      </c>
      <c r="D106" s="92">
        <f t="shared" si="34"/>
        <v>14999.27</v>
      </c>
      <c r="E106" s="92">
        <f t="shared" si="34"/>
        <v>5.99</v>
      </c>
      <c r="F106" s="92">
        <f t="shared" si="34"/>
        <v>24777.769999999997</v>
      </c>
      <c r="G106" s="92">
        <f t="shared" si="34"/>
        <v>1613850.8599999999</v>
      </c>
      <c r="H106" s="92">
        <f t="shared" si="34"/>
        <v>47295</v>
      </c>
      <c r="I106" s="92">
        <f t="shared" si="34"/>
        <v>99845</v>
      </c>
      <c r="J106" s="92">
        <f t="shared" si="34"/>
        <v>147140</v>
      </c>
      <c r="K106" s="92">
        <f t="shared" si="34"/>
        <v>1330</v>
      </c>
      <c r="L106" s="92">
        <f t="shared" si="34"/>
        <v>35416.549999999996</v>
      </c>
      <c r="M106" s="92">
        <f t="shared" si="34"/>
        <v>0</v>
      </c>
      <c r="N106" s="92">
        <f t="shared" si="34"/>
        <v>32915.497499999998</v>
      </c>
      <c r="O106" s="92">
        <f t="shared" si="34"/>
        <v>32915.497499999998</v>
      </c>
      <c r="P106" s="92">
        <f t="shared" si="34"/>
        <v>65830.985000000015</v>
      </c>
      <c r="Q106" s="92">
        <f t="shared" si="34"/>
        <v>0</v>
      </c>
      <c r="R106" s="92">
        <f t="shared" si="34"/>
        <v>0</v>
      </c>
      <c r="S106" s="92">
        <f t="shared" si="34"/>
        <v>0</v>
      </c>
      <c r="T106" s="92">
        <f t="shared" si="34"/>
        <v>143373.7585</v>
      </c>
      <c r="U106" s="92">
        <f t="shared" si="34"/>
        <v>10200</v>
      </c>
      <c r="V106" s="92">
        <f t="shared" si="34"/>
        <v>10100</v>
      </c>
      <c r="W106" s="92">
        <f t="shared" si="34"/>
        <v>21943.040000000001</v>
      </c>
      <c r="X106" s="92">
        <f t="shared" si="34"/>
        <v>0</v>
      </c>
      <c r="Y106" s="92">
        <f t="shared" si="34"/>
        <v>27100</v>
      </c>
      <c r="Z106" s="92">
        <f t="shared" si="34"/>
        <v>30573.07</v>
      </c>
      <c r="AA106" s="92">
        <f t="shared" si="34"/>
        <v>1146.98</v>
      </c>
      <c r="AB106" s="92">
        <f t="shared" si="34"/>
        <v>169.64999999999998</v>
      </c>
      <c r="AC106" s="92">
        <f t="shared" si="34"/>
        <v>455.6</v>
      </c>
      <c r="AD106" s="92">
        <f t="shared" si="34"/>
        <v>1266908.2239999999</v>
      </c>
      <c r="AE106" s="92">
        <f t="shared" si="34"/>
        <v>88070.92</v>
      </c>
      <c r="AF106" s="92">
        <f t="shared" si="34"/>
        <v>1466.63</v>
      </c>
      <c r="AG106" s="92">
        <f t="shared" si="34"/>
        <v>6000</v>
      </c>
      <c r="AH106" s="92">
        <f t="shared" si="34"/>
        <v>2000</v>
      </c>
      <c r="AI106" s="92">
        <f t="shared" si="34"/>
        <v>0</v>
      </c>
      <c r="AJ106" s="92">
        <f t="shared" si="34"/>
        <v>0</v>
      </c>
      <c r="AK106" s="92">
        <f>AK104+AK89+AK79+AK68+AK61+AK41+0.01</f>
        <v>1370771.9339999999</v>
      </c>
      <c r="AL106" s="36"/>
      <c r="AM106" s="36"/>
    </row>
    <row r="107" spans="2:135" s="38" customFormat="1" ht="12" x14ac:dyDescent="0.2">
      <c r="B107" s="36"/>
      <c r="C107" s="36"/>
      <c r="D107" s="52"/>
      <c r="E107" s="52"/>
      <c r="F107" s="52"/>
      <c r="G107" s="3"/>
      <c r="H107" s="3"/>
      <c r="I107" s="52"/>
      <c r="J107" s="52"/>
      <c r="K107" s="52"/>
      <c r="L107" s="52"/>
      <c r="M107" s="52"/>
      <c r="N107" s="52"/>
      <c r="O107" s="52"/>
      <c r="P107" s="52"/>
      <c r="Q107" s="93"/>
      <c r="T107" s="52"/>
      <c r="U107" s="52"/>
      <c r="V107" s="52"/>
      <c r="W107" s="36"/>
      <c r="X107" s="52"/>
      <c r="Y107" s="52"/>
      <c r="Z107" s="52"/>
      <c r="AA107" s="52"/>
      <c r="AB107" s="52"/>
      <c r="AC107" s="52"/>
      <c r="AD107" s="52"/>
      <c r="AE107" s="52"/>
      <c r="AF107" s="94"/>
      <c r="AG107" s="94"/>
      <c r="AH107" s="94"/>
      <c r="AI107" s="94"/>
      <c r="AJ107" s="36"/>
      <c r="AK107" s="94"/>
      <c r="AL107" s="36"/>
      <c r="AM107" s="36"/>
    </row>
    <row r="108" spans="2:135" s="38" customFormat="1" ht="12" x14ac:dyDescent="0.2">
      <c r="B108" s="36"/>
      <c r="C108" s="36"/>
      <c r="D108" s="52"/>
      <c r="E108" s="52"/>
      <c r="F108" s="52"/>
      <c r="G108" s="3">
        <f>48365.57+48438.16</f>
        <v>96803.73000000001</v>
      </c>
      <c r="T108" s="52" t="s">
        <v>22</v>
      </c>
      <c r="U108" s="52"/>
      <c r="V108" s="52"/>
      <c r="W108" s="36"/>
      <c r="X108" s="52"/>
      <c r="Y108" s="52"/>
      <c r="Z108" s="52"/>
      <c r="AA108" s="52"/>
      <c r="AB108" s="52"/>
      <c r="AC108" s="52"/>
      <c r="AD108" s="52">
        <f>44923.4+36464.86</f>
        <v>81388.260000000009</v>
      </c>
      <c r="AE108" s="52"/>
      <c r="AF108" s="94"/>
      <c r="AG108" s="94"/>
      <c r="AH108" s="94"/>
      <c r="AI108" s="94"/>
      <c r="AJ108" s="36"/>
      <c r="AK108" s="95">
        <f>87628.6+18713.97+13955.75+6326.15+201657.92+1042489.54</f>
        <v>1370771.9300000002</v>
      </c>
      <c r="AL108" s="42" t="s">
        <v>43</v>
      </c>
      <c r="AM108" s="68">
        <f>AM96+AM85+AM74+AM66+AM52+AM31</f>
        <v>448286.82999999996</v>
      </c>
      <c r="AN108" s="60" t="s">
        <v>57</v>
      </c>
      <c r="AO108" s="36"/>
    </row>
    <row r="109" spans="2:135" s="38" customFormat="1" ht="12" x14ac:dyDescent="0.2">
      <c r="B109" s="36"/>
      <c r="C109" s="36"/>
      <c r="D109" s="52"/>
      <c r="E109" s="52"/>
      <c r="F109" s="52"/>
      <c r="H109" s="3"/>
      <c r="I109" s="52"/>
      <c r="J109" s="52"/>
      <c r="K109" s="151" t="s">
        <v>72</v>
      </c>
      <c r="L109" s="151"/>
      <c r="M109" s="151"/>
      <c r="N109" s="151" t="s">
        <v>73</v>
      </c>
      <c r="O109" s="151"/>
      <c r="P109" s="151"/>
      <c r="Q109" s="96" t="s">
        <v>74</v>
      </c>
      <c r="T109" s="52"/>
      <c r="U109" s="52"/>
      <c r="V109" s="52"/>
      <c r="W109" s="36"/>
      <c r="X109" s="52"/>
      <c r="Y109" s="52"/>
      <c r="Z109" s="52"/>
      <c r="AA109" s="52"/>
      <c r="AB109" s="52"/>
      <c r="AC109" s="52"/>
      <c r="AD109" s="52">
        <f>21419.69+25061.73+10815.27+11060.59+13030.98</f>
        <v>81388.259999999995</v>
      </c>
      <c r="AE109" s="52"/>
      <c r="AF109" s="97" t="s">
        <v>22</v>
      </c>
      <c r="AG109" s="97"/>
      <c r="AH109" s="98" t="s">
        <v>22</v>
      </c>
      <c r="AI109" s="99"/>
      <c r="AJ109" s="99"/>
      <c r="AK109" s="100"/>
      <c r="AL109" s="42" t="s">
        <v>43</v>
      </c>
      <c r="AM109" s="68">
        <v>0</v>
      </c>
      <c r="AN109" s="60" t="s">
        <v>54</v>
      </c>
      <c r="AO109" s="36"/>
    </row>
    <row r="110" spans="2:135" s="38" customFormat="1" ht="12" x14ac:dyDescent="0.2">
      <c r="B110" s="36"/>
      <c r="C110" s="36"/>
      <c r="D110" s="52"/>
      <c r="E110" s="52"/>
      <c r="F110" s="52"/>
      <c r="H110" s="101" t="s">
        <v>41</v>
      </c>
      <c r="I110" s="102"/>
      <c r="J110" s="102"/>
      <c r="K110" s="103">
        <v>418.22</v>
      </c>
      <c r="L110" s="104">
        <v>418.23</v>
      </c>
      <c r="M110" s="103">
        <f>K110+L110</f>
        <v>836.45</v>
      </c>
      <c r="N110" s="105">
        <v>418.23</v>
      </c>
      <c r="O110" s="106">
        <v>418.23</v>
      </c>
      <c r="P110" s="107">
        <f>N110+O110</f>
        <v>836.46</v>
      </c>
      <c r="Q110" s="107">
        <f>K110-N110</f>
        <v>-9.9999999999909051E-3</v>
      </c>
      <c r="T110" s="52"/>
      <c r="U110" s="52"/>
      <c r="V110" s="52"/>
      <c r="W110" s="36"/>
      <c r="X110" s="52"/>
      <c r="Y110" s="52"/>
      <c r="Z110" s="52"/>
      <c r="AA110" s="52"/>
      <c r="AB110" s="52"/>
      <c r="AC110" s="52"/>
      <c r="AD110" s="52" t="s">
        <v>22</v>
      </c>
      <c r="AE110" s="52"/>
      <c r="AF110" s="94"/>
      <c r="AG110" s="94"/>
      <c r="AH110" s="108" t="s">
        <v>22</v>
      </c>
      <c r="AI110" s="94"/>
      <c r="AJ110" s="68"/>
      <c r="AK110" s="100" t="s">
        <v>22</v>
      </c>
      <c r="AL110" s="42" t="s">
        <v>44</v>
      </c>
      <c r="AM110" s="109">
        <f>AM97+AM86+AM75+AM53+AM32</f>
        <v>53053.689999999995</v>
      </c>
      <c r="AN110" s="60" t="s">
        <v>57</v>
      </c>
      <c r="AO110" s="36"/>
    </row>
    <row r="111" spans="2:135" s="38" customFormat="1" ht="12" x14ac:dyDescent="0.2">
      <c r="B111" s="36"/>
      <c r="C111" s="36"/>
      <c r="D111" s="52"/>
      <c r="E111" s="52"/>
      <c r="F111" s="52"/>
      <c r="H111" s="110" t="s">
        <v>42</v>
      </c>
      <c r="I111" s="102"/>
      <c r="J111" s="102"/>
      <c r="K111" s="103">
        <v>628.41999999999996</v>
      </c>
      <c r="L111" s="104">
        <v>628.42999999999995</v>
      </c>
      <c r="M111" s="103">
        <f>K111+L111</f>
        <v>1256.8499999999999</v>
      </c>
      <c r="N111" s="105">
        <v>628.42999999999995</v>
      </c>
      <c r="O111" s="106">
        <v>628.42999999999995</v>
      </c>
      <c r="P111" s="107">
        <f>N111+O111</f>
        <v>1256.8599999999999</v>
      </c>
      <c r="Q111" s="107">
        <f>K111-N111</f>
        <v>-9.9999999999909051E-3</v>
      </c>
      <c r="T111" s="52"/>
      <c r="U111" s="52"/>
      <c r="V111" s="52"/>
      <c r="W111" s="36"/>
      <c r="X111" s="52"/>
      <c r="Y111" s="52"/>
      <c r="Z111" s="52"/>
      <c r="AA111" s="52"/>
      <c r="AB111" s="52"/>
      <c r="AC111" s="52"/>
      <c r="AD111" s="52"/>
      <c r="AE111" s="52"/>
      <c r="AF111" s="94"/>
      <c r="AG111" s="94"/>
      <c r="AH111" s="94"/>
      <c r="AI111" s="94"/>
      <c r="AJ111" s="36"/>
      <c r="AK111" s="100" t="s">
        <v>22</v>
      </c>
      <c r="AL111" s="42" t="s">
        <v>28</v>
      </c>
      <c r="AM111" s="68">
        <f>SUM(AM108:AM110)</f>
        <v>501340.51999999996</v>
      </c>
      <c r="AO111" s="36"/>
    </row>
    <row r="112" spans="2:135" s="38" customFormat="1" ht="12" x14ac:dyDescent="0.2">
      <c r="B112" s="36"/>
      <c r="C112" s="36"/>
      <c r="D112" s="52"/>
      <c r="E112" s="52"/>
      <c r="F112" s="52"/>
      <c r="H112" s="101" t="s">
        <v>45</v>
      </c>
      <c r="I112" s="102"/>
      <c r="J112" s="102"/>
      <c r="K112" s="103">
        <v>453.32</v>
      </c>
      <c r="L112" s="104">
        <v>453.33</v>
      </c>
      <c r="M112" s="103">
        <f>K112+L112</f>
        <v>906.65</v>
      </c>
      <c r="N112" s="105">
        <v>453.32</v>
      </c>
      <c r="O112" s="106">
        <v>453.33</v>
      </c>
      <c r="P112" s="107">
        <f>N112+O112</f>
        <v>906.65</v>
      </c>
      <c r="Q112" s="107">
        <f>K112-N112</f>
        <v>0</v>
      </c>
      <c r="T112" s="52"/>
      <c r="U112" s="52"/>
      <c r="V112" s="52"/>
      <c r="W112" s="36"/>
      <c r="X112" s="52"/>
      <c r="Y112" s="52"/>
      <c r="Z112" s="52"/>
      <c r="AA112" s="52"/>
      <c r="AB112" s="52"/>
      <c r="AC112" s="52"/>
      <c r="AD112" s="52"/>
      <c r="AE112" s="52"/>
      <c r="AF112" s="94"/>
      <c r="AG112" s="94"/>
      <c r="AH112" s="94"/>
      <c r="AI112" s="94"/>
      <c r="AJ112" s="36"/>
      <c r="AK112" s="100" t="s">
        <v>22</v>
      </c>
      <c r="AM112" s="68" t="s">
        <v>22</v>
      </c>
      <c r="AO112" s="36"/>
    </row>
    <row r="113" spans="2:41" s="38" customFormat="1" ht="12" x14ac:dyDescent="0.2">
      <c r="B113" s="36"/>
      <c r="C113" s="36"/>
      <c r="D113" s="52"/>
      <c r="E113" s="52"/>
      <c r="F113" s="52"/>
      <c r="H113" s="101" t="s">
        <v>49</v>
      </c>
      <c r="I113" s="102"/>
      <c r="J113" s="102"/>
      <c r="K113" s="103">
        <v>628.41999999999996</v>
      </c>
      <c r="L113" s="104">
        <v>628.42999999999995</v>
      </c>
      <c r="M113" s="103">
        <f>K113+L113</f>
        <v>1256.8499999999999</v>
      </c>
      <c r="N113" s="105">
        <v>628.42999999999995</v>
      </c>
      <c r="O113" s="106">
        <v>628.42999999999995</v>
      </c>
      <c r="P113" s="107">
        <f>N113+O113</f>
        <v>1256.8599999999999</v>
      </c>
      <c r="Q113" s="107">
        <f>K113-N113</f>
        <v>-9.9999999999909051E-3</v>
      </c>
      <c r="T113" s="52"/>
      <c r="U113" s="52"/>
      <c r="V113" s="52"/>
      <c r="W113" s="36"/>
      <c r="X113" s="52"/>
      <c r="Y113" s="52"/>
      <c r="Z113" s="52"/>
      <c r="AA113" s="52"/>
      <c r="AB113" s="52"/>
      <c r="AC113" s="52"/>
      <c r="AD113" s="52"/>
      <c r="AE113" s="52"/>
      <c r="AF113" s="94"/>
      <c r="AG113" s="94"/>
      <c r="AH113" s="94"/>
      <c r="AI113" s="94"/>
      <c r="AJ113" s="36"/>
      <c r="AK113" s="100" t="s">
        <v>22</v>
      </c>
      <c r="AL113" s="42" t="s">
        <v>48</v>
      </c>
      <c r="AM113" s="36">
        <f>AM100+AM88+AM78+AM67+AM57+AM36</f>
        <v>376863.47</v>
      </c>
      <c r="AN113" s="60" t="s">
        <v>57</v>
      </c>
      <c r="AO113" s="36"/>
    </row>
    <row r="114" spans="2:41" s="38" customFormat="1" ht="12" x14ac:dyDescent="0.2">
      <c r="B114" s="36"/>
      <c r="C114" s="36"/>
      <c r="D114" s="52"/>
      <c r="E114" s="52"/>
      <c r="F114" s="52"/>
      <c r="H114" s="52"/>
      <c r="I114" s="52"/>
      <c r="J114" s="52"/>
      <c r="K114" s="52"/>
      <c r="L114" s="52"/>
      <c r="M114" s="52"/>
      <c r="N114" s="93"/>
      <c r="T114" s="52"/>
      <c r="U114" s="52"/>
      <c r="V114" s="52"/>
      <c r="W114" s="36"/>
      <c r="X114" s="52"/>
      <c r="Y114" s="52"/>
      <c r="Z114" s="52"/>
      <c r="AA114" s="52"/>
      <c r="AB114" s="52"/>
      <c r="AC114" s="52"/>
      <c r="AD114" s="52"/>
      <c r="AE114" s="52"/>
      <c r="AF114" s="94"/>
      <c r="AG114" s="94"/>
      <c r="AH114" s="94"/>
      <c r="AI114" s="94"/>
      <c r="AJ114" s="36"/>
      <c r="AK114" s="100" t="s">
        <v>22</v>
      </c>
      <c r="AL114" s="42" t="s">
        <v>48</v>
      </c>
      <c r="AM114" s="68">
        <f>AM59+AM38</f>
        <v>0</v>
      </c>
      <c r="AN114" s="60" t="s">
        <v>54</v>
      </c>
      <c r="AO114" s="36"/>
    </row>
    <row r="115" spans="2:41" s="38" customFormat="1" ht="12" x14ac:dyDescent="0.2">
      <c r="B115" s="36"/>
      <c r="C115" s="36"/>
      <c r="D115" s="52"/>
      <c r="E115" s="52"/>
      <c r="F115" s="52"/>
      <c r="H115" s="52"/>
      <c r="I115" s="52"/>
      <c r="J115" s="52"/>
      <c r="K115" s="52"/>
      <c r="L115" s="52"/>
      <c r="M115" s="52"/>
      <c r="N115" s="93"/>
      <c r="T115" s="52"/>
      <c r="U115" s="52"/>
      <c r="V115" s="52"/>
      <c r="W115" s="36"/>
      <c r="X115" s="52"/>
      <c r="Y115" s="52"/>
      <c r="Z115" s="52"/>
      <c r="AA115" s="52"/>
      <c r="AB115" s="52"/>
      <c r="AC115" s="52"/>
      <c r="AD115" s="52"/>
      <c r="AE115" s="52"/>
      <c r="AF115" s="94"/>
      <c r="AG115" s="94"/>
      <c r="AH115" s="94"/>
      <c r="AI115" s="94"/>
      <c r="AJ115" s="36"/>
      <c r="AK115" s="100" t="s">
        <v>22</v>
      </c>
      <c r="AL115" s="42" t="s">
        <v>44</v>
      </c>
      <c r="AM115" s="109">
        <f>AM101+AM89+AM58+AM37</f>
        <v>44495.360000000001</v>
      </c>
      <c r="AN115" s="60" t="s">
        <v>57</v>
      </c>
      <c r="AO115" s="36"/>
    </row>
    <row r="116" spans="2:41" s="38" customFormat="1" ht="12" x14ac:dyDescent="0.2">
      <c r="B116" s="36"/>
      <c r="C116" s="36"/>
      <c r="D116" s="52"/>
      <c r="E116" s="52"/>
      <c r="F116" s="52"/>
      <c r="G116" s="3"/>
      <c r="T116" s="52"/>
      <c r="U116" s="52"/>
      <c r="V116" s="52"/>
      <c r="W116" s="36"/>
      <c r="X116" s="52"/>
      <c r="Y116" s="52"/>
      <c r="Z116" s="52"/>
      <c r="AA116" s="52"/>
      <c r="AB116" s="52"/>
      <c r="AC116" s="52"/>
      <c r="AD116" s="52"/>
      <c r="AE116" s="52"/>
      <c r="AF116" s="94"/>
      <c r="AG116" s="94"/>
      <c r="AH116" s="94"/>
      <c r="AI116" s="94"/>
      <c r="AJ116" s="36"/>
      <c r="AK116" s="100" t="s">
        <v>22</v>
      </c>
      <c r="AL116" s="42" t="s">
        <v>28</v>
      </c>
      <c r="AM116" s="68">
        <f>SUM(AM113:AM115)</f>
        <v>421358.82999999996</v>
      </c>
      <c r="AN116" s="60" t="s">
        <v>22</v>
      </c>
      <c r="AO116" s="36"/>
    </row>
    <row r="117" spans="2:41" s="38" customFormat="1" ht="12" x14ac:dyDescent="0.2">
      <c r="B117" s="36"/>
      <c r="C117" s="36"/>
      <c r="D117" s="52"/>
      <c r="E117" s="52"/>
      <c r="F117" s="52"/>
      <c r="G117" s="3"/>
      <c r="H117" s="3"/>
      <c r="I117" s="52"/>
      <c r="J117" s="52"/>
      <c r="K117" s="52"/>
      <c r="L117" s="52"/>
      <c r="M117" s="52"/>
      <c r="N117" s="52"/>
      <c r="O117" s="52"/>
      <c r="P117" s="52"/>
      <c r="Q117" s="93"/>
      <c r="T117" s="52"/>
      <c r="U117" s="52"/>
      <c r="V117" s="52"/>
      <c r="W117" s="36"/>
      <c r="X117" s="52"/>
      <c r="Y117" s="52"/>
      <c r="Z117" s="52"/>
      <c r="AA117" s="52"/>
      <c r="AB117" s="52"/>
      <c r="AC117" s="52"/>
      <c r="AD117" s="52"/>
      <c r="AE117" s="52"/>
      <c r="AF117" s="94"/>
      <c r="AG117" s="94"/>
      <c r="AH117" s="94"/>
      <c r="AI117" s="94"/>
      <c r="AJ117" s="36"/>
      <c r="AK117" s="100" t="s">
        <v>22</v>
      </c>
      <c r="AM117" s="36"/>
      <c r="AO117" s="36"/>
    </row>
    <row r="118" spans="2:41" s="38" customFormat="1" ht="12" x14ac:dyDescent="0.2">
      <c r="B118" s="36"/>
      <c r="C118" s="36"/>
      <c r="D118" s="52"/>
      <c r="E118" s="52"/>
      <c r="F118" s="52"/>
      <c r="G118" s="3"/>
      <c r="H118" s="3"/>
      <c r="I118" s="52"/>
      <c r="J118" s="52"/>
      <c r="K118" s="52"/>
      <c r="L118" s="52"/>
      <c r="M118" s="52"/>
      <c r="N118" s="52"/>
      <c r="O118" s="52"/>
      <c r="P118" s="52"/>
      <c r="Q118" s="93"/>
      <c r="T118" s="52"/>
      <c r="U118" s="52"/>
      <c r="V118" s="52"/>
      <c r="W118" s="36"/>
      <c r="X118" s="52"/>
      <c r="Y118" s="52"/>
      <c r="Z118" s="52"/>
      <c r="AA118" s="52"/>
      <c r="AB118" s="52"/>
      <c r="AC118" s="52"/>
      <c r="AD118" s="52"/>
      <c r="AE118" s="52"/>
      <c r="AF118" s="94"/>
      <c r="AG118" s="94"/>
      <c r="AH118" s="94"/>
      <c r="AI118" s="94"/>
      <c r="AJ118" s="36"/>
      <c r="AK118" s="100" t="s">
        <v>22</v>
      </c>
      <c r="AL118" s="1" t="s">
        <v>22</v>
      </c>
      <c r="AM118" s="3" t="s">
        <v>22</v>
      </c>
      <c r="AO118" s="36"/>
    </row>
    <row r="119" spans="2:41" s="38" customFormat="1" ht="12" x14ac:dyDescent="0.2">
      <c r="B119" s="36"/>
      <c r="C119" s="36"/>
      <c r="D119" s="52"/>
      <c r="E119" s="52"/>
      <c r="F119" s="52"/>
      <c r="G119" s="3"/>
      <c r="H119" s="3"/>
      <c r="I119" s="52"/>
      <c r="J119" s="52"/>
      <c r="K119" s="52"/>
      <c r="L119" s="52"/>
      <c r="M119" s="52"/>
      <c r="N119" s="52"/>
      <c r="O119" s="52"/>
      <c r="P119" s="52"/>
      <c r="Q119" s="93"/>
      <c r="T119" s="52"/>
      <c r="U119" s="52"/>
      <c r="V119" s="52"/>
      <c r="W119" s="36"/>
      <c r="X119" s="52"/>
      <c r="Y119" s="52"/>
      <c r="Z119" s="52"/>
      <c r="AA119" s="52"/>
      <c r="AB119" s="52"/>
      <c r="AC119" s="52"/>
      <c r="AD119" s="52"/>
      <c r="AE119" s="52"/>
      <c r="AF119" s="94"/>
      <c r="AG119" s="94"/>
      <c r="AH119" s="94"/>
      <c r="AI119" s="94"/>
      <c r="AJ119" s="36"/>
      <c r="AK119" s="100" t="s">
        <v>22</v>
      </c>
      <c r="AL119" s="1" t="s">
        <v>75</v>
      </c>
      <c r="AM119" s="3">
        <f>AM111+AM116</f>
        <v>922699.34999999986</v>
      </c>
      <c r="AN119" s="60"/>
      <c r="AO119" s="36"/>
    </row>
    <row r="120" spans="2:41" s="38" customFormat="1" ht="12" x14ac:dyDescent="0.2">
      <c r="B120" s="36"/>
      <c r="C120" s="36"/>
      <c r="D120" s="52"/>
      <c r="E120" s="52"/>
      <c r="F120" s="52"/>
      <c r="G120" s="3"/>
      <c r="H120" s="3"/>
      <c r="I120" s="52"/>
      <c r="J120" s="52"/>
      <c r="K120" s="52"/>
      <c r="L120" s="52"/>
      <c r="M120" s="52"/>
      <c r="N120" s="52"/>
      <c r="O120" s="52"/>
      <c r="P120" s="52"/>
      <c r="Q120" s="93"/>
      <c r="T120" s="52"/>
      <c r="U120" s="52"/>
      <c r="V120" s="52"/>
      <c r="W120" s="36"/>
      <c r="X120" s="52"/>
      <c r="Y120" s="52"/>
      <c r="Z120" s="52"/>
      <c r="AA120" s="52"/>
      <c r="AB120" s="52"/>
      <c r="AC120" s="52"/>
      <c r="AD120" s="52"/>
      <c r="AE120" s="52"/>
      <c r="AF120" s="94"/>
      <c r="AG120" s="94"/>
      <c r="AH120" s="94"/>
      <c r="AI120" s="94"/>
      <c r="AJ120" s="36"/>
      <c r="AK120" s="100" t="s">
        <v>22</v>
      </c>
      <c r="AL120" s="111" t="s">
        <v>54</v>
      </c>
      <c r="AM120" s="112">
        <v>0</v>
      </c>
      <c r="AN120" s="60"/>
      <c r="AO120" s="36"/>
    </row>
    <row r="121" spans="2:41" s="38" customFormat="1" ht="12" x14ac:dyDescent="0.2">
      <c r="B121" s="36"/>
      <c r="C121" s="36"/>
      <c r="D121" s="52"/>
      <c r="E121" s="52"/>
      <c r="F121" s="52"/>
      <c r="G121" s="3"/>
      <c r="H121" s="3"/>
      <c r="I121" s="52"/>
      <c r="J121" s="52"/>
      <c r="K121" s="52"/>
      <c r="L121" s="52"/>
      <c r="M121" s="52"/>
      <c r="N121" s="52"/>
      <c r="O121" s="52"/>
      <c r="P121" s="52"/>
      <c r="Q121" s="93"/>
      <c r="T121" s="52"/>
      <c r="U121" s="52"/>
      <c r="V121" s="52"/>
      <c r="W121" s="36"/>
      <c r="X121" s="52"/>
      <c r="Y121" s="52"/>
      <c r="Z121" s="52"/>
      <c r="AA121" s="52"/>
      <c r="AB121" s="52"/>
      <c r="AC121" s="52"/>
      <c r="AD121" s="52"/>
      <c r="AE121" s="52"/>
      <c r="AF121" s="94"/>
      <c r="AG121" s="94"/>
      <c r="AH121" s="94"/>
      <c r="AI121" s="94"/>
      <c r="AJ121" s="36"/>
      <c r="AK121" s="36"/>
      <c r="AL121" s="1" t="s">
        <v>76</v>
      </c>
      <c r="AM121" s="113">
        <f>AM41</f>
        <v>448072.58149999985</v>
      </c>
      <c r="AN121" s="60"/>
      <c r="AO121" s="36"/>
    </row>
    <row r="122" spans="2:41" s="38" customFormat="1" ht="12.75" x14ac:dyDescent="0.2">
      <c r="B122" s="36"/>
      <c r="C122" s="36"/>
      <c r="D122" s="52"/>
      <c r="E122" s="52"/>
      <c r="F122" s="52"/>
      <c r="G122" s="3"/>
      <c r="H122" s="3"/>
      <c r="I122" s="52"/>
      <c r="J122" s="52"/>
      <c r="K122" s="52"/>
      <c r="L122" s="52"/>
      <c r="M122" s="52"/>
      <c r="N122" s="52"/>
      <c r="O122" s="52"/>
      <c r="P122" s="52"/>
      <c r="Q122" s="93"/>
      <c r="T122" s="52"/>
      <c r="U122" s="52"/>
      <c r="V122" s="52"/>
      <c r="W122" s="36"/>
      <c r="X122" s="52"/>
      <c r="Y122" s="52"/>
      <c r="Z122" s="52"/>
      <c r="AA122" s="52"/>
      <c r="AB122" s="52"/>
      <c r="AC122" s="52"/>
      <c r="AD122" s="52"/>
      <c r="AE122" s="52"/>
      <c r="AF122" s="94"/>
      <c r="AG122" s="94"/>
      <c r="AH122" s="94"/>
      <c r="AI122" s="36"/>
      <c r="AJ122" s="36"/>
      <c r="AL122" s="114" t="s">
        <v>71</v>
      </c>
      <c r="AM122" s="115">
        <f>AM119+AM120+AM121</f>
        <v>1370771.9314999997</v>
      </c>
      <c r="AN122" s="38" t="s">
        <v>22</v>
      </c>
      <c r="AO122" s="36"/>
    </row>
    <row r="123" spans="2:41" s="38" customFormat="1" ht="12.75" x14ac:dyDescent="0.2">
      <c r="B123" s="36"/>
      <c r="C123" s="36"/>
      <c r="D123" s="52"/>
      <c r="E123" s="52"/>
      <c r="F123" s="52"/>
      <c r="G123" s="3"/>
      <c r="H123" s="3"/>
      <c r="I123" s="52"/>
      <c r="J123" s="52"/>
      <c r="K123" s="52"/>
      <c r="L123" s="52"/>
      <c r="M123" s="52"/>
      <c r="N123" s="52"/>
      <c r="O123" s="52"/>
      <c r="P123" s="52"/>
      <c r="Q123" s="93"/>
      <c r="T123" s="52"/>
      <c r="U123" s="52"/>
      <c r="V123" s="52"/>
      <c r="W123" s="36"/>
      <c r="X123" s="52"/>
      <c r="Y123" s="52"/>
      <c r="Z123" s="52"/>
      <c r="AA123" s="52"/>
      <c r="AB123" s="52"/>
      <c r="AC123" s="52"/>
      <c r="AD123" s="52"/>
      <c r="AE123" s="52"/>
      <c r="AF123" s="94"/>
      <c r="AG123" s="94"/>
      <c r="AH123" s="94"/>
      <c r="AI123" s="36"/>
      <c r="AJ123" s="36"/>
      <c r="AL123" s="116"/>
      <c r="AM123" s="117"/>
      <c r="AO123" s="36"/>
    </row>
    <row r="124" spans="2:41" s="38" customFormat="1" ht="12" x14ac:dyDescent="0.2">
      <c r="B124" s="36"/>
      <c r="C124" s="36"/>
      <c r="D124" s="52"/>
      <c r="E124" s="52"/>
      <c r="F124" s="52"/>
      <c r="G124" s="3"/>
      <c r="H124" s="3"/>
      <c r="I124" s="52"/>
      <c r="J124" s="52"/>
      <c r="K124" s="52"/>
      <c r="L124" s="52"/>
      <c r="M124" s="52"/>
      <c r="N124" s="52"/>
      <c r="O124" s="52"/>
      <c r="P124" s="52"/>
      <c r="Q124" s="93"/>
      <c r="R124" s="52"/>
      <c r="S124" s="52"/>
      <c r="T124" s="52"/>
      <c r="U124" s="36"/>
      <c r="V124" s="52"/>
      <c r="W124" s="52"/>
      <c r="X124" s="52"/>
      <c r="Y124" s="52"/>
      <c r="Z124" s="52"/>
      <c r="AA124" s="52"/>
      <c r="AB124" s="52"/>
      <c r="AC124" s="52"/>
      <c r="AD124" s="94"/>
      <c r="AE124" s="94"/>
      <c r="AF124" s="94"/>
      <c r="AG124" s="36"/>
      <c r="AH124" s="36"/>
      <c r="AM124" s="36"/>
      <c r="AN124" s="60"/>
      <c r="AO124" s="36"/>
    </row>
    <row r="125" spans="2:41" s="38" customFormat="1" ht="12" x14ac:dyDescent="0.2">
      <c r="B125" s="36"/>
      <c r="C125" s="36"/>
      <c r="D125" s="52"/>
      <c r="E125" s="52"/>
      <c r="F125" s="52"/>
      <c r="G125" s="3"/>
      <c r="H125" s="3"/>
      <c r="I125" s="52"/>
      <c r="J125" s="52"/>
      <c r="K125" s="52"/>
      <c r="L125" s="52"/>
      <c r="M125" s="52"/>
      <c r="N125" s="52"/>
      <c r="O125" s="52"/>
      <c r="P125" s="52"/>
      <c r="Q125" s="93"/>
      <c r="R125" s="52"/>
      <c r="S125" s="52"/>
      <c r="T125" s="52"/>
      <c r="U125" s="36"/>
      <c r="V125" s="52"/>
      <c r="W125" s="52"/>
      <c r="X125" s="52"/>
      <c r="Y125" s="52"/>
      <c r="Z125" s="52"/>
      <c r="AA125" s="52"/>
      <c r="AB125" s="52"/>
      <c r="AC125" s="52"/>
      <c r="AD125" s="94"/>
      <c r="AE125" s="94"/>
      <c r="AF125" s="94"/>
      <c r="AG125" s="36"/>
      <c r="AH125" s="36"/>
      <c r="AM125" s="36" t="s">
        <v>22</v>
      </c>
      <c r="AN125" s="38" t="s">
        <v>22</v>
      </c>
      <c r="AO125" s="36"/>
    </row>
    <row r="126" spans="2:41" s="38" customFormat="1" ht="12" x14ac:dyDescent="0.2">
      <c r="B126" s="36"/>
      <c r="C126" s="36"/>
      <c r="D126" s="52"/>
      <c r="E126" s="52"/>
      <c r="F126" s="52"/>
      <c r="G126" s="3"/>
      <c r="H126" s="3"/>
      <c r="I126" s="52"/>
      <c r="J126" s="52"/>
      <c r="K126" s="52"/>
      <c r="L126" s="52"/>
      <c r="M126" s="52"/>
      <c r="N126" s="52"/>
      <c r="O126" s="52"/>
      <c r="P126" s="52"/>
      <c r="Q126" s="93"/>
      <c r="R126" s="52"/>
      <c r="S126" s="52"/>
      <c r="T126" s="52"/>
      <c r="U126" s="36"/>
      <c r="V126" s="52"/>
      <c r="W126" s="52"/>
      <c r="X126" s="52"/>
      <c r="Y126" s="52"/>
      <c r="Z126" s="52"/>
      <c r="AA126" s="52"/>
      <c r="AB126" s="52"/>
      <c r="AC126" s="52"/>
      <c r="AD126" s="94"/>
      <c r="AE126" s="94"/>
      <c r="AF126" s="94"/>
      <c r="AG126" s="36"/>
      <c r="AH126" s="36"/>
      <c r="AK126" s="118" t="s">
        <v>77</v>
      </c>
      <c r="AL126" s="119" t="s">
        <v>78</v>
      </c>
      <c r="AM126" s="120"/>
      <c r="AN126" s="118" t="s">
        <v>22</v>
      </c>
    </row>
    <row r="127" spans="2:41" s="38" customFormat="1" ht="15.75" customHeight="1" x14ac:dyDescent="0.2">
      <c r="B127" s="36"/>
      <c r="C127" s="36"/>
      <c r="D127" s="52"/>
      <c r="E127" s="52"/>
      <c r="F127" s="52"/>
      <c r="G127" s="3"/>
      <c r="H127" s="3"/>
      <c r="I127" s="52"/>
      <c r="J127" s="52"/>
      <c r="K127" s="52"/>
      <c r="L127" s="52"/>
      <c r="M127" s="52"/>
      <c r="N127" s="52"/>
      <c r="O127" s="52"/>
      <c r="P127" s="52"/>
      <c r="Q127" s="93"/>
      <c r="R127" s="52"/>
      <c r="S127" s="52"/>
      <c r="T127" s="52"/>
      <c r="U127" s="36"/>
      <c r="V127" s="52"/>
      <c r="W127" s="52"/>
      <c r="X127" s="52"/>
      <c r="Y127" s="52"/>
      <c r="Z127" s="52"/>
      <c r="AA127" s="52"/>
      <c r="AB127" s="52"/>
      <c r="AC127" s="52"/>
      <c r="AD127" s="94"/>
      <c r="AE127" s="94"/>
      <c r="AF127" s="94"/>
      <c r="AG127" s="36"/>
      <c r="AH127" s="36"/>
      <c r="AK127" s="118" t="s">
        <v>79</v>
      </c>
      <c r="AL127" s="162" t="s">
        <v>80</v>
      </c>
      <c r="AM127" s="162"/>
      <c r="AN127" s="162"/>
    </row>
    <row r="128" spans="2:41" s="38" customFormat="1" ht="12" x14ac:dyDescent="0.2">
      <c r="B128" s="36"/>
      <c r="C128" s="36"/>
      <c r="D128" s="52"/>
      <c r="E128" s="52"/>
      <c r="F128" s="52"/>
      <c r="G128" s="3"/>
      <c r="H128" s="3"/>
      <c r="I128" s="52"/>
      <c r="J128" s="52"/>
      <c r="K128" s="52"/>
      <c r="L128" s="52"/>
      <c r="M128" s="52"/>
      <c r="N128" s="52"/>
      <c r="O128" s="52"/>
      <c r="P128" s="52"/>
      <c r="Q128" s="93"/>
      <c r="R128" s="52"/>
      <c r="S128" s="52"/>
      <c r="T128" s="52"/>
      <c r="U128" s="36"/>
      <c r="V128" s="52"/>
      <c r="W128" s="52"/>
      <c r="X128" s="52"/>
      <c r="Y128" s="52"/>
      <c r="Z128" s="52"/>
      <c r="AA128" s="52"/>
      <c r="AB128" s="52"/>
      <c r="AC128" s="52"/>
      <c r="AD128" s="94"/>
      <c r="AE128" s="94"/>
      <c r="AF128" s="94"/>
      <c r="AG128" s="36"/>
      <c r="AH128" s="36"/>
      <c r="AK128" s="118" t="s">
        <v>81</v>
      </c>
      <c r="AL128" s="98" t="s">
        <v>82</v>
      </c>
      <c r="AM128" s="120"/>
      <c r="AN128" s="118"/>
    </row>
    <row r="129" spans="2:41" s="38" customFormat="1" ht="12" x14ac:dyDescent="0.2">
      <c r="B129" s="36"/>
      <c r="C129" s="36"/>
      <c r="D129" s="52"/>
      <c r="E129" s="52"/>
      <c r="F129" s="52"/>
      <c r="G129" s="3"/>
      <c r="H129" s="3"/>
      <c r="I129" s="52"/>
      <c r="J129" s="52"/>
      <c r="K129" s="52"/>
      <c r="L129" s="52"/>
      <c r="M129" s="52"/>
      <c r="N129" s="52"/>
      <c r="O129" s="52"/>
      <c r="P129" s="52"/>
      <c r="Q129" s="93"/>
      <c r="R129" s="52"/>
      <c r="S129" s="52"/>
      <c r="T129" s="52"/>
      <c r="U129" s="36"/>
      <c r="V129" s="52"/>
      <c r="W129" s="52"/>
      <c r="X129" s="52"/>
      <c r="Y129" s="52"/>
      <c r="Z129" s="52"/>
      <c r="AA129" s="52"/>
      <c r="AB129" s="52"/>
      <c r="AC129" s="52"/>
      <c r="AD129" s="94"/>
      <c r="AE129" s="94"/>
      <c r="AF129" s="94"/>
      <c r="AG129" s="36"/>
      <c r="AH129" s="36"/>
      <c r="AK129" s="118" t="s">
        <v>83</v>
      </c>
      <c r="AL129" s="98" t="s">
        <v>84</v>
      </c>
      <c r="AM129" s="120"/>
      <c r="AN129" s="118"/>
    </row>
    <row r="130" spans="2:41" s="38" customFormat="1" ht="12.75" x14ac:dyDescent="0.2">
      <c r="B130" s="36"/>
      <c r="C130" s="36"/>
      <c r="D130" s="52"/>
      <c r="E130" s="52"/>
      <c r="F130" s="52"/>
      <c r="G130" s="3"/>
      <c r="H130" s="3"/>
      <c r="I130" s="52"/>
      <c r="J130" s="52"/>
      <c r="K130" s="52"/>
      <c r="L130" s="52"/>
      <c r="M130" s="52"/>
      <c r="N130" s="52"/>
      <c r="O130" s="52"/>
      <c r="P130" s="52"/>
      <c r="Q130" s="93"/>
      <c r="R130" s="52"/>
      <c r="S130" s="52"/>
      <c r="T130" s="52"/>
      <c r="U130" s="36"/>
      <c r="V130" s="52"/>
      <c r="W130" s="52"/>
      <c r="X130" s="52"/>
      <c r="Y130" s="52"/>
      <c r="Z130" s="52"/>
      <c r="AA130" s="52"/>
      <c r="AB130" s="52"/>
      <c r="AC130" s="52"/>
      <c r="AD130" s="94"/>
      <c r="AE130" s="94"/>
      <c r="AF130" s="94"/>
      <c r="AG130" s="36"/>
      <c r="AH130" s="36"/>
      <c r="AK130" s="118" t="s">
        <v>81</v>
      </c>
      <c r="AL130" s="121" t="s">
        <v>85</v>
      </c>
      <c r="AM130" s="120"/>
      <c r="AN130" s="118"/>
    </row>
    <row r="131" spans="2:41" s="38" customFormat="1" ht="12.75" x14ac:dyDescent="0.2">
      <c r="B131" s="36"/>
      <c r="C131" s="36"/>
      <c r="D131" s="52"/>
      <c r="E131" s="52"/>
      <c r="F131" s="52"/>
      <c r="G131" s="3"/>
      <c r="H131" s="3"/>
      <c r="I131" s="52"/>
      <c r="J131" s="52"/>
      <c r="K131" s="52"/>
      <c r="L131" s="52"/>
      <c r="M131" s="52"/>
      <c r="N131" s="52"/>
      <c r="O131" s="52"/>
      <c r="P131" s="52"/>
      <c r="Q131" s="93"/>
      <c r="R131" s="52"/>
      <c r="S131" s="52"/>
      <c r="T131" s="52"/>
      <c r="U131" s="36"/>
      <c r="V131" s="52"/>
      <c r="W131" s="52"/>
      <c r="X131" s="52"/>
      <c r="Y131" s="52"/>
      <c r="Z131" s="52"/>
      <c r="AA131" s="52"/>
      <c r="AB131" s="52"/>
      <c r="AC131" s="52"/>
      <c r="AD131" s="94"/>
      <c r="AE131" s="94"/>
      <c r="AF131" s="94"/>
      <c r="AG131" s="36"/>
      <c r="AH131" s="36"/>
      <c r="AK131" s="118" t="s">
        <v>79</v>
      </c>
      <c r="AL131" s="121" t="s">
        <v>86</v>
      </c>
      <c r="AM131" s="120"/>
      <c r="AN131" s="118"/>
    </row>
    <row r="132" spans="2:41" s="38" customFormat="1" ht="12" x14ac:dyDescent="0.2">
      <c r="B132" s="36"/>
      <c r="C132" s="36"/>
      <c r="D132" s="52"/>
      <c r="E132" s="52"/>
      <c r="F132" s="52"/>
      <c r="G132" s="3"/>
      <c r="H132" s="3"/>
      <c r="I132" s="52"/>
      <c r="J132" s="52"/>
      <c r="K132" s="52"/>
      <c r="L132" s="52"/>
      <c r="M132" s="52"/>
      <c r="N132" s="52"/>
      <c r="O132" s="52"/>
      <c r="P132" s="52"/>
      <c r="Q132" s="93"/>
      <c r="R132" s="52"/>
      <c r="S132" s="52"/>
      <c r="T132" s="52"/>
      <c r="U132" s="36"/>
      <c r="V132" s="52"/>
      <c r="W132" s="52"/>
      <c r="X132" s="52"/>
      <c r="Y132" s="52"/>
      <c r="Z132" s="52"/>
      <c r="AA132" s="52"/>
      <c r="AB132" s="52"/>
      <c r="AC132" s="52"/>
      <c r="AD132" s="94"/>
      <c r="AE132" s="94"/>
      <c r="AF132" s="94"/>
      <c r="AG132" s="36"/>
      <c r="AH132" s="36"/>
      <c r="AK132" s="118" t="s">
        <v>87</v>
      </c>
      <c r="AL132" s="98" t="s">
        <v>88</v>
      </c>
      <c r="AM132" s="120"/>
      <c r="AN132" s="118"/>
      <c r="AO132" s="118"/>
    </row>
    <row r="133" spans="2:41" s="38" customFormat="1" ht="12" x14ac:dyDescent="0.2">
      <c r="B133" s="36"/>
      <c r="C133" s="36"/>
      <c r="D133" s="52"/>
      <c r="E133" s="52"/>
      <c r="F133" s="52"/>
      <c r="G133" s="3"/>
      <c r="H133" s="3"/>
      <c r="I133" s="52"/>
      <c r="J133" s="52"/>
      <c r="K133" s="52"/>
      <c r="L133" s="52"/>
      <c r="M133" s="52"/>
      <c r="N133" s="52"/>
      <c r="O133" s="52"/>
      <c r="P133" s="52"/>
      <c r="Q133" s="93"/>
      <c r="R133" s="52"/>
      <c r="S133" s="52"/>
      <c r="T133" s="52"/>
      <c r="U133" s="36"/>
      <c r="V133" s="52"/>
      <c r="W133" s="52"/>
      <c r="X133" s="52"/>
      <c r="Y133" s="52"/>
      <c r="Z133" s="52"/>
      <c r="AA133" s="52"/>
      <c r="AB133" s="52"/>
      <c r="AC133" s="52"/>
      <c r="AD133" s="94"/>
      <c r="AE133" s="94"/>
      <c r="AF133" s="94"/>
      <c r="AG133" s="36"/>
      <c r="AH133" s="36"/>
      <c r="AK133" s="118" t="s">
        <v>89</v>
      </c>
      <c r="AL133" s="98" t="s">
        <v>90</v>
      </c>
      <c r="AM133" s="122"/>
      <c r="AN133" s="118"/>
      <c r="AO133" s="118"/>
    </row>
    <row r="134" spans="2:41" s="38" customFormat="1" ht="12" x14ac:dyDescent="0.2">
      <c r="B134" s="36"/>
      <c r="C134" s="36"/>
      <c r="D134" s="52"/>
      <c r="E134" s="52"/>
      <c r="F134" s="52"/>
      <c r="G134" s="3"/>
      <c r="H134" s="3"/>
      <c r="I134" s="52"/>
      <c r="J134" s="52"/>
      <c r="K134" s="52"/>
      <c r="L134" s="52"/>
      <c r="M134" s="52"/>
      <c r="N134" s="52"/>
      <c r="O134" s="52"/>
      <c r="P134" s="52"/>
      <c r="Q134" s="93"/>
      <c r="R134" s="52"/>
      <c r="S134" s="52"/>
      <c r="T134" s="52"/>
      <c r="U134" s="36"/>
      <c r="V134" s="52"/>
      <c r="W134" s="52"/>
      <c r="X134" s="52"/>
      <c r="Y134" s="52"/>
      <c r="Z134" s="52"/>
      <c r="AA134" s="52"/>
      <c r="AB134" s="52"/>
      <c r="AC134" s="52"/>
      <c r="AD134" s="94"/>
      <c r="AE134" s="94"/>
      <c r="AF134" s="94"/>
      <c r="AG134" s="36"/>
      <c r="AH134" s="36"/>
      <c r="AK134" s="118" t="s">
        <v>91</v>
      </c>
      <c r="AL134" s="98" t="s">
        <v>92</v>
      </c>
      <c r="AM134" s="122"/>
      <c r="AN134" s="118"/>
      <c r="AO134" s="118"/>
    </row>
    <row r="135" spans="2:41" s="38" customFormat="1" ht="12" x14ac:dyDescent="0.2">
      <c r="B135" s="36"/>
      <c r="C135" s="36"/>
      <c r="D135" s="52"/>
      <c r="E135" s="52"/>
      <c r="F135" s="52"/>
      <c r="G135" s="3"/>
      <c r="H135" s="3"/>
      <c r="I135" s="52"/>
      <c r="J135" s="52"/>
      <c r="K135" s="52"/>
      <c r="L135" s="52"/>
      <c r="M135" s="52"/>
      <c r="N135" s="52"/>
      <c r="O135" s="52"/>
      <c r="P135" s="52"/>
      <c r="Q135" s="93"/>
      <c r="R135" s="52"/>
      <c r="S135" s="52"/>
      <c r="T135" s="52"/>
      <c r="U135" s="36"/>
      <c r="V135" s="52"/>
      <c r="W135" s="52"/>
      <c r="X135" s="52"/>
      <c r="Y135" s="52"/>
      <c r="Z135" s="52"/>
      <c r="AA135" s="52"/>
      <c r="AB135" s="52"/>
      <c r="AC135" s="52"/>
      <c r="AD135" s="94"/>
      <c r="AE135" s="94"/>
      <c r="AF135" s="94"/>
      <c r="AG135" s="36"/>
      <c r="AH135" s="36"/>
      <c r="AK135" s="118" t="s">
        <v>93</v>
      </c>
      <c r="AL135" s="98" t="s">
        <v>94</v>
      </c>
      <c r="AM135" s="122"/>
      <c r="AN135" s="118"/>
      <c r="AO135" s="118"/>
    </row>
    <row r="136" spans="2:41" s="38" customFormat="1" ht="12" x14ac:dyDescent="0.2">
      <c r="B136" s="36"/>
      <c r="C136" s="36"/>
      <c r="D136" s="52"/>
      <c r="E136" s="52"/>
      <c r="F136" s="52"/>
      <c r="G136" s="3"/>
      <c r="H136" s="3"/>
      <c r="I136" s="52"/>
      <c r="J136" s="52"/>
      <c r="K136" s="52"/>
      <c r="L136" s="52"/>
      <c r="M136" s="52"/>
      <c r="N136" s="52"/>
      <c r="O136" s="52"/>
      <c r="P136" s="52"/>
      <c r="Q136" s="93"/>
      <c r="R136" s="52"/>
      <c r="S136" s="52"/>
      <c r="T136" s="52"/>
      <c r="U136" s="36"/>
      <c r="V136" s="52"/>
      <c r="W136" s="52"/>
      <c r="X136" s="52"/>
      <c r="Y136" s="52"/>
      <c r="Z136" s="52"/>
      <c r="AA136" s="52"/>
      <c r="AB136" s="52"/>
      <c r="AC136" s="52"/>
      <c r="AD136" s="94"/>
      <c r="AE136" s="94"/>
      <c r="AF136" s="94"/>
      <c r="AG136" s="36"/>
      <c r="AH136" s="36"/>
      <c r="AK136" s="118" t="s">
        <v>95</v>
      </c>
      <c r="AL136" s="98" t="s">
        <v>96</v>
      </c>
      <c r="AM136" s="122"/>
      <c r="AN136" s="118"/>
      <c r="AO136" s="118"/>
    </row>
    <row r="137" spans="2:41" s="38" customFormat="1" ht="12" x14ac:dyDescent="0.2">
      <c r="B137" s="36"/>
      <c r="C137" s="36"/>
      <c r="D137" s="52"/>
      <c r="E137" s="52"/>
      <c r="F137" s="52"/>
      <c r="G137" s="3"/>
      <c r="H137" s="3"/>
      <c r="I137" s="52"/>
      <c r="J137" s="52"/>
      <c r="K137" s="52"/>
      <c r="L137" s="52"/>
      <c r="M137" s="52"/>
      <c r="N137" s="52"/>
      <c r="O137" s="52"/>
      <c r="P137" s="52"/>
      <c r="Q137" s="93"/>
      <c r="R137" s="52"/>
      <c r="S137" s="52"/>
      <c r="T137" s="52"/>
      <c r="U137" s="36"/>
      <c r="V137" s="52"/>
      <c r="W137" s="52"/>
      <c r="X137" s="52"/>
      <c r="Y137" s="52"/>
      <c r="Z137" s="52"/>
      <c r="AA137" s="52"/>
      <c r="AB137" s="52"/>
      <c r="AC137" s="52"/>
      <c r="AD137" s="94"/>
      <c r="AE137" s="94"/>
      <c r="AF137" s="94"/>
      <c r="AG137" s="36"/>
      <c r="AH137" s="36"/>
      <c r="AM137" s="36"/>
    </row>
    <row r="138" spans="2:41" s="38" customFormat="1" ht="12" x14ac:dyDescent="0.2">
      <c r="B138" s="36"/>
      <c r="C138" s="36"/>
      <c r="D138" s="52"/>
      <c r="E138" s="52"/>
      <c r="F138" s="52"/>
      <c r="G138" s="3"/>
      <c r="H138" s="3"/>
      <c r="I138" s="52"/>
      <c r="J138" s="52"/>
      <c r="K138" s="52"/>
      <c r="L138" s="52"/>
      <c r="M138" s="52"/>
      <c r="N138" s="52"/>
      <c r="O138" s="52"/>
      <c r="P138" s="52"/>
      <c r="Q138" s="93"/>
      <c r="R138" s="52"/>
      <c r="S138" s="52"/>
      <c r="T138" s="52"/>
      <c r="U138" s="36"/>
      <c r="V138" s="52"/>
      <c r="W138" s="52"/>
      <c r="X138" s="52"/>
      <c r="Y138" s="52"/>
      <c r="Z138" s="52"/>
      <c r="AA138" s="52"/>
      <c r="AB138" s="52"/>
      <c r="AC138" s="52"/>
      <c r="AD138" s="94"/>
      <c r="AE138" s="94"/>
      <c r="AF138" s="94"/>
      <c r="AG138" s="36"/>
      <c r="AH138" s="36"/>
      <c r="AM138" s="36"/>
    </row>
  </sheetData>
  <mergeCells count="199">
    <mergeCell ref="AE97:AH97"/>
    <mergeCell ref="K109:M109"/>
    <mergeCell ref="N109:P109"/>
    <mergeCell ref="AL127:AN127"/>
    <mergeCell ref="AB96:AB98"/>
    <mergeCell ref="AD96:AD98"/>
    <mergeCell ref="AE96:AH96"/>
    <mergeCell ref="AI96:AI98"/>
    <mergeCell ref="AK96:AK98"/>
    <mergeCell ref="Z96:Z98"/>
    <mergeCell ref="AA96:AA98"/>
    <mergeCell ref="J97:J98"/>
    <mergeCell ref="K97:K98"/>
    <mergeCell ref="N97:N98"/>
    <mergeCell ref="U96:V97"/>
    <mergeCell ref="W96:W98"/>
    <mergeCell ref="X96:X98"/>
    <mergeCell ref="Y96:Y98"/>
    <mergeCell ref="S97:S98"/>
    <mergeCell ref="T96:T98"/>
    <mergeCell ref="AB84:AB86"/>
    <mergeCell ref="AD84:AD86"/>
    <mergeCell ref="AE84:AH85"/>
    <mergeCell ref="H85:H86"/>
    <mergeCell ref="I85:I86"/>
    <mergeCell ref="J85:J86"/>
    <mergeCell ref="K85:K86"/>
    <mergeCell ref="N85:N86"/>
    <mergeCell ref="O85:O86"/>
    <mergeCell ref="P85:P86"/>
    <mergeCell ref="U84:V84"/>
    <mergeCell ref="W84:W86"/>
    <mergeCell ref="X84:X86"/>
    <mergeCell ref="Y84:Y86"/>
    <mergeCell ref="Z84:Z86"/>
    <mergeCell ref="AA84:AA86"/>
    <mergeCell ref="U85:U86"/>
    <mergeCell ref="V85:V86"/>
    <mergeCell ref="H84:K84"/>
    <mergeCell ref="L84:L86"/>
    <mergeCell ref="M84:M86"/>
    <mergeCell ref="N84:S84"/>
    <mergeCell ref="T84:T86"/>
    <mergeCell ref="Q85:Q86"/>
    <mergeCell ref="R85:R86"/>
    <mergeCell ref="S85:S86"/>
    <mergeCell ref="B96:B98"/>
    <mergeCell ref="C96:C98"/>
    <mergeCell ref="D96:D98"/>
    <mergeCell ref="E96:E98"/>
    <mergeCell ref="F96:F98"/>
    <mergeCell ref="G96:G98"/>
    <mergeCell ref="H96:K96"/>
    <mergeCell ref="L96:L98"/>
    <mergeCell ref="M96:M98"/>
    <mergeCell ref="N96:S96"/>
    <mergeCell ref="O97:O98"/>
    <mergeCell ref="P97:P98"/>
    <mergeCell ref="Q97:Q98"/>
    <mergeCell ref="R97:R98"/>
    <mergeCell ref="H97:H98"/>
    <mergeCell ref="B84:B86"/>
    <mergeCell ref="C84:C86"/>
    <mergeCell ref="D84:D86"/>
    <mergeCell ref="E84:E86"/>
    <mergeCell ref="F84:F86"/>
    <mergeCell ref="G84:G86"/>
    <mergeCell ref="I97:I98"/>
    <mergeCell ref="AI74:AI76"/>
    <mergeCell ref="AK74:AK76"/>
    <mergeCell ref="H75:H76"/>
    <mergeCell ref="I75:I76"/>
    <mergeCell ref="J75:J76"/>
    <mergeCell ref="K75:K76"/>
    <mergeCell ref="N75:N76"/>
    <mergeCell ref="O75:O76"/>
    <mergeCell ref="P75:P76"/>
    <mergeCell ref="Q75:Q76"/>
    <mergeCell ref="Y74:Y76"/>
    <mergeCell ref="Z74:Z76"/>
    <mergeCell ref="AA74:AA76"/>
    <mergeCell ref="AB74:AB76"/>
    <mergeCell ref="AD74:AD76"/>
    <mergeCell ref="AE74:AH75"/>
    <mergeCell ref="M74:M76"/>
    <mergeCell ref="N74:S74"/>
    <mergeCell ref="T74:T76"/>
    <mergeCell ref="U74:V75"/>
    <mergeCell ref="W74:W76"/>
    <mergeCell ref="X74:X76"/>
    <mergeCell ref="R75:R76"/>
    <mergeCell ref="S75:S76"/>
    <mergeCell ref="S65:S66"/>
    <mergeCell ref="B74:B76"/>
    <mergeCell ref="C74:C76"/>
    <mergeCell ref="D74:D76"/>
    <mergeCell ref="E74:E76"/>
    <mergeCell ref="F74:F76"/>
    <mergeCell ref="G74:G76"/>
    <mergeCell ref="H74:K74"/>
    <mergeCell ref="L74:L76"/>
    <mergeCell ref="G64:G66"/>
    <mergeCell ref="R65:R66"/>
    <mergeCell ref="B64:B66"/>
    <mergeCell ref="C64:C66"/>
    <mergeCell ref="D64:D66"/>
    <mergeCell ref="E64:E66"/>
    <mergeCell ref="F64:F66"/>
    <mergeCell ref="AB64:AB66"/>
    <mergeCell ref="AD64:AD66"/>
    <mergeCell ref="AE64:AH65"/>
    <mergeCell ref="AI64:AI66"/>
    <mergeCell ref="AK64:AK66"/>
    <mergeCell ref="H65:H66"/>
    <mergeCell ref="I65:I66"/>
    <mergeCell ref="J65:J66"/>
    <mergeCell ref="K65:K66"/>
    <mergeCell ref="N65:N66"/>
    <mergeCell ref="U64:V65"/>
    <mergeCell ref="W64:W66"/>
    <mergeCell ref="X64:X66"/>
    <mergeCell ref="Y64:Y66"/>
    <mergeCell ref="Z64:Z66"/>
    <mergeCell ref="AA64:AA66"/>
    <mergeCell ref="H64:K64"/>
    <mergeCell ref="L64:L66"/>
    <mergeCell ref="M64:M66"/>
    <mergeCell ref="N64:S64"/>
    <mergeCell ref="T64:T66"/>
    <mergeCell ref="O65:O66"/>
    <mergeCell ref="P65:P66"/>
    <mergeCell ref="Q65:Q66"/>
    <mergeCell ref="AK47:AK49"/>
    <mergeCell ref="U47:V48"/>
    <mergeCell ref="W47:W49"/>
    <mergeCell ref="X47:X49"/>
    <mergeCell ref="Y47:Y49"/>
    <mergeCell ref="Z47:Z49"/>
    <mergeCell ref="AA47:AA49"/>
    <mergeCell ref="N48:N49"/>
    <mergeCell ref="O48:O49"/>
    <mergeCell ref="P48:P49"/>
    <mergeCell ref="Q48:Q49"/>
    <mergeCell ref="R48:R49"/>
    <mergeCell ref="S48:S49"/>
    <mergeCell ref="AB47:AB49"/>
    <mergeCell ref="AD47:AD49"/>
    <mergeCell ref="AE47:AH47"/>
    <mergeCell ref="M47:M49"/>
    <mergeCell ref="N47:S47"/>
    <mergeCell ref="T47:T49"/>
    <mergeCell ref="H48:H49"/>
    <mergeCell ref="I48:I49"/>
    <mergeCell ref="J48:J49"/>
    <mergeCell ref="K48:K49"/>
    <mergeCell ref="AI47:AI49"/>
    <mergeCell ref="AJ47:AJ49"/>
    <mergeCell ref="B47:B49"/>
    <mergeCell ref="C47:C49"/>
    <mergeCell ref="D47:D49"/>
    <mergeCell ref="E47:E49"/>
    <mergeCell ref="F47:F49"/>
    <mergeCell ref="N5:N6"/>
    <mergeCell ref="O5:O6"/>
    <mergeCell ref="P5:P6"/>
    <mergeCell ref="G4:G6"/>
    <mergeCell ref="H4:K4"/>
    <mergeCell ref="L4:L6"/>
    <mergeCell ref="M4:M6"/>
    <mergeCell ref="H5:H6"/>
    <mergeCell ref="I5:I6"/>
    <mergeCell ref="J5:J6"/>
    <mergeCell ref="K5:K6"/>
    <mergeCell ref="B4:B6"/>
    <mergeCell ref="C4:C6"/>
    <mergeCell ref="D4:D6"/>
    <mergeCell ref="E4:E6"/>
    <mergeCell ref="F4:F6"/>
    <mergeCell ref="G47:G49"/>
    <mergeCell ref="H47:K47"/>
    <mergeCell ref="L47:L49"/>
    <mergeCell ref="Q5:Q6"/>
    <mergeCell ref="R5:R6"/>
    <mergeCell ref="S5:S6"/>
    <mergeCell ref="AB4:AB6"/>
    <mergeCell ref="AD4:AD6"/>
    <mergeCell ref="AE4:AH4"/>
    <mergeCell ref="AI4:AI6"/>
    <mergeCell ref="AJ4:AJ6"/>
    <mergeCell ref="AK4:AK6"/>
    <mergeCell ref="AE5:AH5"/>
    <mergeCell ref="U4:V5"/>
    <mergeCell ref="W4:W6"/>
    <mergeCell ref="X4:X6"/>
    <mergeCell ref="Y4:Y6"/>
    <mergeCell ref="Z4:Z6"/>
    <mergeCell ref="AA4:AA6"/>
    <mergeCell ref="N4:S4"/>
    <mergeCell ref="T4:T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B3287-13C4-4619-B5BD-270A34207134}">
  <dimension ref="A1:CY55"/>
  <sheetViews>
    <sheetView tabSelected="1" workbookViewId="0">
      <pane xSplit="1" ySplit="1" topLeftCell="B38" activePane="bottomRight" state="frozen"/>
      <selection pane="topRight" activeCell="B1" sqref="B1"/>
      <selection pane="bottomLeft" activeCell="A7" sqref="A7"/>
      <selection pane="bottomRight" activeCell="L52" sqref="L52"/>
    </sheetView>
  </sheetViews>
  <sheetFormatPr defaultRowHeight="15" x14ac:dyDescent="0.25"/>
  <cols>
    <col min="1" max="1" width="36.140625" customWidth="1"/>
    <col min="2" max="3" width="12.42578125" customWidth="1"/>
    <col min="7" max="7" width="16.28515625" customWidth="1"/>
    <col min="10" max="10" width="11.28515625" customWidth="1"/>
    <col min="20" max="20" width="13.140625" customWidth="1"/>
    <col min="30" max="30" width="12.42578125" customWidth="1"/>
    <col min="37" max="37" width="11.42578125" customWidth="1"/>
  </cols>
  <sheetData>
    <row r="1" spans="1:103" ht="35.25" customHeight="1" x14ac:dyDescent="0.25">
      <c r="A1" s="40" t="s">
        <v>127</v>
      </c>
      <c r="B1" s="40" t="s">
        <v>3</v>
      </c>
      <c r="C1" s="40" t="s">
        <v>148</v>
      </c>
      <c r="D1" s="132" t="s">
        <v>149</v>
      </c>
      <c r="E1" s="132" t="s">
        <v>150</v>
      </c>
      <c r="F1" s="132" t="s">
        <v>151</v>
      </c>
      <c r="G1" s="132" t="s">
        <v>152</v>
      </c>
      <c r="H1" s="133" t="s">
        <v>180</v>
      </c>
      <c r="I1" s="133" t="s">
        <v>153</v>
      </c>
      <c r="J1" s="133" t="s">
        <v>154</v>
      </c>
      <c r="K1" s="11" t="s">
        <v>29</v>
      </c>
      <c r="L1" s="132" t="s">
        <v>156</v>
      </c>
      <c r="M1" s="132" t="s">
        <v>155</v>
      </c>
      <c r="N1" s="21" t="s">
        <v>157</v>
      </c>
      <c r="O1" s="21" t="s">
        <v>158</v>
      </c>
      <c r="P1" s="21" t="s">
        <v>159</v>
      </c>
      <c r="Q1" s="125" t="s">
        <v>177</v>
      </c>
      <c r="R1" s="125" t="s">
        <v>178</v>
      </c>
      <c r="S1" s="125" t="s">
        <v>179</v>
      </c>
      <c r="T1" s="11" t="s">
        <v>160</v>
      </c>
      <c r="U1" s="131" t="s">
        <v>161</v>
      </c>
      <c r="V1" s="131" t="s">
        <v>162</v>
      </c>
      <c r="W1" s="129" t="s">
        <v>163</v>
      </c>
      <c r="X1" s="11" t="s">
        <v>164</v>
      </c>
      <c r="Y1" s="11" t="s">
        <v>165</v>
      </c>
      <c r="Z1" s="11" t="s">
        <v>166</v>
      </c>
      <c r="AA1" s="131" t="s">
        <v>167</v>
      </c>
      <c r="AB1" s="11" t="s">
        <v>168</v>
      </c>
      <c r="AC1" s="16" t="s">
        <v>169</v>
      </c>
      <c r="AD1" s="126" t="s">
        <v>170</v>
      </c>
      <c r="AE1" s="22" t="s">
        <v>171</v>
      </c>
      <c r="AF1" s="8" t="s">
        <v>172</v>
      </c>
      <c r="AG1" s="127" t="s">
        <v>173</v>
      </c>
      <c r="AH1" s="128" t="s">
        <v>40</v>
      </c>
      <c r="AI1" s="11" t="s">
        <v>174</v>
      </c>
      <c r="AJ1" s="129" t="s">
        <v>175</v>
      </c>
      <c r="AK1" s="130" t="s">
        <v>176</v>
      </c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</row>
    <row r="2" spans="1:103" x14ac:dyDescent="0.25">
      <c r="A2" s="123" t="s">
        <v>97</v>
      </c>
      <c r="B2" s="25">
        <f>17550+17550</f>
        <v>35100</v>
      </c>
      <c r="C2" s="25">
        <f>17550-126.16-504.63+17550-529.86</f>
        <v>33939.35</v>
      </c>
      <c r="D2" s="26">
        <f>402.19+399.67</f>
        <v>801.86</v>
      </c>
      <c r="E2" s="26">
        <v>0</v>
      </c>
      <c r="F2" s="26">
        <v>0</v>
      </c>
      <c r="G2" s="26">
        <f t="shared" ref="G2:G28" si="0">C2+D2+E2+F2</f>
        <v>34741.21</v>
      </c>
      <c r="H2" s="26">
        <v>1350</v>
      </c>
      <c r="I2" s="27">
        <f>1900+950</f>
        <v>2850</v>
      </c>
      <c r="J2" s="26">
        <f t="shared" ref="J2:J35" si="1">H2+I2</f>
        <v>4200</v>
      </c>
      <c r="K2" s="26">
        <v>30</v>
      </c>
      <c r="L2" s="26">
        <f>1845.8</f>
        <v>1845.8</v>
      </c>
      <c r="M2" s="26">
        <v>0</v>
      </c>
      <c r="N2" s="26">
        <f>B2*5%/2</f>
        <v>877.5</v>
      </c>
      <c r="O2" s="26">
        <f t="shared" ref="O2:O27" si="2">N2</f>
        <v>877.5</v>
      </c>
      <c r="P2" s="26">
        <f>N2+O2</f>
        <v>1755</v>
      </c>
      <c r="Q2" s="26">
        <v>0</v>
      </c>
      <c r="R2" s="26">
        <v>0</v>
      </c>
      <c r="S2" s="26">
        <v>0</v>
      </c>
      <c r="T2" s="28">
        <f>(G2-H2-N2-Q2-U2-20833)*15%</f>
        <v>1722.1064999999999</v>
      </c>
      <c r="U2" s="26">
        <v>200</v>
      </c>
      <c r="V2" s="26">
        <f t="shared" ref="V2:V35" si="3">U2</f>
        <v>200</v>
      </c>
      <c r="W2" s="25">
        <v>0</v>
      </c>
      <c r="X2" s="26">
        <v>0</v>
      </c>
      <c r="Y2" s="26">
        <v>0</v>
      </c>
      <c r="Z2" s="26">
        <v>0</v>
      </c>
      <c r="AA2" s="26">
        <v>72.680000000000007</v>
      </c>
      <c r="AB2" s="26">
        <v>0</v>
      </c>
      <c r="AC2" s="26">
        <v>0</v>
      </c>
      <c r="AD2" s="26">
        <f t="shared" ref="AD2:AD19" si="4">G2-L2-M2-W2-X2-Y2-Z2-AA2-H2-N2-T2-U2</f>
        <v>28673.123499999994</v>
      </c>
      <c r="AE2" s="26">
        <f>5200+5200</f>
        <v>10400</v>
      </c>
      <c r="AF2" s="26">
        <f>119.63+119.63</f>
        <v>239.26</v>
      </c>
      <c r="AG2" s="29">
        <f>1000+1000</f>
        <v>2000</v>
      </c>
      <c r="AH2" s="30">
        <v>0</v>
      </c>
      <c r="AI2" s="29">
        <v>0</v>
      </c>
      <c r="AJ2" s="27">
        <v>0</v>
      </c>
      <c r="AK2" s="31">
        <f t="shared" ref="AK2:AK26" si="5">AD2+AE2+AF2+AG2</f>
        <v>41312.383499999996</v>
      </c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</row>
    <row r="3" spans="1:103" x14ac:dyDescent="0.25">
      <c r="A3" s="123" t="s">
        <v>41</v>
      </c>
      <c r="B3" s="25">
        <f>8364.5+8364.5</f>
        <v>16729</v>
      </c>
      <c r="C3" s="25">
        <f>8364.5-1.34+8364.5-28.06</f>
        <v>16699.599999999999</v>
      </c>
      <c r="D3" s="26">
        <f>192.41+192.41</f>
        <v>384.82</v>
      </c>
      <c r="E3" s="26">
        <v>0</v>
      </c>
      <c r="F3" s="26">
        <v>0</v>
      </c>
      <c r="G3" s="26">
        <f t="shared" si="0"/>
        <v>17084.419999999998</v>
      </c>
      <c r="H3" s="26">
        <v>742.5</v>
      </c>
      <c r="I3" s="27">
        <v>1567.5</v>
      </c>
      <c r="J3" s="26">
        <f t="shared" si="1"/>
        <v>2310</v>
      </c>
      <c r="K3" s="26">
        <v>30</v>
      </c>
      <c r="L3" s="26">
        <v>1430.49</v>
      </c>
      <c r="M3" s="26">
        <v>0</v>
      </c>
      <c r="N3" s="26">
        <f>B3*5%/2</f>
        <v>418.22500000000002</v>
      </c>
      <c r="O3" s="26">
        <f t="shared" si="2"/>
        <v>418.22500000000002</v>
      </c>
      <c r="P3" s="26">
        <f>N3+O3+0.01</f>
        <v>836.46</v>
      </c>
      <c r="Q3" s="26">
        <v>0</v>
      </c>
      <c r="R3" s="26">
        <v>0</v>
      </c>
      <c r="S3" s="26">
        <v>0</v>
      </c>
      <c r="T3" s="26">
        <v>0</v>
      </c>
      <c r="U3" s="26">
        <v>200</v>
      </c>
      <c r="V3" s="26">
        <f t="shared" si="3"/>
        <v>200</v>
      </c>
      <c r="W3" s="25">
        <v>950</v>
      </c>
      <c r="X3" s="26">
        <v>0</v>
      </c>
      <c r="Y3" s="26">
        <f>500+500</f>
        <v>1000</v>
      </c>
      <c r="Z3" s="26">
        <v>0</v>
      </c>
      <c r="AA3" s="26">
        <v>0</v>
      </c>
      <c r="AB3" s="26">
        <v>0</v>
      </c>
      <c r="AC3" s="26">
        <v>0</v>
      </c>
      <c r="AD3" s="26">
        <f t="shared" si="4"/>
        <v>12343.204999999998</v>
      </c>
      <c r="AE3" s="26">
        <v>0</v>
      </c>
      <c r="AF3" s="26">
        <v>0</v>
      </c>
      <c r="AG3" s="29">
        <v>0</v>
      </c>
      <c r="AH3" s="26">
        <v>0</v>
      </c>
      <c r="AI3" s="26">
        <v>0</v>
      </c>
      <c r="AJ3" s="26">
        <v>0</v>
      </c>
      <c r="AK3" s="31">
        <f t="shared" si="5"/>
        <v>12343.204999999998</v>
      </c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</row>
    <row r="4" spans="1:103" s="35" customFormat="1" ht="12.75" x14ac:dyDescent="0.2">
      <c r="A4" s="123" t="s">
        <v>98</v>
      </c>
      <c r="B4" s="34">
        <f>16000</f>
        <v>16000</v>
      </c>
      <c r="C4" s="25">
        <f>8000-1533.55-122.69+8000-141.86</f>
        <v>14201.9</v>
      </c>
      <c r="D4" s="26">
        <v>176.67</v>
      </c>
      <c r="E4" s="26">
        <v>0</v>
      </c>
      <c r="F4" s="26">
        <v>0</v>
      </c>
      <c r="G4" s="26">
        <f t="shared" si="0"/>
        <v>14378.57</v>
      </c>
      <c r="H4" s="26">
        <v>720</v>
      </c>
      <c r="I4" s="27">
        <v>1520</v>
      </c>
      <c r="J4" s="26">
        <f t="shared" si="1"/>
        <v>2240</v>
      </c>
      <c r="K4" s="27">
        <v>30</v>
      </c>
      <c r="L4" s="26">
        <v>0</v>
      </c>
      <c r="M4" s="26">
        <v>0</v>
      </c>
      <c r="N4" s="26">
        <f>B4*5%/2</f>
        <v>400</v>
      </c>
      <c r="O4" s="26">
        <f t="shared" si="2"/>
        <v>400</v>
      </c>
      <c r="P4" s="27">
        <f t="shared" ref="P4:P10" si="6">N4+O4</f>
        <v>800</v>
      </c>
      <c r="Q4" s="26">
        <v>0</v>
      </c>
      <c r="R4" s="26">
        <v>0</v>
      </c>
      <c r="S4" s="26">
        <v>0</v>
      </c>
      <c r="T4" s="26">
        <v>0</v>
      </c>
      <c r="U4" s="26">
        <v>200</v>
      </c>
      <c r="V4" s="26">
        <f t="shared" si="3"/>
        <v>200</v>
      </c>
      <c r="W4" s="25">
        <v>0</v>
      </c>
      <c r="X4" s="26">
        <v>0</v>
      </c>
      <c r="Y4" s="26">
        <v>0</v>
      </c>
      <c r="Z4" s="26">
        <v>0</v>
      </c>
      <c r="AA4" s="26">
        <v>230.03</v>
      </c>
      <c r="AB4" s="26">
        <v>0</v>
      </c>
      <c r="AC4" s="26">
        <v>0</v>
      </c>
      <c r="AD4" s="26">
        <f t="shared" si="4"/>
        <v>12828.539999999999</v>
      </c>
      <c r="AE4" s="26">
        <v>0</v>
      </c>
      <c r="AF4" s="26">
        <v>0</v>
      </c>
      <c r="AG4" s="29">
        <v>0</v>
      </c>
      <c r="AH4" s="30">
        <v>0</v>
      </c>
      <c r="AI4" s="29">
        <v>0</v>
      </c>
      <c r="AJ4" s="27">
        <v>0</v>
      </c>
      <c r="AK4" s="31">
        <f t="shared" si="5"/>
        <v>12828.539999999999</v>
      </c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</row>
    <row r="5" spans="1:103" s="35" customFormat="1" ht="12.75" x14ac:dyDescent="0.2">
      <c r="A5" s="123" t="s">
        <v>99</v>
      </c>
      <c r="B5" s="34">
        <f>12500+12500</f>
        <v>25000</v>
      </c>
      <c r="C5" s="25">
        <f>12500-3833.88-203.68+12500-1916.94</f>
        <v>19045.5</v>
      </c>
      <c r="D5" s="26">
        <v>287.54000000000002</v>
      </c>
      <c r="E5" s="26">
        <v>0</v>
      </c>
      <c r="F5" s="26">
        <v>149.76</v>
      </c>
      <c r="G5" s="26">
        <f t="shared" si="0"/>
        <v>19482.8</v>
      </c>
      <c r="H5" s="26">
        <f>900+225</f>
        <v>1125</v>
      </c>
      <c r="I5" s="27">
        <f>1900+475</f>
        <v>2375</v>
      </c>
      <c r="J5" s="26">
        <f t="shared" si="1"/>
        <v>3500</v>
      </c>
      <c r="K5" s="27">
        <v>30</v>
      </c>
      <c r="L5" s="26">
        <v>0</v>
      </c>
      <c r="M5" s="26">
        <v>0</v>
      </c>
      <c r="N5" s="26">
        <f>B5*5%/2</f>
        <v>625</v>
      </c>
      <c r="O5" s="26">
        <f t="shared" si="2"/>
        <v>625</v>
      </c>
      <c r="P5" s="27">
        <f t="shared" si="6"/>
        <v>1250</v>
      </c>
      <c r="Q5" s="26">
        <v>0</v>
      </c>
      <c r="R5" s="26">
        <v>0</v>
      </c>
      <c r="S5" s="26">
        <v>0</v>
      </c>
      <c r="T5" s="26">
        <v>0</v>
      </c>
      <c r="U5" s="26">
        <v>200</v>
      </c>
      <c r="V5" s="26">
        <f t="shared" si="3"/>
        <v>200</v>
      </c>
      <c r="W5" s="25"/>
      <c r="X5" s="26"/>
      <c r="Y5" s="26"/>
      <c r="Z5" s="26">
        <v>0</v>
      </c>
      <c r="AA5" s="26">
        <v>6.66</v>
      </c>
      <c r="AB5" s="26">
        <v>0</v>
      </c>
      <c r="AC5" s="26">
        <v>0</v>
      </c>
      <c r="AD5" s="26">
        <f t="shared" si="4"/>
        <v>17526.14</v>
      </c>
      <c r="AE5" s="26">
        <v>0</v>
      </c>
      <c r="AF5" s="26">
        <v>0</v>
      </c>
      <c r="AG5" s="29">
        <v>0</v>
      </c>
      <c r="AH5" s="30"/>
      <c r="AI5" s="29"/>
      <c r="AJ5" s="27"/>
      <c r="AK5" s="31">
        <f t="shared" si="5"/>
        <v>17526.14</v>
      </c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</row>
    <row r="6" spans="1:103" x14ac:dyDescent="0.25">
      <c r="A6" s="123" t="s">
        <v>100</v>
      </c>
      <c r="B6" s="34">
        <f>9083.75+9083.75</f>
        <v>18167.5</v>
      </c>
      <c r="C6" s="25">
        <f>9083.75+9083.75-348.26-7.25</f>
        <v>17811.990000000002</v>
      </c>
      <c r="D6" s="26">
        <v>208.94</v>
      </c>
      <c r="E6" s="26">
        <v>0</v>
      </c>
      <c r="F6" s="26">
        <v>0</v>
      </c>
      <c r="G6" s="26">
        <f t="shared" si="0"/>
        <v>18020.93</v>
      </c>
      <c r="H6" s="26">
        <v>810</v>
      </c>
      <c r="I6" s="27">
        <v>1710</v>
      </c>
      <c r="J6" s="26">
        <f t="shared" si="1"/>
        <v>2520</v>
      </c>
      <c r="K6" s="27">
        <v>30</v>
      </c>
      <c r="L6" s="26">
        <v>784.46</v>
      </c>
      <c r="M6" s="26">
        <v>0</v>
      </c>
      <c r="N6" s="26">
        <f>B6*5%/2</f>
        <v>454.1875</v>
      </c>
      <c r="O6" s="26">
        <f t="shared" si="2"/>
        <v>454.1875</v>
      </c>
      <c r="P6" s="27">
        <f t="shared" si="6"/>
        <v>908.375</v>
      </c>
      <c r="Q6" s="26">
        <v>0</v>
      </c>
      <c r="R6" s="26">
        <v>0</v>
      </c>
      <c r="S6" s="26">
        <v>0</v>
      </c>
      <c r="T6" s="26">
        <v>0</v>
      </c>
      <c r="U6" s="26">
        <v>200</v>
      </c>
      <c r="V6" s="26">
        <f t="shared" si="3"/>
        <v>200</v>
      </c>
      <c r="W6" s="25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f t="shared" si="4"/>
        <v>15772.282500000001</v>
      </c>
      <c r="AE6" s="26">
        <v>0</v>
      </c>
      <c r="AF6" s="26">
        <v>0</v>
      </c>
      <c r="AG6" s="29">
        <v>0</v>
      </c>
      <c r="AH6" s="30">
        <v>0</v>
      </c>
      <c r="AI6" s="29">
        <v>0</v>
      </c>
      <c r="AJ6" s="27">
        <v>0</v>
      </c>
      <c r="AK6" s="31">
        <f t="shared" si="5"/>
        <v>15772.282500000001</v>
      </c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</row>
    <row r="7" spans="1:103" s="39" customFormat="1" x14ac:dyDescent="0.25">
      <c r="A7" s="123" t="s">
        <v>101</v>
      </c>
      <c r="B7" s="34">
        <f>150000+30000+50000</f>
        <v>230000</v>
      </c>
      <c r="C7" s="25">
        <f>B7</f>
        <v>230000</v>
      </c>
      <c r="D7" s="26">
        <v>0</v>
      </c>
      <c r="E7" s="26">
        <v>0</v>
      </c>
      <c r="F7" s="26">
        <v>0</v>
      </c>
      <c r="G7" s="26">
        <f t="shared" si="0"/>
        <v>230000</v>
      </c>
      <c r="H7" s="26">
        <f>900+450</f>
        <v>1350</v>
      </c>
      <c r="I7" s="27">
        <f>1900+950</f>
        <v>2850</v>
      </c>
      <c r="J7" s="26">
        <f t="shared" si="1"/>
        <v>4200</v>
      </c>
      <c r="K7" s="27">
        <v>30</v>
      </c>
      <c r="L7" s="26">
        <v>0</v>
      </c>
      <c r="M7" s="26">
        <v>0</v>
      </c>
      <c r="N7" s="26">
        <v>2500</v>
      </c>
      <c r="O7" s="26">
        <f t="shared" si="2"/>
        <v>2500</v>
      </c>
      <c r="P7" s="27">
        <f t="shared" si="6"/>
        <v>5000</v>
      </c>
      <c r="Q7" s="26">
        <v>0</v>
      </c>
      <c r="R7" s="26">
        <v>0</v>
      </c>
      <c r="S7" s="26">
        <f>Q7+R7</f>
        <v>0</v>
      </c>
      <c r="T7" s="26">
        <f>(G7-H7-N7-U7-166667)*30%+33541.8</f>
        <v>51326.7</v>
      </c>
      <c r="U7" s="26">
        <v>200</v>
      </c>
      <c r="V7" s="26">
        <f t="shared" si="3"/>
        <v>200</v>
      </c>
      <c r="W7" s="25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f t="shared" si="4"/>
        <v>174623.3</v>
      </c>
      <c r="AE7" s="26">
        <v>0</v>
      </c>
      <c r="AF7" s="26">
        <v>0</v>
      </c>
      <c r="AG7" s="29">
        <v>0</v>
      </c>
      <c r="AH7" s="30">
        <v>0</v>
      </c>
      <c r="AI7" s="29">
        <v>0</v>
      </c>
      <c r="AJ7" s="27">
        <v>0</v>
      </c>
      <c r="AK7" s="31">
        <f t="shared" si="5"/>
        <v>174623.3</v>
      </c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</row>
    <row r="8" spans="1:103" x14ac:dyDescent="0.25">
      <c r="A8" s="123" t="s">
        <v>102</v>
      </c>
      <c r="B8" s="34">
        <f>10706+10706</f>
        <v>21412</v>
      </c>
      <c r="C8" s="25">
        <f>10706-205.22+10706</f>
        <v>21206.78</v>
      </c>
      <c r="D8" s="26">
        <v>246.26</v>
      </c>
      <c r="E8" s="26">
        <v>0</v>
      </c>
      <c r="F8" s="26">
        <f>769.58+641.31</f>
        <v>1410.8899999999999</v>
      </c>
      <c r="G8" s="26">
        <f t="shared" si="0"/>
        <v>22863.929999999997</v>
      </c>
      <c r="H8" s="26">
        <v>967.5</v>
      </c>
      <c r="I8" s="27">
        <f>1900+142.5</f>
        <v>2042.5</v>
      </c>
      <c r="J8" s="26">
        <f t="shared" si="1"/>
        <v>3010</v>
      </c>
      <c r="K8" s="27">
        <v>30</v>
      </c>
      <c r="L8" s="26">
        <v>0</v>
      </c>
      <c r="M8" s="26">
        <v>0</v>
      </c>
      <c r="N8" s="26">
        <f t="shared" ref="N8:N17" si="7">B8*5%/2</f>
        <v>535.30000000000007</v>
      </c>
      <c r="O8" s="26">
        <f t="shared" si="2"/>
        <v>535.30000000000007</v>
      </c>
      <c r="P8" s="27">
        <f t="shared" si="6"/>
        <v>1070.6000000000001</v>
      </c>
      <c r="Q8" s="26">
        <v>0</v>
      </c>
      <c r="R8" s="26">
        <v>0</v>
      </c>
      <c r="S8" s="26">
        <v>0</v>
      </c>
      <c r="T8" s="28">
        <f>(G8-H8-N8-Q8-U8-20833)*15%</f>
        <v>49.219499999999606</v>
      </c>
      <c r="U8" s="26">
        <v>200</v>
      </c>
      <c r="V8" s="26">
        <f t="shared" si="3"/>
        <v>200</v>
      </c>
      <c r="W8" s="25">
        <v>3680.46</v>
      </c>
      <c r="X8" s="26">
        <v>0</v>
      </c>
      <c r="Y8" s="26">
        <f>1500+1500</f>
        <v>3000</v>
      </c>
      <c r="Z8" s="26">
        <v>0</v>
      </c>
      <c r="AA8" s="26">
        <v>0</v>
      </c>
      <c r="AB8" s="26">
        <v>0</v>
      </c>
      <c r="AC8" s="26">
        <v>0</v>
      </c>
      <c r="AD8" s="26">
        <f t="shared" si="4"/>
        <v>14431.450499999999</v>
      </c>
      <c r="AE8" s="26">
        <f>2550+2550</f>
        <v>5100</v>
      </c>
      <c r="AF8" s="26">
        <v>58.67</v>
      </c>
      <c r="AG8" s="29">
        <v>0</v>
      </c>
      <c r="AH8" s="30">
        <v>0</v>
      </c>
      <c r="AI8" s="29">
        <v>0</v>
      </c>
      <c r="AJ8" s="27">
        <v>0</v>
      </c>
      <c r="AK8" s="31">
        <f t="shared" si="5"/>
        <v>19590.120499999997</v>
      </c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</row>
    <row r="9" spans="1:103" ht="14.25" customHeight="1" x14ac:dyDescent="0.25">
      <c r="A9" s="123" t="s">
        <v>103</v>
      </c>
      <c r="B9" s="34">
        <f>9500+9500</f>
        <v>19000</v>
      </c>
      <c r="C9" s="25">
        <f>9500-9.1-273.15+9500-1.52-91.05</f>
        <v>18625.18</v>
      </c>
      <c r="D9" s="26">
        <v>0</v>
      </c>
      <c r="E9" s="26">
        <v>0</v>
      </c>
      <c r="F9" s="26">
        <v>0</v>
      </c>
      <c r="G9" s="26">
        <f t="shared" si="0"/>
        <v>18625.18</v>
      </c>
      <c r="H9" s="26">
        <v>855</v>
      </c>
      <c r="I9" s="27">
        <v>1805</v>
      </c>
      <c r="J9" s="26">
        <f t="shared" si="1"/>
        <v>2660</v>
      </c>
      <c r="K9" s="26">
        <v>30</v>
      </c>
      <c r="L9" s="26">
        <v>1753.51</v>
      </c>
      <c r="M9" s="26">
        <v>0</v>
      </c>
      <c r="N9" s="26">
        <f t="shared" si="7"/>
        <v>475</v>
      </c>
      <c r="O9" s="26">
        <f t="shared" si="2"/>
        <v>475</v>
      </c>
      <c r="P9" s="27">
        <f t="shared" si="6"/>
        <v>950</v>
      </c>
      <c r="Q9" s="26">
        <v>0</v>
      </c>
      <c r="R9" s="26">
        <v>0</v>
      </c>
      <c r="S9" s="26">
        <v>0</v>
      </c>
      <c r="T9" s="26">
        <v>0</v>
      </c>
      <c r="U9" s="26">
        <v>200</v>
      </c>
      <c r="V9" s="26">
        <f t="shared" si="3"/>
        <v>200</v>
      </c>
      <c r="W9" s="25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f t="shared" si="4"/>
        <v>15341.670000000002</v>
      </c>
      <c r="AE9" s="26">
        <f>3100+3100</f>
        <v>6200</v>
      </c>
      <c r="AF9" s="26">
        <v>0</v>
      </c>
      <c r="AG9" s="29">
        <v>0</v>
      </c>
      <c r="AH9" s="30">
        <v>0</v>
      </c>
      <c r="AI9" s="29">
        <v>0</v>
      </c>
      <c r="AJ9" s="27">
        <v>0</v>
      </c>
      <c r="AK9" s="31">
        <f t="shared" si="5"/>
        <v>21541.670000000002</v>
      </c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</row>
    <row r="10" spans="1:103" ht="14.25" customHeight="1" x14ac:dyDescent="0.25">
      <c r="A10" s="123" t="s">
        <v>104</v>
      </c>
      <c r="B10" s="34">
        <f>7585+7585</f>
        <v>15170</v>
      </c>
      <c r="C10" s="25">
        <f>7585-32.72+7585-26.66</f>
        <v>15110.619999999999</v>
      </c>
      <c r="D10" s="26">
        <v>174.04</v>
      </c>
      <c r="E10" s="26">
        <v>0</v>
      </c>
      <c r="F10" s="26">
        <v>0</v>
      </c>
      <c r="G10" s="26">
        <f t="shared" si="0"/>
        <v>15284.66</v>
      </c>
      <c r="H10" s="26">
        <v>675</v>
      </c>
      <c r="I10" s="27">
        <v>1425</v>
      </c>
      <c r="J10" s="26">
        <f t="shared" si="1"/>
        <v>2100</v>
      </c>
      <c r="K10" s="27">
        <v>30</v>
      </c>
      <c r="L10" s="26">
        <v>1384.35</v>
      </c>
      <c r="M10" s="26">
        <v>0</v>
      </c>
      <c r="N10" s="26">
        <f t="shared" si="7"/>
        <v>379.25</v>
      </c>
      <c r="O10" s="26">
        <f t="shared" si="2"/>
        <v>379.25</v>
      </c>
      <c r="P10" s="27">
        <f t="shared" si="6"/>
        <v>758.5</v>
      </c>
      <c r="Q10" s="26">
        <v>0</v>
      </c>
      <c r="R10" s="26">
        <v>0</v>
      </c>
      <c r="S10" s="26">
        <v>0</v>
      </c>
      <c r="T10" s="26">
        <v>0</v>
      </c>
      <c r="U10" s="26">
        <v>200</v>
      </c>
      <c r="V10" s="26">
        <f t="shared" si="3"/>
        <v>200</v>
      </c>
      <c r="W10" s="25">
        <v>398.91</v>
      </c>
      <c r="X10" s="26">
        <v>0</v>
      </c>
      <c r="Y10" s="23">
        <f>1000+1000</f>
        <v>2000</v>
      </c>
      <c r="Z10" s="26">
        <v>0</v>
      </c>
      <c r="AA10" s="26">
        <v>72.7</v>
      </c>
      <c r="AB10" s="26">
        <v>0</v>
      </c>
      <c r="AC10" s="26">
        <v>0</v>
      </c>
      <c r="AD10" s="26">
        <f t="shared" si="4"/>
        <v>10174.449999999999</v>
      </c>
      <c r="AE10" s="26">
        <v>0</v>
      </c>
      <c r="AF10" s="26">
        <v>0</v>
      </c>
      <c r="AG10" s="29">
        <v>0</v>
      </c>
      <c r="AH10" s="30">
        <v>0</v>
      </c>
      <c r="AI10" s="29">
        <v>0</v>
      </c>
      <c r="AJ10" s="27">
        <v>0</v>
      </c>
      <c r="AK10" s="31">
        <f t="shared" si="5"/>
        <v>10174.449999999999</v>
      </c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</row>
    <row r="11" spans="1:103" x14ac:dyDescent="0.25">
      <c r="A11" s="123" t="s">
        <v>42</v>
      </c>
      <c r="B11" s="40">
        <f>12568.5+12568.5</f>
        <v>25137</v>
      </c>
      <c r="C11" s="25">
        <f>12568.5-112.43+12568.5-88.34</f>
        <v>24936.23</v>
      </c>
      <c r="D11" s="26">
        <f>289.1+289.1</f>
        <v>578.20000000000005</v>
      </c>
      <c r="E11" s="26">
        <v>0</v>
      </c>
      <c r="F11" s="26">
        <v>0</v>
      </c>
      <c r="G11" s="26">
        <f t="shared" si="0"/>
        <v>25514.43</v>
      </c>
      <c r="H11" s="26">
        <v>1125</v>
      </c>
      <c r="I11" s="27">
        <f>1900+475</f>
        <v>2375</v>
      </c>
      <c r="J11" s="26">
        <f t="shared" si="1"/>
        <v>3500</v>
      </c>
      <c r="K11" s="26">
        <v>30</v>
      </c>
      <c r="L11" s="26">
        <v>1845.8</v>
      </c>
      <c r="M11" s="26">
        <v>0</v>
      </c>
      <c r="N11" s="26">
        <f t="shared" si="7"/>
        <v>628.42500000000007</v>
      </c>
      <c r="O11" s="26">
        <f t="shared" si="2"/>
        <v>628.42500000000007</v>
      </c>
      <c r="P11" s="27">
        <f>N11+O11+0.01</f>
        <v>1256.8600000000001</v>
      </c>
      <c r="Q11" s="26">
        <v>0</v>
      </c>
      <c r="R11" s="26">
        <v>0</v>
      </c>
      <c r="S11" s="26">
        <v>0</v>
      </c>
      <c r="T11" s="28">
        <f>(G11-H11-N11-Q11-U11-20833)*15%</f>
        <v>409.20075000000014</v>
      </c>
      <c r="U11" s="26">
        <v>200</v>
      </c>
      <c r="V11" s="26">
        <f t="shared" si="3"/>
        <v>200</v>
      </c>
      <c r="W11" s="25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f t="shared" si="4"/>
        <v>21306.004250000002</v>
      </c>
      <c r="AE11" s="26">
        <v>0</v>
      </c>
      <c r="AF11" s="26">
        <v>0</v>
      </c>
      <c r="AG11" s="29">
        <v>0</v>
      </c>
      <c r="AH11" s="30">
        <v>0</v>
      </c>
      <c r="AI11" s="29">
        <v>0</v>
      </c>
      <c r="AJ11" s="27">
        <v>0</v>
      </c>
      <c r="AK11" s="31">
        <f t="shared" si="5"/>
        <v>21306.004250000002</v>
      </c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</row>
    <row r="12" spans="1:103" x14ac:dyDescent="0.25">
      <c r="A12" s="123" t="s">
        <v>105</v>
      </c>
      <c r="B12" s="34">
        <f>9646+9646</f>
        <v>19292</v>
      </c>
      <c r="C12" s="25">
        <f>9646-739.63-134.05-554.7+9646-1479.26-115.56</f>
        <v>16268.800000000005</v>
      </c>
      <c r="D12" s="26">
        <v>221.88</v>
      </c>
      <c r="E12" s="26">
        <v>0</v>
      </c>
      <c r="F12" s="26">
        <f>231.12+173.34</f>
        <v>404.46000000000004</v>
      </c>
      <c r="G12" s="26">
        <f t="shared" si="0"/>
        <v>16895.140000000003</v>
      </c>
      <c r="H12" s="27">
        <v>877.5</v>
      </c>
      <c r="I12" s="27">
        <v>1852.5</v>
      </c>
      <c r="J12" s="26">
        <f t="shared" si="1"/>
        <v>2730</v>
      </c>
      <c r="K12" s="27">
        <v>30</v>
      </c>
      <c r="L12" s="26">
        <v>1799.65</v>
      </c>
      <c r="M12" s="26">
        <v>0</v>
      </c>
      <c r="N12" s="26">
        <f t="shared" si="7"/>
        <v>482.3</v>
      </c>
      <c r="O12" s="26">
        <f t="shared" si="2"/>
        <v>482.3</v>
      </c>
      <c r="P12" s="27">
        <f t="shared" ref="P12:P27" si="8">N12+O12</f>
        <v>964.6</v>
      </c>
      <c r="Q12" s="26">
        <v>0</v>
      </c>
      <c r="R12" s="26">
        <v>0</v>
      </c>
      <c r="S12" s="26">
        <f>Q12+R12</f>
        <v>0</v>
      </c>
      <c r="T12" s="26">
        <v>0</v>
      </c>
      <c r="U12" s="26">
        <v>200</v>
      </c>
      <c r="V12" s="26">
        <f t="shared" si="3"/>
        <v>200</v>
      </c>
      <c r="W12" s="25">
        <f>1717.05</f>
        <v>1717.05</v>
      </c>
      <c r="X12" s="26">
        <v>0</v>
      </c>
      <c r="Y12" s="26">
        <v>0</v>
      </c>
      <c r="Z12" s="26">
        <v>0</v>
      </c>
      <c r="AA12" s="26">
        <v>76.34</v>
      </c>
      <c r="AB12" s="26">
        <v>0</v>
      </c>
      <c r="AC12" s="26">
        <v>0</v>
      </c>
      <c r="AD12" s="26">
        <f t="shared" si="4"/>
        <v>11742.300000000005</v>
      </c>
      <c r="AE12" s="26">
        <f>2300-176.36+2300-352.72</f>
        <v>4070.9199999999992</v>
      </c>
      <c r="AF12" s="26">
        <v>52.91</v>
      </c>
      <c r="AG12" s="29">
        <v>0</v>
      </c>
      <c r="AH12" s="30">
        <v>0</v>
      </c>
      <c r="AI12" s="29">
        <v>0</v>
      </c>
      <c r="AJ12" s="27">
        <v>0</v>
      </c>
      <c r="AK12" s="31">
        <f t="shared" si="5"/>
        <v>15866.130000000005</v>
      </c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</row>
    <row r="13" spans="1:103" x14ac:dyDescent="0.25">
      <c r="A13" s="123" t="s">
        <v>106</v>
      </c>
      <c r="B13" s="34">
        <f>35000+35000</f>
        <v>70000</v>
      </c>
      <c r="C13" s="25">
        <f>35000-866.6-167.73+35000-2683.71-777.15-110.7</f>
        <v>65394.109999999993</v>
      </c>
      <c r="D13" s="26">
        <v>779.94</v>
      </c>
      <c r="E13" s="26">
        <v>0</v>
      </c>
      <c r="F13" s="26">
        <v>0</v>
      </c>
      <c r="G13" s="26">
        <f t="shared" si="0"/>
        <v>66174.049999999988</v>
      </c>
      <c r="H13" s="26">
        <v>1350</v>
      </c>
      <c r="I13" s="27">
        <v>2850</v>
      </c>
      <c r="J13" s="26">
        <f t="shared" si="1"/>
        <v>4200</v>
      </c>
      <c r="K13" s="27">
        <v>30</v>
      </c>
      <c r="L13" s="26">
        <v>1845.8</v>
      </c>
      <c r="M13" s="26">
        <v>0</v>
      </c>
      <c r="N13" s="26">
        <f t="shared" si="7"/>
        <v>1750</v>
      </c>
      <c r="O13" s="26">
        <f t="shared" si="2"/>
        <v>1750</v>
      </c>
      <c r="P13" s="27">
        <f t="shared" si="8"/>
        <v>3500</v>
      </c>
      <c r="Q13" s="26">
        <v>0</v>
      </c>
      <c r="R13" s="26">
        <v>0</v>
      </c>
      <c r="S13" s="26">
        <v>0</v>
      </c>
      <c r="T13" s="26">
        <f>(G13-H13-N13-Q13-U13-33333)*20%+1875</f>
        <v>7783.2099999999982</v>
      </c>
      <c r="U13" s="26">
        <v>200</v>
      </c>
      <c r="V13" s="26">
        <f t="shared" si="3"/>
        <v>200</v>
      </c>
      <c r="W13" s="26">
        <v>3826.05</v>
      </c>
      <c r="X13" s="26">
        <v>0</v>
      </c>
      <c r="Y13" s="26">
        <v>0</v>
      </c>
      <c r="Z13" s="26">
        <f>10000+8157.16</f>
        <v>18157.16</v>
      </c>
      <c r="AA13" s="26">
        <v>0</v>
      </c>
      <c r="AB13" s="26">
        <v>0</v>
      </c>
      <c r="AC13" s="26">
        <v>0</v>
      </c>
      <c r="AD13" s="26">
        <f t="shared" si="4"/>
        <v>31261.82999999998</v>
      </c>
      <c r="AE13" s="26">
        <v>0</v>
      </c>
      <c r="AF13" s="26">
        <v>0</v>
      </c>
      <c r="AG13" s="29">
        <f>1000+1000</f>
        <v>2000</v>
      </c>
      <c r="AH13" s="30">
        <v>0</v>
      </c>
      <c r="AI13" s="29">
        <v>0</v>
      </c>
      <c r="AJ13" s="27">
        <v>0</v>
      </c>
      <c r="AK13" s="31">
        <f t="shared" si="5"/>
        <v>33261.82999999998</v>
      </c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</row>
    <row r="14" spans="1:103" x14ac:dyDescent="0.25">
      <c r="A14" s="123" t="s">
        <v>107</v>
      </c>
      <c r="B14" s="34">
        <f>7040+7040</f>
        <v>14080</v>
      </c>
      <c r="C14" s="25">
        <f>7040-809.72-75.35+7040-269.9-3.37</f>
        <v>12921.66</v>
      </c>
      <c r="D14" s="26">
        <v>80.98</v>
      </c>
      <c r="E14" s="26">
        <v>0</v>
      </c>
      <c r="F14" s="26">
        <f>506.1+701.79+114.04+759.15+161.95</f>
        <v>2243.0299999999997</v>
      </c>
      <c r="G14" s="26">
        <f t="shared" si="0"/>
        <v>15245.669999999998</v>
      </c>
      <c r="H14" s="26">
        <v>630</v>
      </c>
      <c r="I14" s="27">
        <v>1330</v>
      </c>
      <c r="J14" s="26">
        <f t="shared" si="1"/>
        <v>1960</v>
      </c>
      <c r="K14" s="27">
        <v>10</v>
      </c>
      <c r="L14" s="26">
        <v>1292.06</v>
      </c>
      <c r="M14" s="26">
        <v>0</v>
      </c>
      <c r="N14" s="26">
        <f t="shared" si="7"/>
        <v>352</v>
      </c>
      <c r="O14" s="26">
        <f t="shared" si="2"/>
        <v>352</v>
      </c>
      <c r="P14" s="27">
        <f t="shared" si="8"/>
        <v>704</v>
      </c>
      <c r="Q14" s="26">
        <v>0</v>
      </c>
      <c r="R14" s="26">
        <v>0</v>
      </c>
      <c r="S14" s="26">
        <v>0</v>
      </c>
      <c r="T14" s="26">
        <v>0</v>
      </c>
      <c r="U14" s="26">
        <v>200</v>
      </c>
      <c r="V14" s="26">
        <f t="shared" si="3"/>
        <v>200</v>
      </c>
      <c r="W14" s="25">
        <v>0</v>
      </c>
      <c r="X14" s="26">
        <v>0</v>
      </c>
      <c r="Y14" s="26">
        <v>0</v>
      </c>
      <c r="Z14" s="26">
        <v>0</v>
      </c>
      <c r="AA14" s="26">
        <v>44.98</v>
      </c>
      <c r="AB14" s="26">
        <v>0</v>
      </c>
      <c r="AC14" s="26">
        <v>0</v>
      </c>
      <c r="AD14" s="26">
        <f t="shared" si="4"/>
        <v>12726.63</v>
      </c>
      <c r="AE14" s="26">
        <v>0</v>
      </c>
      <c r="AF14" s="26">
        <v>0</v>
      </c>
      <c r="AG14" s="29">
        <v>0</v>
      </c>
      <c r="AH14" s="30">
        <v>0</v>
      </c>
      <c r="AI14" s="29">
        <v>0</v>
      </c>
      <c r="AJ14" s="27">
        <v>0</v>
      </c>
      <c r="AK14" s="31">
        <f t="shared" si="5"/>
        <v>12726.63</v>
      </c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</row>
    <row r="15" spans="1:103" x14ac:dyDescent="0.25">
      <c r="A15" s="123" t="s">
        <v>108</v>
      </c>
      <c r="B15" s="34">
        <f>10570+10570</f>
        <v>21140</v>
      </c>
      <c r="C15" s="25">
        <f>10570-810.48-99.62+10570-258.34</f>
        <v>19971.560000000001</v>
      </c>
      <c r="D15" s="26">
        <v>228.56</v>
      </c>
      <c r="E15" s="26">
        <v>0</v>
      </c>
      <c r="F15" s="26">
        <v>0</v>
      </c>
      <c r="G15" s="26">
        <f t="shared" si="0"/>
        <v>20200.120000000003</v>
      </c>
      <c r="H15" s="26">
        <v>945</v>
      </c>
      <c r="I15" s="27">
        <f>1900+95</f>
        <v>1995</v>
      </c>
      <c r="J15" s="26">
        <f t="shared" si="1"/>
        <v>2940</v>
      </c>
      <c r="K15" s="27">
        <v>30</v>
      </c>
      <c r="L15" s="26">
        <v>1845.8</v>
      </c>
      <c r="M15" s="26">
        <f>0</f>
        <v>0</v>
      </c>
      <c r="N15" s="26">
        <f t="shared" si="7"/>
        <v>528.5</v>
      </c>
      <c r="O15" s="26">
        <f t="shared" si="2"/>
        <v>528.5</v>
      </c>
      <c r="P15" s="27">
        <f t="shared" si="8"/>
        <v>1057</v>
      </c>
      <c r="Q15" s="26">
        <v>0</v>
      </c>
      <c r="R15" s="26">
        <v>0</v>
      </c>
      <c r="S15" s="26">
        <v>0</v>
      </c>
      <c r="T15" s="27">
        <v>0</v>
      </c>
      <c r="U15" s="26">
        <v>200</v>
      </c>
      <c r="V15" s="26">
        <f t="shared" si="3"/>
        <v>200</v>
      </c>
      <c r="W15" s="25">
        <v>1611.71</v>
      </c>
      <c r="X15" s="26">
        <v>0</v>
      </c>
      <c r="Y15" s="26">
        <f>1000+1000</f>
        <v>2000</v>
      </c>
      <c r="Z15" s="26">
        <v>0</v>
      </c>
      <c r="AA15" s="26">
        <v>0</v>
      </c>
      <c r="AB15" s="26">
        <v>0</v>
      </c>
      <c r="AC15" s="26">
        <v>0</v>
      </c>
      <c r="AD15" s="26">
        <f t="shared" si="4"/>
        <v>13069.110000000004</v>
      </c>
      <c r="AE15" s="26">
        <v>0</v>
      </c>
      <c r="AF15" s="26">
        <v>0</v>
      </c>
      <c r="AG15" s="29">
        <v>0</v>
      </c>
      <c r="AH15" s="30">
        <v>0</v>
      </c>
      <c r="AI15" s="29">
        <v>0</v>
      </c>
      <c r="AJ15" s="27">
        <v>0</v>
      </c>
      <c r="AK15" s="31">
        <f t="shared" si="5"/>
        <v>13069.110000000004</v>
      </c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</row>
    <row r="16" spans="1:103" s="42" customFormat="1" ht="13.15" customHeight="1" x14ac:dyDescent="0.2">
      <c r="A16" s="123" t="s">
        <v>109</v>
      </c>
      <c r="B16" s="34">
        <f>8382+8382</f>
        <v>16764</v>
      </c>
      <c r="C16" s="25">
        <f>8382-1928.13-17.41+8382-13.39</f>
        <v>14805.07</v>
      </c>
      <c r="D16" s="26">
        <f>192.82+189.92</f>
        <v>382.74</v>
      </c>
      <c r="E16" s="26">
        <v>0</v>
      </c>
      <c r="F16" s="26">
        <f>1405.95+1405.95</f>
        <v>2811.9</v>
      </c>
      <c r="G16" s="27">
        <f t="shared" si="0"/>
        <v>17999.71</v>
      </c>
      <c r="H16" s="26">
        <v>765</v>
      </c>
      <c r="I16" s="27">
        <v>1615</v>
      </c>
      <c r="J16" s="26">
        <f t="shared" si="1"/>
        <v>2380</v>
      </c>
      <c r="K16" s="27">
        <v>30</v>
      </c>
      <c r="L16" s="26">
        <v>1522.78</v>
      </c>
      <c r="M16" s="26">
        <v>0</v>
      </c>
      <c r="N16" s="26">
        <f t="shared" si="7"/>
        <v>419.1</v>
      </c>
      <c r="O16" s="26">
        <f t="shared" si="2"/>
        <v>419.1</v>
      </c>
      <c r="P16" s="27">
        <f t="shared" si="8"/>
        <v>838.2</v>
      </c>
      <c r="Q16" s="26">
        <v>0</v>
      </c>
      <c r="R16" s="26">
        <v>0</v>
      </c>
      <c r="S16" s="26">
        <v>0</v>
      </c>
      <c r="T16" s="26">
        <v>0</v>
      </c>
      <c r="U16" s="26">
        <v>200</v>
      </c>
      <c r="V16" s="27">
        <f t="shared" si="3"/>
        <v>200</v>
      </c>
      <c r="W16" s="25">
        <v>1748.92</v>
      </c>
      <c r="X16" s="30">
        <v>0</v>
      </c>
      <c r="Y16" s="30">
        <f>1000+1000</f>
        <v>2000</v>
      </c>
      <c r="Z16" s="26">
        <v>0</v>
      </c>
      <c r="AA16" s="26">
        <v>0</v>
      </c>
      <c r="AB16" s="26">
        <v>0</v>
      </c>
      <c r="AC16" s="26">
        <v>0</v>
      </c>
      <c r="AD16" s="26">
        <f t="shared" si="4"/>
        <v>11343.91</v>
      </c>
      <c r="AE16" s="26">
        <v>0</v>
      </c>
      <c r="AF16" s="26">
        <v>0</v>
      </c>
      <c r="AG16" s="29">
        <v>0</v>
      </c>
      <c r="AH16" s="30">
        <v>0</v>
      </c>
      <c r="AI16" s="29">
        <v>0</v>
      </c>
      <c r="AJ16" s="27">
        <v>0</v>
      </c>
      <c r="AK16" s="31">
        <f t="shared" si="5"/>
        <v>11343.91</v>
      </c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</row>
    <row r="17" spans="1:103" x14ac:dyDescent="0.25">
      <c r="A17" s="123" t="s">
        <v>110</v>
      </c>
      <c r="B17" s="34">
        <f>11260+11260</f>
        <v>22520</v>
      </c>
      <c r="C17" s="25">
        <f>11260-19.79+11260-46.77</f>
        <v>22453.439999999999</v>
      </c>
      <c r="D17" s="26">
        <v>259.01</v>
      </c>
      <c r="E17" s="26">
        <v>0</v>
      </c>
      <c r="F17" s="26">
        <f>741.95+741.95</f>
        <v>1483.9</v>
      </c>
      <c r="G17" s="26">
        <f t="shared" si="0"/>
        <v>24196.35</v>
      </c>
      <c r="H17" s="26">
        <f>900+112.5</f>
        <v>1012.5</v>
      </c>
      <c r="I17" s="27">
        <f>1900+237.5</f>
        <v>2137.5</v>
      </c>
      <c r="J17" s="26">
        <f t="shared" si="1"/>
        <v>3150</v>
      </c>
      <c r="K17" s="27">
        <v>30</v>
      </c>
      <c r="L17" s="26">
        <v>1845.8</v>
      </c>
      <c r="M17" s="26">
        <v>0</v>
      </c>
      <c r="N17" s="26">
        <f t="shared" si="7"/>
        <v>563</v>
      </c>
      <c r="O17" s="26">
        <f t="shared" si="2"/>
        <v>563</v>
      </c>
      <c r="P17" s="27">
        <f t="shared" si="8"/>
        <v>1126</v>
      </c>
      <c r="Q17" s="26">
        <v>0</v>
      </c>
      <c r="R17" s="26">
        <v>0</v>
      </c>
      <c r="S17" s="26">
        <v>0</v>
      </c>
      <c r="T17" s="26">
        <f>(G17-H17-N17-U17-20833)*15%</f>
        <v>238.17749999999978</v>
      </c>
      <c r="U17" s="26">
        <v>200</v>
      </c>
      <c r="V17" s="26">
        <f t="shared" si="3"/>
        <v>200</v>
      </c>
      <c r="W17" s="25">
        <v>1417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f t="shared" si="4"/>
        <v>18919.872499999998</v>
      </c>
      <c r="AE17" s="26">
        <f>1900+1900</f>
        <v>3800</v>
      </c>
      <c r="AF17" s="26">
        <v>43.71</v>
      </c>
      <c r="AG17" s="29">
        <v>0</v>
      </c>
      <c r="AH17" s="30">
        <v>0</v>
      </c>
      <c r="AI17" s="29">
        <v>0</v>
      </c>
      <c r="AJ17" s="27">
        <v>0</v>
      </c>
      <c r="AK17" s="31">
        <f t="shared" si="5"/>
        <v>22763.582499999997</v>
      </c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</row>
    <row r="18" spans="1:103" s="39" customFormat="1" x14ac:dyDescent="0.25">
      <c r="A18" s="123" t="s">
        <v>111</v>
      </c>
      <c r="B18" s="34">
        <f>62500+62500</f>
        <v>125000</v>
      </c>
      <c r="C18" s="25">
        <f>B18</f>
        <v>125000</v>
      </c>
      <c r="D18" s="26">
        <v>0</v>
      </c>
      <c r="E18" s="26">
        <v>0</v>
      </c>
      <c r="F18" s="26">
        <v>0</v>
      </c>
      <c r="G18" s="26">
        <f t="shared" si="0"/>
        <v>125000</v>
      </c>
      <c r="H18" s="26">
        <f>900+450</f>
        <v>1350</v>
      </c>
      <c r="I18" s="27">
        <f>1900+950</f>
        <v>2850</v>
      </c>
      <c r="J18" s="26">
        <f t="shared" si="1"/>
        <v>4200</v>
      </c>
      <c r="K18" s="27">
        <v>30</v>
      </c>
      <c r="L18" s="26">
        <v>0</v>
      </c>
      <c r="M18" s="26">
        <v>0</v>
      </c>
      <c r="N18" s="26">
        <f>5000/2</f>
        <v>2500</v>
      </c>
      <c r="O18" s="26">
        <f t="shared" si="2"/>
        <v>2500</v>
      </c>
      <c r="P18" s="27">
        <f t="shared" si="8"/>
        <v>5000</v>
      </c>
      <c r="Q18" s="26">
        <v>0</v>
      </c>
      <c r="R18" s="26">
        <v>0</v>
      </c>
      <c r="S18" s="26">
        <v>0</v>
      </c>
      <c r="T18" s="26">
        <f>(G18-H18-N18-U18-66667)*25%+8541.8</f>
        <v>22112.55</v>
      </c>
      <c r="U18" s="26">
        <v>200</v>
      </c>
      <c r="V18" s="26">
        <f t="shared" si="3"/>
        <v>200</v>
      </c>
      <c r="W18" s="25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f t="shared" si="4"/>
        <v>98837.45</v>
      </c>
      <c r="AE18" s="26">
        <v>0</v>
      </c>
      <c r="AF18" s="26">
        <v>0</v>
      </c>
      <c r="AG18" s="29">
        <v>0</v>
      </c>
      <c r="AH18" s="30">
        <v>0</v>
      </c>
      <c r="AI18" s="29">
        <v>0</v>
      </c>
      <c r="AJ18" s="27">
        <v>0</v>
      </c>
      <c r="AK18" s="31">
        <f t="shared" si="5"/>
        <v>98837.45</v>
      </c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</row>
    <row r="19" spans="1:103" s="39" customFormat="1" x14ac:dyDescent="0.25">
      <c r="A19" s="124" t="s">
        <v>112</v>
      </c>
      <c r="B19" s="34">
        <f>150000+30000+50000</f>
        <v>230000</v>
      </c>
      <c r="C19" s="25">
        <f>B19</f>
        <v>230000</v>
      </c>
      <c r="D19" s="26">
        <v>0</v>
      </c>
      <c r="E19" s="26">
        <v>0</v>
      </c>
      <c r="F19" s="26">
        <v>0</v>
      </c>
      <c r="G19" s="26">
        <f t="shared" si="0"/>
        <v>230000</v>
      </c>
      <c r="H19" s="26">
        <f>900+450</f>
        <v>1350</v>
      </c>
      <c r="I19" s="27">
        <f>1900+950</f>
        <v>2850</v>
      </c>
      <c r="J19" s="26">
        <f t="shared" si="1"/>
        <v>4200</v>
      </c>
      <c r="K19" s="27">
        <v>30</v>
      </c>
      <c r="L19" s="26">
        <v>0</v>
      </c>
      <c r="M19" s="26">
        <v>0</v>
      </c>
      <c r="N19" s="26">
        <f>5000/2</f>
        <v>2500</v>
      </c>
      <c r="O19" s="26">
        <f t="shared" si="2"/>
        <v>2500</v>
      </c>
      <c r="P19" s="27">
        <f t="shared" si="8"/>
        <v>5000</v>
      </c>
      <c r="Q19" s="26">
        <v>0</v>
      </c>
      <c r="R19" s="26">
        <v>0</v>
      </c>
      <c r="S19" s="26">
        <v>0</v>
      </c>
      <c r="T19" s="26">
        <f>(G19-H19-N19-U19-166667)*30%+33541.8</f>
        <v>51326.7</v>
      </c>
      <c r="U19" s="26">
        <v>200</v>
      </c>
      <c r="V19" s="26">
        <f t="shared" si="3"/>
        <v>200</v>
      </c>
      <c r="W19" s="25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f t="shared" si="4"/>
        <v>174623.3</v>
      </c>
      <c r="AE19" s="26">
        <v>0</v>
      </c>
      <c r="AF19" s="26">
        <v>0</v>
      </c>
      <c r="AG19" s="29">
        <v>0</v>
      </c>
      <c r="AH19" s="30">
        <v>0</v>
      </c>
      <c r="AI19" s="29">
        <v>0</v>
      </c>
      <c r="AJ19" s="27">
        <v>0</v>
      </c>
      <c r="AK19" s="31">
        <f t="shared" si="5"/>
        <v>174623.3</v>
      </c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</row>
    <row r="20" spans="1:103" s="39" customFormat="1" x14ac:dyDescent="0.25">
      <c r="A20" s="123" t="s">
        <v>113</v>
      </c>
      <c r="B20" s="34">
        <f>8750+8750</f>
        <v>17500</v>
      </c>
      <c r="C20" s="25">
        <f>8750+8750</f>
        <v>17500</v>
      </c>
      <c r="D20" s="26">
        <v>201.29</v>
      </c>
      <c r="E20" s="26">
        <v>0</v>
      </c>
      <c r="F20" s="26">
        <f>1100.79+1048.38</f>
        <v>2149.17</v>
      </c>
      <c r="G20" s="26">
        <f t="shared" si="0"/>
        <v>19850.46</v>
      </c>
      <c r="H20" s="26">
        <v>787.5</v>
      </c>
      <c r="I20" s="27">
        <v>1662.5</v>
      </c>
      <c r="J20" s="26">
        <f t="shared" si="1"/>
        <v>2450</v>
      </c>
      <c r="K20" s="26">
        <v>30</v>
      </c>
      <c r="L20" s="26">
        <v>0</v>
      </c>
      <c r="M20" s="26">
        <v>0</v>
      </c>
      <c r="N20" s="26">
        <f t="shared" ref="N20:N27" si="9">B20*5%/2</f>
        <v>437.5</v>
      </c>
      <c r="O20" s="26">
        <f t="shared" si="2"/>
        <v>437.5</v>
      </c>
      <c r="P20" s="27">
        <f t="shared" si="8"/>
        <v>875</v>
      </c>
      <c r="Q20" s="26">
        <v>0</v>
      </c>
      <c r="R20" s="26">
        <v>0</v>
      </c>
      <c r="S20" s="26">
        <v>0</v>
      </c>
      <c r="T20" s="23">
        <v>0</v>
      </c>
      <c r="U20" s="26">
        <v>200</v>
      </c>
      <c r="V20" s="26">
        <f t="shared" si="3"/>
        <v>200</v>
      </c>
      <c r="W20" s="25">
        <v>0</v>
      </c>
      <c r="X20" s="26">
        <v>0</v>
      </c>
      <c r="Y20" s="26">
        <v>0</v>
      </c>
      <c r="Z20" s="26">
        <v>0</v>
      </c>
      <c r="AA20" s="26">
        <v>0</v>
      </c>
      <c r="AB20" s="29">
        <v>111.82</v>
      </c>
      <c r="AC20" s="26">
        <v>0</v>
      </c>
      <c r="AD20" s="26">
        <f>G20-L20-M20-W20-X20-Y20-Z20-AA20-H20-N20-T20-U20+AB20+AC20</f>
        <v>18537.28</v>
      </c>
      <c r="AE20" s="26">
        <v>0</v>
      </c>
      <c r="AF20" s="26">
        <v>0</v>
      </c>
      <c r="AG20" s="29">
        <v>0</v>
      </c>
      <c r="AH20" s="30">
        <v>0</v>
      </c>
      <c r="AI20" s="29">
        <v>0</v>
      </c>
      <c r="AJ20" s="27">
        <v>0</v>
      </c>
      <c r="AK20" s="31">
        <f t="shared" si="5"/>
        <v>18537.28</v>
      </c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</row>
    <row r="21" spans="1:103" x14ac:dyDescent="0.25">
      <c r="A21" s="123" t="s">
        <v>114</v>
      </c>
      <c r="B21" s="34">
        <f>12355+12355</f>
        <v>24710</v>
      </c>
      <c r="C21" s="25">
        <f>12355-11.84+12355</f>
        <v>24698.16</v>
      </c>
      <c r="D21" s="26">
        <v>284.20999999999998</v>
      </c>
      <c r="E21" s="26">
        <v>0</v>
      </c>
      <c r="F21" s="26">
        <v>0</v>
      </c>
      <c r="G21" s="26">
        <f t="shared" si="0"/>
        <v>24982.37</v>
      </c>
      <c r="H21" s="26">
        <f>900+202.5</f>
        <v>1102.5</v>
      </c>
      <c r="I21" s="27">
        <f>1900+427.5</f>
        <v>2327.5</v>
      </c>
      <c r="J21" s="26">
        <f t="shared" si="1"/>
        <v>3430</v>
      </c>
      <c r="K21" s="26">
        <v>30</v>
      </c>
      <c r="L21" s="26">
        <v>0</v>
      </c>
      <c r="M21" s="26">
        <v>0</v>
      </c>
      <c r="N21" s="26">
        <f t="shared" si="9"/>
        <v>617.75</v>
      </c>
      <c r="O21" s="26">
        <f t="shared" si="2"/>
        <v>617.75</v>
      </c>
      <c r="P21" s="27">
        <f t="shared" si="8"/>
        <v>1235.5</v>
      </c>
      <c r="Q21" s="26">
        <v>0</v>
      </c>
      <c r="R21" s="26">
        <v>0</v>
      </c>
      <c r="S21" s="26">
        <v>0</v>
      </c>
      <c r="T21" s="23">
        <f>(G21-H21-N21-Q21-U21-20833)*15%</f>
        <v>334.36799999999982</v>
      </c>
      <c r="U21" s="26">
        <v>200</v>
      </c>
      <c r="V21" s="26">
        <f t="shared" si="3"/>
        <v>200</v>
      </c>
      <c r="W21" s="25">
        <v>2412.8200000000002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f>G21-L21-M21-W21-X21-Y21-Z21-AA21-H21-N21-T21-U21</f>
        <v>20314.932000000001</v>
      </c>
      <c r="AE21" s="26">
        <f>1400+1400</f>
        <v>2800</v>
      </c>
      <c r="AF21" s="26">
        <v>32.21</v>
      </c>
      <c r="AG21" s="29">
        <f>1000+1000</f>
        <v>2000</v>
      </c>
      <c r="AH21" s="30">
        <v>0</v>
      </c>
      <c r="AI21" s="29">
        <v>0</v>
      </c>
      <c r="AJ21" s="27">
        <v>0</v>
      </c>
      <c r="AK21" s="31">
        <f t="shared" si="5"/>
        <v>25147.142</v>
      </c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</row>
    <row r="22" spans="1:103" x14ac:dyDescent="0.25">
      <c r="A22" s="123" t="s">
        <v>115</v>
      </c>
      <c r="B22" s="34">
        <f>10000+10000</f>
        <v>20000</v>
      </c>
      <c r="C22" s="25">
        <f>10000-19.17+10000-14.38</f>
        <v>19966.45</v>
      </c>
      <c r="D22" s="26">
        <v>230.04</v>
      </c>
      <c r="E22" s="26">
        <v>0</v>
      </c>
      <c r="F22" s="26">
        <f>958.5+1138.22</f>
        <v>2096.7200000000003</v>
      </c>
      <c r="G22" s="26">
        <f t="shared" si="0"/>
        <v>22293.210000000003</v>
      </c>
      <c r="H22" s="26">
        <v>900</v>
      </c>
      <c r="I22" s="27">
        <v>1900</v>
      </c>
      <c r="J22" s="26">
        <f t="shared" si="1"/>
        <v>2800</v>
      </c>
      <c r="K22" s="26">
        <v>30</v>
      </c>
      <c r="L22" s="26">
        <v>0</v>
      </c>
      <c r="M22" s="26">
        <v>0</v>
      </c>
      <c r="N22" s="26">
        <f t="shared" si="9"/>
        <v>500</v>
      </c>
      <c r="O22" s="26">
        <f t="shared" si="2"/>
        <v>500</v>
      </c>
      <c r="P22" s="27">
        <f t="shared" si="8"/>
        <v>1000</v>
      </c>
      <c r="Q22" s="26">
        <v>0</v>
      </c>
      <c r="R22" s="26">
        <v>0</v>
      </c>
      <c r="S22" s="26">
        <v>0</v>
      </c>
      <c r="T22" s="23">
        <v>0</v>
      </c>
      <c r="U22" s="26">
        <v>200</v>
      </c>
      <c r="V22" s="26">
        <f t="shared" si="3"/>
        <v>200</v>
      </c>
      <c r="W22" s="25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f>G22-L22-M22-W22-X22-Y22-Z22-AA22-H22-N22-T22-U22</f>
        <v>20693.210000000003</v>
      </c>
      <c r="AE22" s="26">
        <v>0</v>
      </c>
      <c r="AF22" s="26">
        <v>0</v>
      </c>
      <c r="AG22" s="29">
        <v>0</v>
      </c>
      <c r="AH22" s="30">
        <v>0</v>
      </c>
      <c r="AI22" s="29">
        <v>0</v>
      </c>
      <c r="AJ22" s="27">
        <v>0</v>
      </c>
      <c r="AK22" s="31">
        <f t="shared" si="5"/>
        <v>20693.210000000003</v>
      </c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</row>
    <row r="23" spans="1:103" x14ac:dyDescent="0.25">
      <c r="A23" s="123" t="s">
        <v>116</v>
      </c>
      <c r="B23" s="34">
        <f>9500+9500</f>
        <v>19000</v>
      </c>
      <c r="C23" s="25">
        <f>9500-728.43-9.1+9500-3277.94-4.55-275.88</f>
        <v>14704.100000000002</v>
      </c>
      <c r="D23" s="26">
        <v>0</v>
      </c>
      <c r="E23" s="26">
        <v>0</v>
      </c>
      <c r="F23" s="26">
        <f>796.69+341.44</f>
        <v>1138.1300000000001</v>
      </c>
      <c r="G23" s="26">
        <f t="shared" si="0"/>
        <v>15842.230000000003</v>
      </c>
      <c r="H23" s="26">
        <v>855</v>
      </c>
      <c r="I23" s="27">
        <v>1805</v>
      </c>
      <c r="J23" s="26">
        <f t="shared" si="1"/>
        <v>2660</v>
      </c>
      <c r="K23" s="26">
        <v>30</v>
      </c>
      <c r="L23" s="26">
        <v>0</v>
      </c>
      <c r="M23" s="26">
        <v>0</v>
      </c>
      <c r="N23" s="26">
        <f t="shared" si="9"/>
        <v>475</v>
      </c>
      <c r="O23" s="26">
        <f t="shared" si="2"/>
        <v>475</v>
      </c>
      <c r="P23" s="27">
        <f t="shared" si="8"/>
        <v>950</v>
      </c>
      <c r="Q23" s="26">
        <v>0</v>
      </c>
      <c r="R23" s="26">
        <v>0</v>
      </c>
      <c r="S23" s="26">
        <v>0</v>
      </c>
      <c r="T23" s="23">
        <v>0</v>
      </c>
      <c r="U23" s="26">
        <v>200</v>
      </c>
      <c r="V23" s="26">
        <f t="shared" si="3"/>
        <v>200</v>
      </c>
      <c r="W23" s="25">
        <v>0</v>
      </c>
      <c r="X23" s="26">
        <v>0</v>
      </c>
      <c r="Y23" s="26">
        <v>0</v>
      </c>
      <c r="Z23" s="26">
        <v>0</v>
      </c>
      <c r="AA23" s="26">
        <v>91.05</v>
      </c>
      <c r="AB23" s="26">
        <v>0</v>
      </c>
      <c r="AC23" s="26">
        <v>0</v>
      </c>
      <c r="AD23" s="26">
        <f>G23-L23-M23-W23-X23-Y23-Z23-AA23-H23-N23-T23-U23</f>
        <v>14221.180000000004</v>
      </c>
      <c r="AE23" s="26">
        <v>0</v>
      </c>
      <c r="AF23" s="26">
        <v>0</v>
      </c>
      <c r="AG23" s="29">
        <v>0</v>
      </c>
      <c r="AH23" s="30">
        <v>0</v>
      </c>
      <c r="AI23" s="29">
        <v>0</v>
      </c>
      <c r="AJ23" s="27">
        <v>0</v>
      </c>
      <c r="AK23" s="31">
        <f t="shared" si="5"/>
        <v>14221.180000000004</v>
      </c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</row>
    <row r="24" spans="1:103" x14ac:dyDescent="0.25">
      <c r="A24" s="123" t="s">
        <v>117</v>
      </c>
      <c r="B24" s="34">
        <f>8658+8658</f>
        <v>17316</v>
      </c>
      <c r="C24" s="25">
        <f>8658-5.53+8658</f>
        <v>17310.47</v>
      </c>
      <c r="D24" s="26">
        <f>199.15+199.15</f>
        <v>398.3</v>
      </c>
      <c r="E24" s="26">
        <v>0</v>
      </c>
      <c r="F24" s="26">
        <v>0</v>
      </c>
      <c r="G24" s="26">
        <f t="shared" si="0"/>
        <v>17708.77</v>
      </c>
      <c r="H24" s="26">
        <v>787.5</v>
      </c>
      <c r="I24" s="27">
        <v>1662.5</v>
      </c>
      <c r="J24" s="26">
        <f t="shared" si="1"/>
        <v>2450</v>
      </c>
      <c r="K24" s="26">
        <v>30</v>
      </c>
      <c r="L24" s="26">
        <v>0</v>
      </c>
      <c r="M24" s="26">
        <v>0</v>
      </c>
      <c r="N24" s="26">
        <f t="shared" si="9"/>
        <v>432.90000000000003</v>
      </c>
      <c r="O24" s="26">
        <f t="shared" si="2"/>
        <v>432.90000000000003</v>
      </c>
      <c r="P24" s="27">
        <f t="shared" si="8"/>
        <v>865.80000000000007</v>
      </c>
      <c r="Q24" s="26">
        <v>0</v>
      </c>
      <c r="R24" s="26">
        <v>0</v>
      </c>
      <c r="S24" s="26">
        <v>0</v>
      </c>
      <c r="T24" s="23">
        <v>0</v>
      </c>
      <c r="U24" s="26">
        <v>200</v>
      </c>
      <c r="V24" s="26">
        <f t="shared" si="3"/>
        <v>200</v>
      </c>
      <c r="W24" s="25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</v>
      </c>
      <c r="AD24" s="26">
        <f>G24-L24-M24-W24-X24-Y24-Z24-AA24-H24-N24-T24-U24</f>
        <v>16288.369999999999</v>
      </c>
      <c r="AE24" s="26">
        <v>0</v>
      </c>
      <c r="AF24" s="26">
        <v>0</v>
      </c>
      <c r="AG24" s="29">
        <v>0</v>
      </c>
      <c r="AH24" s="30">
        <v>0</v>
      </c>
      <c r="AI24" s="29">
        <v>0</v>
      </c>
      <c r="AJ24" s="27">
        <v>0</v>
      </c>
      <c r="AK24" s="31">
        <f t="shared" si="5"/>
        <v>16288.369999999999</v>
      </c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</row>
    <row r="25" spans="1:103" x14ac:dyDescent="0.25">
      <c r="A25" s="123" t="s">
        <v>118</v>
      </c>
      <c r="B25" s="34">
        <f>10911+10911</f>
        <v>21822</v>
      </c>
      <c r="C25" s="25">
        <f>10911-17.43+10911</f>
        <v>21804.57</v>
      </c>
      <c r="D25" s="26">
        <v>250.99</v>
      </c>
      <c r="E25" s="26">
        <v>0</v>
      </c>
      <c r="F25" s="26">
        <v>1045.8</v>
      </c>
      <c r="G25" s="26">
        <f t="shared" si="0"/>
        <v>23101.360000000001</v>
      </c>
      <c r="H25" s="26">
        <v>990</v>
      </c>
      <c r="I25" s="26">
        <f>1900+190</f>
        <v>2090</v>
      </c>
      <c r="J25" s="26">
        <f t="shared" si="1"/>
        <v>3080</v>
      </c>
      <c r="K25" s="26">
        <v>30</v>
      </c>
      <c r="L25" s="26">
        <v>1799.65</v>
      </c>
      <c r="M25" s="26">
        <v>0</v>
      </c>
      <c r="N25" s="26">
        <f t="shared" si="9"/>
        <v>545.55000000000007</v>
      </c>
      <c r="O25" s="26">
        <f t="shared" si="2"/>
        <v>545.55000000000007</v>
      </c>
      <c r="P25" s="27">
        <f t="shared" si="8"/>
        <v>1091.1000000000001</v>
      </c>
      <c r="Q25" s="26">
        <v>0</v>
      </c>
      <c r="R25" s="26">
        <v>0</v>
      </c>
      <c r="S25" s="26">
        <v>0</v>
      </c>
      <c r="T25" s="23">
        <f>(G25-H25-N25-Q25-U25-20833)*15%</f>
        <v>79.921500000000194</v>
      </c>
      <c r="U25" s="26">
        <v>200</v>
      </c>
      <c r="V25" s="26">
        <f t="shared" si="3"/>
        <v>200</v>
      </c>
      <c r="W25" s="26">
        <v>1293.73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455.6</v>
      </c>
      <c r="AD25" s="26">
        <f>G25-L25-M25-W25-X25-Y25-Z25-AA25-H25-N25-T25-U25+AC25+AB25</f>
        <v>18648.108499999998</v>
      </c>
      <c r="AE25" s="26">
        <f>3150+3150</f>
        <v>6300</v>
      </c>
      <c r="AF25" s="26">
        <f>72.47+72.47</f>
        <v>144.94</v>
      </c>
      <c r="AG25" s="29">
        <v>0</v>
      </c>
      <c r="AH25" s="30">
        <v>0</v>
      </c>
      <c r="AI25" s="30">
        <v>0</v>
      </c>
      <c r="AJ25" s="27">
        <v>0</v>
      </c>
      <c r="AK25" s="31">
        <f t="shared" si="5"/>
        <v>25093.048499999997</v>
      </c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</row>
    <row r="26" spans="1:103" x14ac:dyDescent="0.25">
      <c r="A26" s="123" t="s">
        <v>119</v>
      </c>
      <c r="B26" s="34">
        <f>20000+20000</f>
        <v>40000</v>
      </c>
      <c r="C26" s="25">
        <f>20000-230.03+20000-35.14</f>
        <v>39734.83</v>
      </c>
      <c r="D26" s="26">
        <v>452.58</v>
      </c>
      <c r="E26" s="26">
        <v>0</v>
      </c>
      <c r="F26" s="26">
        <v>0</v>
      </c>
      <c r="G26" s="26">
        <f t="shared" si="0"/>
        <v>40187.410000000003</v>
      </c>
      <c r="H26" s="26">
        <f>900+450</f>
        <v>1350</v>
      </c>
      <c r="I26" s="27">
        <f>1900+950</f>
        <v>2850</v>
      </c>
      <c r="J26" s="26">
        <f t="shared" si="1"/>
        <v>4200</v>
      </c>
      <c r="K26" s="27">
        <v>30</v>
      </c>
      <c r="L26" s="26">
        <v>0</v>
      </c>
      <c r="M26" s="26">
        <v>0</v>
      </c>
      <c r="N26" s="26">
        <f t="shared" si="9"/>
        <v>1000</v>
      </c>
      <c r="O26" s="26">
        <f t="shared" si="2"/>
        <v>1000</v>
      </c>
      <c r="P26" s="27">
        <f t="shared" si="8"/>
        <v>2000</v>
      </c>
      <c r="Q26" s="26">
        <v>0</v>
      </c>
      <c r="R26" s="26">
        <v>0</v>
      </c>
      <c r="S26" s="26">
        <v>0</v>
      </c>
      <c r="T26" s="28">
        <f>(G26-H26-N26-Q26-U26-33333)*20%+1875</f>
        <v>2735.8820000000005</v>
      </c>
      <c r="U26" s="26">
        <v>200</v>
      </c>
      <c r="V26" s="26">
        <f t="shared" si="3"/>
        <v>200</v>
      </c>
      <c r="W26" s="25">
        <v>0</v>
      </c>
      <c r="X26" s="26">
        <v>0</v>
      </c>
      <c r="Y26" s="26">
        <f>2300+2300</f>
        <v>4600</v>
      </c>
      <c r="Z26" s="26">
        <v>0</v>
      </c>
      <c r="AA26" s="26">
        <v>0</v>
      </c>
      <c r="AB26" s="26">
        <v>0</v>
      </c>
      <c r="AC26" s="26">
        <v>0</v>
      </c>
      <c r="AD26" s="26">
        <f t="shared" ref="AD26:AD41" si="10">G26-L26-M26-W26-X26-Y26-Z26-AA26-H26-N26-T26-U26</f>
        <v>30301.528000000002</v>
      </c>
      <c r="AE26" s="26">
        <f>10000+10000</f>
        <v>20000</v>
      </c>
      <c r="AF26" s="26">
        <v>230.06</v>
      </c>
      <c r="AG26" s="29">
        <v>0</v>
      </c>
      <c r="AH26" s="30">
        <v>0</v>
      </c>
      <c r="AI26" s="30">
        <v>0</v>
      </c>
      <c r="AJ26" s="27">
        <v>0</v>
      </c>
      <c r="AK26" s="31">
        <f t="shared" si="5"/>
        <v>50531.588000000003</v>
      </c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</row>
    <row r="27" spans="1:103" x14ac:dyDescent="0.25">
      <c r="A27" s="123" t="s">
        <v>120</v>
      </c>
      <c r="B27" s="34">
        <f>10500+10500</f>
        <v>21000</v>
      </c>
      <c r="C27" s="25">
        <f>10500-1006.39-603.84+10500</f>
        <v>19389.77</v>
      </c>
      <c r="D27" s="26">
        <f>241.54+241.54</f>
        <v>483.08</v>
      </c>
      <c r="E27" s="26">
        <v>0</v>
      </c>
      <c r="F27" s="26">
        <f>377.4</f>
        <v>377.4</v>
      </c>
      <c r="G27" s="26">
        <f t="shared" si="0"/>
        <v>20250.250000000004</v>
      </c>
      <c r="H27" s="26">
        <v>945</v>
      </c>
      <c r="I27" s="27">
        <f>1900+95</f>
        <v>1995</v>
      </c>
      <c r="J27" s="26">
        <f t="shared" si="1"/>
        <v>2940</v>
      </c>
      <c r="K27" s="26">
        <v>30</v>
      </c>
      <c r="L27" s="26">
        <v>0</v>
      </c>
      <c r="M27" s="23">
        <v>0</v>
      </c>
      <c r="N27" s="26">
        <f t="shared" si="9"/>
        <v>525</v>
      </c>
      <c r="O27" s="26">
        <f t="shared" si="2"/>
        <v>525</v>
      </c>
      <c r="P27" s="27">
        <f t="shared" si="8"/>
        <v>1050</v>
      </c>
      <c r="Q27" s="26">
        <v>0</v>
      </c>
      <c r="R27" s="26">
        <v>0</v>
      </c>
      <c r="S27" s="26">
        <v>0</v>
      </c>
      <c r="T27" s="26">
        <v>0</v>
      </c>
      <c r="U27" s="26">
        <v>200</v>
      </c>
      <c r="V27" s="26">
        <f t="shared" si="3"/>
        <v>200</v>
      </c>
      <c r="W27" s="25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6">
        <v>0</v>
      </c>
      <c r="AD27" s="26">
        <f t="shared" si="10"/>
        <v>18580.250000000004</v>
      </c>
      <c r="AE27" s="26">
        <v>0</v>
      </c>
      <c r="AF27" s="26">
        <v>0</v>
      </c>
      <c r="AG27" s="29">
        <v>0</v>
      </c>
      <c r="AH27" s="30">
        <f>500+500</f>
        <v>1000</v>
      </c>
      <c r="AI27" s="30">
        <v>0</v>
      </c>
      <c r="AJ27" s="27">
        <v>0</v>
      </c>
      <c r="AK27" s="31">
        <f>AD27+AE27+AF27+AG27+AH27</f>
        <v>19580.250000000004</v>
      </c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</row>
    <row r="28" spans="1:103" x14ac:dyDescent="0.25">
      <c r="A28" s="123" t="s">
        <v>45</v>
      </c>
      <c r="B28" s="34">
        <f>9066.5+9066.5</f>
        <v>18133</v>
      </c>
      <c r="C28" s="25">
        <f>9066.5-133.25+9066.5-68.07</f>
        <v>17931.68</v>
      </c>
      <c r="D28" s="26">
        <f>208.56+208.56</f>
        <v>417.12</v>
      </c>
      <c r="E28" s="26">
        <v>0</v>
      </c>
      <c r="F28" s="26">
        <v>0</v>
      </c>
      <c r="G28" s="26">
        <f t="shared" si="0"/>
        <v>18348.8</v>
      </c>
      <c r="H28" s="26">
        <v>810</v>
      </c>
      <c r="I28" s="27">
        <v>1710</v>
      </c>
      <c r="J28" s="26">
        <f t="shared" si="1"/>
        <v>2520</v>
      </c>
      <c r="K28" s="27">
        <v>30</v>
      </c>
      <c r="L28" s="26">
        <v>1661.22</v>
      </c>
      <c r="M28" s="23">
        <v>0</v>
      </c>
      <c r="N28" s="26">
        <f>B28*5%/2-0.01</f>
        <v>453.31500000000005</v>
      </c>
      <c r="O28" s="26">
        <f>N28+0.01</f>
        <v>453.32500000000005</v>
      </c>
      <c r="P28" s="27">
        <f>N28+O28+0.01</f>
        <v>906.65000000000009</v>
      </c>
      <c r="Q28" s="26">
        <v>0</v>
      </c>
      <c r="R28" s="26">
        <v>0</v>
      </c>
      <c r="S28" s="26">
        <v>0</v>
      </c>
      <c r="T28" s="26">
        <v>0</v>
      </c>
      <c r="U28" s="26">
        <v>200</v>
      </c>
      <c r="V28" s="26">
        <f t="shared" si="3"/>
        <v>200</v>
      </c>
      <c r="W28" s="25"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  <c r="AC28" s="26">
        <v>0</v>
      </c>
      <c r="AD28" s="26">
        <f t="shared" si="10"/>
        <v>15224.264999999998</v>
      </c>
      <c r="AE28" s="26">
        <v>0</v>
      </c>
      <c r="AF28" s="26">
        <v>0</v>
      </c>
      <c r="AG28" s="29">
        <v>0</v>
      </c>
      <c r="AH28" s="30">
        <v>0</v>
      </c>
      <c r="AI28" s="30">
        <v>0</v>
      </c>
      <c r="AJ28" s="27">
        <v>0</v>
      </c>
      <c r="AK28" s="31">
        <f>AD28+AE28+AF28+AG28</f>
        <v>15224.264999999998</v>
      </c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</row>
    <row r="29" spans="1:103" x14ac:dyDescent="0.25">
      <c r="A29" s="124" t="s">
        <v>121</v>
      </c>
      <c r="B29" s="15">
        <f>8000+8000</f>
        <v>16000</v>
      </c>
      <c r="C29" s="25">
        <f>8000+8000-1840.26-14.06</f>
        <v>14145.68</v>
      </c>
      <c r="D29" s="26">
        <v>184.03</v>
      </c>
      <c r="E29" s="26">
        <v>0</v>
      </c>
      <c r="F29" s="26">
        <v>0</v>
      </c>
      <c r="G29" s="23">
        <f>C29+E29+F29+D29</f>
        <v>14329.710000000001</v>
      </c>
      <c r="H29" s="26">
        <v>720</v>
      </c>
      <c r="I29" s="27">
        <v>1520</v>
      </c>
      <c r="J29" s="26">
        <f t="shared" si="1"/>
        <v>2240</v>
      </c>
      <c r="K29" s="27">
        <v>30</v>
      </c>
      <c r="L29" s="26">
        <v>738.32</v>
      </c>
      <c r="M29" s="23">
        <v>0</v>
      </c>
      <c r="N29" s="26">
        <f t="shared" ref="N29:N35" si="11">B29*5%/2</f>
        <v>400</v>
      </c>
      <c r="O29" s="26">
        <f t="shared" ref="O29:O35" si="12">N29</f>
        <v>400</v>
      </c>
      <c r="P29" s="9">
        <f t="shared" ref="P29:P34" si="13">N29+O29</f>
        <v>800</v>
      </c>
      <c r="Q29" s="26">
        <v>0</v>
      </c>
      <c r="R29" s="26">
        <v>0</v>
      </c>
      <c r="S29" s="26">
        <v>0</v>
      </c>
      <c r="T29" s="23">
        <v>0</v>
      </c>
      <c r="U29" s="26">
        <v>200</v>
      </c>
      <c r="V29" s="23">
        <f t="shared" si="3"/>
        <v>200</v>
      </c>
      <c r="W29" s="46">
        <v>0</v>
      </c>
      <c r="X29" s="26">
        <v>0</v>
      </c>
      <c r="Y29" s="26">
        <v>0</v>
      </c>
      <c r="Z29" s="26">
        <v>0</v>
      </c>
      <c r="AA29" s="26">
        <v>153.36000000000001</v>
      </c>
      <c r="AB29" s="26">
        <v>0</v>
      </c>
      <c r="AC29" s="26">
        <v>0</v>
      </c>
      <c r="AD29" s="26">
        <f t="shared" si="10"/>
        <v>12118.03</v>
      </c>
      <c r="AE29" s="26">
        <v>0</v>
      </c>
      <c r="AF29" s="26">
        <v>0</v>
      </c>
      <c r="AG29" s="29">
        <v>0</v>
      </c>
      <c r="AH29" s="30">
        <v>0</v>
      </c>
      <c r="AI29" s="30">
        <v>0</v>
      </c>
      <c r="AJ29" s="27">
        <v>0</v>
      </c>
      <c r="AK29" s="31">
        <f>AD29+AE29+AF29+AG29</f>
        <v>12118.03</v>
      </c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</row>
    <row r="30" spans="1:103" x14ac:dyDescent="0.25">
      <c r="A30" s="123" t="s">
        <v>122</v>
      </c>
      <c r="B30" s="34">
        <f>15000+15000</f>
        <v>30000</v>
      </c>
      <c r="C30" s="25">
        <f>15000-117.41+15000-57.51</f>
        <v>29825.08</v>
      </c>
      <c r="D30" s="26">
        <v>0</v>
      </c>
      <c r="E30" s="26">
        <v>0</v>
      </c>
      <c r="F30" s="26">
        <v>179.71</v>
      </c>
      <c r="G30" s="26">
        <f t="shared" ref="G30:G35" si="14">C30+D30+E30+F30</f>
        <v>30004.79</v>
      </c>
      <c r="H30" s="23">
        <v>1350</v>
      </c>
      <c r="I30" s="23">
        <v>2850</v>
      </c>
      <c r="J30" s="23">
        <f t="shared" si="1"/>
        <v>4200</v>
      </c>
      <c r="K30" s="23">
        <v>30</v>
      </c>
      <c r="L30" s="23">
        <v>1523.08</v>
      </c>
      <c r="M30" s="23">
        <v>0</v>
      </c>
      <c r="N30" s="26">
        <f t="shared" si="11"/>
        <v>750</v>
      </c>
      <c r="O30" s="23">
        <f t="shared" si="12"/>
        <v>750</v>
      </c>
      <c r="P30" s="9">
        <f t="shared" si="13"/>
        <v>1500</v>
      </c>
      <c r="Q30" s="26">
        <v>0</v>
      </c>
      <c r="R30" s="26">
        <v>0</v>
      </c>
      <c r="S30" s="26">
        <v>0</v>
      </c>
      <c r="T30" s="26">
        <f>(G30-H30-N30-Q30-U30-20833)*15%</f>
        <v>1030.7685000000001</v>
      </c>
      <c r="U30" s="26">
        <v>200</v>
      </c>
      <c r="V30" s="23">
        <f t="shared" si="3"/>
        <v>200</v>
      </c>
      <c r="W30" s="23">
        <v>0</v>
      </c>
      <c r="X30" s="23">
        <v>0</v>
      </c>
      <c r="Y30" s="23">
        <f>1000+1000</f>
        <v>2000</v>
      </c>
      <c r="Z30" s="23">
        <v>0</v>
      </c>
      <c r="AA30" s="23">
        <v>0</v>
      </c>
      <c r="AB30" s="26">
        <v>0</v>
      </c>
      <c r="AC30" s="26">
        <v>0</v>
      </c>
      <c r="AD30" s="26">
        <f t="shared" si="10"/>
        <v>23150.941500000001</v>
      </c>
      <c r="AE30" s="26">
        <v>0</v>
      </c>
      <c r="AF30" s="26">
        <v>0</v>
      </c>
      <c r="AG30" s="29">
        <v>0</v>
      </c>
      <c r="AH30" s="23">
        <v>0</v>
      </c>
      <c r="AI30" s="23">
        <v>0</v>
      </c>
      <c r="AJ30" s="27">
        <v>0</v>
      </c>
      <c r="AK30" s="31">
        <f>AD30+AE30+AF30+AG30</f>
        <v>23150.941500000001</v>
      </c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</row>
    <row r="31" spans="1:103" x14ac:dyDescent="0.25">
      <c r="A31" s="123" t="s">
        <v>123</v>
      </c>
      <c r="B31" s="34">
        <f>7196+7196</f>
        <v>14392</v>
      </c>
      <c r="C31" s="25">
        <f>7196-551.77-210.36-68.97+7196-551.77-45.98</f>
        <v>12963.15</v>
      </c>
      <c r="D31" s="26">
        <v>165.53</v>
      </c>
      <c r="E31" s="26">
        <v>0</v>
      </c>
      <c r="F31" s="26">
        <v>0</v>
      </c>
      <c r="G31" s="26">
        <f t="shared" si="14"/>
        <v>13128.68</v>
      </c>
      <c r="H31" s="26">
        <v>652.5</v>
      </c>
      <c r="I31" s="27">
        <v>1377.5</v>
      </c>
      <c r="J31" s="26">
        <f t="shared" si="1"/>
        <v>2030</v>
      </c>
      <c r="K31" s="27">
        <v>10</v>
      </c>
      <c r="L31" s="26">
        <v>1338.2</v>
      </c>
      <c r="M31" s="27">
        <v>0</v>
      </c>
      <c r="N31" s="26">
        <f t="shared" si="11"/>
        <v>359.8</v>
      </c>
      <c r="O31" s="26">
        <f t="shared" si="12"/>
        <v>359.8</v>
      </c>
      <c r="P31" s="27">
        <f t="shared" si="13"/>
        <v>719.6</v>
      </c>
      <c r="Q31" s="26">
        <v>0</v>
      </c>
      <c r="R31" s="26">
        <v>0</v>
      </c>
      <c r="S31" s="26">
        <v>0</v>
      </c>
      <c r="T31" s="26">
        <v>0</v>
      </c>
      <c r="U31" s="26">
        <v>200</v>
      </c>
      <c r="V31" s="26">
        <f t="shared" si="3"/>
        <v>200</v>
      </c>
      <c r="W31" s="25">
        <v>396.58</v>
      </c>
      <c r="X31" s="26">
        <v>0</v>
      </c>
      <c r="Y31" s="26">
        <v>0</v>
      </c>
      <c r="Z31" s="26">
        <v>0</v>
      </c>
      <c r="AA31" s="26">
        <v>22.99</v>
      </c>
      <c r="AB31" s="26">
        <v>0</v>
      </c>
      <c r="AC31" s="26">
        <v>0</v>
      </c>
      <c r="AD31" s="26">
        <f t="shared" si="10"/>
        <v>10158.61</v>
      </c>
      <c r="AE31" s="26">
        <v>0</v>
      </c>
      <c r="AF31" s="26">
        <v>0</v>
      </c>
      <c r="AG31" s="29">
        <v>0</v>
      </c>
      <c r="AH31" s="30">
        <v>0</v>
      </c>
      <c r="AI31" s="34">
        <v>0</v>
      </c>
      <c r="AJ31" s="27">
        <v>0</v>
      </c>
      <c r="AK31" s="31">
        <f>AD31+AE31+AF31+AG31</f>
        <v>10158.61</v>
      </c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</row>
    <row r="32" spans="1:103" s="39" customFormat="1" x14ac:dyDescent="0.25">
      <c r="A32" s="123" t="s">
        <v>124</v>
      </c>
      <c r="B32" s="34">
        <f>11570+11570</f>
        <v>23140</v>
      </c>
      <c r="C32" s="25">
        <f>11570-110.89+11570-59.14</f>
        <v>22969.97</v>
      </c>
      <c r="D32" s="26">
        <f>261.81+266.14</f>
        <v>527.95000000000005</v>
      </c>
      <c r="E32" s="26">
        <v>0</v>
      </c>
      <c r="F32" s="26">
        <v>831.68</v>
      </c>
      <c r="G32" s="26">
        <f t="shared" si="14"/>
        <v>24329.600000000002</v>
      </c>
      <c r="H32" s="26">
        <f>900+135</f>
        <v>1035</v>
      </c>
      <c r="I32" s="27">
        <f>1900+285</f>
        <v>2185</v>
      </c>
      <c r="J32" s="26">
        <f t="shared" si="1"/>
        <v>3220</v>
      </c>
      <c r="K32" s="27">
        <v>30</v>
      </c>
      <c r="L32" s="26">
        <v>0</v>
      </c>
      <c r="M32" s="26">
        <v>0</v>
      </c>
      <c r="N32" s="26">
        <f t="shared" si="11"/>
        <v>578.5</v>
      </c>
      <c r="O32" s="26">
        <f t="shared" si="12"/>
        <v>578.5</v>
      </c>
      <c r="P32" s="27">
        <f t="shared" si="13"/>
        <v>1157</v>
      </c>
      <c r="Q32" s="26">
        <v>0</v>
      </c>
      <c r="R32" s="26">
        <v>0</v>
      </c>
      <c r="S32" s="26">
        <v>0</v>
      </c>
      <c r="T32" s="26">
        <f>(G32-H32-N32-Q32-U32-20833)*15%</f>
        <v>252.46500000000032</v>
      </c>
      <c r="U32" s="26">
        <v>200</v>
      </c>
      <c r="V32" s="26">
        <f t="shared" si="3"/>
        <v>200</v>
      </c>
      <c r="W32" s="25">
        <v>309.3</v>
      </c>
      <c r="X32" s="26">
        <v>0</v>
      </c>
      <c r="Y32" s="26">
        <v>0</v>
      </c>
      <c r="Z32" s="26">
        <f>4750+4750</f>
        <v>9500</v>
      </c>
      <c r="AA32" s="26">
        <v>0</v>
      </c>
      <c r="AB32" s="26">
        <v>0</v>
      </c>
      <c r="AC32" s="26">
        <v>0</v>
      </c>
      <c r="AD32" s="26">
        <f t="shared" si="10"/>
        <v>12454.335000000003</v>
      </c>
      <c r="AE32" s="26">
        <f>500+500</f>
        <v>1000</v>
      </c>
      <c r="AF32" s="26">
        <v>11.5</v>
      </c>
      <c r="AG32" s="29">
        <v>0</v>
      </c>
      <c r="AH32" s="30">
        <f>500+500</f>
        <v>1000</v>
      </c>
      <c r="AI32" s="30">
        <v>0</v>
      </c>
      <c r="AJ32" s="27">
        <v>0</v>
      </c>
      <c r="AK32" s="31">
        <f>AD32+AE32+AF32+AG32+AH32</f>
        <v>14465.835000000003</v>
      </c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</row>
    <row r="33" spans="1:103" s="39" customFormat="1" x14ac:dyDescent="0.25">
      <c r="A33" s="123" t="s">
        <v>125</v>
      </c>
      <c r="B33" s="34">
        <f>7500+7500</f>
        <v>15000</v>
      </c>
      <c r="C33" s="25">
        <f>7500-287.54-4.79+7500-8.39</f>
        <v>14699.28</v>
      </c>
      <c r="D33" s="26">
        <f>172.51+21.56</f>
        <v>194.07</v>
      </c>
      <c r="E33" s="26">
        <v>0</v>
      </c>
      <c r="F33" s="26">
        <v>314.48</v>
      </c>
      <c r="G33" s="26">
        <f t="shared" si="14"/>
        <v>15207.83</v>
      </c>
      <c r="H33" s="26">
        <v>675</v>
      </c>
      <c r="I33" s="27">
        <v>1425</v>
      </c>
      <c r="J33" s="26">
        <f t="shared" si="1"/>
        <v>2100</v>
      </c>
      <c r="K33" s="27">
        <v>30</v>
      </c>
      <c r="L33" s="26">
        <v>1845.8</v>
      </c>
      <c r="M33" s="26">
        <v>0</v>
      </c>
      <c r="N33" s="26">
        <f t="shared" si="11"/>
        <v>375</v>
      </c>
      <c r="O33" s="26">
        <f t="shared" si="12"/>
        <v>375</v>
      </c>
      <c r="P33" s="27">
        <f t="shared" si="13"/>
        <v>750</v>
      </c>
      <c r="Q33" s="26">
        <v>0</v>
      </c>
      <c r="R33" s="26">
        <v>0</v>
      </c>
      <c r="S33" s="26">
        <v>0</v>
      </c>
      <c r="T33" s="26">
        <v>0</v>
      </c>
      <c r="U33" s="26">
        <v>200</v>
      </c>
      <c r="V33" s="26">
        <f t="shared" si="3"/>
        <v>200</v>
      </c>
      <c r="W33" s="25">
        <v>318.44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f t="shared" si="10"/>
        <v>11793.59</v>
      </c>
      <c r="AE33" s="26"/>
      <c r="AF33" s="26"/>
      <c r="AG33" s="29"/>
      <c r="AH33" s="30"/>
      <c r="AI33" s="30"/>
      <c r="AJ33" s="27"/>
      <c r="AK33" s="31">
        <f>AD33+AE33+AF33+AG33</f>
        <v>11793.59</v>
      </c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</row>
    <row r="34" spans="1:103" x14ac:dyDescent="0.25">
      <c r="A34" s="123" t="s">
        <v>126</v>
      </c>
      <c r="B34" s="34">
        <f>11880+11880</f>
        <v>23760</v>
      </c>
      <c r="C34" s="25">
        <f>11880+11880-37.96</f>
        <v>23722.04</v>
      </c>
      <c r="D34" s="26">
        <v>273.29000000000002</v>
      </c>
      <c r="E34" s="26">
        <v>0</v>
      </c>
      <c r="F34" s="26">
        <v>0</v>
      </c>
      <c r="G34" s="26">
        <f t="shared" si="14"/>
        <v>23995.33</v>
      </c>
      <c r="H34" s="26">
        <v>1080</v>
      </c>
      <c r="I34" s="27">
        <f>1900+380</f>
        <v>2280</v>
      </c>
      <c r="J34" s="26">
        <f t="shared" si="1"/>
        <v>3360</v>
      </c>
      <c r="K34" s="27">
        <v>30</v>
      </c>
      <c r="L34" s="26">
        <v>1845.8</v>
      </c>
      <c r="M34" s="26">
        <v>0</v>
      </c>
      <c r="N34" s="26">
        <f t="shared" si="11"/>
        <v>594</v>
      </c>
      <c r="O34" s="26">
        <f t="shared" si="12"/>
        <v>594</v>
      </c>
      <c r="P34" s="27">
        <f t="shared" si="13"/>
        <v>1188</v>
      </c>
      <c r="Q34" s="26">
        <v>0</v>
      </c>
      <c r="R34" s="26">
        <v>0</v>
      </c>
      <c r="S34" s="26">
        <v>0</v>
      </c>
      <c r="T34" s="26">
        <f>(G34-H34-N34-Q34-U34-20833)*15%</f>
        <v>193.24950000000027</v>
      </c>
      <c r="U34" s="26">
        <v>200</v>
      </c>
      <c r="V34" s="26">
        <f t="shared" si="3"/>
        <v>200</v>
      </c>
      <c r="W34" s="25">
        <v>0</v>
      </c>
      <c r="X34" s="26">
        <v>0</v>
      </c>
      <c r="Y34" s="26">
        <f>1500+1500</f>
        <v>3000</v>
      </c>
      <c r="Z34" s="26">
        <v>0</v>
      </c>
      <c r="AA34" s="26">
        <v>0</v>
      </c>
      <c r="AB34" s="26">
        <v>0</v>
      </c>
      <c r="AC34" s="26">
        <v>0</v>
      </c>
      <c r="AD34" s="26">
        <f t="shared" si="10"/>
        <v>17082.280500000001</v>
      </c>
      <c r="AE34" s="26">
        <v>0</v>
      </c>
      <c r="AF34" s="26">
        <v>0</v>
      </c>
      <c r="AG34" s="29">
        <v>0</v>
      </c>
      <c r="AH34" s="30">
        <v>0</v>
      </c>
      <c r="AI34" s="30">
        <v>0</v>
      </c>
      <c r="AJ34" s="34">
        <v>0</v>
      </c>
      <c r="AK34" s="31">
        <f>AD34+AE34+AF34+AG34</f>
        <v>17082.280500000001</v>
      </c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</row>
    <row r="35" spans="1:103" x14ac:dyDescent="0.25">
      <c r="A35" s="123" t="s">
        <v>49</v>
      </c>
      <c r="B35" s="34">
        <f>12568.5+12568.5</f>
        <v>25137</v>
      </c>
      <c r="C35" s="25">
        <f>12568.5-265.01-240.92+12568.5-963.72-44.17</f>
        <v>23623.18</v>
      </c>
      <c r="D35" s="26">
        <v>278.26</v>
      </c>
      <c r="E35" s="26">
        <v>0</v>
      </c>
      <c r="F35" s="26">
        <v>0</v>
      </c>
      <c r="G35" s="26">
        <f t="shared" si="14"/>
        <v>23901.439999999999</v>
      </c>
      <c r="H35" s="26">
        <v>1125</v>
      </c>
      <c r="I35" s="27">
        <f>1900+475</f>
        <v>2375</v>
      </c>
      <c r="J35" s="26">
        <f t="shared" si="1"/>
        <v>3500</v>
      </c>
      <c r="K35" s="27">
        <v>30</v>
      </c>
      <c r="L35" s="26">
        <v>1845.8</v>
      </c>
      <c r="M35" s="26">
        <v>0</v>
      </c>
      <c r="N35" s="26">
        <f t="shared" si="11"/>
        <v>628.42500000000007</v>
      </c>
      <c r="O35" s="26">
        <f t="shared" si="12"/>
        <v>628.42500000000007</v>
      </c>
      <c r="P35" s="27">
        <f>N35+O35+0.01</f>
        <v>1256.8600000000001</v>
      </c>
      <c r="Q35" s="26">
        <v>0</v>
      </c>
      <c r="R35" s="26">
        <v>0</v>
      </c>
      <c r="S35" s="26">
        <v>0</v>
      </c>
      <c r="T35" s="26">
        <f>(G35-H35-N35-Q35-U35-20833)*15%</f>
        <v>167.25224999999992</v>
      </c>
      <c r="U35" s="26">
        <v>200</v>
      </c>
      <c r="V35" s="26">
        <f t="shared" si="3"/>
        <v>200</v>
      </c>
      <c r="W35" s="25">
        <v>920.61</v>
      </c>
      <c r="X35" s="26">
        <v>0</v>
      </c>
      <c r="Y35" s="26">
        <v>0</v>
      </c>
      <c r="Z35" s="26">
        <v>0</v>
      </c>
      <c r="AA35" s="26">
        <v>120.47</v>
      </c>
      <c r="AB35" s="26">
        <v>0</v>
      </c>
      <c r="AC35" s="26">
        <v>0</v>
      </c>
      <c r="AD35" s="26">
        <f t="shared" si="10"/>
        <v>18893.882749999997</v>
      </c>
      <c r="AE35" s="26">
        <v>0</v>
      </c>
      <c r="AF35" s="26">
        <v>0</v>
      </c>
      <c r="AG35" s="29">
        <v>0</v>
      </c>
      <c r="AH35" s="30">
        <v>0</v>
      </c>
      <c r="AI35" s="30">
        <v>0</v>
      </c>
      <c r="AJ35" s="27">
        <v>0</v>
      </c>
      <c r="AK35" s="31">
        <f>AD35+AE35+AF35+AG35</f>
        <v>18893.882749999997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</row>
    <row r="36" spans="1:103" x14ac:dyDescent="0.25">
      <c r="A36" s="123" t="s">
        <v>128</v>
      </c>
      <c r="B36" s="62">
        <f>8893+8893</f>
        <v>17786</v>
      </c>
      <c r="C36" s="34">
        <f>8893+8893-681.89</f>
        <v>17104.11</v>
      </c>
      <c r="D36" s="34">
        <v>204.58</v>
      </c>
      <c r="E36" s="34">
        <v>0</v>
      </c>
      <c r="F36" s="34">
        <v>0</v>
      </c>
      <c r="G36" s="26">
        <f t="shared" ref="G36:G43" si="15">C36+D36+E36+F36</f>
        <v>17308.690000000002</v>
      </c>
      <c r="H36" s="26">
        <v>810</v>
      </c>
      <c r="I36" s="26">
        <v>1710</v>
      </c>
      <c r="J36" s="26">
        <f t="shared" ref="J36:J42" si="16">H36+I36</f>
        <v>2520</v>
      </c>
      <c r="K36" s="26">
        <v>30</v>
      </c>
      <c r="L36" s="26">
        <v>0</v>
      </c>
      <c r="M36" s="26">
        <v>0</v>
      </c>
      <c r="N36" s="26">
        <f t="shared" ref="N36:N42" si="17">B36*5%/2</f>
        <v>444.65000000000003</v>
      </c>
      <c r="O36" s="26">
        <f t="shared" ref="O36:O42" si="18">N36</f>
        <v>444.65000000000003</v>
      </c>
      <c r="P36" s="27">
        <f t="shared" ref="P36:P42" si="19">N36+O36</f>
        <v>889.30000000000007</v>
      </c>
      <c r="Q36" s="27">
        <v>0</v>
      </c>
      <c r="R36" s="27">
        <v>0</v>
      </c>
      <c r="S36" s="26">
        <v>0</v>
      </c>
      <c r="T36" s="26">
        <v>0</v>
      </c>
      <c r="U36" s="27">
        <v>200</v>
      </c>
      <c r="V36" s="27">
        <f t="shared" ref="V36:V42" si="20">U36</f>
        <v>200</v>
      </c>
      <c r="W36" s="34">
        <v>941.46</v>
      </c>
      <c r="X36" s="27">
        <v>0</v>
      </c>
      <c r="Y36" s="27">
        <v>0</v>
      </c>
      <c r="Z36" s="30">
        <v>0</v>
      </c>
      <c r="AA36" s="26">
        <v>0</v>
      </c>
      <c r="AB36" s="26"/>
      <c r="AC36" s="26"/>
      <c r="AD36" s="26">
        <f t="shared" si="10"/>
        <v>14912.580000000004</v>
      </c>
      <c r="AE36" s="26">
        <f>+AF36</f>
        <v>0</v>
      </c>
      <c r="AF36" s="26">
        <v>0</v>
      </c>
      <c r="AG36" s="26">
        <v>0</v>
      </c>
      <c r="AH36" s="27">
        <v>0</v>
      </c>
      <c r="AI36" s="26">
        <v>0</v>
      </c>
      <c r="AJ36" s="26">
        <v>0</v>
      </c>
      <c r="AK36" s="62">
        <f>AD36+AE36+AF36+AG36+AH36+AI36</f>
        <v>14912.580000000004</v>
      </c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</row>
    <row r="37" spans="1:103" x14ac:dyDescent="0.25">
      <c r="A37" s="123" t="s">
        <v>129</v>
      </c>
      <c r="B37" s="62">
        <f>9000+9000</f>
        <v>18000</v>
      </c>
      <c r="C37" s="34">
        <f>9000+9000-690.1</f>
        <v>17309.900000000001</v>
      </c>
      <c r="D37" s="34">
        <v>207.02</v>
      </c>
      <c r="E37" s="34">
        <v>0</v>
      </c>
      <c r="F37" s="34">
        <v>0</v>
      </c>
      <c r="G37" s="26">
        <f t="shared" si="15"/>
        <v>17516.920000000002</v>
      </c>
      <c r="H37" s="26">
        <v>810</v>
      </c>
      <c r="I37" s="26">
        <v>1710</v>
      </c>
      <c r="J37" s="26">
        <f t="shared" si="16"/>
        <v>2520</v>
      </c>
      <c r="K37" s="26">
        <v>30</v>
      </c>
      <c r="L37" s="26">
        <f>1661.22</f>
        <v>1661.22</v>
      </c>
      <c r="M37" s="26">
        <v>0</v>
      </c>
      <c r="N37" s="26">
        <f t="shared" si="17"/>
        <v>450</v>
      </c>
      <c r="O37" s="26">
        <f t="shared" si="18"/>
        <v>450</v>
      </c>
      <c r="P37" s="27">
        <f t="shared" si="19"/>
        <v>900</v>
      </c>
      <c r="Q37" s="27">
        <v>0</v>
      </c>
      <c r="R37" s="27">
        <v>0</v>
      </c>
      <c r="S37" s="26">
        <v>0</v>
      </c>
      <c r="T37" s="26">
        <v>0</v>
      </c>
      <c r="U37" s="27">
        <v>200</v>
      </c>
      <c r="V37" s="27">
        <f t="shared" si="20"/>
        <v>200</v>
      </c>
      <c r="W37" s="27">
        <v>0</v>
      </c>
      <c r="X37" s="63">
        <v>0</v>
      </c>
      <c r="Y37" s="27">
        <v>0</v>
      </c>
      <c r="Z37" s="30">
        <v>0</v>
      </c>
      <c r="AA37" s="26">
        <v>0</v>
      </c>
      <c r="AB37" s="26"/>
      <c r="AC37" s="26"/>
      <c r="AD37" s="26">
        <f t="shared" si="10"/>
        <v>14395.700000000003</v>
      </c>
      <c r="AE37" s="26">
        <v>0</v>
      </c>
      <c r="AF37" s="26">
        <v>0</v>
      </c>
      <c r="AG37" s="26">
        <v>0</v>
      </c>
      <c r="AH37" s="27">
        <v>0</v>
      </c>
      <c r="AI37" s="26">
        <v>0</v>
      </c>
      <c r="AJ37" s="26">
        <v>0</v>
      </c>
      <c r="AK37" s="62">
        <f t="shared" ref="AK37:AK46" si="21">AD37+AE37+AF37+AG37+AH37+AI37</f>
        <v>14395.700000000003</v>
      </c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</row>
    <row r="38" spans="1:103" x14ac:dyDescent="0.25">
      <c r="A38" s="123" t="s">
        <v>130</v>
      </c>
      <c r="B38" s="62">
        <f>11000+11000</f>
        <v>22000</v>
      </c>
      <c r="C38" s="34">
        <f>11000-35.14+11000-36.9</f>
        <v>21927.96</v>
      </c>
      <c r="D38" s="34">
        <f>251.45+253.03</f>
        <v>504.48</v>
      </c>
      <c r="E38" s="34">
        <v>0</v>
      </c>
      <c r="F38" s="34">
        <v>0</v>
      </c>
      <c r="G38" s="26">
        <f t="shared" si="15"/>
        <v>22432.44</v>
      </c>
      <c r="H38" s="26">
        <v>990</v>
      </c>
      <c r="I38" s="26">
        <f>1900+190</f>
        <v>2090</v>
      </c>
      <c r="J38" s="26">
        <f t="shared" si="16"/>
        <v>3080</v>
      </c>
      <c r="K38" s="26">
        <v>30</v>
      </c>
      <c r="L38" s="26">
        <v>0</v>
      </c>
      <c r="M38" s="26">
        <v>0</v>
      </c>
      <c r="N38" s="26">
        <f t="shared" si="17"/>
        <v>550</v>
      </c>
      <c r="O38" s="26">
        <f t="shared" si="18"/>
        <v>550</v>
      </c>
      <c r="P38" s="27">
        <f t="shared" si="19"/>
        <v>1100</v>
      </c>
      <c r="Q38" s="27">
        <v>0</v>
      </c>
      <c r="R38" s="27">
        <v>0</v>
      </c>
      <c r="S38" s="26">
        <v>0</v>
      </c>
      <c r="T38" s="26">
        <v>0</v>
      </c>
      <c r="U38" s="27">
        <v>200</v>
      </c>
      <c r="V38" s="27">
        <f t="shared" si="20"/>
        <v>200</v>
      </c>
      <c r="W38" s="27">
        <v>0</v>
      </c>
      <c r="X38" s="63">
        <v>0</v>
      </c>
      <c r="Y38" s="27">
        <v>0</v>
      </c>
      <c r="Z38" s="30">
        <v>0</v>
      </c>
      <c r="AA38" s="26">
        <v>0</v>
      </c>
      <c r="AB38" s="26"/>
      <c r="AC38" s="26"/>
      <c r="AD38" s="26">
        <f t="shared" si="10"/>
        <v>20692.439999999999</v>
      </c>
      <c r="AE38" s="26">
        <v>0</v>
      </c>
      <c r="AF38" s="26">
        <v>0</v>
      </c>
      <c r="AG38" s="26">
        <v>0</v>
      </c>
      <c r="AH38" s="27">
        <v>0</v>
      </c>
      <c r="AI38" s="26">
        <v>0</v>
      </c>
      <c r="AJ38" s="26">
        <v>0</v>
      </c>
      <c r="AK38" s="62">
        <f t="shared" si="21"/>
        <v>20692.439999999999</v>
      </c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</row>
    <row r="39" spans="1:103" x14ac:dyDescent="0.25">
      <c r="A39" s="123" t="s">
        <v>131</v>
      </c>
      <c r="B39" s="34">
        <f>14000+14000</f>
        <v>28000</v>
      </c>
      <c r="C39" s="34">
        <f>14000-2.24+14000</f>
        <v>27997.760000000002</v>
      </c>
      <c r="D39" s="34">
        <f>161.03+322.06</f>
        <v>483.09000000000003</v>
      </c>
      <c r="E39" s="34">
        <v>0</v>
      </c>
      <c r="F39" s="34">
        <v>0</v>
      </c>
      <c r="G39" s="26">
        <f t="shared" si="15"/>
        <v>28480.850000000002</v>
      </c>
      <c r="H39" s="26">
        <v>1260</v>
      </c>
      <c r="I39" s="26">
        <f>1900+760</f>
        <v>2660</v>
      </c>
      <c r="J39" s="26">
        <f t="shared" si="16"/>
        <v>3920</v>
      </c>
      <c r="K39" s="26">
        <v>30</v>
      </c>
      <c r="L39" s="26">
        <v>0</v>
      </c>
      <c r="M39" s="26">
        <v>0</v>
      </c>
      <c r="N39" s="26">
        <f t="shared" si="17"/>
        <v>700</v>
      </c>
      <c r="O39" s="26">
        <f t="shared" si="18"/>
        <v>700</v>
      </c>
      <c r="P39" s="27">
        <f t="shared" si="19"/>
        <v>1400</v>
      </c>
      <c r="Q39" s="27">
        <v>0</v>
      </c>
      <c r="R39" s="27">
        <v>0</v>
      </c>
      <c r="S39" s="26">
        <v>0</v>
      </c>
      <c r="T39" s="27">
        <f>(G39-H39-N39-U39-20833)*15%</f>
        <v>823.17750000000035</v>
      </c>
      <c r="U39" s="27">
        <v>200</v>
      </c>
      <c r="V39" s="27">
        <f t="shared" si="20"/>
        <v>200</v>
      </c>
      <c r="W39" s="34">
        <v>0</v>
      </c>
      <c r="X39" s="27">
        <v>0</v>
      </c>
      <c r="Y39" s="27">
        <v>0</v>
      </c>
      <c r="Z39" s="30">
        <v>0</v>
      </c>
      <c r="AA39" s="26">
        <v>0</v>
      </c>
      <c r="AB39" s="26"/>
      <c r="AC39" s="26"/>
      <c r="AD39" s="26">
        <f t="shared" si="10"/>
        <v>25497.672500000001</v>
      </c>
      <c r="AE39" s="26">
        <v>0</v>
      </c>
      <c r="AF39" s="26">
        <v>0</v>
      </c>
      <c r="AG39" s="26">
        <v>0</v>
      </c>
      <c r="AH39" s="27">
        <v>0</v>
      </c>
      <c r="AI39" s="26">
        <v>0</v>
      </c>
      <c r="AJ39" s="26">
        <v>0</v>
      </c>
      <c r="AK39" s="62">
        <f t="shared" si="21"/>
        <v>25497.672500000001</v>
      </c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</row>
    <row r="40" spans="1:103" x14ac:dyDescent="0.25">
      <c r="A40" s="123" t="s">
        <v>132</v>
      </c>
      <c r="B40" s="34">
        <f>12500+12500</f>
        <v>25000</v>
      </c>
      <c r="C40" s="34">
        <f>12500-5.99+12500</f>
        <v>24994.010000000002</v>
      </c>
      <c r="D40" s="34">
        <v>0</v>
      </c>
      <c r="E40" s="34">
        <v>5.99</v>
      </c>
      <c r="F40" s="34">
        <v>0</v>
      </c>
      <c r="G40" s="26">
        <f t="shared" si="15"/>
        <v>25000.000000000004</v>
      </c>
      <c r="H40" s="26">
        <f>900+225</f>
        <v>1125</v>
      </c>
      <c r="I40" s="27">
        <f>1900+475</f>
        <v>2375</v>
      </c>
      <c r="J40" s="26">
        <f t="shared" si="16"/>
        <v>3500</v>
      </c>
      <c r="K40" s="27">
        <v>30</v>
      </c>
      <c r="L40" s="26">
        <v>0</v>
      </c>
      <c r="M40" s="26">
        <v>0</v>
      </c>
      <c r="N40" s="26">
        <f t="shared" si="17"/>
        <v>625</v>
      </c>
      <c r="O40" s="26">
        <f t="shared" si="18"/>
        <v>625</v>
      </c>
      <c r="P40" s="27">
        <f t="shared" si="19"/>
        <v>1250</v>
      </c>
      <c r="Q40" s="27">
        <v>0</v>
      </c>
      <c r="R40" s="27">
        <v>0</v>
      </c>
      <c r="S40" s="26">
        <v>0</v>
      </c>
      <c r="T40" s="27">
        <f>(G40-H40-N40-U40-20833)*15%</f>
        <v>332.55000000000052</v>
      </c>
      <c r="U40" s="27">
        <v>200</v>
      </c>
      <c r="V40" s="27">
        <f t="shared" si="20"/>
        <v>200</v>
      </c>
      <c r="W40" s="34">
        <v>0</v>
      </c>
      <c r="X40" s="27">
        <v>0</v>
      </c>
      <c r="Y40" s="27">
        <v>0</v>
      </c>
      <c r="Z40" s="30">
        <f>0</f>
        <v>0</v>
      </c>
      <c r="AA40" s="26">
        <v>0</v>
      </c>
      <c r="AB40" s="26"/>
      <c r="AC40" s="26"/>
      <c r="AD40" s="26">
        <f t="shared" si="10"/>
        <v>22717.450000000004</v>
      </c>
      <c r="AE40" s="26">
        <v>0</v>
      </c>
      <c r="AF40" s="26">
        <v>0</v>
      </c>
      <c r="AG40" s="26">
        <v>0</v>
      </c>
      <c r="AH40" s="27">
        <v>0</v>
      </c>
      <c r="AI40" s="26">
        <v>0</v>
      </c>
      <c r="AJ40" s="26">
        <v>0</v>
      </c>
      <c r="AK40" s="62">
        <f t="shared" si="21"/>
        <v>22717.450000000004</v>
      </c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</row>
    <row r="41" spans="1:103" x14ac:dyDescent="0.25">
      <c r="A41" s="123" t="s">
        <v>133</v>
      </c>
      <c r="B41" s="34">
        <f>14000</f>
        <v>14000</v>
      </c>
      <c r="C41" s="34">
        <f>7000-159.9-1341.85+7000-1073.48-65.97</f>
        <v>11358.800000000001</v>
      </c>
      <c r="D41" s="34">
        <f>136.86+161.02</f>
        <v>297.88</v>
      </c>
      <c r="E41" s="34">
        <v>0</v>
      </c>
      <c r="F41" s="34">
        <v>0</v>
      </c>
      <c r="G41" s="26">
        <f t="shared" si="15"/>
        <v>11656.68</v>
      </c>
      <c r="H41" s="26">
        <v>630</v>
      </c>
      <c r="I41" s="27">
        <v>1330</v>
      </c>
      <c r="J41" s="26">
        <f t="shared" si="16"/>
        <v>1960</v>
      </c>
      <c r="K41" s="27">
        <v>10</v>
      </c>
      <c r="L41" s="26">
        <v>0</v>
      </c>
      <c r="M41" s="26">
        <v>0</v>
      </c>
      <c r="N41" s="26">
        <f t="shared" si="17"/>
        <v>350</v>
      </c>
      <c r="O41" s="26">
        <f t="shared" si="18"/>
        <v>350</v>
      </c>
      <c r="P41" s="27">
        <f t="shared" si="19"/>
        <v>700</v>
      </c>
      <c r="Q41" s="27">
        <v>0</v>
      </c>
      <c r="R41" s="27">
        <v>0</v>
      </c>
      <c r="S41" s="26">
        <v>0</v>
      </c>
      <c r="T41" s="26">
        <v>0</v>
      </c>
      <c r="U41" s="27">
        <v>200</v>
      </c>
      <c r="V41" s="27">
        <f t="shared" si="20"/>
        <v>200</v>
      </c>
      <c r="W41" s="34">
        <v>0</v>
      </c>
      <c r="X41" s="27">
        <v>0</v>
      </c>
      <c r="Y41" s="27">
        <v>0</v>
      </c>
      <c r="Z41" s="30">
        <v>0</v>
      </c>
      <c r="AA41" s="26">
        <v>44.73</v>
      </c>
      <c r="AB41" s="26"/>
      <c r="AC41" s="26"/>
      <c r="AD41" s="26">
        <f t="shared" si="10"/>
        <v>10431.950000000001</v>
      </c>
      <c r="AE41" s="26">
        <v>0</v>
      </c>
      <c r="AF41" s="26">
        <v>0</v>
      </c>
      <c r="AG41" s="26">
        <v>0</v>
      </c>
      <c r="AH41" s="26">
        <v>0</v>
      </c>
      <c r="AI41" s="26">
        <v>0</v>
      </c>
      <c r="AJ41" s="26">
        <v>0</v>
      </c>
      <c r="AK41" s="62">
        <f>AD41+AE41+AF41+AG41+AH41+AI41</f>
        <v>10431.950000000001</v>
      </c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</row>
    <row r="42" spans="1:103" x14ac:dyDescent="0.25">
      <c r="A42" s="123" t="s">
        <v>134</v>
      </c>
      <c r="B42" s="34">
        <v>14000</v>
      </c>
      <c r="C42" s="34">
        <f>7000-92.81-1610.22</f>
        <v>5296.9699999999993</v>
      </c>
      <c r="D42" s="34">
        <v>156.59</v>
      </c>
      <c r="E42" s="34">
        <v>0</v>
      </c>
      <c r="F42" s="34">
        <v>0</v>
      </c>
      <c r="G42" s="26">
        <f t="shared" si="15"/>
        <v>5453.5599999999995</v>
      </c>
      <c r="H42" s="64">
        <v>630</v>
      </c>
      <c r="I42" s="64">
        <v>1330</v>
      </c>
      <c r="J42" s="64">
        <f t="shared" si="16"/>
        <v>1960</v>
      </c>
      <c r="K42" s="64">
        <v>10</v>
      </c>
      <c r="L42" s="64">
        <v>0</v>
      </c>
      <c r="M42" s="64">
        <v>0</v>
      </c>
      <c r="N42" s="64">
        <f t="shared" si="17"/>
        <v>350</v>
      </c>
      <c r="O42" s="64">
        <f t="shared" si="18"/>
        <v>350</v>
      </c>
      <c r="P42" s="65">
        <f t="shared" si="19"/>
        <v>700</v>
      </c>
      <c r="Q42" s="65"/>
      <c r="R42" s="65"/>
      <c r="S42" s="64"/>
      <c r="T42" s="66"/>
      <c r="U42" s="65">
        <v>200</v>
      </c>
      <c r="V42" s="65">
        <f t="shared" si="20"/>
        <v>200</v>
      </c>
      <c r="W42" s="27"/>
      <c r="X42" s="63"/>
      <c r="Y42" s="30"/>
      <c r="Z42" s="30"/>
      <c r="AA42" s="26">
        <v>44.73</v>
      </c>
      <c r="AB42" s="26"/>
      <c r="AC42" s="26"/>
      <c r="AD42" s="26">
        <f>G42-L42-M42-W42-X42-Y42-Z42-AA42</f>
        <v>5408.83</v>
      </c>
      <c r="AE42" s="26"/>
      <c r="AF42" s="26"/>
      <c r="AG42" s="26"/>
      <c r="AH42" s="27"/>
      <c r="AI42" s="26"/>
      <c r="AJ42" s="26"/>
      <c r="AK42" s="62">
        <f t="shared" si="21"/>
        <v>5408.83</v>
      </c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</row>
    <row r="43" spans="1:103" x14ac:dyDescent="0.25">
      <c r="A43" s="123" t="s">
        <v>135</v>
      </c>
      <c r="B43" s="34">
        <f>14600+14600</f>
        <v>29200</v>
      </c>
      <c r="C43" s="34">
        <f>14600</f>
        <v>14600</v>
      </c>
      <c r="D43" s="34">
        <v>335.86</v>
      </c>
      <c r="E43" s="34">
        <v>0</v>
      </c>
      <c r="F43" s="34">
        <v>0</v>
      </c>
      <c r="G43" s="26">
        <f t="shared" si="15"/>
        <v>14935.86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7">
        <v>0</v>
      </c>
      <c r="S43" s="26">
        <v>0</v>
      </c>
      <c r="T43" s="26">
        <v>0</v>
      </c>
      <c r="U43" s="26">
        <v>0</v>
      </c>
      <c r="V43" s="26">
        <v>0</v>
      </c>
      <c r="W43" s="34">
        <v>0</v>
      </c>
      <c r="X43" s="27">
        <v>0</v>
      </c>
      <c r="Y43" s="27">
        <v>0</v>
      </c>
      <c r="Z43" s="30">
        <f>2915.91</f>
        <v>2915.91</v>
      </c>
      <c r="AA43" s="26">
        <v>0</v>
      </c>
      <c r="AB43" s="26"/>
      <c r="AC43" s="26"/>
      <c r="AD43" s="26">
        <f>G43-L43-M43-W43-X43-Y43-Z43-AA43</f>
        <v>12019.95</v>
      </c>
      <c r="AE43" s="26">
        <v>7900</v>
      </c>
      <c r="AF43" s="26">
        <v>181.75</v>
      </c>
      <c r="AG43" s="26">
        <v>0</v>
      </c>
      <c r="AH43" s="27">
        <v>0</v>
      </c>
      <c r="AI43" s="26">
        <v>0</v>
      </c>
      <c r="AJ43" s="26">
        <v>0</v>
      </c>
      <c r="AK43" s="62">
        <f t="shared" si="21"/>
        <v>20101.7</v>
      </c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</row>
    <row r="44" spans="1:103" s="69" customFormat="1" ht="12.75" customHeight="1" x14ac:dyDescent="0.2">
      <c r="A44" s="123" t="s">
        <v>136</v>
      </c>
      <c r="B44" s="67">
        <f>8054+8054</f>
        <v>16108</v>
      </c>
      <c r="C44" s="34">
        <f>8054-18.01+8054-6.43</f>
        <v>16083.56</v>
      </c>
      <c r="D44" s="34">
        <f>185.26+185.26</f>
        <v>370.52</v>
      </c>
      <c r="E44" s="34">
        <v>0</v>
      </c>
      <c r="F44" s="34">
        <v>0</v>
      </c>
      <c r="G44" s="26">
        <f>C44+D44+E44+F44</f>
        <v>16454.079999999998</v>
      </c>
      <c r="H44" s="26">
        <v>720</v>
      </c>
      <c r="I44" s="26">
        <v>1520</v>
      </c>
      <c r="J44" s="26">
        <f>H44+I44</f>
        <v>2240</v>
      </c>
      <c r="K44" s="26">
        <v>30</v>
      </c>
      <c r="L44" s="26">
        <v>0</v>
      </c>
      <c r="M44" s="26">
        <v>0</v>
      </c>
      <c r="N44" s="26">
        <f>B44*5%/2</f>
        <v>402.70000000000005</v>
      </c>
      <c r="O44" s="26">
        <f>N44</f>
        <v>402.70000000000005</v>
      </c>
      <c r="P44" s="26">
        <f>N44+O44</f>
        <v>805.40000000000009</v>
      </c>
      <c r="Q44" s="26">
        <v>0</v>
      </c>
      <c r="R44" s="26">
        <v>0</v>
      </c>
      <c r="S44" s="26">
        <v>0</v>
      </c>
      <c r="T44" s="26">
        <v>0</v>
      </c>
      <c r="U44" s="27">
        <v>200</v>
      </c>
      <c r="V44" s="27">
        <f>U44</f>
        <v>200</v>
      </c>
      <c r="W44" s="25">
        <v>0</v>
      </c>
      <c r="X44" s="26">
        <v>0</v>
      </c>
      <c r="Y44" s="26">
        <v>0</v>
      </c>
      <c r="Z44" s="26">
        <v>0</v>
      </c>
      <c r="AA44" s="26">
        <v>0</v>
      </c>
      <c r="AB44" s="26"/>
      <c r="AC44" s="26"/>
      <c r="AD44" s="26">
        <f>G44-L44-M44-W44-X44-Y44-Z44-AA44-H44-N44-T44-U44</f>
        <v>15131.379999999997</v>
      </c>
      <c r="AE44" s="26">
        <v>0</v>
      </c>
      <c r="AF44" s="26"/>
      <c r="AG44" s="26">
        <v>0</v>
      </c>
      <c r="AH44" s="27">
        <v>0</v>
      </c>
      <c r="AI44" s="26">
        <v>0</v>
      </c>
      <c r="AJ44" s="26">
        <v>0</v>
      </c>
      <c r="AK44" s="62">
        <f t="shared" si="21"/>
        <v>15131.379999999997</v>
      </c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</row>
    <row r="45" spans="1:103" s="69" customFormat="1" ht="12.75" customHeight="1" x14ac:dyDescent="0.2">
      <c r="A45" s="123" t="s">
        <v>137</v>
      </c>
      <c r="B45" s="67">
        <f>14800+14800</f>
        <v>29600</v>
      </c>
      <c r="C45" s="34">
        <f>14800+14800</f>
        <v>29600</v>
      </c>
      <c r="D45" s="34">
        <f>340.44+340.44</f>
        <v>680.88</v>
      </c>
      <c r="E45" s="34">
        <v>0</v>
      </c>
      <c r="F45" s="34">
        <v>0</v>
      </c>
      <c r="G45" s="26">
        <f>C45+D45+E45+F45</f>
        <v>30280.880000000001</v>
      </c>
      <c r="H45" s="26">
        <v>1327.5</v>
      </c>
      <c r="I45" s="26">
        <f>1900+902.5</f>
        <v>2802.5</v>
      </c>
      <c r="J45" s="26">
        <f>H45+I45</f>
        <v>4130</v>
      </c>
      <c r="K45" s="26">
        <v>30</v>
      </c>
      <c r="L45" s="26">
        <v>0</v>
      </c>
      <c r="M45" s="26">
        <v>0</v>
      </c>
      <c r="N45" s="26">
        <f>B45*5%/2</f>
        <v>740</v>
      </c>
      <c r="O45" s="26">
        <f>N45</f>
        <v>740</v>
      </c>
      <c r="P45" s="26">
        <f>N45+O45</f>
        <v>1480</v>
      </c>
      <c r="Q45" s="27">
        <v>0</v>
      </c>
      <c r="R45" s="27">
        <v>0</v>
      </c>
      <c r="S45" s="26">
        <v>0</v>
      </c>
      <c r="T45" s="27">
        <f>(G45-H45-N45-U45-20833)*15%</f>
        <v>1077.057</v>
      </c>
      <c r="U45" s="27">
        <v>200</v>
      </c>
      <c r="V45" s="27">
        <v>100</v>
      </c>
      <c r="W45" s="34">
        <v>0</v>
      </c>
      <c r="X45" s="26">
        <v>0</v>
      </c>
      <c r="Y45" s="26">
        <v>0</v>
      </c>
      <c r="Z45" s="26">
        <v>0</v>
      </c>
      <c r="AA45" s="26">
        <v>0</v>
      </c>
      <c r="AB45" s="26"/>
      <c r="AC45" s="26"/>
      <c r="AD45" s="26">
        <f>G45-L45-M45-W45-X45-Y45-Z45-AA45-H45-N45-T45-U45</f>
        <v>26936.323</v>
      </c>
      <c r="AE45" s="26">
        <f>7200+7200</f>
        <v>14400</v>
      </c>
      <c r="AF45" s="26">
        <f>165.64+165.64</f>
        <v>331.28</v>
      </c>
      <c r="AG45" s="26">
        <v>0</v>
      </c>
      <c r="AH45" s="27">
        <v>0</v>
      </c>
      <c r="AI45" s="26">
        <v>0</v>
      </c>
      <c r="AJ45" s="26">
        <v>0</v>
      </c>
      <c r="AK45" s="62">
        <f t="shared" si="21"/>
        <v>41667.603000000003</v>
      </c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</row>
    <row r="46" spans="1:103" s="39" customFormat="1" x14ac:dyDescent="0.25">
      <c r="A46" s="123" t="s">
        <v>138</v>
      </c>
      <c r="B46" s="34">
        <f>7000+7000</f>
        <v>14000</v>
      </c>
      <c r="C46" s="34">
        <f>7000-68.21-805.11+7000-1073.48-49.2</f>
        <v>12004</v>
      </c>
      <c r="D46" s="34">
        <f>161.02+152.56</f>
        <v>313.58000000000004</v>
      </c>
      <c r="E46" s="34">
        <v>0</v>
      </c>
      <c r="F46" s="34">
        <v>0</v>
      </c>
      <c r="G46" s="26">
        <f>C46+D46+E46+F46</f>
        <v>12317.58</v>
      </c>
      <c r="H46" s="26">
        <v>630</v>
      </c>
      <c r="I46" s="26">
        <v>1330</v>
      </c>
      <c r="J46" s="26">
        <f>H46+I46</f>
        <v>1960</v>
      </c>
      <c r="K46" s="26">
        <v>10</v>
      </c>
      <c r="L46" s="26">
        <v>392.23</v>
      </c>
      <c r="M46" s="26"/>
      <c r="N46" s="26">
        <f>B46*5%/2</f>
        <v>350</v>
      </c>
      <c r="O46" s="26">
        <f>N46</f>
        <v>350</v>
      </c>
      <c r="P46" s="27">
        <f>N46+O46</f>
        <v>700</v>
      </c>
      <c r="Q46" s="27">
        <v>0</v>
      </c>
      <c r="R46" s="27">
        <v>0</v>
      </c>
      <c r="S46" s="26">
        <v>0</v>
      </c>
      <c r="T46" s="26"/>
      <c r="U46" s="27">
        <v>200</v>
      </c>
      <c r="V46" s="26">
        <f>U46</f>
        <v>200</v>
      </c>
      <c r="W46" s="25"/>
      <c r="X46" s="26"/>
      <c r="Y46" s="26"/>
      <c r="Z46" s="26"/>
      <c r="AA46" s="26">
        <v>44.73</v>
      </c>
      <c r="AB46" s="26"/>
      <c r="AC46" s="26"/>
      <c r="AD46" s="26">
        <f>G46-L46-M46-W46-X46-Y46-Z46-AA46-H46-N46-T46-U46</f>
        <v>10700.62</v>
      </c>
      <c r="AE46" s="26">
        <v>0</v>
      </c>
      <c r="AF46" s="26">
        <v>0</v>
      </c>
      <c r="AG46" s="26">
        <v>0</v>
      </c>
      <c r="AH46" s="27">
        <v>0</v>
      </c>
      <c r="AI46" s="26">
        <v>0</v>
      </c>
      <c r="AJ46" s="26">
        <v>0</v>
      </c>
      <c r="AK46" s="31">
        <f t="shared" si="21"/>
        <v>10700.62</v>
      </c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</row>
    <row r="47" spans="1:103" x14ac:dyDescent="0.25">
      <c r="A47" s="123" t="s">
        <v>139</v>
      </c>
      <c r="B47" s="62">
        <f>7500+7500</f>
        <v>15000</v>
      </c>
      <c r="C47" s="34">
        <f>7500-44.33</f>
        <v>7455.67</v>
      </c>
      <c r="D47" s="34">
        <v>172.51</v>
      </c>
      <c r="E47" s="34"/>
      <c r="F47" s="27"/>
      <c r="G47" s="26">
        <f>D47+C47+E47+F47</f>
        <v>7628.18</v>
      </c>
      <c r="H47" s="26">
        <v>0</v>
      </c>
      <c r="I47" s="26">
        <v>0</v>
      </c>
      <c r="J47" s="26">
        <v>0</v>
      </c>
      <c r="K47" s="26">
        <v>0</v>
      </c>
      <c r="L47" s="76">
        <v>1568.93</v>
      </c>
      <c r="M47" s="76">
        <v>0</v>
      </c>
      <c r="N47" s="26">
        <v>0</v>
      </c>
      <c r="O47" s="26">
        <v>0</v>
      </c>
      <c r="P47" s="26">
        <v>0</v>
      </c>
      <c r="Q47" s="26">
        <v>0</v>
      </c>
      <c r="R47" s="76">
        <v>0</v>
      </c>
      <c r="S47" s="76">
        <f t="shared" ref="S47:S55" si="22">Q47+R47</f>
        <v>0</v>
      </c>
      <c r="T47" s="76">
        <v>0</v>
      </c>
      <c r="U47" s="77">
        <v>0</v>
      </c>
      <c r="V47" s="77">
        <f>U47</f>
        <v>0</v>
      </c>
      <c r="W47" s="78">
        <v>0</v>
      </c>
      <c r="X47" s="78">
        <v>0</v>
      </c>
      <c r="Y47" s="78">
        <v>0</v>
      </c>
      <c r="Z47" s="30">
        <v>0</v>
      </c>
      <c r="AA47" s="26">
        <v>23.96</v>
      </c>
      <c r="AB47" s="26"/>
      <c r="AC47" s="26"/>
      <c r="AD47" s="26">
        <f>G47-L47-M47-W47-X47-Y47-Z47-AA47</f>
        <v>6035.29</v>
      </c>
      <c r="AE47" s="27">
        <v>0</v>
      </c>
      <c r="AF47" s="27">
        <v>0</v>
      </c>
      <c r="AG47" s="27">
        <v>0</v>
      </c>
      <c r="AH47" s="27">
        <v>0</v>
      </c>
      <c r="AI47" s="27">
        <v>0</v>
      </c>
      <c r="AJ47" s="27">
        <v>0</v>
      </c>
      <c r="AK47" s="62">
        <f t="shared" ref="AK47:AK55" si="23">AD47+AE47+AF47+AG47+AH47+AI47</f>
        <v>6035.29</v>
      </c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</row>
    <row r="48" spans="1:103" x14ac:dyDescent="0.25">
      <c r="A48" s="123" t="s">
        <v>140</v>
      </c>
      <c r="B48" s="62">
        <f>8000+8000</f>
        <v>16000</v>
      </c>
      <c r="C48" s="34">
        <f>8000</f>
        <v>8000</v>
      </c>
      <c r="D48" s="34">
        <v>184.03</v>
      </c>
      <c r="E48" s="34"/>
      <c r="F48" s="27">
        <v>287.55</v>
      </c>
      <c r="G48" s="26">
        <f>D48+C48+E48+F48</f>
        <v>8471.58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76">
        <v>0</v>
      </c>
      <c r="N48" s="26">
        <v>0</v>
      </c>
      <c r="O48" s="26">
        <v>0</v>
      </c>
      <c r="P48" s="26">
        <v>0</v>
      </c>
      <c r="Q48" s="76">
        <v>0</v>
      </c>
      <c r="R48" s="76">
        <v>0</v>
      </c>
      <c r="S48" s="76">
        <f t="shared" si="22"/>
        <v>0</v>
      </c>
      <c r="T48" s="76">
        <v>0</v>
      </c>
      <c r="U48" s="76">
        <v>0</v>
      </c>
      <c r="V48" s="76">
        <v>0</v>
      </c>
      <c r="W48" s="80">
        <v>0</v>
      </c>
      <c r="X48" s="78">
        <v>0</v>
      </c>
      <c r="Y48" s="78">
        <v>500</v>
      </c>
      <c r="Z48" s="30">
        <v>0</v>
      </c>
      <c r="AA48" s="27">
        <v>51.12</v>
      </c>
      <c r="AB48" s="26"/>
      <c r="AC48" s="26"/>
      <c r="AD48" s="26">
        <f>G48-L48-M48-W48-X48-Y48-Z48-AA48</f>
        <v>7920.46</v>
      </c>
      <c r="AE48" s="27">
        <v>0</v>
      </c>
      <c r="AF48" s="27">
        <v>0</v>
      </c>
      <c r="AG48" s="27">
        <v>0</v>
      </c>
      <c r="AH48" s="27">
        <v>0</v>
      </c>
      <c r="AI48" s="27">
        <v>0</v>
      </c>
      <c r="AJ48" s="27" t="s">
        <v>22</v>
      </c>
      <c r="AK48" s="62">
        <f t="shared" si="23"/>
        <v>7920.46</v>
      </c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</row>
    <row r="49" spans="1:103" x14ac:dyDescent="0.25">
      <c r="A49" s="123" t="s">
        <v>141</v>
      </c>
      <c r="B49" s="62">
        <f>7270+7270</f>
        <v>14540</v>
      </c>
      <c r="C49" s="34">
        <f>7270-1114.88</f>
        <v>6155.12</v>
      </c>
      <c r="D49" s="34"/>
      <c r="E49" s="27">
        <v>0</v>
      </c>
      <c r="F49" s="27">
        <v>0</v>
      </c>
      <c r="G49" s="76">
        <f t="shared" ref="G49:G55" si="24">C49+D49+E49+F49</f>
        <v>6155.12</v>
      </c>
      <c r="H49" s="85">
        <v>652.5</v>
      </c>
      <c r="I49" s="86">
        <v>1377.5</v>
      </c>
      <c r="J49" s="85">
        <f t="shared" ref="J49:J55" si="25">H49+I49</f>
        <v>2030</v>
      </c>
      <c r="K49" s="85">
        <v>10</v>
      </c>
      <c r="L49" s="85">
        <v>0</v>
      </c>
      <c r="M49" s="85">
        <v>0</v>
      </c>
      <c r="N49" s="64">
        <f t="shared" ref="N49:N55" si="26">B49*5%/2</f>
        <v>363.5</v>
      </c>
      <c r="O49" s="85">
        <f t="shared" ref="O49:O55" si="27">N49</f>
        <v>363.5</v>
      </c>
      <c r="P49" s="65">
        <f t="shared" ref="P49:P55" si="28">N49+O49</f>
        <v>727</v>
      </c>
      <c r="Q49" s="86">
        <v>0</v>
      </c>
      <c r="R49" s="86">
        <v>0</v>
      </c>
      <c r="S49" s="86">
        <f t="shared" si="22"/>
        <v>0</v>
      </c>
      <c r="T49" s="86">
        <v>0</v>
      </c>
      <c r="U49" s="86">
        <v>200</v>
      </c>
      <c r="V49" s="86">
        <f t="shared" ref="V49:V55" si="29">U49</f>
        <v>200</v>
      </c>
      <c r="W49" s="34">
        <v>0</v>
      </c>
      <c r="X49" s="77">
        <v>0</v>
      </c>
      <c r="Y49" s="27">
        <v>0</v>
      </c>
      <c r="Z49" s="27">
        <v>0</v>
      </c>
      <c r="AA49" s="27">
        <v>46.45</v>
      </c>
      <c r="AB49" s="26"/>
      <c r="AC49" s="26"/>
      <c r="AD49" s="26">
        <f>G49-L49-M49-W49-X49-Y49-Z49-AA49</f>
        <v>6108.67</v>
      </c>
      <c r="AE49" s="27">
        <v>0</v>
      </c>
      <c r="AF49" s="27">
        <v>0</v>
      </c>
      <c r="AG49" s="27">
        <v>0</v>
      </c>
      <c r="AH49" s="27">
        <v>0</v>
      </c>
      <c r="AI49" s="27">
        <f>AE49+AF49+AG49</f>
        <v>0</v>
      </c>
      <c r="AJ49" s="27">
        <f>AF49+AG49+AH49</f>
        <v>0</v>
      </c>
      <c r="AK49" s="62">
        <f t="shared" si="23"/>
        <v>6108.67</v>
      </c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</row>
    <row r="50" spans="1:103" x14ac:dyDescent="0.25">
      <c r="A50" s="123" t="s">
        <v>142</v>
      </c>
      <c r="B50" s="62">
        <f>7000+7000</f>
        <v>14000</v>
      </c>
      <c r="C50" s="34">
        <f>7000+7000-536.74</f>
        <v>13463.26</v>
      </c>
      <c r="D50" s="34">
        <f>161.02+161.02</f>
        <v>322.04000000000002</v>
      </c>
      <c r="E50" s="27">
        <v>0</v>
      </c>
      <c r="F50" s="27">
        <v>0</v>
      </c>
      <c r="G50" s="76">
        <f t="shared" si="24"/>
        <v>13785.300000000001</v>
      </c>
      <c r="H50" s="76">
        <v>630</v>
      </c>
      <c r="I50" s="77">
        <v>1330</v>
      </c>
      <c r="J50" s="76">
        <f t="shared" si="25"/>
        <v>1960</v>
      </c>
      <c r="K50" s="76">
        <v>10</v>
      </c>
      <c r="L50" s="76">
        <v>0</v>
      </c>
      <c r="M50" s="76">
        <v>0</v>
      </c>
      <c r="N50" s="26">
        <f t="shared" si="26"/>
        <v>350</v>
      </c>
      <c r="O50" s="76">
        <f t="shared" si="27"/>
        <v>350</v>
      </c>
      <c r="P50" s="27">
        <f t="shared" si="28"/>
        <v>700</v>
      </c>
      <c r="Q50" s="77">
        <v>0</v>
      </c>
      <c r="R50" s="77">
        <v>0</v>
      </c>
      <c r="S50" s="77">
        <f t="shared" si="22"/>
        <v>0</v>
      </c>
      <c r="T50" s="77">
        <v>0</v>
      </c>
      <c r="U50" s="77">
        <v>200</v>
      </c>
      <c r="V50" s="77">
        <f t="shared" si="29"/>
        <v>200</v>
      </c>
      <c r="W50" s="34">
        <v>0</v>
      </c>
      <c r="X50" s="27">
        <v>0</v>
      </c>
      <c r="Y50" s="27">
        <v>0</v>
      </c>
      <c r="Z50" s="27">
        <v>0</v>
      </c>
      <c r="AA50" s="27">
        <v>0</v>
      </c>
      <c r="AB50" s="26"/>
      <c r="AC50" s="26"/>
      <c r="AD50" s="26">
        <f>G50-H50-L50-M50-N50-T50-U50-W50-X50-Y50-Z50-AA50-AB50-AC50</f>
        <v>12605.300000000001</v>
      </c>
      <c r="AE50" s="27">
        <v>0</v>
      </c>
      <c r="AF50" s="27">
        <v>0</v>
      </c>
      <c r="AG50" s="27">
        <v>0</v>
      </c>
      <c r="AH50" s="27">
        <v>0</v>
      </c>
      <c r="AI50" s="27">
        <f>AE50+AF50+AG50</f>
        <v>0</v>
      </c>
      <c r="AJ50" s="27">
        <f>AF50+AG50+AH50</f>
        <v>0</v>
      </c>
      <c r="AK50" s="62">
        <f t="shared" si="23"/>
        <v>12605.300000000001</v>
      </c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</row>
    <row r="51" spans="1:103" x14ac:dyDescent="0.25">
      <c r="A51" s="123" t="s">
        <v>143</v>
      </c>
      <c r="B51" s="34">
        <f>9500+9500</f>
        <v>19000</v>
      </c>
      <c r="C51" s="34">
        <f>9500+9500</f>
        <v>19000</v>
      </c>
      <c r="D51" s="34">
        <f>218.52</f>
        <v>218.52</v>
      </c>
      <c r="E51" s="27">
        <v>0</v>
      </c>
      <c r="F51" s="27">
        <f>3755.81+3300.56+307.75</f>
        <v>7364.12</v>
      </c>
      <c r="G51" s="26">
        <f t="shared" si="24"/>
        <v>26582.639999999999</v>
      </c>
      <c r="H51" s="27">
        <v>855</v>
      </c>
      <c r="I51" s="27">
        <v>1805</v>
      </c>
      <c r="J51" s="26">
        <f t="shared" si="25"/>
        <v>2660</v>
      </c>
      <c r="K51" s="27">
        <v>30</v>
      </c>
      <c r="L51" s="26">
        <v>0</v>
      </c>
      <c r="M51" s="26">
        <v>0</v>
      </c>
      <c r="N51" s="26">
        <f t="shared" si="26"/>
        <v>475</v>
      </c>
      <c r="O51" s="27">
        <f t="shared" si="27"/>
        <v>475</v>
      </c>
      <c r="P51" s="27">
        <f t="shared" si="28"/>
        <v>950</v>
      </c>
      <c r="Q51" s="27">
        <v>0</v>
      </c>
      <c r="R51" s="27">
        <v>0</v>
      </c>
      <c r="S51" s="27">
        <f t="shared" si="22"/>
        <v>0</v>
      </c>
      <c r="T51" s="27">
        <f>(G51-H51-N51-U51-20833)*15%</f>
        <v>632.94599999999991</v>
      </c>
      <c r="U51" s="27">
        <v>200</v>
      </c>
      <c r="V51" s="27">
        <f t="shared" si="29"/>
        <v>200</v>
      </c>
      <c r="W51" s="25">
        <v>0</v>
      </c>
      <c r="X51" s="26">
        <v>0</v>
      </c>
      <c r="Y51" s="26">
        <f>1500+1500</f>
        <v>3000</v>
      </c>
      <c r="Z51" s="26">
        <v>0</v>
      </c>
      <c r="AA51" s="26">
        <v>0</v>
      </c>
      <c r="AB51" s="26">
        <v>0</v>
      </c>
      <c r="AC51" s="26">
        <v>0</v>
      </c>
      <c r="AD51" s="26">
        <f>G51-H51-L51-M51-N51-T51-U51-W51-X51-Y51-Z51-AA51+AB51-AC51</f>
        <v>21419.694</v>
      </c>
      <c r="AE51" s="26">
        <v>0</v>
      </c>
      <c r="AF51" s="26">
        <v>0</v>
      </c>
      <c r="AG51" s="26">
        <v>0</v>
      </c>
      <c r="AH51" s="26">
        <v>0</v>
      </c>
      <c r="AI51" s="26">
        <v>0</v>
      </c>
      <c r="AJ51" s="26">
        <v>0</v>
      </c>
      <c r="AK51" s="62">
        <f t="shared" si="23"/>
        <v>21419.694</v>
      </c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</row>
    <row r="52" spans="1:103" ht="14.25" customHeight="1" x14ac:dyDescent="0.25">
      <c r="A52" s="123" t="s">
        <v>144</v>
      </c>
      <c r="B52" s="34">
        <f>13650+13650</f>
        <v>27300</v>
      </c>
      <c r="C52" s="34">
        <f>13650+13650</f>
        <v>27300</v>
      </c>
      <c r="D52" s="34">
        <f>313.99+313.99</f>
        <v>627.98</v>
      </c>
      <c r="E52" s="27">
        <v>0</v>
      </c>
      <c r="F52" s="27">
        <v>0</v>
      </c>
      <c r="G52" s="26">
        <f t="shared" si="24"/>
        <v>27927.98</v>
      </c>
      <c r="H52" s="27">
        <v>1237.5</v>
      </c>
      <c r="I52" s="27">
        <f>1900+712.5</f>
        <v>2612.5</v>
      </c>
      <c r="J52" s="26">
        <f t="shared" si="25"/>
        <v>3850</v>
      </c>
      <c r="K52" s="27">
        <v>30</v>
      </c>
      <c r="L52" s="26">
        <v>0</v>
      </c>
      <c r="M52" s="26">
        <v>0</v>
      </c>
      <c r="N52" s="26">
        <f t="shared" si="26"/>
        <v>682.5</v>
      </c>
      <c r="O52" s="27">
        <f t="shared" si="27"/>
        <v>682.5</v>
      </c>
      <c r="P52" s="27">
        <f t="shared" si="28"/>
        <v>1365</v>
      </c>
      <c r="Q52" s="27">
        <v>0</v>
      </c>
      <c r="R52" s="27">
        <v>0</v>
      </c>
      <c r="S52" s="27">
        <f t="shared" si="22"/>
        <v>0</v>
      </c>
      <c r="T52" s="27">
        <f>(G52-H52-N52-U52-20833)*15%</f>
        <v>746.24699999999996</v>
      </c>
      <c r="U52" s="27">
        <v>200</v>
      </c>
      <c r="V52" s="27">
        <f t="shared" si="29"/>
        <v>200</v>
      </c>
      <c r="W52" s="25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6">
        <f>G52-H52-L52-M52-N52-T52-U52-W52-X52-Y52-Z52-AA52+AB52-AC52</f>
        <v>25061.733</v>
      </c>
      <c r="AE52" s="26">
        <f>3050+3050</f>
        <v>6100</v>
      </c>
      <c r="AF52" s="26">
        <f>70.17+70.17</f>
        <v>140.34</v>
      </c>
      <c r="AG52" s="26">
        <v>0</v>
      </c>
      <c r="AH52" s="26">
        <v>0</v>
      </c>
      <c r="AI52" s="26">
        <v>0</v>
      </c>
      <c r="AJ52" s="26">
        <v>0</v>
      </c>
      <c r="AK52" s="62">
        <f t="shared" si="23"/>
        <v>31302.073</v>
      </c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</row>
    <row r="53" spans="1:103" ht="14.25" customHeight="1" x14ac:dyDescent="0.25">
      <c r="A53" s="123" t="s">
        <v>145</v>
      </c>
      <c r="B53" s="62">
        <f>6825+6825</f>
        <v>13650</v>
      </c>
      <c r="C53" s="34">
        <f>6825+6825</f>
        <v>13650</v>
      </c>
      <c r="D53" s="34">
        <f>157.01+157.01</f>
        <v>314.02</v>
      </c>
      <c r="E53" s="27">
        <v>0</v>
      </c>
      <c r="F53" s="27">
        <v>0</v>
      </c>
      <c r="G53" s="26">
        <f t="shared" si="24"/>
        <v>13964.02</v>
      </c>
      <c r="H53" s="27">
        <v>607.5</v>
      </c>
      <c r="I53" s="27">
        <v>1282.5</v>
      </c>
      <c r="J53" s="26">
        <f t="shared" si="25"/>
        <v>1890</v>
      </c>
      <c r="K53" s="27">
        <v>10</v>
      </c>
      <c r="L53" s="76">
        <v>0</v>
      </c>
      <c r="M53" s="76">
        <v>0</v>
      </c>
      <c r="N53" s="26">
        <f t="shared" si="26"/>
        <v>341.25</v>
      </c>
      <c r="O53" s="76">
        <f t="shared" si="27"/>
        <v>341.25</v>
      </c>
      <c r="P53" s="27">
        <f t="shared" si="28"/>
        <v>682.5</v>
      </c>
      <c r="Q53" s="27">
        <v>0</v>
      </c>
      <c r="R53" s="27">
        <v>0</v>
      </c>
      <c r="S53" s="27">
        <f t="shared" si="22"/>
        <v>0</v>
      </c>
      <c r="T53" s="76">
        <v>0</v>
      </c>
      <c r="U53" s="76">
        <v>200</v>
      </c>
      <c r="V53" s="76">
        <f t="shared" si="29"/>
        <v>200</v>
      </c>
      <c r="W53" s="67">
        <v>0</v>
      </c>
      <c r="X53" s="76">
        <f>0</f>
        <v>0</v>
      </c>
      <c r="Y53" s="76">
        <f>1000+1000</f>
        <v>2000</v>
      </c>
      <c r="Z53" s="26">
        <v>0</v>
      </c>
      <c r="AA53" s="26">
        <v>0</v>
      </c>
      <c r="AB53" s="26">
        <v>0</v>
      </c>
      <c r="AC53" s="26">
        <v>0</v>
      </c>
      <c r="AD53" s="26">
        <f>G53-H53-L53-M53-N53-T53-U53-W53-X53-Y53-Z53-AA53+AB53-AC53</f>
        <v>10815.27</v>
      </c>
      <c r="AE53" s="26">
        <v>0</v>
      </c>
      <c r="AF53" s="26">
        <v>0</v>
      </c>
      <c r="AG53" s="26">
        <v>0</v>
      </c>
      <c r="AH53" s="26">
        <v>0</v>
      </c>
      <c r="AI53" s="26">
        <v>0</v>
      </c>
      <c r="AJ53" s="26">
        <v>0</v>
      </c>
      <c r="AK53" s="62">
        <f t="shared" si="23"/>
        <v>10815.27</v>
      </c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</row>
    <row r="54" spans="1:103" x14ac:dyDescent="0.25">
      <c r="A54" s="123" t="s">
        <v>146</v>
      </c>
      <c r="B54" s="62">
        <f>6825+6825</f>
        <v>13650</v>
      </c>
      <c r="C54" s="34">
        <f>6825+6825</f>
        <v>13650</v>
      </c>
      <c r="D54" s="34">
        <f>157.01+157.01</f>
        <v>314.02</v>
      </c>
      <c r="E54" s="27">
        <v>0</v>
      </c>
      <c r="F54" s="27">
        <v>245.32</v>
      </c>
      <c r="G54" s="26">
        <f t="shared" si="24"/>
        <v>14209.34</v>
      </c>
      <c r="H54" s="27">
        <v>607.5</v>
      </c>
      <c r="I54" s="27">
        <v>1282.5</v>
      </c>
      <c r="J54" s="26">
        <f t="shared" si="25"/>
        <v>1890</v>
      </c>
      <c r="K54" s="27">
        <v>10</v>
      </c>
      <c r="L54" s="76">
        <v>0</v>
      </c>
      <c r="M54" s="76">
        <v>0</v>
      </c>
      <c r="N54" s="26">
        <f t="shared" si="26"/>
        <v>341.25</v>
      </c>
      <c r="O54" s="76">
        <f t="shared" si="27"/>
        <v>341.25</v>
      </c>
      <c r="P54" s="27">
        <f t="shared" si="28"/>
        <v>682.5</v>
      </c>
      <c r="Q54" s="27">
        <v>0</v>
      </c>
      <c r="R54" s="27">
        <v>0</v>
      </c>
      <c r="S54" s="27">
        <f t="shared" si="22"/>
        <v>0</v>
      </c>
      <c r="T54" s="76">
        <v>0</v>
      </c>
      <c r="U54" s="76">
        <v>200</v>
      </c>
      <c r="V54" s="76">
        <f t="shared" si="29"/>
        <v>200</v>
      </c>
      <c r="W54" s="67">
        <v>0</v>
      </c>
      <c r="X54" s="76">
        <v>0</v>
      </c>
      <c r="Y54" s="76">
        <f>1000+1000</f>
        <v>2000</v>
      </c>
      <c r="Z54" s="26">
        <v>0</v>
      </c>
      <c r="AA54" s="26">
        <v>0</v>
      </c>
      <c r="AB54" s="26">
        <v>0</v>
      </c>
      <c r="AC54" s="26">
        <v>0</v>
      </c>
      <c r="AD54" s="26">
        <f>G54-H54-L54-M54-N54-T54-U54-W54-X54-Y54-Z54-AA54+AB54-AC54</f>
        <v>11060.59</v>
      </c>
      <c r="AE54" s="26">
        <v>0</v>
      </c>
      <c r="AF54" s="26">
        <v>0</v>
      </c>
      <c r="AG54" s="26">
        <v>0</v>
      </c>
      <c r="AH54" s="26">
        <v>0</v>
      </c>
      <c r="AI54" s="26">
        <v>0</v>
      </c>
      <c r="AJ54" s="26">
        <v>0</v>
      </c>
      <c r="AK54" s="62">
        <f t="shared" si="23"/>
        <v>11060.59</v>
      </c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</row>
    <row r="55" spans="1:103" s="38" customFormat="1" ht="12" x14ac:dyDescent="0.2">
      <c r="A55" s="123" t="s">
        <v>147</v>
      </c>
      <c r="B55" s="34">
        <f>6782+6782</f>
        <v>13564</v>
      </c>
      <c r="C55" s="34">
        <f>6782+6782</f>
        <v>13564</v>
      </c>
      <c r="D55" s="34">
        <f>156+156</f>
        <v>312</v>
      </c>
      <c r="E55" s="27">
        <v>0</v>
      </c>
      <c r="F55" s="27">
        <f>243.75</f>
        <v>243.75</v>
      </c>
      <c r="G55" s="26">
        <f t="shared" si="24"/>
        <v>14119.75</v>
      </c>
      <c r="H55" s="27">
        <v>607.5</v>
      </c>
      <c r="I55" s="27">
        <v>1282.5</v>
      </c>
      <c r="J55" s="26">
        <f t="shared" si="25"/>
        <v>1890</v>
      </c>
      <c r="K55" s="27">
        <v>10</v>
      </c>
      <c r="L55" s="76">
        <v>0</v>
      </c>
      <c r="M55" s="76">
        <v>0</v>
      </c>
      <c r="N55" s="26">
        <f t="shared" si="26"/>
        <v>339.1</v>
      </c>
      <c r="O55" s="76">
        <f t="shared" si="27"/>
        <v>339.1</v>
      </c>
      <c r="P55" s="27">
        <f t="shared" si="28"/>
        <v>678.2</v>
      </c>
      <c r="Q55" s="27">
        <v>0</v>
      </c>
      <c r="R55" s="27">
        <v>0</v>
      </c>
      <c r="S55" s="27">
        <f t="shared" si="22"/>
        <v>0</v>
      </c>
      <c r="T55" s="76">
        <v>0</v>
      </c>
      <c r="U55" s="76">
        <v>200</v>
      </c>
      <c r="V55" s="76">
        <f t="shared" si="29"/>
        <v>200</v>
      </c>
      <c r="W55" s="67">
        <v>0</v>
      </c>
      <c r="X55" s="76">
        <v>0</v>
      </c>
      <c r="Y55" s="76">
        <v>0</v>
      </c>
      <c r="Z55" s="26">
        <v>0</v>
      </c>
      <c r="AA55" s="26">
        <v>0</v>
      </c>
      <c r="AB55" s="26">
        <v>57.83</v>
      </c>
      <c r="AC55" s="26">
        <v>0</v>
      </c>
      <c r="AD55" s="26">
        <f>G55-H55-L55-M55-N55-T55-U55-W55-X55-Y55-Z55-AA55+AB55-AC55</f>
        <v>13030.98</v>
      </c>
      <c r="AE55" s="26">
        <v>0</v>
      </c>
      <c r="AF55" s="26">
        <v>0</v>
      </c>
      <c r="AG55" s="26">
        <v>0</v>
      </c>
      <c r="AH55" s="26">
        <v>0</v>
      </c>
      <c r="AI55" s="26">
        <v>0</v>
      </c>
      <c r="AJ55" s="26">
        <v>0</v>
      </c>
      <c r="AK55" s="62">
        <f t="shared" si="23"/>
        <v>13030.98</v>
      </c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Ma. Eliza Delis Borja</dc:creator>
  <cp:lastModifiedBy>Jerome R. Sabusido</cp:lastModifiedBy>
  <dcterms:created xsi:type="dcterms:W3CDTF">2015-06-05T18:17:20Z</dcterms:created>
  <dcterms:modified xsi:type="dcterms:W3CDTF">2024-03-01T10:43:46Z</dcterms:modified>
</cp:coreProperties>
</file>