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EEBDCCD1-A9C6-4C80-8A18-91EA1B1F8955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H34" i="2" l="1"/>
  <c r="AE34" i="2"/>
  <c r="AH29" i="2"/>
  <c r="AE28" i="2"/>
  <c r="AE27" i="2"/>
  <c r="AG23" i="2"/>
  <c r="AE23" i="2"/>
  <c r="AE19" i="2"/>
  <c r="AG14" i="2"/>
  <c r="AE13" i="2"/>
  <c r="AE10" i="2"/>
  <c r="AE8" i="2"/>
  <c r="AG2" i="2"/>
  <c r="AE2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N37" i="2"/>
  <c r="N36" i="2"/>
  <c r="O35" i="2"/>
  <c r="N35" i="2"/>
  <c r="P35" i="2" s="1"/>
  <c r="O34" i="2"/>
  <c r="N34" i="2"/>
  <c r="P34" i="2" s="1"/>
  <c r="O33" i="2"/>
  <c r="N33" i="2"/>
  <c r="P33" i="2" s="1"/>
  <c r="P32" i="2"/>
  <c r="O32" i="2"/>
  <c r="N32" i="2"/>
  <c r="P31" i="2"/>
  <c r="O31" i="2"/>
  <c r="N31" i="2"/>
  <c r="N30" i="2"/>
  <c r="N29" i="2"/>
  <c r="N28" i="2"/>
  <c r="O27" i="2"/>
  <c r="N27" i="2"/>
  <c r="P27" i="2" s="1"/>
  <c r="O26" i="2"/>
  <c r="N26" i="2"/>
  <c r="P26" i="2" s="1"/>
  <c r="O25" i="2"/>
  <c r="N25" i="2"/>
  <c r="P25" i="2" s="1"/>
  <c r="P24" i="2"/>
  <c r="O24" i="2"/>
  <c r="N24" i="2"/>
  <c r="P23" i="2"/>
  <c r="O23" i="2"/>
  <c r="N23" i="2"/>
  <c r="N22" i="2"/>
  <c r="N21" i="2"/>
  <c r="N20" i="2"/>
  <c r="O19" i="2"/>
  <c r="N19" i="2"/>
  <c r="P19" i="2" s="1"/>
  <c r="N18" i="2"/>
  <c r="O17" i="2"/>
  <c r="N17" i="2"/>
  <c r="P17" i="2" s="1"/>
  <c r="N16" i="2"/>
  <c r="O16" i="2" s="1"/>
  <c r="P16" i="2" s="1"/>
  <c r="N15" i="2"/>
  <c r="O15" i="2" s="1"/>
  <c r="P15" i="2" s="1"/>
  <c r="N14" i="2"/>
  <c r="N13" i="2"/>
  <c r="N12" i="2"/>
  <c r="O11" i="2"/>
  <c r="N11" i="2"/>
  <c r="P11" i="2" s="1"/>
  <c r="N10" i="2"/>
  <c r="O9" i="2"/>
  <c r="N9" i="2"/>
  <c r="P9" i="2" s="1"/>
  <c r="N8" i="2"/>
  <c r="O8" i="2" s="1"/>
  <c r="P8" i="2" s="1"/>
  <c r="O7" i="2"/>
  <c r="P7" i="2" s="1"/>
  <c r="O6" i="2"/>
  <c r="N6" i="2"/>
  <c r="P6" i="2" s="1"/>
  <c r="N5" i="2"/>
  <c r="O5" i="2" s="1"/>
  <c r="P5" i="2" s="1"/>
  <c r="N4" i="2"/>
  <c r="N3" i="2"/>
  <c r="N2" i="2"/>
  <c r="I37" i="2"/>
  <c r="J37" i="2" s="1"/>
  <c r="C37" i="2"/>
  <c r="G37" i="2" s="1"/>
  <c r="B37" i="2"/>
  <c r="I36" i="2"/>
  <c r="J36" i="2" s="1"/>
  <c r="G36" i="2"/>
  <c r="C36" i="2"/>
  <c r="B36" i="2"/>
  <c r="J35" i="2"/>
  <c r="F35" i="2"/>
  <c r="C35" i="2"/>
  <c r="G35" i="2" s="1"/>
  <c r="B35" i="2"/>
  <c r="J34" i="2"/>
  <c r="I34" i="2"/>
  <c r="H34" i="2"/>
  <c r="F34" i="2"/>
  <c r="C34" i="2"/>
  <c r="G34" i="2" s="1"/>
  <c r="B34" i="2"/>
  <c r="J33" i="2"/>
  <c r="G33" i="2"/>
  <c r="C33" i="2"/>
  <c r="B33" i="2"/>
  <c r="J32" i="2"/>
  <c r="C32" i="2"/>
  <c r="G32" i="2" s="1"/>
  <c r="B32" i="2"/>
  <c r="J31" i="2"/>
  <c r="G31" i="2"/>
  <c r="C31" i="2"/>
  <c r="B31" i="2"/>
  <c r="J30" i="2"/>
  <c r="C30" i="2"/>
  <c r="G30" i="2" s="1"/>
  <c r="B30" i="2"/>
  <c r="I29" i="2"/>
  <c r="J29" i="2" s="1"/>
  <c r="G29" i="2"/>
  <c r="C29" i="2"/>
  <c r="B29" i="2"/>
  <c r="I28" i="2"/>
  <c r="H28" i="2"/>
  <c r="J28" i="2" s="1"/>
  <c r="C28" i="2"/>
  <c r="G28" i="2" s="1"/>
  <c r="B28" i="2"/>
  <c r="I27" i="2"/>
  <c r="J27" i="2" s="1"/>
  <c r="C27" i="2"/>
  <c r="G27" i="2" s="1"/>
  <c r="B27" i="2"/>
  <c r="J26" i="2"/>
  <c r="G26" i="2"/>
  <c r="C26" i="2"/>
  <c r="B26" i="2"/>
  <c r="J25" i="2"/>
  <c r="F25" i="2"/>
  <c r="C25" i="2"/>
  <c r="G25" i="2" s="1"/>
  <c r="B25" i="2"/>
  <c r="J24" i="2"/>
  <c r="G24" i="2"/>
  <c r="F24" i="2"/>
  <c r="C24" i="2"/>
  <c r="B24" i="2"/>
  <c r="I23" i="2"/>
  <c r="H23" i="2"/>
  <c r="J23" i="2" s="1"/>
  <c r="G23" i="2"/>
  <c r="C23" i="2"/>
  <c r="B23" i="2"/>
  <c r="J22" i="2"/>
  <c r="F22" i="2"/>
  <c r="C22" i="2"/>
  <c r="G22" i="2" s="1"/>
  <c r="B22" i="2"/>
  <c r="J21" i="2"/>
  <c r="I21" i="2"/>
  <c r="H21" i="2"/>
  <c r="B21" i="2"/>
  <c r="C21" i="2" s="1"/>
  <c r="G21" i="2" s="1"/>
  <c r="I20" i="2"/>
  <c r="H20" i="2"/>
  <c r="J20" i="2" s="1"/>
  <c r="G20" i="2"/>
  <c r="C20" i="2"/>
  <c r="B20" i="2"/>
  <c r="I19" i="2"/>
  <c r="H19" i="2"/>
  <c r="J19" i="2" s="1"/>
  <c r="F19" i="2"/>
  <c r="G19" i="2" s="1"/>
  <c r="C19" i="2"/>
  <c r="B19" i="2"/>
  <c r="J18" i="2"/>
  <c r="C18" i="2"/>
  <c r="G18" i="2" s="1"/>
  <c r="B18" i="2"/>
  <c r="J17" i="2"/>
  <c r="G17" i="2"/>
  <c r="F17" i="2"/>
  <c r="C17" i="2"/>
  <c r="B17" i="2"/>
  <c r="M16" i="2"/>
  <c r="I16" i="2"/>
  <c r="J16" i="2" s="1"/>
  <c r="C16" i="2"/>
  <c r="G16" i="2" s="1"/>
  <c r="B16" i="2"/>
  <c r="J15" i="2"/>
  <c r="F15" i="2"/>
  <c r="C15" i="2"/>
  <c r="G15" i="2" s="1"/>
  <c r="B15" i="2"/>
  <c r="J14" i="2"/>
  <c r="G14" i="2"/>
  <c r="F14" i="2"/>
  <c r="C14" i="2"/>
  <c r="B14" i="2"/>
  <c r="J13" i="2"/>
  <c r="F13" i="2"/>
  <c r="C13" i="2"/>
  <c r="G13" i="2" s="1"/>
  <c r="B13" i="2"/>
  <c r="I12" i="2"/>
  <c r="J12" i="2" s="1"/>
  <c r="C12" i="2"/>
  <c r="G12" i="2" s="1"/>
  <c r="B12" i="2"/>
  <c r="J11" i="2"/>
  <c r="C11" i="2"/>
  <c r="G11" i="2" s="1"/>
  <c r="B11" i="2"/>
  <c r="J10" i="2"/>
  <c r="C10" i="2"/>
  <c r="G10" i="2" s="1"/>
  <c r="B10" i="2"/>
  <c r="J9" i="2"/>
  <c r="C9" i="2"/>
  <c r="G9" i="2" s="1"/>
  <c r="B9" i="2"/>
  <c r="J8" i="2"/>
  <c r="I8" i="2"/>
  <c r="F8" i="2"/>
  <c r="C8" i="2"/>
  <c r="G8" i="2" s="1"/>
  <c r="B8" i="2"/>
  <c r="J7" i="2"/>
  <c r="I7" i="2"/>
  <c r="H7" i="2"/>
  <c r="B7" i="2"/>
  <c r="C7" i="2" s="1"/>
  <c r="G7" i="2" s="1"/>
  <c r="J6" i="2"/>
  <c r="C6" i="2"/>
  <c r="G6" i="2" s="1"/>
  <c r="B6" i="2"/>
  <c r="I5" i="2"/>
  <c r="H5" i="2"/>
  <c r="J5" i="2" s="1"/>
  <c r="C5" i="2"/>
  <c r="G5" i="2" s="1"/>
  <c r="B5" i="2"/>
  <c r="J4" i="2"/>
  <c r="G4" i="2"/>
  <c r="C4" i="2"/>
  <c r="B4" i="2"/>
  <c r="J3" i="2"/>
  <c r="C3" i="2"/>
  <c r="G3" i="2" s="1"/>
  <c r="B3" i="2"/>
  <c r="L2" i="2"/>
  <c r="J2" i="2"/>
  <c r="I2" i="2"/>
  <c r="C2" i="2"/>
  <c r="G2" i="2" s="1"/>
  <c r="B2" i="2"/>
  <c r="AJ105" i="1"/>
  <c r="AJ104" i="1"/>
  <c r="P103" i="1"/>
  <c r="O103" i="1"/>
  <c r="L103" i="1"/>
  <c r="P102" i="1"/>
  <c r="O102" i="1"/>
  <c r="L102" i="1"/>
  <c r="P101" i="1"/>
  <c r="O101" i="1"/>
  <c r="L101" i="1"/>
  <c r="AJ100" i="1"/>
  <c r="P100" i="1"/>
  <c r="O100" i="1"/>
  <c r="L100" i="1"/>
  <c r="AA98" i="1"/>
  <c r="G98" i="1"/>
  <c r="Y96" i="1"/>
  <c r="AJ94" i="1"/>
  <c r="AG94" i="1"/>
  <c r="AG96" i="1" s="1"/>
  <c r="AF94" i="1"/>
  <c r="AE94" i="1"/>
  <c r="AD94" i="1"/>
  <c r="AC94" i="1"/>
  <c r="AB94" i="1"/>
  <c r="Z94" i="1"/>
  <c r="Y94" i="1"/>
  <c r="X94" i="1"/>
  <c r="W94" i="1"/>
  <c r="T94" i="1"/>
  <c r="S94" i="1"/>
  <c r="R94" i="1"/>
  <c r="M94" i="1"/>
  <c r="L94" i="1"/>
  <c r="K94" i="1"/>
  <c r="K96" i="1" s="1"/>
  <c r="I94" i="1"/>
  <c r="H94" i="1"/>
  <c r="E94" i="1"/>
  <c r="D94" i="1"/>
  <c r="C94" i="1"/>
  <c r="S93" i="1"/>
  <c r="N93" i="1"/>
  <c r="J93" i="1"/>
  <c r="G93" i="1"/>
  <c r="F93" i="1"/>
  <c r="C93" i="1"/>
  <c r="B93" i="1"/>
  <c r="AJ92" i="1"/>
  <c r="V92" i="1"/>
  <c r="S92" i="1"/>
  <c r="J92" i="1"/>
  <c r="G92" i="1"/>
  <c r="C92" i="1"/>
  <c r="B92" i="1"/>
  <c r="N92" i="1" s="1"/>
  <c r="U91" i="1"/>
  <c r="U94" i="1" s="1"/>
  <c r="S91" i="1"/>
  <c r="P91" i="1"/>
  <c r="N91" i="1"/>
  <c r="O91" i="1" s="1"/>
  <c r="J91" i="1"/>
  <c r="C91" i="1"/>
  <c r="G91" i="1" s="1"/>
  <c r="B91" i="1"/>
  <c r="AB90" i="1"/>
  <c r="S90" i="1"/>
  <c r="N90" i="1"/>
  <c r="J90" i="1"/>
  <c r="J94" i="1" s="1"/>
  <c r="I90" i="1"/>
  <c r="G90" i="1"/>
  <c r="C90" i="1"/>
  <c r="B90" i="1"/>
  <c r="V89" i="1"/>
  <c r="S89" i="1"/>
  <c r="J89" i="1"/>
  <c r="F89" i="1"/>
  <c r="C89" i="1"/>
  <c r="B89" i="1"/>
  <c r="AJ88" i="1"/>
  <c r="AJ80" i="1"/>
  <c r="AH80" i="1"/>
  <c r="AA80" i="1"/>
  <c r="G80" i="1"/>
  <c r="AG79" i="1"/>
  <c r="AE79" i="1"/>
  <c r="AD79" i="1"/>
  <c r="AC79" i="1"/>
  <c r="AB79" i="1"/>
  <c r="Z79" i="1"/>
  <c r="Y79" i="1"/>
  <c r="X79" i="1"/>
  <c r="W79" i="1"/>
  <c r="V79" i="1"/>
  <c r="U79" i="1"/>
  <c r="T79" i="1"/>
  <c r="S79" i="1"/>
  <c r="R79" i="1"/>
  <c r="Q79" i="1"/>
  <c r="M79" i="1"/>
  <c r="L79" i="1"/>
  <c r="K79" i="1"/>
  <c r="J79" i="1"/>
  <c r="I79" i="1"/>
  <c r="H79" i="1"/>
  <c r="F79" i="1"/>
  <c r="E79" i="1"/>
  <c r="D79" i="1"/>
  <c r="C79" i="1"/>
  <c r="B79" i="1"/>
  <c r="AL78" i="1"/>
  <c r="AL79" i="1" s="1"/>
  <c r="AG78" i="1"/>
  <c r="AF78" i="1"/>
  <c r="AF79" i="1" s="1"/>
  <c r="AF96" i="1" s="1"/>
  <c r="S78" i="1"/>
  <c r="N78" i="1"/>
  <c r="J78" i="1"/>
  <c r="C78" i="1"/>
  <c r="G78" i="1" s="1"/>
  <c r="B78" i="1"/>
  <c r="AJ68" i="1"/>
  <c r="AH68" i="1"/>
  <c r="AA68" i="1"/>
  <c r="AG67" i="1"/>
  <c r="AF67" i="1"/>
  <c r="AE67" i="1"/>
  <c r="AD67" i="1"/>
  <c r="AC67" i="1"/>
  <c r="AC96" i="1" s="1"/>
  <c r="AB67" i="1"/>
  <c r="Z67" i="1"/>
  <c r="Z96" i="1" s="1"/>
  <c r="Y67" i="1"/>
  <c r="X67" i="1"/>
  <c r="W67" i="1"/>
  <c r="V67" i="1"/>
  <c r="U67" i="1"/>
  <c r="T67" i="1"/>
  <c r="R67" i="1"/>
  <c r="Q67" i="1"/>
  <c r="M67" i="1"/>
  <c r="L67" i="1"/>
  <c r="K67" i="1"/>
  <c r="J67" i="1"/>
  <c r="I67" i="1"/>
  <c r="H67" i="1"/>
  <c r="F67" i="1"/>
  <c r="E67" i="1"/>
  <c r="D67" i="1"/>
  <c r="C67" i="1"/>
  <c r="B67" i="1"/>
  <c r="S66" i="1"/>
  <c r="S67" i="1" s="1"/>
  <c r="N66" i="1"/>
  <c r="J66" i="1"/>
  <c r="G66" i="1"/>
  <c r="C66" i="1"/>
  <c r="B66" i="1"/>
  <c r="AA61" i="1"/>
  <c r="G61" i="1"/>
  <c r="AG60" i="1"/>
  <c r="AF60" i="1"/>
  <c r="AE60" i="1"/>
  <c r="AD60" i="1"/>
  <c r="AC60" i="1"/>
  <c r="AB60" i="1"/>
  <c r="Z60" i="1"/>
  <c r="Y60" i="1"/>
  <c r="X60" i="1"/>
  <c r="V60" i="1"/>
  <c r="U60" i="1"/>
  <c r="T60" i="1"/>
  <c r="R60" i="1"/>
  <c r="M60" i="1"/>
  <c r="L60" i="1"/>
  <c r="K60" i="1"/>
  <c r="F60" i="1"/>
  <c r="E60" i="1"/>
  <c r="D60" i="1"/>
  <c r="S59" i="1"/>
  <c r="N59" i="1"/>
  <c r="J59" i="1"/>
  <c r="G59" i="1"/>
  <c r="AA59" i="1" s="1"/>
  <c r="AH59" i="1" s="1"/>
  <c r="C59" i="1"/>
  <c r="B59" i="1"/>
  <c r="AB58" i="1"/>
  <c r="S58" i="1"/>
  <c r="J58" i="1"/>
  <c r="I58" i="1"/>
  <c r="C58" i="1"/>
  <c r="G58" i="1" s="1"/>
  <c r="B58" i="1"/>
  <c r="N58" i="1" s="1"/>
  <c r="O58" i="1" s="1"/>
  <c r="AJ57" i="1"/>
  <c r="S57" i="1"/>
  <c r="N57" i="1"/>
  <c r="J57" i="1"/>
  <c r="G57" i="1"/>
  <c r="C57" i="1"/>
  <c r="B57" i="1"/>
  <c r="W56" i="1"/>
  <c r="W60" i="1" s="1"/>
  <c r="W96" i="1" s="1"/>
  <c r="S56" i="1"/>
  <c r="Q56" i="1"/>
  <c r="N56" i="1"/>
  <c r="O56" i="1" s="1"/>
  <c r="I56" i="1"/>
  <c r="I60" i="1" s="1"/>
  <c r="H56" i="1"/>
  <c r="C56" i="1"/>
  <c r="G56" i="1" s="1"/>
  <c r="B56" i="1"/>
  <c r="S55" i="1"/>
  <c r="N55" i="1"/>
  <c r="J55" i="1"/>
  <c r="I55" i="1"/>
  <c r="G55" i="1"/>
  <c r="C55" i="1"/>
  <c r="B55" i="1"/>
  <c r="AH54" i="1"/>
  <c r="S54" i="1"/>
  <c r="N54" i="1"/>
  <c r="O54" i="1" s="1"/>
  <c r="J54" i="1"/>
  <c r="C54" i="1"/>
  <c r="G54" i="1" s="1"/>
  <c r="AA54" i="1" s="1"/>
  <c r="B54" i="1"/>
  <c r="AJ53" i="1"/>
  <c r="S53" i="1"/>
  <c r="N53" i="1"/>
  <c r="L53" i="1"/>
  <c r="J53" i="1"/>
  <c r="G53" i="1"/>
  <c r="C53" i="1"/>
  <c r="B53" i="1"/>
  <c r="AB52" i="1"/>
  <c r="AA52" i="1"/>
  <c r="S52" i="1"/>
  <c r="S60" i="1" s="1"/>
  <c r="J52" i="1"/>
  <c r="C52" i="1"/>
  <c r="G52" i="1" s="1"/>
  <c r="B52" i="1"/>
  <c r="N52" i="1" s="1"/>
  <c r="AH44" i="1"/>
  <c r="AA44" i="1"/>
  <c r="G44" i="1"/>
  <c r="AG43" i="1"/>
  <c r="AF43" i="1"/>
  <c r="AC43" i="1"/>
  <c r="Z43" i="1"/>
  <c r="Y43" i="1"/>
  <c r="X43" i="1"/>
  <c r="X96" i="1" s="1"/>
  <c r="U43" i="1"/>
  <c r="R43" i="1"/>
  <c r="R44" i="1" s="1"/>
  <c r="M43" i="1"/>
  <c r="K43" i="1"/>
  <c r="E43" i="1"/>
  <c r="D43" i="1"/>
  <c r="S42" i="1"/>
  <c r="I42" i="1"/>
  <c r="J42" i="1" s="1"/>
  <c r="C42" i="1"/>
  <c r="G42" i="1" s="1"/>
  <c r="B42" i="1"/>
  <c r="N42" i="1" s="1"/>
  <c r="O42" i="1" s="1"/>
  <c r="AJ41" i="1"/>
  <c r="V41" i="1"/>
  <c r="S41" i="1"/>
  <c r="N41" i="1"/>
  <c r="J41" i="1"/>
  <c r="I41" i="1"/>
  <c r="G41" i="1"/>
  <c r="C41" i="1"/>
  <c r="B41" i="1"/>
  <c r="S40" i="1"/>
  <c r="J40" i="1"/>
  <c r="F40" i="1"/>
  <c r="C40" i="1"/>
  <c r="G40" i="1" s="1"/>
  <c r="B40" i="1"/>
  <c r="N40" i="1" s="1"/>
  <c r="AE39" i="1"/>
  <c r="AB39" i="1"/>
  <c r="S39" i="1"/>
  <c r="N39" i="1"/>
  <c r="O39" i="1" s="1"/>
  <c r="P39" i="1" s="1"/>
  <c r="I39" i="1"/>
  <c r="H39" i="1"/>
  <c r="J39" i="1" s="1"/>
  <c r="F39" i="1"/>
  <c r="C39" i="1"/>
  <c r="G39" i="1" s="1"/>
  <c r="Q39" i="1" s="1"/>
  <c r="B39" i="1"/>
  <c r="AJ38" i="1"/>
  <c r="AA38" i="1"/>
  <c r="AH38" i="1" s="1"/>
  <c r="S38" i="1"/>
  <c r="O38" i="1"/>
  <c r="P38" i="1" s="1"/>
  <c r="J38" i="1"/>
  <c r="C38" i="1"/>
  <c r="G38" i="1" s="1"/>
  <c r="AL38" i="1" s="1"/>
  <c r="B38" i="1"/>
  <c r="N38" i="1" s="1"/>
  <c r="V37" i="1"/>
  <c r="S37" i="1"/>
  <c r="O37" i="1"/>
  <c r="J37" i="1"/>
  <c r="G37" i="1"/>
  <c r="C37" i="1"/>
  <c r="B37" i="1"/>
  <c r="N37" i="1" s="1"/>
  <c r="S36" i="1"/>
  <c r="N36" i="1"/>
  <c r="O36" i="1" s="1"/>
  <c r="P36" i="1" s="1"/>
  <c r="J36" i="1"/>
  <c r="C36" i="1"/>
  <c r="G36" i="1" s="1"/>
  <c r="B36" i="1"/>
  <c r="AJ35" i="1"/>
  <c r="AJ99" i="1" s="1"/>
  <c r="V35" i="1"/>
  <c r="S35" i="1"/>
  <c r="P35" i="1"/>
  <c r="N35" i="1"/>
  <c r="O35" i="1" s="1"/>
  <c r="J35" i="1"/>
  <c r="C35" i="1"/>
  <c r="G35" i="1" s="1"/>
  <c r="B35" i="1"/>
  <c r="AE34" i="1"/>
  <c r="AE43" i="1" s="1"/>
  <c r="AE96" i="1" s="1"/>
  <c r="S34" i="1"/>
  <c r="I34" i="1"/>
  <c r="J34" i="1" s="1"/>
  <c r="C34" i="1"/>
  <c r="G34" i="1" s="1"/>
  <c r="AL34" i="1" s="1"/>
  <c r="B34" i="1"/>
  <c r="N34" i="1" s="1"/>
  <c r="AJ33" i="1"/>
  <c r="AB33" i="1"/>
  <c r="V33" i="1"/>
  <c r="S33" i="1"/>
  <c r="I33" i="1"/>
  <c r="J33" i="1" s="1"/>
  <c r="H33" i="1"/>
  <c r="C33" i="1"/>
  <c r="G33" i="1" s="1"/>
  <c r="B33" i="1"/>
  <c r="N33" i="1" s="1"/>
  <c r="AB32" i="1"/>
  <c r="S32" i="1"/>
  <c r="Q32" i="1"/>
  <c r="I32" i="1"/>
  <c r="J32" i="1" s="1"/>
  <c r="C32" i="1"/>
  <c r="G32" i="1" s="1"/>
  <c r="B32" i="1"/>
  <c r="N32" i="1" s="1"/>
  <c r="S31" i="1"/>
  <c r="P31" i="1"/>
  <c r="N31" i="1"/>
  <c r="O31" i="1" s="1"/>
  <c r="J31" i="1"/>
  <c r="C31" i="1"/>
  <c r="G31" i="1" s="1"/>
  <c r="B31" i="1"/>
  <c r="S30" i="1"/>
  <c r="P30" i="1"/>
  <c r="J30" i="1"/>
  <c r="F30" i="1"/>
  <c r="G30" i="1" s="1"/>
  <c r="C30" i="1"/>
  <c r="B30" i="1"/>
  <c r="N30" i="1" s="1"/>
  <c r="O30" i="1" s="1"/>
  <c r="S29" i="1"/>
  <c r="N29" i="1"/>
  <c r="O29" i="1" s="1"/>
  <c r="J29" i="1"/>
  <c r="F29" i="1"/>
  <c r="G29" i="1" s="1"/>
  <c r="C29" i="1"/>
  <c r="B29" i="1"/>
  <c r="AD28" i="1"/>
  <c r="AB28" i="1"/>
  <c r="S28" i="1"/>
  <c r="O28" i="1"/>
  <c r="I28" i="1"/>
  <c r="J28" i="1" s="1"/>
  <c r="H28" i="1"/>
  <c r="G28" i="1"/>
  <c r="C28" i="1"/>
  <c r="B28" i="1"/>
  <c r="N28" i="1" s="1"/>
  <c r="AL27" i="1"/>
  <c r="AA27" i="1"/>
  <c r="AH27" i="1" s="1"/>
  <c r="S27" i="1"/>
  <c r="O27" i="1"/>
  <c r="J27" i="1"/>
  <c r="G27" i="1"/>
  <c r="F27" i="1"/>
  <c r="C27" i="1"/>
  <c r="B27" i="1"/>
  <c r="N27" i="1" s="1"/>
  <c r="AI26" i="1"/>
  <c r="S26" i="1"/>
  <c r="O26" i="1"/>
  <c r="P26" i="1" s="1"/>
  <c r="N26" i="1"/>
  <c r="I26" i="1"/>
  <c r="J26" i="1" s="1"/>
  <c r="H26" i="1"/>
  <c r="C26" i="1"/>
  <c r="G26" i="1" s="1"/>
  <c r="B26" i="1"/>
  <c r="S25" i="1"/>
  <c r="Q25" i="1"/>
  <c r="AJ25" i="1" s="1"/>
  <c r="AK25" i="1" s="1"/>
  <c r="O25" i="1"/>
  <c r="P25" i="1" s="1"/>
  <c r="N25" i="1"/>
  <c r="I25" i="1"/>
  <c r="J25" i="1" s="1"/>
  <c r="H25" i="1"/>
  <c r="G25" i="1"/>
  <c r="C25" i="1"/>
  <c r="B25" i="1"/>
  <c r="AB24" i="1"/>
  <c r="S24" i="1"/>
  <c r="P24" i="1"/>
  <c r="N24" i="1"/>
  <c r="O24" i="1" s="1"/>
  <c r="I24" i="1"/>
  <c r="H24" i="1"/>
  <c r="F24" i="1"/>
  <c r="C24" i="1"/>
  <c r="B24" i="1"/>
  <c r="S23" i="1"/>
  <c r="N23" i="1"/>
  <c r="O23" i="1" s="1"/>
  <c r="J23" i="1"/>
  <c r="C23" i="1"/>
  <c r="G23" i="1" s="1"/>
  <c r="AA23" i="1" s="1"/>
  <c r="AH23" i="1" s="1"/>
  <c r="B23" i="1"/>
  <c r="V22" i="1"/>
  <c r="S22" i="1"/>
  <c r="J22" i="1"/>
  <c r="G22" i="1"/>
  <c r="F22" i="1"/>
  <c r="C22" i="1"/>
  <c r="B22" i="1"/>
  <c r="N22" i="1" s="1"/>
  <c r="O22" i="1" s="1"/>
  <c r="V21" i="1"/>
  <c r="S21" i="1"/>
  <c r="N21" i="1"/>
  <c r="O21" i="1" s="1"/>
  <c r="M21" i="1"/>
  <c r="J21" i="1"/>
  <c r="I21" i="1"/>
  <c r="C21" i="1"/>
  <c r="G21" i="1" s="1"/>
  <c r="B21" i="1"/>
  <c r="S20" i="1"/>
  <c r="N20" i="1"/>
  <c r="J20" i="1"/>
  <c r="G20" i="1"/>
  <c r="AA20" i="1" s="1"/>
  <c r="AH20" i="1" s="1"/>
  <c r="F20" i="1"/>
  <c r="C20" i="1"/>
  <c r="B20" i="1"/>
  <c r="AD19" i="1"/>
  <c r="W19" i="1"/>
  <c r="W43" i="1" s="1"/>
  <c r="S19" i="1"/>
  <c r="N19" i="1"/>
  <c r="O19" i="1" s="1"/>
  <c r="J19" i="1"/>
  <c r="F19" i="1"/>
  <c r="C19" i="1"/>
  <c r="B19" i="1"/>
  <c r="AB18" i="1"/>
  <c r="AB43" i="1" s="1"/>
  <c r="T18" i="1"/>
  <c r="T43" i="1" s="1"/>
  <c r="T44" i="1" s="1"/>
  <c r="S18" i="1"/>
  <c r="J18" i="1"/>
  <c r="F18" i="1"/>
  <c r="G18" i="1" s="1"/>
  <c r="C18" i="1"/>
  <c r="B18" i="1"/>
  <c r="N18" i="1" s="1"/>
  <c r="S17" i="1"/>
  <c r="N17" i="1"/>
  <c r="O17" i="1" s="1"/>
  <c r="J17" i="1"/>
  <c r="I17" i="1"/>
  <c r="G17" i="1"/>
  <c r="C17" i="1"/>
  <c r="B17" i="1"/>
  <c r="V16" i="1"/>
  <c r="V43" i="1" s="1"/>
  <c r="S16" i="1"/>
  <c r="P16" i="1"/>
  <c r="N16" i="1"/>
  <c r="O16" i="1" s="1"/>
  <c r="J16" i="1"/>
  <c r="C16" i="1"/>
  <c r="G16" i="1" s="1"/>
  <c r="B16" i="1"/>
  <c r="AB15" i="1"/>
  <c r="S15" i="1"/>
  <c r="J15" i="1"/>
  <c r="G15" i="1"/>
  <c r="C15" i="1"/>
  <c r="B15" i="1"/>
  <c r="N15" i="1" s="1"/>
  <c r="S14" i="1"/>
  <c r="N14" i="1"/>
  <c r="O14" i="1" s="1"/>
  <c r="J14" i="1"/>
  <c r="C14" i="1"/>
  <c r="G14" i="1" s="1"/>
  <c r="AA14" i="1" s="1"/>
  <c r="AH14" i="1" s="1"/>
  <c r="B14" i="1"/>
  <c r="AB13" i="1"/>
  <c r="V13" i="1"/>
  <c r="S13" i="1"/>
  <c r="Q13" i="1"/>
  <c r="O13" i="1"/>
  <c r="N13" i="1"/>
  <c r="I13" i="1"/>
  <c r="J13" i="1" s="1"/>
  <c r="F13" i="1"/>
  <c r="C13" i="1"/>
  <c r="G13" i="1" s="1"/>
  <c r="AA13" i="1" s="1"/>
  <c r="AH13" i="1" s="1"/>
  <c r="B13" i="1"/>
  <c r="AI12" i="1"/>
  <c r="S12" i="1"/>
  <c r="O12" i="1"/>
  <c r="P12" i="1" s="1"/>
  <c r="I12" i="1"/>
  <c r="J12" i="1" s="1"/>
  <c r="H12" i="1"/>
  <c r="C12" i="1"/>
  <c r="G12" i="1" s="1"/>
  <c r="B12" i="1"/>
  <c r="AL11" i="1"/>
  <c r="S11" i="1"/>
  <c r="N11" i="1"/>
  <c r="J11" i="1"/>
  <c r="G11" i="1"/>
  <c r="AA11" i="1" s="1"/>
  <c r="AH11" i="1" s="1"/>
  <c r="C11" i="1"/>
  <c r="B11" i="1"/>
  <c r="S10" i="1"/>
  <c r="N10" i="1"/>
  <c r="O10" i="1" s="1"/>
  <c r="I10" i="1"/>
  <c r="J10" i="1" s="1"/>
  <c r="H10" i="1"/>
  <c r="G10" i="1"/>
  <c r="AL10" i="1" s="1"/>
  <c r="C10" i="1"/>
  <c r="B10" i="1"/>
  <c r="S9" i="1"/>
  <c r="S43" i="1" s="1"/>
  <c r="O9" i="1"/>
  <c r="N9" i="1"/>
  <c r="J9" i="1"/>
  <c r="C9" i="1"/>
  <c r="G9" i="1" s="1"/>
  <c r="B9" i="1"/>
  <c r="AA8" i="1"/>
  <c r="AH8" i="1" s="1"/>
  <c r="S8" i="1"/>
  <c r="P8" i="1"/>
  <c r="O8" i="1"/>
  <c r="J8" i="1"/>
  <c r="C8" i="1"/>
  <c r="G8" i="1" s="1"/>
  <c r="B8" i="1"/>
  <c r="N8" i="1" s="1"/>
  <c r="AD7" i="1"/>
  <c r="AD43" i="1" s="1"/>
  <c r="AB7" i="1"/>
  <c r="S7" i="1"/>
  <c r="L7" i="1"/>
  <c r="L43" i="1" s="1"/>
  <c r="I7" i="1"/>
  <c r="C7" i="1"/>
  <c r="G7" i="1" s="1"/>
  <c r="B7" i="1"/>
  <c r="B43" i="1" s="1"/>
  <c r="AR6" i="1"/>
  <c r="P30" i="2" l="1"/>
  <c r="P4" i="2"/>
  <c r="P10" i="2"/>
  <c r="P3" i="2"/>
  <c r="P13" i="2"/>
  <c r="P28" i="2"/>
  <c r="O3" i="2"/>
  <c r="O14" i="2"/>
  <c r="P14" i="2" s="1"/>
  <c r="O22" i="2"/>
  <c r="P22" i="2" s="1"/>
  <c r="O30" i="2"/>
  <c r="O12" i="2"/>
  <c r="P12" i="2" s="1"/>
  <c r="O20" i="2"/>
  <c r="P20" i="2" s="1"/>
  <c r="O28" i="2"/>
  <c r="O36" i="2"/>
  <c r="P36" i="2" s="1"/>
  <c r="O4" i="2"/>
  <c r="O10" i="2"/>
  <c r="O18" i="2"/>
  <c r="P18" i="2" s="1"/>
  <c r="O2" i="2"/>
  <c r="P2" i="2" s="1"/>
  <c r="O13" i="2"/>
  <c r="O21" i="2"/>
  <c r="P21" i="2" s="1"/>
  <c r="O29" i="2"/>
  <c r="P29" i="2" s="1"/>
  <c r="O37" i="2"/>
  <c r="P37" i="2" s="1"/>
  <c r="AL18" i="1"/>
  <c r="AA18" i="1"/>
  <c r="AH18" i="1" s="1"/>
  <c r="AA40" i="1"/>
  <c r="AH40" i="1" s="1"/>
  <c r="AL40" i="1"/>
  <c r="AA9" i="1"/>
  <c r="AH9" i="1" s="1"/>
  <c r="AL9" i="1"/>
  <c r="AL17" i="1"/>
  <c r="P15" i="1"/>
  <c r="O15" i="1"/>
  <c r="O18" i="1"/>
  <c r="P18" i="1"/>
  <c r="G45" i="1"/>
  <c r="G46" i="1" s="1"/>
  <c r="Q26" i="1"/>
  <c r="AA26" i="1" s="1"/>
  <c r="AA15" i="1"/>
  <c r="AH15" i="1" s="1"/>
  <c r="Q12" i="1"/>
  <c r="AJ12" i="1" s="1"/>
  <c r="AK12" i="1" s="1"/>
  <c r="Q33" i="1"/>
  <c r="AL33" i="1" s="1"/>
  <c r="Q55" i="1"/>
  <c r="O55" i="1"/>
  <c r="E96" i="1"/>
  <c r="AA93" i="1"/>
  <c r="AH93" i="1" s="1"/>
  <c r="T96" i="1"/>
  <c r="AD96" i="1"/>
  <c r="P9" i="1"/>
  <c r="P13" i="1"/>
  <c r="AL13" i="1"/>
  <c r="P19" i="1"/>
  <c r="G24" i="1"/>
  <c r="AA29" i="1"/>
  <c r="AH29" i="1" s="1"/>
  <c r="Q29" i="1"/>
  <c r="AL30" i="1"/>
  <c r="AA30" i="1"/>
  <c r="AH30" i="1" s="1"/>
  <c r="AA34" i="1"/>
  <c r="AH34" i="1" s="1"/>
  <c r="O40" i="1"/>
  <c r="P40" i="1" s="1"/>
  <c r="C43" i="1"/>
  <c r="P55" i="1"/>
  <c r="AJ60" i="1"/>
  <c r="AJ103" i="1"/>
  <c r="AJ106" i="1" s="1"/>
  <c r="AA66" i="1"/>
  <c r="G67" i="1"/>
  <c r="R96" i="1"/>
  <c r="AA16" i="1"/>
  <c r="AH16" i="1" s="1"/>
  <c r="N67" i="1"/>
  <c r="O66" i="1"/>
  <c r="O67" i="1" s="1"/>
  <c r="V94" i="1"/>
  <c r="V96" i="1" s="1"/>
  <c r="L96" i="1"/>
  <c r="N7" i="1"/>
  <c r="AL15" i="1"/>
  <c r="AL16" i="1"/>
  <c r="Q17" i="1"/>
  <c r="P28" i="1"/>
  <c r="P29" i="1"/>
  <c r="O32" i="1"/>
  <c r="P32" i="1" s="1"/>
  <c r="AJ36" i="1"/>
  <c r="AL35" i="1"/>
  <c r="P37" i="1"/>
  <c r="AJ56" i="1"/>
  <c r="AJ98" i="1"/>
  <c r="AA56" i="1"/>
  <c r="AH56" i="1" s="1"/>
  <c r="G79" i="1"/>
  <c r="AA78" i="1"/>
  <c r="U96" i="1"/>
  <c r="AL93" i="1"/>
  <c r="O53" i="1"/>
  <c r="P53" i="1" s="1"/>
  <c r="O93" i="1"/>
  <c r="P93" i="1" s="1"/>
  <c r="P17" i="1"/>
  <c r="P21" i="1"/>
  <c r="AH52" i="1"/>
  <c r="Q58" i="1"/>
  <c r="AA58" i="1" s="1"/>
  <c r="AH58" i="1" s="1"/>
  <c r="AL8" i="1"/>
  <c r="AM8" i="1" s="1"/>
  <c r="O11" i="1"/>
  <c r="P11" i="1" s="1"/>
  <c r="G19" i="1"/>
  <c r="G43" i="1" s="1"/>
  <c r="AL20" i="1"/>
  <c r="P23" i="1"/>
  <c r="AL32" i="1"/>
  <c r="AA32" i="1"/>
  <c r="AH32" i="1" s="1"/>
  <c r="P34" i="1"/>
  <c r="O34" i="1"/>
  <c r="AA35" i="1"/>
  <c r="AH35" i="1" s="1"/>
  <c r="AA55" i="1"/>
  <c r="AH55" i="1" s="1"/>
  <c r="H60" i="1"/>
  <c r="H96" i="1" s="1"/>
  <c r="J56" i="1"/>
  <c r="J60" i="1" s="1"/>
  <c r="J96" i="1" s="1"/>
  <c r="AA57" i="1"/>
  <c r="AH57" i="1" s="1"/>
  <c r="O59" i="1"/>
  <c r="P59" i="1" s="1"/>
  <c r="N89" i="1"/>
  <c r="B94" i="1"/>
  <c r="O92" i="1"/>
  <c r="P92" i="1" s="1"/>
  <c r="AJ110" i="1"/>
  <c r="I43" i="1"/>
  <c r="I96" i="1" s="1"/>
  <c r="J7" i="1"/>
  <c r="J43" i="1" s="1"/>
  <c r="AJ26" i="1"/>
  <c r="AK26" i="1" s="1"/>
  <c r="P33" i="1"/>
  <c r="O33" i="1"/>
  <c r="P10" i="1"/>
  <c r="AL22" i="1"/>
  <c r="AA22" i="1"/>
  <c r="AH22" i="1" s="1"/>
  <c r="H43" i="1"/>
  <c r="H44" i="1" s="1"/>
  <c r="J24" i="1"/>
  <c r="AA10" i="1"/>
  <c r="AH10" i="1" s="1"/>
  <c r="AA17" i="1"/>
  <c r="AH17" i="1" s="1"/>
  <c r="AA25" i="1"/>
  <c r="AH25" i="1" s="1"/>
  <c r="AL25" i="1"/>
  <c r="Q28" i="1"/>
  <c r="AA28" i="1" s="1"/>
  <c r="AH28" i="1" s="1"/>
  <c r="AL28" i="1"/>
  <c r="AL29" i="1"/>
  <c r="AL36" i="1"/>
  <c r="AA36" i="1"/>
  <c r="AH36" i="1" s="1"/>
  <c r="Q37" i="1"/>
  <c r="AA37" i="1" s="1"/>
  <c r="AH37" i="1" s="1"/>
  <c r="AL39" i="1"/>
  <c r="AA39" i="1"/>
  <c r="AH39" i="1" s="1"/>
  <c r="Q41" i="1"/>
  <c r="AA41" i="1" s="1"/>
  <c r="AH41" i="1" s="1"/>
  <c r="O41" i="1"/>
  <c r="N60" i="1"/>
  <c r="O52" i="1"/>
  <c r="P52" i="1" s="1"/>
  <c r="P58" i="1"/>
  <c r="N79" i="1"/>
  <c r="O78" i="1"/>
  <c r="Q90" i="1"/>
  <c r="AA90" i="1" s="1"/>
  <c r="AH90" i="1" s="1"/>
  <c r="AL90" i="1"/>
  <c r="D96" i="1"/>
  <c r="AB96" i="1"/>
  <c r="P22" i="1"/>
  <c r="P20" i="1"/>
  <c r="O20" i="1"/>
  <c r="P27" i="1"/>
  <c r="P42" i="1"/>
  <c r="F43" i="1"/>
  <c r="P14" i="1"/>
  <c r="AL21" i="1"/>
  <c r="AA21" i="1"/>
  <c r="AH21" i="1" s="1"/>
  <c r="AL31" i="1"/>
  <c r="AA31" i="1"/>
  <c r="AH31" i="1" s="1"/>
  <c r="P41" i="1"/>
  <c r="Q42" i="1"/>
  <c r="AL42" i="1" s="1"/>
  <c r="G60" i="1"/>
  <c r="AA53" i="1"/>
  <c r="AH53" i="1" s="1"/>
  <c r="O57" i="1"/>
  <c r="P57" i="1" s="1"/>
  <c r="B60" i="1"/>
  <c r="M96" i="1"/>
  <c r="F94" i="1"/>
  <c r="F96" i="1" s="1"/>
  <c r="G89" i="1"/>
  <c r="AA91" i="1"/>
  <c r="AH91" i="1" s="1"/>
  <c r="AL91" i="1"/>
  <c r="AL92" i="1"/>
  <c r="AA92" i="1"/>
  <c r="AH92" i="1" s="1"/>
  <c r="S96" i="1"/>
  <c r="P54" i="1"/>
  <c r="P56" i="1"/>
  <c r="AL41" i="1"/>
  <c r="C60" i="1"/>
  <c r="C96" i="1" s="1"/>
  <c r="O90" i="1"/>
  <c r="P90" i="1" s="1"/>
  <c r="AH26" i="1" l="1"/>
  <c r="P60" i="1"/>
  <c r="N43" i="1"/>
  <c r="N44" i="1" s="1"/>
  <c r="O7" i="1"/>
  <c r="O43" i="1" s="1"/>
  <c r="Q7" i="1"/>
  <c r="P7" i="1"/>
  <c r="P43" i="1" s="1"/>
  <c r="AA12" i="1"/>
  <c r="AH12" i="1" s="1"/>
  <c r="O89" i="1"/>
  <c r="O94" i="1" s="1"/>
  <c r="N94" i="1"/>
  <c r="N96" i="1" s="1"/>
  <c r="P89" i="1"/>
  <c r="P94" i="1" s="1"/>
  <c r="AJ109" i="1"/>
  <c r="AJ101" i="1"/>
  <c r="AL12" i="1"/>
  <c r="AL26" i="1"/>
  <c r="G94" i="1"/>
  <c r="G96" i="1" s="1"/>
  <c r="Q89" i="1"/>
  <c r="Q94" i="1" s="1"/>
  <c r="AA42" i="1"/>
  <c r="AH42" i="1" s="1"/>
  <c r="AA67" i="1"/>
  <c r="AH66" i="1"/>
  <c r="AH67" i="1" s="1"/>
  <c r="O79" i="1"/>
  <c r="P78" i="1"/>
  <c r="P79" i="1" s="1"/>
  <c r="AM32" i="1"/>
  <c r="AA60" i="1"/>
  <c r="P66" i="1"/>
  <c r="P67" i="1" s="1"/>
  <c r="AJ61" i="1"/>
  <c r="AL7" i="1"/>
  <c r="Q60" i="1"/>
  <c r="AH61" i="1" s="1"/>
  <c r="AL37" i="1"/>
  <c r="AH60" i="1"/>
  <c r="AA33" i="1"/>
  <c r="AH33" i="1" s="1"/>
  <c r="AH78" i="1"/>
  <c r="AH79" i="1" s="1"/>
  <c r="AA79" i="1"/>
  <c r="O60" i="1"/>
  <c r="Q19" i="1"/>
  <c r="AL19" i="1" s="1"/>
  <c r="Q24" i="1"/>
  <c r="AL24" i="1"/>
  <c r="AA24" i="1"/>
  <c r="AH24" i="1" s="1"/>
  <c r="Q43" i="1" l="1"/>
  <c r="Q96" i="1" s="1"/>
  <c r="AA7" i="1"/>
  <c r="AA89" i="1"/>
  <c r="AL43" i="1"/>
  <c r="AL89" i="1"/>
  <c r="AL94" i="1" s="1"/>
  <c r="O96" i="1"/>
  <c r="P96" i="1"/>
  <c r="AA19" i="1"/>
  <c r="AH19" i="1" s="1"/>
  <c r="Q44" i="1"/>
  <c r="AA45" i="1"/>
  <c r="AA46" i="1" s="1"/>
  <c r="AH89" i="1" l="1"/>
  <c r="AH94" i="1" s="1"/>
  <c r="AA94" i="1"/>
  <c r="AA43" i="1"/>
  <c r="AH7" i="1"/>
  <c r="AH43" i="1" s="1"/>
  <c r="AH45" i="1" s="1"/>
  <c r="AA96" i="1" l="1"/>
  <c r="AJ43" i="1"/>
  <c r="AH46" i="1"/>
  <c r="AH98" i="1"/>
  <c r="AH96" i="1"/>
  <c r="AL44" i="1"/>
  <c r="AJ111" i="1" l="1"/>
  <c r="AJ112" i="1" s="1"/>
  <c r="AJ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Author</author>
    <author>Jing Borja</author>
  </authors>
  <commentList>
    <comment ref="B7" authorId="0" shapeId="0" xr:uid="{A7BA3BDF-EF8F-4000-AFEA-38D0E38E02D5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7" authorId="1" shapeId="0" xr:uid="{9D1CC960-903F-4815-9413-53FA18B36F4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Q7" authorId="2" shapeId="0" xr:uid="{DAD352E4-FD61-4F6B-B4B9-9FF17CB39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8" authorId="0" shapeId="0" xr:uid="{A429EC52-7DED-468A-BC16-6B9B68CACC4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8" authorId="0" shapeId="0" xr:uid="{C4F31F06-3C46-4BB5-9BE6-F86085FD597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T8" authorId="3" shapeId="0" xr:uid="{CAE78898-43B5-4906-A3C4-89A35CA3EC0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950.00 NEW HDMF LOAN</t>
        </r>
      </text>
    </comment>
    <comment ref="V8" authorId="1" shapeId="0" xr:uid="{13D352EC-5D65-47E9-9D19-4D93A4BD350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NO CA DEDUCTION
</t>
        </r>
      </text>
    </comment>
    <comment ref="B9" authorId="0" shapeId="0" xr:uid="{A1BE4C8C-314A-4717-8E07-36CCB53B68FE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10" authorId="0" shapeId="0" xr:uid="{32587D0A-416F-4E68-9173-93A2FFC5803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11" authorId="0" shapeId="0" xr:uid="{5886D8AA-077A-40C5-8491-CF653CAE89A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11" authorId="0" shapeId="0" xr:uid="{7D80824C-62C8-4F89-A065-A1D22F72C0B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B12" authorId="0" shapeId="0" xr:uid="{DF1A7FAE-4763-4522-AD98-3CD500077E3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Q12" authorId="2" shapeId="0" xr:uid="{9C16E95E-986B-4118-8BBB-B54BA6E96B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Q13" authorId="2" shapeId="0" xr:uid="{1BAE0012-2B32-4283-8DF3-7B98A110F4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3" authorId="0" shapeId="0" xr:uid="{EC75DB8A-C170-4840-8B53-7659210E547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1ST DEDUCTION 
3680.46 PAG-IBIG SALARY LOAN</t>
        </r>
      </text>
    </comment>
    <comment ref="V13" authorId="1" shapeId="0" xr:uid="{61E4D852-DC42-4AE4-A270-635505A58F9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CA 1500.00</t>
        </r>
      </text>
    </comment>
    <comment ref="L15" authorId="1" shapeId="0" xr:uid="{1FE39A0B-0B95-43C5-A90E-24496AADC60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AE15" authorId="0" shapeId="0" xr:uid="{F6ACA548-F81C-4D24-8B27-A81CE3646AC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6" authorId="0" shapeId="0" xr:uid="{F97BE597-D941-4CCA-88F1-5E11BF4F9F6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6" authorId="0" shapeId="0" xr:uid="{4C6CEE01-1E9D-42D1-979A-A75B6012E89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V16" authorId="2" shapeId="0" xr:uid="{8C4DA0F4-E7CF-412A-A45A-9FE07FEDF5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c.a 1000.00
1500+1500 </t>
        </r>
      </text>
    </comment>
    <comment ref="B17" authorId="0" shapeId="0" xr:uid="{547088B2-0C9A-45D3-AA69-B162668AF47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7" authorId="0" shapeId="0" xr:uid="{58614053-9628-485E-B5EF-B35366338C7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Q17" authorId="2" shapeId="0" xr:uid="{71AADCB9-131C-47CF-A9CC-1C3149C0E1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AE17" authorId="0" shapeId="0" xr:uid="{01EE6590-7676-4C27-9D43-F4B862CEC3C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8" authorId="3" shapeId="0" xr:uid="{0070F352-ADAC-494C-A834-1A1106E1B77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T18" authorId="0" shapeId="0" xr:uid="{CE3A97CC-769B-4336-9724-1EEF06D5BE4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HDMF SAL. LOAN
add: 1743.66 last deduction </t>
        </r>
      </text>
    </comment>
    <comment ref="V18" authorId="1" shapeId="0" xr:uid="{6F5F27E1-6A40-4A58-A157-A3869A67874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LESS: C.A. 2,000.00
</t>
        </r>
      </text>
    </comment>
    <comment ref="L19" authorId="3" shapeId="0" xr:uid="{3E5D9A15-6408-45A3-A3BF-AF70D8DAF04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Q19" authorId="2" shapeId="0" xr:uid="{15007FC2-7DA8-4505-A8F9-7665815321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19" authorId="1" shapeId="0" xr:uid="{C2C1F6A1-07EA-4130-852E-55F3DAB96B8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3826.05 HDMF SALARY LOAN</t>
        </r>
      </text>
    </comment>
    <comment ref="B20" authorId="0" shapeId="0" xr:uid="{FC133B0B-F7B7-4B53-B402-FD290790B87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20" authorId="2" shapeId="0" xr:uid="{E368C882-757B-4368-9705-01AFDA091863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T20" authorId="1" shapeId="0" xr:uid="{6E796F90-1D8E-45CD-B4C9-A104F6A7BA1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814.55 1ST DEDUCTION
</t>
        </r>
      </text>
    </comment>
    <comment ref="B21" authorId="0" shapeId="0" xr:uid="{9AAF70CE-9E74-433B-977E-C141ED40115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21" authorId="1" shapeId="0" xr:uid="{F2278268-C1EA-4F97-AB1F-CF7ED63F70F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T21" authorId="0" shapeId="0" xr:uid="{207B1786-F776-4030-90E4-91DF3C14C9D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1514.63 HDMF LOAN
NO DEDUCTION FOR MAY 2023</t>
        </r>
      </text>
    </comment>
    <comment ref="V21" authorId="2" shapeId="0" xr:uid="{36DC0834-DD35-4D41-A23E-E318D2B287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450.00 last ca
new c.a. oct. 15
1000.00
</t>
        </r>
      </text>
    </comment>
    <comment ref="B22" authorId="0" shapeId="0" xr:uid="{44BA8FDD-AEE6-4279-9BAD-9A2364FBB77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22" authorId="0" shapeId="0" xr:uid="{C00535C2-CE3D-4D1A-985E-8241ECCF401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T22" authorId="3" shapeId="0" xr:uid="{5CD1FED3-A1CD-457D-9850-14CDE3540BC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LOAN1748.92
</t>
        </r>
      </text>
    </comment>
    <comment ref="V22" authorId="3" shapeId="0" xr:uid="{D69359BE-F11A-4EE4-AA19-F10616BCC94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24" authorId="3" shapeId="0" xr:uid="{B3971F29-A827-45FF-8B88-ABE321E19A3C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24" authorId="3" shapeId="0" xr:uid="{3E7AC9BE-A370-4CF3-AE63-28704BAE185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T24" authorId="3" shapeId="0" xr:uid="{AF1A3129-878A-457F-9E55-5E2132D4121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LOAN 1417.00
</t>
        </r>
      </text>
    </comment>
    <comment ref="B25" authorId="2" shapeId="0" xr:uid="{AB6199FB-058D-47A6-8DE5-64F5D0101F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Q25" authorId="2" shapeId="0" xr:uid="{CE195262-4A0D-4EE3-A4F8-4271057E5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6" authorId="0" shapeId="0" xr:uid="{4EDE17FB-C540-4900-8D11-152D0924547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Q26" authorId="2" shapeId="0" xr:uid="{55A340A1-CA0D-48D4-8C33-C2A752F5EF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27" authorId="0" shapeId="0" xr:uid="{0F0BE761-F497-4FB4-963C-707AD25BFC43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Y27" authorId="1" shapeId="0" xr:uid="{B6B21520-A0C8-4E65-8D49-EF916203714F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8" authorId="3" shapeId="0" xr:uid="{F66B51E8-8DA2-44E6-BBC6-A2DE69010D6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Q28" authorId="3" shapeId="0" xr:uid="{444F676B-0F5D-4188-B932-675F3AA504FF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28" authorId="3" shapeId="0" xr:uid="{02A7C4DD-1A5B-4266-83BE-F678B1F6586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HDMF SAL. LOAN 1ST DEDUCTION</t>
        </r>
      </text>
    </comment>
    <comment ref="B29" authorId="0" shapeId="0" xr:uid="{A35BF7E5-2AD6-452A-B7E0-C5C8099C056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Q29" authorId="3" shapeId="0" xr:uid="{E4D3F234-1B64-4885-A5A5-B77C3BE5C2F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30" authorId="0" shapeId="0" xr:uid="{1B296DB4-A2C9-46C0-8270-A419FFE5B31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B31" authorId="0" shapeId="0" xr:uid="{6A2B16B9-D4D4-4748-B738-B1F9B2946226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B32" authorId="0" shapeId="0" xr:uid="{132981DA-7D25-45BD-A4CF-AC585535E37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32" authorId="0" shapeId="0" xr:uid="{D597826B-2A43-4DC5-A070-EBFDE79EC4D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
NO DEDUCTION FOR MARCH 2023</t>
        </r>
      </text>
    </comment>
    <comment ref="Q32" authorId="3" shapeId="0" xr:uid="{027A6B7B-AC36-47D2-A360-77A17D10CDE9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32" authorId="0" shapeId="0" xr:uid="{0384F0DF-F027-4EC2-8F54-FCD7E47B0B6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SAL LOAN</t>
        </r>
      </text>
    </comment>
    <comment ref="Z32" authorId="1" shapeId="0" xr:uid="{36E6FCAE-9641-48B2-A4D0-6B20C7077F0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BACK SSS SALARY LOAN</t>
        </r>
      </text>
    </comment>
    <comment ref="Q33" authorId="2" shapeId="0" xr:uid="{369C4382-0D0B-4BF9-A8C7-0168DCD0D8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33" authorId="3" shapeId="0" xr:uid="{0B2BC301-2D4D-4AB9-9794-D5683D8121D7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B34" authorId="3" shapeId="0" xr:uid="{EBD472AB-646D-4053-90D5-199F070AEF9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L34" authorId="1" shapeId="0" xr:uid="{4A8B43BC-8887-4FFA-B7B0-2EDB242FDFF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1845.80 SSS SALARY DEDUCTION</t>
        </r>
      </text>
    </comment>
    <comment ref="B35" authorId="0" shapeId="0" xr:uid="{BCD72EA2-E095-4569-928F-76132EFCA5D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5" authorId="0" shapeId="0" xr:uid="{57D34A3F-EDC0-413D-A593-9DC676DB201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V35" authorId="0" shapeId="0" xr:uid="{5CF222F9-3620-4381-B9E4-ED2A7958AB6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 ca 1250.00
LAST CA 1750.00</t>
        </r>
      </text>
    </comment>
    <comment ref="B36" authorId="0" shapeId="0" xr:uid="{9AD1068B-7D4A-4CE7-968F-94D5B4A53C7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6" authorId="1" shapeId="0" xr:uid="{10010E0C-A1DB-4429-BAFD-B3FD0068F11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B37" authorId="0" shapeId="0" xr:uid="{18B1D59C-9C5C-4055-8DDF-D66EF10B8B3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7" authorId="1" shapeId="0" xr:uid="{A3E2E04C-F0A9-46E6-BD7A-24812BC4D13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Q37" authorId="3" shapeId="0" xr:uid="{B50B573E-081B-4381-80E3-F552D5FA223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V37" authorId="1" shapeId="0" xr:uid="{7107CACE-4075-426D-99EF-38B8D7271D85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c.a. 1000.00</t>
        </r>
      </text>
    </comment>
    <comment ref="B38" authorId="0" shapeId="0" xr:uid="{942C2B67-8064-448F-9B56-07A73D47030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8" authorId="0" shapeId="0" xr:uid="{22682544-BE0A-4646-99E9-01718259EA5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39" authorId="3" shapeId="0" xr:uid="{85AEAF71-1BAA-4CCF-B23C-147AC8450CA8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Q39" authorId="3" shapeId="0" xr:uid="{3C363727-C2D7-450B-9DD8-E1D541166E9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39" authorId="1" shapeId="0" xr:uid="{64468088-BFCB-4ECE-BAED-F35737FD042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40" authorId="1" shapeId="0" xr:uid="{197F9248-752D-441D-AD88-DBBF87EA4C5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T40" authorId="1" shapeId="0" xr:uid="{1A97AA4B-D3BC-42BC-8B5A-B4E342E8F07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SALARY LOAN</t>
        </r>
      </text>
    </comment>
    <comment ref="L41" authorId="0" shapeId="0" xr:uid="{26C72C8F-E3D9-4301-951F-97B37C8B6AF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Q41" authorId="3" shapeId="0" xr:uid="{E25D0944-A665-416D-90D6-08D84E8AF2D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42" authorId="0" shapeId="0" xr:uid="{43C10950-3963-419E-86D6-81A36D2A9D0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42" authorId="1" shapeId="0" xr:uid="{159EB556-6C61-4345-BE3C-E6D8F65F186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Q42" authorId="3" shapeId="0" xr:uid="{22126EB7-1382-4F0A-8430-05EAD75C7BA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T42" authorId="1" shapeId="0" xr:uid="{F1AB262F-C86E-4A26-A1FE-9D9E9FE55F46}">
      <text>
        <r>
          <rPr>
            <b/>
            <sz val="9"/>
            <color indexed="81"/>
            <rFont val="Tahoma"/>
            <family val="2"/>
          </rPr>
          <t>Ma. Eliza Delis Borja:hdmf salary loan</t>
        </r>
      </text>
    </comment>
    <comment ref="L43" authorId="0" shapeId="0" xr:uid="{E5FB9A0D-AFEF-4D12-B3D1-93DA8B5A0B3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23691.80+660.84 OTHERS SSS SAL LOAN BAL YARTE JEFFREY</t>
        </r>
      </text>
    </comment>
    <comment ref="T43" authorId="0" shapeId="0" xr:uid="{229205B9-6DD3-49BC-A415-7B419983232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12814.92+660.84 others deduction yarte jeffrey</t>
        </r>
      </text>
    </comment>
    <comment ref="G44" authorId="3" shapeId="0" xr:uid="{890EAAB4-DD22-45E0-9910-E3E80CE2CFB1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EMPLOYEE
</t>
        </r>
      </text>
    </comment>
    <comment ref="L44" authorId="0" shapeId="0" xr:uid="{2EFDA057-326B-454E-AD04-7217CE7E0F4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ADD:
OTHER DEDUCTION DOMIQUIL CONST. 841.01
6/30/2023</t>
        </r>
      </text>
    </comment>
    <comment ref="AA44" authorId="0" shapeId="0" xr:uid="{B84143C2-FDF1-4843-A156-326E3276417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pay.reg.</t>
        </r>
      </text>
    </comment>
    <comment ref="AH44" authorId="0" shapeId="0" xr:uid="{AC5D23F8-ADE1-4AFF-BF59-30924961558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base on payroll reg.</t>
        </r>
      </text>
    </comment>
    <comment ref="G45" authorId="3" shapeId="0" xr:uid="{DDED9992-3DED-46F9-BD37-52554F8D8EC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EXEC.</t>
        </r>
      </text>
    </comment>
    <comment ref="AA45" authorId="0" shapeId="0" xr:uid="{5FF97FD5-F387-4C1D-91EE-A17C6BBB047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AH45" authorId="0" shapeId="0" xr:uid="{E2008CE8-6962-4661-8018-57628BFA202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exec</t>
        </r>
      </text>
    </comment>
    <comment ref="B52" authorId="0" shapeId="0" xr:uid="{8A122019-FDC4-4EA4-9CEC-8F089FE62DA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16786.00 old</t>
        </r>
      </text>
    </comment>
    <comment ref="T52" authorId="1" shapeId="0" xr:uid="{50991D5F-3414-455D-9428-23B7B17CAF8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hdmf loan salary 941.46</t>
        </r>
      </text>
    </comment>
    <comment ref="L53" authorId="0" shapeId="0" xr:uid="{5BA2FEF2-879B-4881-9F10-D31693EEC15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SAL. LOAN 1661.22
 SSS salary loan payment for July will be deducted on August 2nd half payou</t>
        </r>
      </text>
    </comment>
    <comment ref="B55" authorId="0" shapeId="0" xr:uid="{B951DA34-5B5A-4F01-9BA6-188E0906159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18000.00 old
19303.00 old
28000 new</t>
        </r>
      </text>
    </comment>
    <comment ref="Q55" authorId="2" shapeId="0" xr:uid="{3697D382-3F1D-4C53-8B05-00DB56F7AC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6" authorId="3" shapeId="0" xr:uid="{069ED46D-F7EB-4685-A5AF-3762D55A3260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20K</t>
        </r>
      </text>
    </comment>
    <comment ref="Q56" authorId="2" shapeId="0" xr:uid="{9690C645-1596-4B97-9C40-1C330B4134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7" authorId="0" shapeId="0" xr:uid="{2DFD1FD0-3835-4D03-840F-7F2DFB7B26B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58" authorId="0" shapeId="0" xr:uid="{29F35D9F-6D72-4600-8980-393ADEFC2A5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24600.00</t>
        </r>
      </text>
    </comment>
    <comment ref="Q58" authorId="2" shapeId="0" xr:uid="{345D07F6-ABBA-4D01-B2A9-1729C334D7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 TAX</t>
        </r>
      </text>
    </comment>
    <comment ref="B59" authorId="0" shapeId="0" xr:uid="{5A0390F8-7330-4550-AFFA-01E7D3FF62B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 old
14000 new</t>
        </r>
      </text>
    </comment>
    <comment ref="L59" authorId="0" shapeId="0" xr:uid="{FD18694E-6279-4E40-A317-74D3EC14072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
</t>
        </r>
      </text>
    </comment>
    <comment ref="AH59" authorId="3" shapeId="0" xr:uid="{32C0774F-CB6F-4BD6-B0B0-7185371D47D2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CASH</t>
        </r>
      </text>
    </comment>
    <comment ref="L60" authorId="0" shapeId="0" xr:uid="{46B8B91A-BE7C-496E-8CF0-6DFB1C97BCF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4776.01+718.52 trinidad other deduction</t>
        </r>
      </text>
    </comment>
    <comment ref="B66" authorId="3" shapeId="0" xr:uid="{0F5240A4-4961-4A74-85BF-EDD7DB357FB6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L66" authorId="1" shapeId="0" xr:uid="{FDEA47AA-0A32-41E8-BFD5-A6FF5E833F1B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LOAN 1568.93</t>
        </r>
      </text>
    </comment>
    <comment ref="T66" authorId="1" shapeId="0" xr:uid="{28703B74-1B3F-4B23-BA60-246D44C00379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PAG IBIG LOAN 1348.39
</t>
        </r>
      </text>
    </comment>
    <comment ref="B78" authorId="0" shapeId="0" xr:uid="{1410278D-DFFF-4905-B37F-372BE92830D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12000.00 old</t>
        </r>
      </text>
    </comment>
    <comment ref="U78" authorId="0" shapeId="0" xr:uid="{EE86B6BB-15F7-47D4-B9DE-03260CEAF07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paid</t>
        </r>
      </text>
    </comment>
    <comment ref="B89" authorId="0" shapeId="0" xr:uid="{08CC646B-3DAB-4F6B-8777-EC851896EE6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15,000.00 old
18000 OLD</t>
        </r>
      </text>
    </comment>
    <comment ref="Q89" authorId="0" shapeId="0" xr:uid="{F5F975F9-E192-4858-9C92-36A47126E92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V89" authorId="2" shapeId="0" xr:uid="{6E773273-62FD-44AA-9F6C-2BCCC2A5CB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 1000
</t>
        </r>
      </text>
    </comment>
    <comment ref="B90" authorId="0" shapeId="0" xr:uid="{E4848564-8F8E-4E91-A72D-608C8CD2543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24,300.00 old</t>
        </r>
      </text>
    </comment>
    <comment ref="Q90" authorId="0" shapeId="0" xr:uid="{C9140E84-1351-417C-8210-286AD288D92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w/ tax</t>
        </r>
      </text>
    </comment>
    <comment ref="B93" authorId="1" shapeId="0" xr:uid="{43779E41-5701-4169-AE42-A38215630676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12350 OLD
13564.00 NEW</t>
        </r>
      </text>
    </comment>
    <comment ref="G98" authorId="0" shapeId="0" xr:uid="{B1E4D80A-7BAB-4EB1-85B3-75FDDCDB99D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QH 2</t>
        </r>
      </text>
    </comment>
    <comment ref="AI123" authorId="1" shapeId="0" xr:uid="{921672CE-8653-4DC3-AF52-AED961504170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FROM WP TO 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Ma. Eliza Borja</author>
    <author>Ma. Eliza Delis Borja</author>
    <author>Unknown Author</author>
    <author>Jing Borja</author>
    <author>Author</author>
  </authors>
  <commentList>
    <comment ref="B2" authorId="0" shapeId="0" xr:uid="{83300A42-CBE1-41CF-A45C-6291DF2C881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32100.00 old</t>
        </r>
      </text>
    </comment>
    <comment ref="L2" authorId="1" shapeId="0" xr:uid="{44540CE1-6803-403C-B656-D9E13D20A17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
</t>
        </r>
      </text>
    </comment>
    <comment ref="T2" authorId="2" shapeId="0" xr:uid="{00000000-0006-0000-0100-00004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3" authorId="0" shapeId="0" xr:uid="{96380DFA-4CF8-40F2-899D-942D3341898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15729.00 old</t>
        </r>
      </text>
    </comment>
    <comment ref="L3" authorId="0" shapeId="0" xr:uid="{D3C4020D-C5D7-42B2-A1A7-B89CDB8D271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7/15/2022 SSS SAL. LOAN 1430.49
1ST DEDUCTION</t>
        </r>
      </text>
    </comment>
    <comment ref="W3" authorId="2" shapeId="0" xr:uid="{00000000-0006-0000-01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3" authorId="2" shapeId="0" xr:uid="{00000000-0006-0000-0100-00006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4" authorId="0" shapeId="0" xr:uid="{03FE4212-7B0E-4903-A1F8-77D1D4705397}">
      <text>
        <r>
          <rPr>
            <b/>
            <sz val="9"/>
            <color indexed="81"/>
            <rFont val="Tahoma"/>
            <family val="2"/>
          </rPr>
          <t>Ma. Eliza Borja:14867.50 OLD</t>
        </r>
      </text>
    </comment>
    <comment ref="B5" authorId="0" shapeId="0" xr:uid="{7AA8E6AB-D554-4FEF-B7D2-600B2B21486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B6" authorId="0" shapeId="0" xr:uid="{E33C678D-DF75-409A-A1B9-FF08FBCB65D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17,167.50 old</t>
        </r>
      </text>
    </comment>
    <comment ref="L6" authorId="0" shapeId="0" xr:uid="{44D39C88-A630-41A6-9696-A34ACDAA05B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5/15/2022 NEW SSS SALARY LOAN 784.46</t>
        </r>
      </text>
    </comment>
    <comment ref="B7" authorId="0" shapeId="0" xr:uid="{85FADFAA-B2BD-473B-BF7F-C593B87327E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 2023</t>
        </r>
      </text>
    </comment>
    <comment ref="T7" authorId="2" shapeId="0" xr:uid="{00000000-0006-0000-0100-00004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T8" authorId="2" shapeId="0" xr:uid="{00000000-0006-0000-0100-00004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8" authorId="2" shapeId="0" xr:uid="{00000000-0006-0000-0100-00005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8" authorId="2" shapeId="0" xr:uid="{00000000-0006-0000-0100-00006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10" authorId="1" shapeId="0" xr:uid="{303B3257-938C-40D0-8134-04FA0CBFE1F7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1753.51
</t>
        </r>
      </text>
    </comment>
    <comment ref="W10" authorId="2" shapeId="0" xr:uid="{00000000-0006-0000-0100-00005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0" authorId="2" shapeId="0" xr:uid="{00000000-0006-0000-0100-00006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H10" authorId="0" shapeId="0" xr:uid="{4A2CC570-B56A-4588-A1EB-C8989B3DF7A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B11" authorId="0" shapeId="0" xr:uid="{14E65A2B-A74C-4163-9B69-4AAAA9489CB6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14,170.00 old
15170 OLD</t>
        </r>
      </text>
    </comment>
    <comment ref="L11" authorId="0" shapeId="0" xr:uid="{907AF32E-0235-4B1F-BCD8-E4AE414FC7BB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1384.35
</t>
        </r>
      </text>
    </comment>
    <comment ref="T11" authorId="2" shapeId="0" xr:uid="{00000000-0006-0000-0100-00004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12" authorId="0" shapeId="0" xr:uid="{03B2A2D9-BA5E-4382-B021-C3CFCBBFDBC1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21507 old 
25137 new
</t>
        </r>
      </text>
    </comment>
    <comment ref="L12" authorId="0" shapeId="0" xr:uid="{2F9F6C5C-21B4-40FC-AC99-07770E1F34A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LOAN 1845.80</t>
        </r>
      </text>
    </comment>
    <comment ref="W12" authorId="2" shapeId="0" xr:uid="{00000000-0006-0000-0100-00005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AH12" authorId="0" shapeId="0" xr:uid="{4A5E4689-177C-4217-B94F-7742F15AF5C8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STOP DEVELOPMENTAL 
</t>
        </r>
      </text>
    </comment>
    <comment ref="L13" authorId="3" shapeId="0" xr:uid="{F56AC321-C343-41B1-974B-522979BBA95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1799.65 1ST DEDUCTION</t>
        </r>
      </text>
    </comment>
    <comment ref="T13" authorId="2" shapeId="0" xr:uid="{00000000-0006-0000-0100-00004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3" authorId="2" shapeId="0" xr:uid="{00000000-0006-0000-0100-00005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L14" authorId="3" shapeId="0" xr:uid="{634BB60B-2FA6-4CAD-A58B-D50BFAF20CE4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1845.8 SSS SALARY LOAN 1ST DEDUCTION</t>
        </r>
      </text>
    </comment>
    <comment ref="B15" authorId="0" shapeId="0" xr:uid="{675C0A3A-4353-45AD-8B95-3F652B28F32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13,080.00 old</t>
        </r>
      </text>
    </comment>
    <comment ref="L15" authorId="4" shapeId="0" xr:uid="{8A282A4B-2FFB-4593-8618-459C06397333}">
      <text>
        <r>
          <rPr>
            <b/>
            <sz val="9"/>
            <color indexed="81"/>
            <rFont val="Tahoma"/>
            <family val="2"/>
          </rPr>
          <t>Ma. Eliza Borja:NEW SSS LOAN 1061.33 5/15/2021
1292.06 DEDUCTION FOR SEPT</t>
        </r>
      </text>
    </comment>
    <comment ref="W15" authorId="2" shapeId="0" xr:uid="{00000000-0006-0000-01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15" authorId="2" shapeId="0" xr:uid="{00000000-0006-0000-0100-00006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16" authorId="0" shapeId="0" xr:uid="{17EE6B8A-3F19-4621-BB94-BE8DD6B63E5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20,140.00 old</t>
        </r>
      </text>
    </comment>
    <comment ref="L16" authorId="1" shapeId="0" xr:uid="{600E2AF9-6C0D-4DF8-BF6B-40E20863BA1E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
</t>
        </r>
      </text>
    </comment>
    <comment ref="W16" authorId="2" shapeId="0" xr:uid="{00000000-0006-0000-0100-00005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16" authorId="2" shapeId="0" xr:uid="{00000000-0006-0000-0100-00006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17" authorId="0" shapeId="0" xr:uid="{803E7DAB-C32C-4452-8F1E-F968BFA46E3D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15264.00 old</t>
        </r>
      </text>
    </comment>
    <comment ref="L17" authorId="0" shapeId="0" xr:uid="{32CA0DA2-10E2-400A-AA72-491D41F2868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 1522.78</t>
        </r>
      </text>
    </comment>
    <comment ref="W17" authorId="2" shapeId="0" xr:uid="{00000000-0006-0000-01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T18" authorId="2" shapeId="0" xr:uid="{00000000-0006-0000-0100-00004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19" authorId="3" shapeId="0" xr:uid="{AFC0A6D7-1368-42D4-8299-694BA4A86AF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20520 OLD</t>
        </r>
      </text>
    </comment>
    <comment ref="L19" authorId="3" shapeId="0" xr:uid="{0F5EBAAA-2F99-4F08-909B-9CD6505C4733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SSS SALARY LOAN 1ST DEDUCTION</t>
        </r>
      </text>
    </comment>
    <comment ref="T19" authorId="2" shapeId="0" xr:uid="{00000000-0006-0000-0100-00004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0" authorId="4" shapeId="0" xr:uid="{27FC9BEA-6BDD-4DF2-8C86-EAFC36FA3E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7/02/2020 as per mam eunice 125,000 monthly salary</t>
        </r>
      </text>
    </comment>
    <comment ref="B21" authorId="0" shapeId="0" xr:uid="{475CA2CD-2988-408E-90F2-5CFA1E4C4513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increase from 125,000 to 150,000 effective june 2022
ADD 30K OCT. 2023
ADD 50K FEB 2024</t>
        </r>
      </text>
    </comment>
    <comment ref="T21" authorId="2" shapeId="0" xr:uid="{00000000-0006-0000-0100-00004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1" authorId="2" shapeId="0" xr:uid="{00000000-0006-0000-01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2" authorId="0" shapeId="0" xr:uid="{CA183830-8985-460B-8C37-173303B943FA}">
      <text>
        <r>
          <rPr>
            <b/>
            <sz val="9"/>
            <color indexed="81"/>
            <rFont val="Tahoma"/>
            <family val="2"/>
          </rPr>
          <t>Ma. Eliza Borja:
16000 OLD</t>
        </r>
      </text>
    </comment>
    <comment ref="AB22" authorId="1" shapeId="0" xr:uid="{CA72F881-92F9-4023-8185-0949BE96C653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13th month adj.</t>
        </r>
      </text>
    </comment>
    <comment ref="B23" authorId="3" shapeId="0" xr:uid="{246BA1FE-BD65-45FC-9364-B2AAB536440A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20710 OLD</t>
        </r>
      </text>
    </comment>
    <comment ref="B24" authorId="0" shapeId="0" xr:uid="{99461C89-868D-4D0F-A03B-77DBAEF7AE1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OLD 19,000.00
NEW 20,000.00</t>
        </r>
      </text>
    </comment>
    <comment ref="B25" authorId="0" shapeId="0" xr:uid="{ABD99113-764A-4317-A2C3-4194038540CE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</t>
        </r>
      </text>
    </comment>
    <comment ref="T25" authorId="2" shapeId="0" xr:uid="{00000000-0006-0000-0100-00004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5" authorId="2" shapeId="0" xr:uid="{00000000-0006-0000-01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B26" authorId="0" shapeId="0" xr:uid="{E37877BF-957E-4698-AC29-DDAFF6BA3FEC}">
      <text>
        <r>
          <rPr>
            <b/>
            <sz val="9"/>
            <color indexed="81"/>
            <rFont val="Tahoma"/>
            <family val="2"/>
          </rPr>
          <t>Ma. Eliza Borja
16000.00 OLD
17316.00 NEW</t>
        </r>
      </text>
    </comment>
    <comment ref="T26" authorId="2" shapeId="0" xr:uid="{00000000-0006-0000-0100-00004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26" authorId="2" shapeId="0" xr:uid="{00000000-0006-0000-0100-00006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7" authorId="0" shapeId="0" xr:uid="{F4104953-EF54-4F0C-B34C-51BDC9C070E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19822.00 old
</t>
        </r>
      </text>
    </comment>
    <comment ref="L27" authorId="0" shapeId="0" xr:uid="{963B9777-09D6-4424-9390-3054290E5F82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LOAN 1799.65
NO DEDUCTION FOR MARCH 2023</t>
        </r>
      </text>
    </comment>
    <comment ref="AC27" authorId="1" shapeId="0" xr:uid="{2C387A23-92DA-4C9E-8D70-445A2FAAD9C8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ADD BACK SSS SALARY LOAN</t>
        </r>
      </text>
    </comment>
    <comment ref="Y28" authorId="2" shapeId="0" xr:uid="{00000000-0006-0000-0100-00006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B29" authorId="3" shapeId="0" xr:uid="{B2734056-8110-4867-8837-2A1B100FC235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16940 OLD</t>
        </r>
      </text>
    </comment>
    <comment ref="L29" authorId="1" shapeId="0" xr:uid="{DEA18392-22BE-429A-9A68-B9E3F564FB0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1845.80 SSS SALARY DEDUCTION</t>
        </r>
      </text>
    </comment>
    <comment ref="B30" authorId="0" shapeId="0" xr:uid="{FAFB49D6-19DA-4292-95D7-E6FC62BA506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17133.00 old</t>
        </r>
      </text>
    </comment>
    <comment ref="L30" authorId="0" shapeId="0" xr:uid="{3C162EB3-B84A-4D47-BFEA-6D9512109949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SALARY LOAN 1661.22</t>
        </r>
      </text>
    </comment>
    <comment ref="T30" authorId="2" shapeId="0" xr:uid="{00000000-0006-0000-0100-00004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0" authorId="2" shapeId="0" xr:uid="{00000000-0006-0000-0100-00006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1" authorId="0" shapeId="0" xr:uid="{BC505C83-700E-408F-B3AA-E585872CEDE0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15000 OLD</t>
        </r>
      </text>
    </comment>
    <comment ref="L31" authorId="1" shapeId="0" xr:uid="{1E8C756A-8E87-41E7-9029-93430B4758A2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SALAY LOAN 738.32</t>
        </r>
      </text>
    </comment>
    <comment ref="W31" authorId="2" shapeId="0" xr:uid="{00000000-0006-0000-01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2" authorId="0" shapeId="0" xr:uid="{5C4180D5-61BD-4209-9D45-C6CF1C209B6C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FROM HFC TRANSFER TO DRDC
15000 OLD
30000 NEW</t>
        </r>
      </text>
    </comment>
    <comment ref="L32" authorId="1" shapeId="0" xr:uid="{8E8421A9-7498-487C-BD66-FDE8010961AA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NEW SSS SALARY LOAN 1523.08
</t>
        </r>
      </text>
    </comment>
    <comment ref="T32" authorId="2" shapeId="0" xr:uid="{00000000-0006-0000-0100-00005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2" authorId="2" shapeId="0" xr:uid="{00000000-0006-0000-01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B33" authorId="0" shapeId="0" xr:uid="{8392C1BC-17F8-4B5F-9491-2E5039F21527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13,392.00 old</t>
        </r>
      </text>
    </comment>
    <comment ref="L33" authorId="0" shapeId="0" xr:uid="{CE8968B8-EE97-4669-A731-6336658F1BAF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W33" authorId="2" shapeId="0" xr:uid="{00000000-0006-0000-0100-00006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B34" authorId="3" shapeId="0" xr:uid="{11DF3A34-8ECE-4195-906F-F31948426D5B}">
      <text>
        <r>
          <rPr>
            <b/>
            <sz val="9"/>
            <color indexed="81"/>
            <rFont val="Tahoma"/>
            <family val="2"/>
          </rPr>
          <t>Jing Borja:</t>
        </r>
        <r>
          <rPr>
            <sz val="9"/>
            <color indexed="81"/>
            <rFont val="Tahoma"/>
            <family val="2"/>
          </rPr>
          <t xml:space="preserve">
old 20140.00
</t>
        </r>
      </text>
    </comment>
    <comment ref="T34" authorId="2" shapeId="0" xr:uid="{00000000-0006-0000-0100-00005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L35" authorId="1" shapeId="0" xr:uid="{34E96807-C45D-443D-A6DC-84769AE8B731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 1845.80</t>
        </r>
      </text>
    </comment>
    <comment ref="T35" authorId="2" shapeId="0" xr:uid="{00000000-0006-0000-0100-000052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5" authorId="2" shapeId="0" xr:uid="{00000000-0006-0000-0100-000065000000}">
      <text>
        <r>
          <rPr>
            <sz val="10"/>
            <rFont val="Arial"/>
            <family val="2"/>
          </rPr>
          <t>Ma. Eliza Delis Borja:hdmf salary loan</t>
        </r>
      </text>
    </comment>
    <comment ref="L36" authorId="0" shapeId="0" xr:uid="{EB27C327-138C-429C-A5D6-A7F575CE33A4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NEW SSS SAL LOAN 1845.80</t>
        </r>
      </text>
    </comment>
    <comment ref="W36" authorId="2" shapeId="0" xr:uid="{00000000-0006-0000-0100-000066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B37" authorId="0" shapeId="0" xr:uid="{E0927D42-B82D-4C23-B04F-8ED5205F88AA}">
      <text>
        <r>
          <rPr>
            <b/>
            <sz val="9"/>
            <color indexed="81"/>
            <rFont val="Tahoma"/>
            <family val="2"/>
          </rPr>
          <t>Ma. Eliza Borja:</t>
        </r>
        <r>
          <rPr>
            <sz val="9"/>
            <color indexed="81"/>
            <rFont val="Tahoma"/>
            <family val="2"/>
          </rPr>
          <t xml:space="preserve">
21,836.00 old</t>
        </r>
      </text>
    </comment>
    <comment ref="L37" authorId="1" shapeId="0" xr:uid="{FE274DDE-437D-40D9-B66A-05AD40EED44C}">
      <text>
        <r>
          <rPr>
            <b/>
            <sz val="9"/>
            <color indexed="81"/>
            <rFont val="Tahoma"/>
            <family val="2"/>
          </rPr>
          <t>Ma. Eliza Delis Borja:</t>
        </r>
        <r>
          <rPr>
            <sz val="9"/>
            <color indexed="81"/>
            <rFont val="Tahoma"/>
            <family val="2"/>
          </rPr>
          <t xml:space="preserve">
sss salary loan</t>
        </r>
      </text>
    </comment>
    <comment ref="B38" authorId="2" shapeId="0" xr:uid="{00000000-0006-0000-01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B39" authorId="2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39" authorId="2" shapeId="0" xr:uid="{00000000-0006-0000-0100-00005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2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40" authorId="2" shapeId="0" xr:uid="{00000000-0006-0000-0100-00005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1" authorId="2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2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2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43" authorId="2" shapeId="0" xr:uid="{00000000-0006-0000-0100-00007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44" authorId="2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2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45" authorId="2" shapeId="0" xr:uid="{00000000-0006-0000-01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6" authorId="2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2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B47" authorId="2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2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2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2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48" authorId="2" shapeId="0" xr:uid="{00000000-0006-0000-01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49" authorId="2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2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50" authorId="2" shapeId="0" xr:uid="{00000000-0006-0000-01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51" authorId="2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T51" authorId="2" shapeId="0" xr:uid="{00000000-0006-0000-0100-00005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Y51" authorId="2" shapeId="0" xr:uid="{00000000-0006-0000-0100-00007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52" authorId="2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T52" authorId="2" shapeId="0" xr:uid="{00000000-0006-0000-0100-00005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B55" authorId="2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B56" authorId="2" shapeId="0" xr:uid="{682A75E6-F146-46CF-AE26-A4FB4A1286FB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</commentList>
</comments>
</file>

<file path=xl/sharedStrings.xml><?xml version="1.0" encoding="utf-8"?>
<sst xmlns="http://schemas.openxmlformats.org/spreadsheetml/2006/main" count="517" uniqueCount="175">
  <si>
    <t>DURAVILLE REALTY AND DEVELOPMENT CORPORATION</t>
  </si>
  <si>
    <t xml:space="preserve">MONTHLY PAYROLL DATA 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</si>
  <si>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</si>
  <si>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</si>
  <si>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</si>
  <si>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</si>
  <si>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</si>
  <si>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</si>
  <si>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</si>
  <si>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</si>
  <si>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</si>
  <si>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</si>
  <si>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>W/ TAX 2024</t>
  </si>
  <si>
    <t>HDMF CONTRIBUTION</t>
  </si>
  <si>
    <t>HDMF LOAN</t>
  </si>
  <si>
    <t>HDMF CALAMITY</t>
  </si>
  <si>
    <t>CASH ADVANCE</t>
  </si>
  <si>
    <t>Personal Loan (MA)</t>
  </si>
  <si>
    <t>Less: 13th Month Pay over Payment</t>
  </si>
  <si>
    <t xml:space="preserve">Add: 13th Month Pay 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</si>
  <si>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</si>
  <si>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</si>
  <si>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</si>
  <si>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</si>
  <si>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</si>
  <si>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</si>
  <si>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</si>
  <si>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</si>
  <si>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</si>
  <si>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</si>
  <si>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Return</t>
  </si>
  <si>
    <t>Allowance</t>
  </si>
  <si>
    <t>SSS Salary Loan</t>
  </si>
  <si>
    <t>Regular Allowance</t>
  </si>
  <si>
    <t>Holiday/RDOT Pay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</si>
  <si>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</si>
  <si>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</si>
  <si>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</si>
  <si>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</si>
  <si>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</si>
  <si>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</si>
  <si>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</si>
  <si>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</si>
  <si>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</si>
  <si>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</si>
  <si>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</si>
  <si>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</si>
  <si>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</si>
  <si>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</si>
  <si>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</si>
  <si>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</si>
  <si>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</si>
  <si>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</si>
  <si>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</si>
  <si>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</si>
  <si>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</si>
  <si>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</si>
  <si>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</si>
  <si>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</si>
  <si>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</si>
  <si>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</si>
  <si>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</si>
  <si>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</si>
  <si>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</si>
  <si>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</si>
  <si>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</si>
  <si>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</si>
  <si>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</si>
  <si>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</si>
  <si>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</si>
  <si>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</si>
  <si>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</si>
  <si>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</si>
  <si>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</si>
  <si>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</si>
  <si>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</si>
  <si>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executive</t>
  </si>
  <si>
    <t>ELLISTON PLACE</t>
  </si>
  <si>
    <t>Others                Adjustment</t>
  </si>
  <si>
    <t>atm</t>
  </si>
  <si>
    <t>CASH</t>
  </si>
  <si>
    <t>total</t>
  </si>
  <si>
    <t>P</t>
  </si>
  <si>
    <t>ATM</t>
  </si>
  <si>
    <t>MARY CRIS COMPLEX</t>
  </si>
  <si>
    <t>Hol. Pay 30%</t>
  </si>
  <si>
    <t>Basic Adj.</t>
  </si>
  <si>
    <t>Tax Addition</t>
  </si>
  <si>
    <t>Incentive</t>
  </si>
  <si>
    <t>WELLINGTON TANZA RESIDENCES</t>
  </si>
  <si>
    <t>Other                Deduction</t>
  </si>
  <si>
    <t>Allowance Adj.</t>
  </si>
  <si>
    <t xml:space="preserve">atm </t>
  </si>
  <si>
    <t>QUEENSTOWN HEIGHTS 2</t>
  </si>
  <si>
    <t>Other &amp; leaves</t>
  </si>
  <si>
    <t>PHIC</t>
  </si>
  <si>
    <t>BASE PAYROLL REGISTER</t>
  </si>
  <si>
    <t>DIFF.</t>
  </si>
  <si>
    <t>ATM TOTAL</t>
  </si>
  <si>
    <t>EXEC.</t>
  </si>
  <si>
    <t>GRAND TOTAL</t>
  </si>
  <si>
    <t>AWOL</t>
  </si>
  <si>
    <t>PACHECO, JAYSON HILVANO</t>
  </si>
  <si>
    <t>WTR TO NLDC</t>
  </si>
  <si>
    <t>HANGOR, JENEGEN CORDANO</t>
  </si>
  <si>
    <t>DRDC</t>
  </si>
  <si>
    <t>COLUMNA, RODNEY ZAPATA - RESIGN</t>
  </si>
  <si>
    <t>EP to HER</t>
  </si>
  <si>
    <t xml:space="preserve">PILORIN, GENPER SIVILA </t>
  </si>
  <si>
    <t>CANTAR, PRINCESS ANGELINE</t>
  </si>
  <si>
    <t>DE GUZMAN, MIA DATINGINOO</t>
  </si>
  <si>
    <t>WP - RESIGNED</t>
  </si>
  <si>
    <t>DELA CRUZ, ANN ROZALYN LUZ</t>
  </si>
  <si>
    <t>WP TO HER</t>
  </si>
  <si>
    <t>CORNEL, JOSEPH CUELA - FROM WP TO HER 2/16/2024</t>
  </si>
  <si>
    <t>EP TO HER</t>
  </si>
  <si>
    <t>MARTEJA, GEORGE DELA TORRE FROM EP TO HER</t>
  </si>
  <si>
    <t>WTR - RESIGN 2/15/2024</t>
  </si>
  <si>
    <t>JEPOLLO, KIZIA MAE MONTESA - DEDUCT SSS, PHIC &amp; PAG-IBIG</t>
  </si>
  <si>
    <t xml:space="preserve">EP </t>
  </si>
  <si>
    <t>MALACAS, JERICO CRUZ RESIGN 2/17/2024 - DEDUCT SSS, PHIC &amp; PAG-IBIG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</si>
  <si>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</si>
  <si>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</si>
  <si>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</si>
  <si>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</si>
  <si>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</si>
  <si>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</si>
  <si>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</si>
  <si>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</si>
  <si>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</si>
  <si>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</si>
  <si>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</si>
  <si>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</si>
  <si>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</si>
  <si>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</si>
  <si>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</si>
  <si>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</si>
  <si>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</si>
  <si>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</si>
  <si>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</si>
  <si>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</si>
  <si>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</si>
  <si>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</si>
  <si>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</si>
  <si>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</si>
  <si>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</si>
  <si>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</si>
  <si>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</si>
  <si>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</si>
  <si>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</si>
  <si>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</si>
  <si>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</si>
  <si>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</si>
  <si>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</si>
  <si>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</si>
  <si>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</si>
  <si>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</si>
  <si>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DELA PASION, RECEL DELIMA</t>
  </si>
  <si>
    <t>EVANGELISTA, JOSHUA CALINISAN</t>
  </si>
  <si>
    <t>HERMO, GRAZELENE ANNE</t>
  </si>
  <si>
    <t>REQUISO, MERIAM LICAYAN</t>
  </si>
  <si>
    <t>SAMBAJON, MA. CRISTINA FAUNI</t>
  </si>
  <si>
    <t>SILONG, JIRALP VALDEZ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</si>
  <si>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</si>
  <si>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</si>
  <si>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</si>
  <si>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</si>
  <si>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</si>
  <si>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</si>
  <si>
    <t>FOR THE MONTH OF MARCH 2024</t>
  </si>
  <si>
    <t>CAPARAS, CHARLES VICTOR EDQUILA</t>
  </si>
  <si>
    <t>ESTOESTA, JOSEPH MADULID</t>
  </si>
  <si>
    <t>DELOS REYES, JOHN CARLO</t>
  </si>
  <si>
    <t>ANGELES, MA. LEOSELLE ARCENO</t>
  </si>
  <si>
    <t>EP - RESIGNED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</si>
</sst>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_-* #,##0.00_-;\-* #,##0.00_-;_-* &quot;-&quot;??_-;_-@_-"/>
  </numFmts>
  <fonts count="34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theme="1"/>
      <name val="Arial"/>
      <family val="2"/>
    </font>
    <font>
      <b/>
      <sz val="5"/>
      <color theme="1"/>
      <name val="Arial"/>
      <family val="2"/>
    </font>
    <font>
      <b/>
      <sz val="10"/>
      <color rgb="FFFF0000"/>
      <name val="Arial"/>
      <family val="2"/>
    </font>
    <font>
      <sz val="8"/>
      <color theme="1" tint="4.9989318521683403E-2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1" fillId="0" borderId="0" applyBorder="0" applyProtection="0"/>
    <xf numFmtId="164" fontId="11" fillId="0" borderId="0" applyBorder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164" fontId="3" fillId="0" borderId="6" xfId="1" applyFont="1" applyBorder="1" applyAlignment="1" applyProtection="1">
      <alignment horizontal="center"/>
    </xf>
    <xf numFmtId="164" fontId="3" fillId="0" borderId="2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3" fillId="0" borderId="3" xfId="1" applyFont="1" applyBorder="1" applyAlignment="1" applyProtection="1">
      <alignment wrapText="1"/>
    </xf>
    <xf numFmtId="0" fontId="2" fillId="0" borderId="0" xfId="0" applyFont="1"/>
    <xf numFmtId="164" fontId="3" fillId="0" borderId="5" xfId="1" applyFont="1" applyBorder="1" applyAlignment="1" applyProtection="1">
      <alignment horizontal="center" wrapText="1"/>
    </xf>
    <xf numFmtId="164" fontId="2" fillId="0" borderId="1" xfId="1" applyFont="1" applyBorder="1" applyProtection="1"/>
    <xf numFmtId="164" fontId="2" fillId="0" borderId="6" xfId="1" applyFont="1" applyBorder="1" applyProtection="1"/>
    <xf numFmtId="164" fontId="3" fillId="0" borderId="6" xfId="1" applyFont="1" applyBorder="1" applyProtection="1"/>
    <xf numFmtId="164" fontId="3" fillId="0" borderId="1" xfId="1" applyFont="1" applyBorder="1" applyProtection="1"/>
    <xf numFmtId="164" fontId="5" fillId="0" borderId="6" xfId="1" applyFont="1" applyBorder="1" applyProtection="1"/>
    <xf numFmtId="164" fontId="3" fillId="0" borderId="2" xfId="1" applyFont="1" applyBorder="1" applyProtection="1"/>
    <xf numFmtId="164" fontId="3" fillId="0" borderId="4" xfId="1" applyFont="1" applyBorder="1" applyProtection="1"/>
    <xf numFmtId="0" fontId="6" fillId="0" borderId="0" xfId="0" applyFont="1"/>
    <xf numFmtId="164" fontId="2" fillId="0" borderId="1" xfId="1" applyFont="1" applyBorder="1" applyAlignment="1" applyProtection="1">
      <alignment wrapText="1"/>
    </xf>
    <xf numFmtId="0" fontId="7" fillId="0" borderId="0" xfId="0" applyFont="1"/>
    <xf numFmtId="164" fontId="2" fillId="0" borderId="6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 vertical="center" wrapText="1"/>
    </xf>
    <xf numFmtId="164" fontId="8" fillId="0" borderId="6" xfId="1" applyFont="1" applyBorder="1" applyProtection="1"/>
    <xf numFmtId="0" fontId="5" fillId="0" borderId="0" xfId="0" applyFont="1"/>
    <xf numFmtId="164" fontId="2" fillId="0" borderId="2" xfId="1" applyFont="1" applyBorder="1" applyProtection="1"/>
    <xf numFmtId="164" fontId="3" fillId="0" borderId="1" xfId="1" applyFont="1" applyBorder="1" applyAlignment="1" applyProtection="1">
      <alignment wrapText="1"/>
    </xf>
    <xf numFmtId="0" fontId="4" fillId="0" borderId="1" xfId="0" applyFont="1" applyBorder="1" applyAlignment="1">
      <alignment vertical="center" wrapText="1"/>
    </xf>
    <xf numFmtId="164" fontId="3" fillId="0" borderId="15" xfId="1" applyFont="1" applyBorder="1" applyAlignment="1" applyProtection="1">
      <alignment wrapText="1"/>
    </xf>
    <xf numFmtId="164" fontId="2" fillId="0" borderId="3" xfId="1" applyFont="1" applyBorder="1" applyAlignment="1" applyProtection="1">
      <alignment wrapText="1"/>
    </xf>
    <xf numFmtId="164" fontId="3" fillId="0" borderId="10" xfId="1" applyFont="1" applyBorder="1" applyAlignment="1" applyProtection="1">
      <alignment wrapText="1"/>
    </xf>
    <xf numFmtId="164" fontId="3" fillId="0" borderId="16" xfId="1" applyFont="1" applyBorder="1" applyProtection="1"/>
    <xf numFmtId="164" fontId="3" fillId="0" borderId="10" xfId="1" applyFont="1" applyBorder="1" applyProtection="1"/>
    <xf numFmtId="164" fontId="3" fillId="0" borderId="3" xfId="1" applyFont="1" applyBorder="1" applyProtection="1"/>
    <xf numFmtId="0" fontId="13" fillId="2" borderId="0" xfId="0" applyFont="1" applyFill="1"/>
    <xf numFmtId="164" fontId="13" fillId="2" borderId="0" xfId="1" applyFont="1" applyFill="1"/>
    <xf numFmtId="164" fontId="14" fillId="2" borderId="0" xfId="1" applyFont="1" applyFill="1"/>
    <xf numFmtId="0" fontId="14" fillId="0" borderId="0" xfId="0" applyFont="1"/>
    <xf numFmtId="0" fontId="14" fillId="2" borderId="0" xfId="0" applyFont="1" applyFill="1"/>
    <xf numFmtId="164" fontId="13" fillId="0" borderId="0" xfId="1" applyFont="1"/>
    <xf numFmtId="0" fontId="13" fillId="0" borderId="0" xfId="0" applyFont="1"/>
    <xf numFmtId="164" fontId="15" fillId="2" borderId="1" xfId="1" applyFont="1" applyFill="1" applyBorder="1" applyAlignment="1">
      <alignment horizontal="center" wrapText="1"/>
    </xf>
    <xf numFmtId="164" fontId="12" fillId="2" borderId="1" xfId="1" applyFont="1" applyFill="1" applyBorder="1" applyAlignment="1">
      <alignment horizontal="center" wrapText="1"/>
    </xf>
    <xf numFmtId="164" fontId="12" fillId="2" borderId="1" xfId="1" applyFont="1" applyFill="1" applyBorder="1" applyAlignment="1">
      <alignment horizontal="center"/>
    </xf>
    <xf numFmtId="164" fontId="12" fillId="2" borderId="3" xfId="1" applyFont="1" applyFill="1" applyBorder="1" applyAlignment="1">
      <alignment horizontal="center" wrapText="1"/>
    </xf>
    <xf numFmtId="164" fontId="12" fillId="2" borderId="15" xfId="1" applyFont="1" applyFill="1" applyBorder="1" applyAlignment="1">
      <alignment horizontal="center" wrapText="1"/>
    </xf>
    <xf numFmtId="164" fontId="12" fillId="2" borderId="10" xfId="1" applyFont="1" applyFill="1" applyBorder="1" applyAlignment="1">
      <alignment horizontal="center" wrapText="1"/>
    </xf>
    <xf numFmtId="164" fontId="15" fillId="2" borderId="3" xfId="1" applyFont="1" applyFill="1" applyBorder="1" applyAlignment="1">
      <alignment horizontal="center" wrapText="1"/>
    </xf>
    <xf numFmtId="164" fontId="12" fillId="2" borderId="3" xfId="1" applyFont="1" applyFill="1" applyBorder="1" applyAlignment="1">
      <alignment wrapText="1"/>
    </xf>
    <xf numFmtId="164" fontId="12" fillId="2" borderId="15" xfId="1" applyFont="1" applyFill="1" applyBorder="1" applyAlignment="1">
      <alignment horizontal="center"/>
    </xf>
    <xf numFmtId="164" fontId="12" fillId="2" borderId="16" xfId="1" applyFont="1" applyFill="1" applyBorder="1" applyAlignment="1">
      <alignment horizontal="center"/>
    </xf>
    <xf numFmtId="164" fontId="12" fillId="2" borderId="10" xfId="1" applyFont="1" applyFill="1" applyBorder="1" applyAlignment="1">
      <alignment horizontal="center"/>
    </xf>
    <xf numFmtId="164" fontId="12" fillId="2" borderId="3" xfId="1" applyFont="1" applyFill="1" applyBorder="1" applyAlignment="1">
      <alignment horizontal="center"/>
    </xf>
    <xf numFmtId="164" fontId="15" fillId="0" borderId="0" xfId="1" applyFont="1"/>
    <xf numFmtId="0" fontId="15" fillId="0" borderId="0" xfId="0" applyFont="1"/>
    <xf numFmtId="164" fontId="15" fillId="2" borderId="1" xfId="1" applyFont="1" applyFill="1" applyBorder="1" applyAlignment="1">
      <alignment horizontal="center"/>
    </xf>
    <xf numFmtId="164" fontId="12" fillId="2" borderId="5" xfId="1" applyFont="1" applyFill="1" applyBorder="1" applyAlignment="1">
      <alignment horizontal="center" wrapText="1"/>
    </xf>
    <xf numFmtId="164" fontId="12" fillId="2" borderId="7" xfId="1" applyFont="1" applyFill="1" applyBorder="1" applyAlignment="1">
      <alignment horizontal="center" wrapText="1"/>
    </xf>
    <xf numFmtId="164" fontId="12" fillId="2" borderId="12" xfId="1" applyFont="1" applyFill="1" applyBorder="1" applyAlignment="1">
      <alignment horizontal="center" wrapText="1"/>
    </xf>
    <xf numFmtId="164" fontId="15" fillId="2" borderId="5" xfId="1" applyFont="1" applyFill="1" applyBorder="1" applyAlignment="1">
      <alignment horizontal="center" wrapText="1"/>
    </xf>
    <xf numFmtId="164" fontId="12" fillId="2" borderId="17" xfId="1" applyFont="1" applyFill="1" applyBorder="1" applyAlignment="1">
      <alignment horizontal="center" wrapText="1"/>
    </xf>
    <xf numFmtId="164" fontId="12" fillId="2" borderId="5" xfId="1" applyFont="1" applyFill="1" applyBorder="1" applyAlignment="1">
      <alignment horizontal="center" wrapText="1"/>
    </xf>
    <xf numFmtId="164" fontId="12" fillId="2" borderId="11" xfId="1" applyFont="1" applyFill="1" applyBorder="1" applyAlignment="1">
      <alignment horizontal="center" wrapText="1"/>
    </xf>
    <xf numFmtId="164" fontId="12" fillId="2" borderId="7" xfId="1" applyFont="1" applyFill="1" applyBorder="1" applyAlignment="1">
      <alignment horizontal="center"/>
    </xf>
    <xf numFmtId="164" fontId="12" fillId="2" borderId="8" xfId="1" applyFont="1" applyFill="1" applyBorder="1" applyAlignment="1">
      <alignment horizontal="center"/>
    </xf>
    <xf numFmtId="164" fontId="12" fillId="2" borderId="12" xfId="1" applyFont="1" applyFill="1" applyBorder="1" applyAlignment="1">
      <alignment horizontal="center"/>
    </xf>
    <xf numFmtId="164" fontId="12" fillId="2" borderId="5" xfId="1" applyFont="1" applyFill="1" applyBorder="1" applyAlignment="1">
      <alignment horizontal="center"/>
    </xf>
    <xf numFmtId="164" fontId="12" fillId="2" borderId="6" xfId="1" applyFont="1" applyFill="1" applyBorder="1" applyAlignment="1">
      <alignment horizontal="center" wrapText="1"/>
    </xf>
    <xf numFmtId="164" fontId="15" fillId="2" borderId="1" xfId="1" applyFont="1" applyFill="1" applyBorder="1"/>
    <xf numFmtId="164" fontId="15" fillId="2" borderId="6" xfId="1" applyFont="1" applyFill="1" applyBorder="1" applyAlignment="1">
      <alignment horizontal="center" wrapText="1"/>
    </xf>
    <xf numFmtId="164" fontId="12" fillId="2" borderId="6" xfId="1" applyFont="1" applyFill="1" applyBorder="1" applyAlignment="1">
      <alignment horizontal="center" wrapText="1"/>
    </xf>
    <xf numFmtId="164" fontId="12" fillId="2" borderId="2" xfId="1" applyFont="1" applyFill="1" applyBorder="1" applyAlignment="1">
      <alignment horizontal="center" wrapText="1"/>
    </xf>
    <xf numFmtId="164" fontId="12" fillId="2" borderId="1" xfId="1" applyFont="1" applyFill="1" applyBorder="1" applyAlignment="1">
      <alignment horizontal="center" wrapText="1"/>
    </xf>
    <xf numFmtId="164" fontId="12" fillId="2" borderId="6" xfId="1" applyFont="1" applyFill="1" applyBorder="1" applyAlignment="1">
      <alignment horizontal="center"/>
    </xf>
    <xf numFmtId="14" fontId="15" fillId="0" borderId="0" xfId="1" applyNumberFormat="1" applyFont="1"/>
    <xf numFmtId="0" fontId="12" fillId="2" borderId="1" xfId="0" applyFont="1" applyFill="1" applyBorder="1"/>
    <xf numFmtId="164" fontId="15" fillId="2" borderId="6" xfId="1" applyFont="1" applyFill="1" applyBorder="1"/>
    <xf numFmtId="164" fontId="12" fillId="2" borderId="6" xfId="1" applyFont="1" applyFill="1" applyBorder="1"/>
    <xf numFmtId="164" fontId="12" fillId="2" borderId="1" xfId="1" applyFont="1" applyFill="1" applyBorder="1"/>
    <xf numFmtId="164" fontId="16" fillId="2" borderId="6" xfId="1" applyFont="1" applyFill="1" applyBorder="1"/>
    <xf numFmtId="164" fontId="12" fillId="2" borderId="7" xfId="1" applyFont="1" applyFill="1" applyBorder="1"/>
    <xf numFmtId="164" fontId="12" fillId="2" borderId="2" xfId="1" applyFont="1" applyFill="1" applyBorder="1"/>
    <xf numFmtId="164" fontId="12" fillId="2" borderId="4" xfId="1" applyFont="1" applyFill="1" applyBorder="1"/>
    <xf numFmtId="165" fontId="15" fillId="0" borderId="0" xfId="0" applyNumberFormat="1" applyFont="1"/>
    <xf numFmtId="43" fontId="15" fillId="0" borderId="0" xfId="0" applyNumberFormat="1" applyFont="1"/>
    <xf numFmtId="164" fontId="15" fillId="2" borderId="6" xfId="2" applyFont="1" applyFill="1" applyBorder="1"/>
    <xf numFmtId="0" fontId="17" fillId="0" borderId="0" xfId="0" applyFont="1"/>
    <xf numFmtId="164" fontId="15" fillId="2" borderId="0" xfId="1" applyFont="1" applyFill="1"/>
    <xf numFmtId="165" fontId="15" fillId="2" borderId="0" xfId="0" applyNumberFormat="1" applyFont="1" applyFill="1"/>
    <xf numFmtId="0" fontId="15" fillId="2" borderId="0" xfId="0" applyFont="1" applyFill="1"/>
    <xf numFmtId="0" fontId="0" fillId="2" borderId="0" xfId="0" applyFill="1"/>
    <xf numFmtId="0" fontId="18" fillId="2" borderId="0" xfId="0" applyFont="1" applyFill="1"/>
    <xf numFmtId="164" fontId="12" fillId="2" borderId="6" xfId="1" applyFont="1" applyFill="1" applyBorder="1" applyAlignment="1">
      <alignment horizontal="center"/>
    </xf>
    <xf numFmtId="164" fontId="15" fillId="2" borderId="1" xfId="1" applyFont="1" applyFill="1" applyBorder="1" applyAlignment="1">
      <alignment wrapText="1"/>
    </xf>
    <xf numFmtId="164" fontId="19" fillId="0" borderId="0" xfId="1" applyFont="1"/>
    <xf numFmtId="0" fontId="12" fillId="2" borderId="1" xfId="0" applyFont="1" applyFill="1" applyBorder="1" applyAlignment="1">
      <alignment horizontal="left"/>
    </xf>
    <xf numFmtId="164" fontId="18" fillId="2" borderId="0" xfId="1" applyFont="1" applyFill="1"/>
    <xf numFmtId="164" fontId="18" fillId="2" borderId="0" xfId="1" applyFont="1" applyFill="1" applyBorder="1"/>
    <xf numFmtId="164" fontId="18" fillId="2" borderId="8" xfId="1" applyFont="1" applyFill="1" applyBorder="1"/>
    <xf numFmtId="164" fontId="15" fillId="2" borderId="1" xfId="1" applyFont="1" applyFill="1" applyBorder="1" applyAlignment="1">
      <alignment horizontal="center"/>
    </xf>
    <xf numFmtId="164" fontId="12" fillId="2" borderId="1" xfId="1" applyFont="1" applyFill="1" applyBorder="1" applyAlignment="1">
      <alignment horizontal="center"/>
    </xf>
    <xf numFmtId="164" fontId="15" fillId="2" borderId="6" xfId="1" applyFont="1" applyFill="1" applyBorder="1" applyAlignment="1">
      <alignment horizontal="center"/>
    </xf>
    <xf numFmtId="164" fontId="20" fillId="2" borderId="0" xfId="1" applyFont="1" applyFill="1" applyBorder="1"/>
    <xf numFmtId="43" fontId="15" fillId="2" borderId="0" xfId="0" applyNumberFormat="1" applyFont="1" applyFill="1"/>
    <xf numFmtId="0" fontId="15" fillId="2" borderId="0" xfId="0" applyFont="1" applyFill="1" applyAlignment="1">
      <alignment horizontal="center"/>
    </xf>
    <xf numFmtId="164" fontId="12" fillId="2" borderId="9" xfId="1" applyFont="1" applyFill="1" applyBorder="1"/>
    <xf numFmtId="164" fontId="12" fillId="2" borderId="0" xfId="1" applyFont="1" applyFill="1"/>
    <xf numFmtId="164" fontId="9" fillId="0" borderId="0" xfId="1" applyFont="1"/>
    <xf numFmtId="164" fontId="21" fillId="2" borderId="0" xfId="1" applyFont="1" applyFill="1"/>
    <xf numFmtId="43" fontId="22" fillId="0" borderId="0" xfId="0" applyNumberFormat="1" applyFont="1"/>
    <xf numFmtId="0" fontId="9" fillId="0" borderId="0" xfId="0" applyFont="1"/>
    <xf numFmtId="164" fontId="12" fillId="2" borderId="8" xfId="1" applyFont="1" applyFill="1" applyBorder="1"/>
    <xf numFmtId="164" fontId="23" fillId="2" borderId="0" xfId="1" applyFont="1" applyFill="1"/>
    <xf numFmtId="164" fontId="24" fillId="2" borderId="0" xfId="1" applyFont="1" applyFill="1"/>
    <xf numFmtId="164" fontId="25" fillId="2" borderId="0" xfId="1" applyFont="1" applyFill="1"/>
    <xf numFmtId="164" fontId="12" fillId="2" borderId="7" xfId="1" applyFont="1" applyFill="1" applyBorder="1" applyAlignment="1">
      <alignment horizontal="center"/>
    </xf>
    <xf numFmtId="164" fontId="12" fillId="2" borderId="8" xfId="1" applyFont="1" applyFill="1" applyBorder="1" applyAlignment="1">
      <alignment horizontal="center"/>
    </xf>
    <xf numFmtId="164" fontId="15" fillId="0" borderId="1" xfId="1" applyFont="1" applyBorder="1"/>
    <xf numFmtId="164" fontId="12" fillId="2" borderId="1" xfId="1" applyFont="1" applyFill="1" applyBorder="1" applyAlignment="1">
      <alignment horizontal="center" vertical="center" wrapText="1"/>
    </xf>
    <xf numFmtId="164" fontId="18" fillId="2" borderId="0" xfId="1" applyFont="1" applyFill="1" applyAlignment="1">
      <alignment horizontal="left"/>
    </xf>
    <xf numFmtId="0" fontId="18" fillId="2" borderId="0" xfId="0" applyFont="1" applyFill="1" applyAlignment="1">
      <alignment horizontal="left"/>
    </xf>
    <xf numFmtId="164" fontId="15" fillId="0" borderId="6" xfId="1" applyFont="1" applyBorder="1"/>
    <xf numFmtId="0" fontId="16" fillId="0" borderId="0" xfId="0" applyFont="1"/>
    <xf numFmtId="0" fontId="15" fillId="2" borderId="0" xfId="0" applyFont="1" applyFill="1" applyAlignment="1">
      <alignment horizontal="left"/>
    </xf>
    <xf numFmtId="164" fontId="15" fillId="2" borderId="0" xfId="1" applyFont="1" applyFill="1" applyBorder="1"/>
    <xf numFmtId="164" fontId="15" fillId="2" borderId="9" xfId="1" applyFont="1" applyFill="1" applyBorder="1" applyAlignment="1">
      <alignment horizontal="right"/>
    </xf>
    <xf numFmtId="164" fontId="20" fillId="2" borderId="0" xfId="1" applyFont="1" applyFill="1"/>
    <xf numFmtId="164" fontId="15" fillId="2" borderId="3" xfId="1" applyFont="1" applyFill="1" applyBorder="1"/>
    <xf numFmtId="164" fontId="12" fillId="2" borderId="5" xfId="1" applyFont="1" applyFill="1" applyBorder="1" applyAlignment="1">
      <alignment wrapText="1"/>
    </xf>
    <xf numFmtId="164" fontId="15" fillId="2" borderId="5" xfId="1" applyFont="1" applyFill="1" applyBorder="1"/>
    <xf numFmtId="164" fontId="12" fillId="2" borderId="6" xfId="1" applyFont="1" applyFill="1" applyBorder="1" applyAlignment="1">
      <alignment wrapText="1"/>
    </xf>
    <xf numFmtId="164" fontId="12" fillId="0" borderId="6" xfId="1" applyFont="1" applyBorder="1"/>
    <xf numFmtId="164" fontId="12" fillId="0" borderId="1" xfId="1" applyFont="1" applyBorder="1"/>
    <xf numFmtId="164" fontId="12" fillId="0" borderId="2" xfId="1" applyFont="1" applyBorder="1"/>
    <xf numFmtId="164" fontId="15" fillId="2" borderId="0" xfId="1" applyFont="1" applyFill="1" applyAlignment="1">
      <alignment horizontal="right"/>
    </xf>
    <xf numFmtId="164" fontId="15" fillId="2" borderId="9" xfId="1" applyFont="1" applyFill="1" applyBorder="1"/>
    <xf numFmtId="164" fontId="21" fillId="0" borderId="0" xfId="1" applyFont="1"/>
    <xf numFmtId="164" fontId="12" fillId="2" borderId="2" xfId="1" applyFont="1" applyFill="1" applyBorder="1" applyAlignment="1">
      <alignment horizontal="center"/>
    </xf>
    <xf numFmtId="164" fontId="12" fillId="2" borderId="4" xfId="1" applyFont="1" applyFill="1" applyBorder="1" applyAlignment="1">
      <alignment horizontal="center"/>
    </xf>
    <xf numFmtId="164" fontId="12" fillId="2" borderId="3" xfId="1" applyFont="1" applyFill="1" applyBorder="1" applyAlignment="1">
      <alignment horizontal="center" wrapText="1"/>
    </xf>
    <xf numFmtId="164" fontId="15" fillId="2" borderId="10" xfId="1" applyFont="1" applyFill="1" applyBorder="1"/>
    <xf numFmtId="164" fontId="12" fillId="2" borderId="3" xfId="1" applyFont="1" applyFill="1" applyBorder="1" applyAlignment="1">
      <alignment horizontal="center"/>
    </xf>
    <xf numFmtId="164" fontId="15" fillId="2" borderId="11" xfId="1" applyFont="1" applyFill="1" applyBorder="1"/>
    <xf numFmtId="164" fontId="12" fillId="2" borderId="5" xfId="1" applyFont="1" applyFill="1" applyBorder="1" applyAlignment="1">
      <alignment horizontal="center"/>
    </xf>
    <xf numFmtId="164" fontId="15" fillId="2" borderId="12" xfId="1" applyFont="1" applyFill="1" applyBorder="1" applyAlignment="1">
      <alignment horizontal="center"/>
    </xf>
    <xf numFmtId="164" fontId="15" fillId="2" borderId="10" xfId="1" applyFont="1" applyFill="1" applyBorder="1" applyAlignment="1">
      <alignment wrapText="1"/>
    </xf>
    <xf numFmtId="164" fontId="15" fillId="2" borderId="11" xfId="1" applyFont="1" applyFill="1" applyBorder="1" applyAlignment="1">
      <alignment wrapText="1"/>
    </xf>
    <xf numFmtId="164" fontId="15" fillId="2" borderId="12" xfId="1" applyFont="1" applyFill="1" applyBorder="1" applyAlignment="1">
      <alignment horizontal="center" wrapText="1"/>
    </xf>
    <xf numFmtId="164" fontId="17" fillId="0" borderId="0" xfId="1" applyFont="1"/>
    <xf numFmtId="0" fontId="13" fillId="2" borderId="0" xfId="0" applyFont="1" applyFill="1" applyAlignment="1">
      <alignment horizontal="right"/>
    </xf>
    <xf numFmtId="164" fontId="14" fillId="2" borderId="13" xfId="1" applyFont="1" applyFill="1" applyBorder="1"/>
    <xf numFmtId="0" fontId="12" fillId="2" borderId="0" xfId="0" applyFont="1" applyFill="1"/>
    <xf numFmtId="43" fontId="12" fillId="2" borderId="0" xfId="0" applyNumberFormat="1" applyFont="1" applyFill="1"/>
    <xf numFmtId="43" fontId="14" fillId="2" borderId="0" xfId="0" applyNumberFormat="1" applyFont="1" applyFill="1"/>
    <xf numFmtId="164" fontId="26" fillId="2" borderId="0" xfId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27" fillId="2" borderId="0" xfId="0" applyFont="1" applyFill="1"/>
    <xf numFmtId="0" fontId="27" fillId="2" borderId="0" xfId="0" applyFont="1" applyFill="1" applyAlignment="1">
      <alignment horizontal="right"/>
    </xf>
    <xf numFmtId="43" fontId="27" fillId="2" borderId="0" xfId="0" applyNumberFormat="1" applyFont="1" applyFill="1"/>
    <xf numFmtId="164" fontId="12" fillId="2" borderId="2" xfId="2" applyFont="1" applyFill="1" applyBorder="1"/>
    <xf numFmtId="164" fontId="12" fillId="2" borderId="14" xfId="2" applyFont="1" applyFill="1" applyBorder="1"/>
    <xf numFmtId="164" fontId="27" fillId="3" borderId="1" xfId="2" applyFont="1" applyFill="1" applyBorder="1"/>
    <xf numFmtId="164" fontId="12" fillId="2" borderId="1" xfId="2" applyFont="1" applyFill="1" applyBorder="1"/>
    <xf numFmtId="164" fontId="26" fillId="2" borderId="1" xfId="1" applyFont="1" applyFill="1" applyBorder="1"/>
    <xf numFmtId="0" fontId="15" fillId="2" borderId="1" xfId="0" applyFont="1" applyFill="1" applyBorder="1"/>
    <xf numFmtId="43" fontId="15" fillId="2" borderId="1" xfId="0" applyNumberFormat="1" applyFont="1" applyFill="1" applyBorder="1"/>
    <xf numFmtId="0" fontId="28" fillId="2" borderId="0" xfId="0" applyFont="1" applyFill="1"/>
    <xf numFmtId="164" fontId="15" fillId="2" borderId="8" xfId="1" applyFont="1" applyFill="1" applyBorder="1"/>
    <xf numFmtId="164" fontId="23" fillId="2" borderId="2" xfId="2" applyFont="1" applyFill="1" applyBorder="1"/>
    <xf numFmtId="164" fontId="26" fillId="2" borderId="0" xfId="1" applyFont="1" applyFill="1"/>
    <xf numFmtId="43" fontId="13" fillId="2" borderId="0" xfId="0" applyNumberFormat="1" applyFont="1" applyFill="1"/>
    <xf numFmtId="164" fontId="13" fillId="2" borderId="0" xfId="1" applyFont="1" applyFill="1" applyBorder="1"/>
    <xf numFmtId="164" fontId="13" fillId="2" borderId="8" xfId="1" applyFont="1" applyFill="1" applyBorder="1"/>
    <xf numFmtId="0" fontId="29" fillId="2" borderId="0" xfId="0" applyFont="1" applyFill="1"/>
    <xf numFmtId="164" fontId="29" fillId="2" borderId="0" xfId="1" applyFont="1" applyFill="1"/>
    <xf numFmtId="0" fontId="17" fillId="2" borderId="0" xfId="0" applyFont="1" applyFill="1"/>
    <xf numFmtId="43" fontId="17" fillId="2" borderId="0" xfId="0" applyNumberFormat="1" applyFont="1" applyFill="1"/>
    <xf numFmtId="0" fontId="19" fillId="2" borderId="0" xfId="0" applyFont="1" applyFill="1"/>
    <xf numFmtId="164" fontId="27" fillId="2" borderId="0" xfId="1" applyFont="1" applyFill="1" applyBorder="1"/>
    <xf numFmtId="164" fontId="19" fillId="2" borderId="0" xfId="1" applyFont="1" applyFill="1" applyBorder="1"/>
    <xf numFmtId="0" fontId="27" fillId="2" borderId="0" xfId="0" applyFont="1" applyFill="1" applyAlignment="1">
      <alignment horizontal="left" wrapText="1"/>
    </xf>
    <xf numFmtId="0" fontId="30" fillId="2" borderId="0" xfId="0" applyFont="1" applyFill="1"/>
    <xf numFmtId="164" fontId="19" fillId="2" borderId="0" xfId="1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Fill="1" applyBorder="1"/>
    <xf numFmtId="0" fontId="12" fillId="0" borderId="1" xfId="3" applyFont="1" applyFill="1" applyBorder="1"/>
    <xf numFmtId="0" fontId="12" fillId="3" borderId="1" xfId="0" applyFont="1" applyFill="1" applyBorder="1"/>
    <xf numFmtId="164" fontId="5" fillId="0" borderId="1" xfId="1" applyFont="1" applyBorder="1" applyProtection="1"/>
    <xf numFmtId="164" fontId="5" fillId="0" borderId="6" xfId="1" applyFont="1" applyBorder="1" applyAlignment="1" applyProtection="1">
      <alignment horizontal="left"/>
    </xf>
    <xf numFmtId="164" fontId="33" fillId="0" borderId="1" xfId="1" applyFont="1" applyBorder="1" applyProtection="1"/>
  </cellXfs>
  <cellStyles count="6">
    <cellStyle name="Comma" xfId="1" builtinId="3"/>
    <cellStyle name="Comma 2" xfId="2" xr:uid="{00000000-0005-0000-0000-000006000000}"/>
    <cellStyle name="Comma 2 2" xfId="5" xr:uid="{920D5F89-752A-43FA-B4F5-994034096A6C}"/>
    <cellStyle name="Comma 3" xfId="4" xr:uid="{11113845-2957-4CAC-9B84-F6D79FC4BCD0}"/>
    <cellStyle name="Normal" xfId="0" builtinId="0"/>
    <cellStyle name="Normal 2" xfId="3" xr:uid="{9CDA9AF9-8E6A-44D9-9E8B-F4D02CAB977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33"/>
  <sheetViews>
    <sheetView zoomScaleNormal="100" workbookViewId="0">
      <pane xSplit="2" ySplit="6" topLeftCell="Y85" activePane="bottomRight" state="frozen"/>
      <selection pane="topRight" activeCell="C1" sqref="C1"/>
      <selection pane="bottomLeft" activeCell="A7" sqref="A7"/>
      <selection pane="bottomRight" activeCell="Q89" sqref="Q89:AH93"/>
    </sheetView>
  </sheetViews>
  <sheetFormatPr defaultRowHeight="15" x14ac:dyDescent="0.25"/>
  <cols>
    <col min="1" max="1" width="33.85546875" customWidth="1"/>
    <col min="2" max="34" width="11.28515625" customWidth="1"/>
    <col min="35" max="35" width="10.42578125" customWidth="1"/>
    <col min="36" max="36" width="13.85546875" customWidth="1"/>
    <col min="37" max="39" width="11.140625" customWidth="1"/>
  </cols>
  <sheetData>
    <row r="1" spans="1:132" x14ac:dyDescent="0.25">
      <c r="A1" s="30" t="s">
        <v>0</v>
      </c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1"/>
      <c r="S1" s="32"/>
      <c r="T1" s="32"/>
      <c r="U1" s="32"/>
      <c r="V1" s="33"/>
      <c r="W1" s="34"/>
      <c r="X1" s="33"/>
      <c r="Y1" s="33"/>
      <c r="Z1" s="33"/>
      <c r="AA1" s="34"/>
      <c r="AB1" s="33"/>
      <c r="AC1" s="33"/>
      <c r="AD1" s="35"/>
      <c r="AE1" s="35"/>
      <c r="AF1" s="36"/>
      <c r="AG1" s="36"/>
      <c r="AH1" s="36"/>
      <c r="AI1" s="36"/>
      <c r="AJ1" s="35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</row>
    <row r="2" spans="1:132" x14ac:dyDescent="0.25">
      <c r="A2" s="30" t="s">
        <v>1</v>
      </c>
      <c r="B2" s="31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1"/>
      <c r="S2" s="32"/>
      <c r="T2" s="32"/>
      <c r="U2" s="32"/>
      <c r="V2" s="33"/>
      <c r="W2" s="34"/>
      <c r="X2" s="33"/>
      <c r="Y2" s="33"/>
      <c r="Z2" s="33"/>
      <c r="AA2" s="34"/>
      <c r="AB2" s="33"/>
      <c r="AC2" s="33"/>
      <c r="AD2" s="35"/>
      <c r="AE2" s="35"/>
      <c r="AF2" s="36"/>
      <c r="AG2" s="36"/>
      <c r="AH2" s="36"/>
      <c r="AI2" s="36"/>
      <c r="AJ2" s="35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</row>
    <row r="3" spans="1:132" x14ac:dyDescent="0.25">
      <c r="A3" s="30" t="s">
        <v>169</v>
      </c>
      <c r="B3" s="31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1"/>
      <c r="S3" s="32"/>
      <c r="T3" s="32"/>
      <c r="U3" s="32"/>
      <c r="V3" s="33"/>
      <c r="W3" s="34"/>
      <c r="X3" s="33"/>
      <c r="Y3" s="33"/>
      <c r="Z3" s="33"/>
      <c r="AA3" s="34"/>
      <c r="AB3" s="33"/>
      <c r="AC3" s="33"/>
      <c r="AD3" s="35"/>
      <c r="AE3" s="35"/>
      <c r="AF3" s="36"/>
      <c r="AG3" s="36"/>
      <c r="AH3" s="36"/>
      <c r="AI3" s="36"/>
      <c r="AJ3" s="35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</row>
    <row r="4" spans="1:132" ht="13.9" customHeight="1" x14ac:dyDescent="0.25">
      <c r="A4" s="37" t="s">
        <v>121</v>
      </c>
      <c r="B4" s="37" t="s">
        <v>2</v>
      </c>
      <c r="C4" s="37" t="s">
        <v>3</v>
      </c>
      <c r="D4" s="38" t="s">
        <v>4</v>
      </c>
      <c r="E4" s="38" t="s">
        <v>5</v>
      </c>
      <c r="F4" s="38" t="s">
        <v>6</v>
      </c>
      <c r="G4" s="38" t="s">
        <v>7</v>
      </c>
      <c r="H4" s="39" t="s">
        <v>8</v>
      </c>
      <c r="I4" s="39"/>
      <c r="J4" s="39"/>
      <c r="K4" s="39"/>
      <c r="L4" s="38" t="s">
        <v>9</v>
      </c>
      <c r="M4" s="38" t="s">
        <v>10</v>
      </c>
      <c r="N4" s="39" t="s">
        <v>11</v>
      </c>
      <c r="O4" s="39"/>
      <c r="P4" s="39"/>
      <c r="Q4" s="40" t="s">
        <v>12</v>
      </c>
      <c r="R4" s="41" t="s">
        <v>13</v>
      </c>
      <c r="S4" s="42"/>
      <c r="T4" s="43" t="s">
        <v>14</v>
      </c>
      <c r="U4" s="40" t="s">
        <v>15</v>
      </c>
      <c r="V4" s="40" t="s">
        <v>16</v>
      </c>
      <c r="W4" s="40" t="s">
        <v>17</v>
      </c>
      <c r="X4" s="41" t="s">
        <v>18</v>
      </c>
      <c r="Y4" s="40" t="s">
        <v>19</v>
      </c>
      <c r="Z4" s="44"/>
      <c r="AA4" s="42" t="s">
        <v>20</v>
      </c>
      <c r="AB4" s="45" t="s">
        <v>21</v>
      </c>
      <c r="AC4" s="46"/>
      <c r="AD4" s="46"/>
      <c r="AE4" s="47"/>
      <c r="AF4" s="40" t="s">
        <v>22</v>
      </c>
      <c r="AG4" s="43" t="s">
        <v>23</v>
      </c>
      <c r="AH4" s="48" t="s">
        <v>24</v>
      </c>
      <c r="AI4" s="49"/>
      <c r="AJ4" s="49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</row>
    <row r="5" spans="1:132" ht="12.75" customHeight="1" x14ac:dyDescent="0.25">
      <c r="A5" s="37"/>
      <c r="B5" s="37"/>
      <c r="C5" s="37"/>
      <c r="D5" s="38"/>
      <c r="E5" s="38"/>
      <c r="F5" s="38"/>
      <c r="G5" s="38"/>
      <c r="H5" s="39" t="s">
        <v>25</v>
      </c>
      <c r="I5" s="39" t="s">
        <v>26</v>
      </c>
      <c r="J5" s="39" t="s">
        <v>27</v>
      </c>
      <c r="K5" s="40" t="s">
        <v>28</v>
      </c>
      <c r="L5" s="38"/>
      <c r="M5" s="38"/>
      <c r="N5" s="51" t="s">
        <v>25</v>
      </c>
      <c r="O5" s="51" t="s">
        <v>26</v>
      </c>
      <c r="P5" s="51" t="s">
        <v>29</v>
      </c>
      <c r="Q5" s="52"/>
      <c r="R5" s="53"/>
      <c r="S5" s="54"/>
      <c r="T5" s="55"/>
      <c r="U5" s="52"/>
      <c r="V5" s="52"/>
      <c r="W5" s="52"/>
      <c r="X5" s="56"/>
      <c r="Y5" s="52"/>
      <c r="Z5" s="57" t="s">
        <v>30</v>
      </c>
      <c r="AA5" s="58"/>
      <c r="AB5" s="59" t="s">
        <v>31</v>
      </c>
      <c r="AC5" s="60"/>
      <c r="AD5" s="60"/>
      <c r="AE5" s="61"/>
      <c r="AF5" s="52"/>
      <c r="AG5" s="55"/>
      <c r="AH5" s="62"/>
      <c r="AI5" s="49"/>
      <c r="AJ5" s="49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</row>
    <row r="6" spans="1:132" ht="23.25" customHeight="1" x14ac:dyDescent="0.25">
      <c r="A6" s="37"/>
      <c r="B6" s="37"/>
      <c r="C6" s="37"/>
      <c r="D6" s="38"/>
      <c r="E6" s="38"/>
      <c r="F6" s="38"/>
      <c r="G6" s="38"/>
      <c r="H6" s="39"/>
      <c r="I6" s="39"/>
      <c r="J6" s="39"/>
      <c r="K6" s="63"/>
      <c r="L6" s="38"/>
      <c r="M6" s="38"/>
      <c r="N6" s="51"/>
      <c r="O6" s="51"/>
      <c r="P6" s="51"/>
      <c r="Q6" s="63"/>
      <c r="R6" s="64" t="s">
        <v>25</v>
      </c>
      <c r="S6" s="64" t="s">
        <v>26</v>
      </c>
      <c r="T6" s="65"/>
      <c r="U6" s="63"/>
      <c r="V6" s="63"/>
      <c r="W6" s="63"/>
      <c r="X6" s="53"/>
      <c r="Y6" s="63"/>
      <c r="Z6" s="66" t="s">
        <v>32</v>
      </c>
      <c r="AA6" s="54"/>
      <c r="AB6" s="67" t="s">
        <v>33</v>
      </c>
      <c r="AC6" s="68" t="s">
        <v>34</v>
      </c>
      <c r="AD6" s="68" t="s">
        <v>35</v>
      </c>
      <c r="AE6" s="67" t="s">
        <v>36</v>
      </c>
      <c r="AF6" s="63"/>
      <c r="AG6" s="65"/>
      <c r="AH6" s="69"/>
      <c r="AI6" s="70"/>
      <c r="AJ6" s="49"/>
      <c r="AK6" s="50"/>
      <c r="AL6" s="50"/>
      <c r="AM6" s="50"/>
      <c r="AN6" s="50"/>
      <c r="AO6" s="50"/>
      <c r="AP6" s="50"/>
      <c r="AQ6" s="50"/>
      <c r="AR6" s="49">
        <f>130335.47-115362.14</f>
        <v>14973.330000000002</v>
      </c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</row>
    <row r="7" spans="1:132" x14ac:dyDescent="0.25">
      <c r="A7" s="71" t="s">
        <v>37</v>
      </c>
      <c r="B7" s="72">
        <f>17550+17550</f>
        <v>35100</v>
      </c>
      <c r="C7" s="72">
        <f>17550-33.64+17550</f>
        <v>35066.36</v>
      </c>
      <c r="D7" s="73">
        <v>0</v>
      </c>
      <c r="E7" s="73">
        <v>0</v>
      </c>
      <c r="F7" s="73">
        <v>0</v>
      </c>
      <c r="G7" s="73">
        <f t="shared" ref="G7:G35" si="0">C7+D7+E7+F7</f>
        <v>35066.36</v>
      </c>
      <c r="H7" s="73">
        <v>1350</v>
      </c>
      <c r="I7" s="74">
        <f>1900+950</f>
        <v>2850</v>
      </c>
      <c r="J7" s="73">
        <f>H7+I7</f>
        <v>4200</v>
      </c>
      <c r="K7" s="73">
        <v>30</v>
      </c>
      <c r="L7" s="73">
        <f>1845.8</f>
        <v>1845.8</v>
      </c>
      <c r="M7" s="73">
        <v>0</v>
      </c>
      <c r="N7" s="73">
        <f>B7*5%/2</f>
        <v>877.5</v>
      </c>
      <c r="O7" s="73">
        <f t="shared" ref="O7:O34" si="1">N7</f>
        <v>877.5</v>
      </c>
      <c r="P7" s="73">
        <f>N7+O7</f>
        <v>1755</v>
      </c>
      <c r="Q7" s="75">
        <f>(G7-H7-N7-R7-20833)*15%</f>
        <v>1770.8790000000001</v>
      </c>
      <c r="R7" s="73">
        <v>200</v>
      </c>
      <c r="S7" s="73">
        <f t="shared" ref="S7:S42" si="2">R7</f>
        <v>200</v>
      </c>
      <c r="T7" s="72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f t="shared" ref="AA7:AA41" si="3">G7-L7-M7-T7-U7-V7-W7-X7-Y7-Z7-H7-N7-Q7-R7</f>
        <v>29022.180999999997</v>
      </c>
      <c r="AB7" s="73">
        <f>5200+5200</f>
        <v>10400</v>
      </c>
      <c r="AC7" s="73">
        <v>0</v>
      </c>
      <c r="AD7" s="76">
        <f>1000+1000</f>
        <v>2000</v>
      </c>
      <c r="AE7" s="77">
        <v>0</v>
      </c>
      <c r="AF7" s="76">
        <v>0</v>
      </c>
      <c r="AG7" s="74">
        <v>0</v>
      </c>
      <c r="AH7" s="78">
        <f>AA7+AB7+AC7+AD7+AE7+AF7-AG7</f>
        <v>41422.180999999997</v>
      </c>
      <c r="AI7" s="49"/>
      <c r="AJ7" s="49"/>
      <c r="AK7" s="79"/>
      <c r="AL7" s="80">
        <f t="shared" ref="AL7:AL42" si="4">G7-H7-L7-M7-N7-Q7-R7-T7-U7-V7-W7-X7+Y7+Z7+AB7+AC7+AD7+AE7</f>
        <v>41422.180999999997</v>
      </c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</row>
    <row r="8" spans="1:132" x14ac:dyDescent="0.25">
      <c r="A8" s="71" t="s">
        <v>38</v>
      </c>
      <c r="B8" s="81">
        <f>8364.5+8364.5</f>
        <v>16729</v>
      </c>
      <c r="C8" s="72">
        <f>8364.5-25.39+8364.5</f>
        <v>16703.61</v>
      </c>
      <c r="D8" s="73">
        <v>0</v>
      </c>
      <c r="E8" s="73">
        <v>0</v>
      </c>
      <c r="F8" s="73">
        <v>0</v>
      </c>
      <c r="G8" s="73">
        <f t="shared" si="0"/>
        <v>16703.61</v>
      </c>
      <c r="H8" s="73">
        <v>742.5</v>
      </c>
      <c r="I8" s="74">
        <v>1567.5</v>
      </c>
      <c r="J8" s="73">
        <f t="shared" ref="J8:J42" si="5">H8+I8</f>
        <v>2310</v>
      </c>
      <c r="K8" s="73">
        <v>30</v>
      </c>
      <c r="L8" s="73">
        <v>1430.49</v>
      </c>
      <c r="M8" s="73">
        <v>0</v>
      </c>
      <c r="N8" s="73">
        <f>B8*5%/2</f>
        <v>418.22500000000002</v>
      </c>
      <c r="O8" s="73">
        <f>N8</f>
        <v>418.22500000000002</v>
      </c>
      <c r="P8" s="73">
        <f>N8+O8+0.01</f>
        <v>836.46</v>
      </c>
      <c r="Q8" s="73">
        <v>0</v>
      </c>
      <c r="R8" s="73">
        <v>200</v>
      </c>
      <c r="S8" s="73">
        <f t="shared" si="2"/>
        <v>200</v>
      </c>
      <c r="T8" s="72">
        <v>950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f t="shared" si="3"/>
        <v>12962.395</v>
      </c>
      <c r="AB8" s="73">
        <v>0</v>
      </c>
      <c r="AC8" s="73">
        <v>0</v>
      </c>
      <c r="AD8" s="76">
        <v>0</v>
      </c>
      <c r="AE8" s="73">
        <v>0</v>
      </c>
      <c r="AF8" s="73">
        <v>0</v>
      </c>
      <c r="AG8" s="73">
        <v>0</v>
      </c>
      <c r="AH8" s="78">
        <f t="shared" ref="AH8:AH42" si="6">AA8+AB8+AC8+AD8+AE8+AF8-AG8</f>
        <v>12962.395</v>
      </c>
      <c r="AI8" s="49"/>
      <c r="AJ8" s="49"/>
      <c r="AK8" s="79"/>
      <c r="AL8" s="80">
        <f t="shared" si="4"/>
        <v>12962.395</v>
      </c>
      <c r="AM8" s="80">
        <f>AL8-AH8</f>
        <v>0</v>
      </c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</row>
    <row r="9" spans="1:132" s="82" customFormat="1" ht="12.75" x14ac:dyDescent="0.2">
      <c r="A9" s="71" t="s">
        <v>39</v>
      </c>
      <c r="B9" s="64">
        <f>16000</f>
        <v>16000</v>
      </c>
      <c r="C9" s="72">
        <f>8000-304.16-1226.84+8000-1533.55-80.51</f>
        <v>12854.94</v>
      </c>
      <c r="D9" s="73">
        <v>0</v>
      </c>
      <c r="E9" s="73">
        <v>0</v>
      </c>
      <c r="F9" s="73">
        <v>0</v>
      </c>
      <c r="G9" s="73">
        <f t="shared" si="0"/>
        <v>12854.94</v>
      </c>
      <c r="H9" s="73">
        <v>720</v>
      </c>
      <c r="I9" s="74">
        <v>1520</v>
      </c>
      <c r="J9" s="73">
        <f t="shared" si="5"/>
        <v>2240</v>
      </c>
      <c r="K9" s="74">
        <v>30</v>
      </c>
      <c r="L9" s="73">
        <v>0</v>
      </c>
      <c r="M9" s="73">
        <v>0</v>
      </c>
      <c r="N9" s="73">
        <f>B9*5%/2</f>
        <v>400</v>
      </c>
      <c r="O9" s="73">
        <f t="shared" si="1"/>
        <v>400</v>
      </c>
      <c r="P9" s="74">
        <f t="shared" ref="P9:P16" si="7">N9+O9</f>
        <v>800</v>
      </c>
      <c r="Q9" s="73">
        <v>0</v>
      </c>
      <c r="R9" s="73">
        <v>200</v>
      </c>
      <c r="S9" s="73">
        <f t="shared" si="2"/>
        <v>200</v>
      </c>
      <c r="T9" s="72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f t="shared" si="3"/>
        <v>11534.94</v>
      </c>
      <c r="AB9" s="73">
        <v>0</v>
      </c>
      <c r="AC9" s="73">
        <v>0</v>
      </c>
      <c r="AD9" s="76">
        <v>0</v>
      </c>
      <c r="AE9" s="77">
        <v>0</v>
      </c>
      <c r="AF9" s="76">
        <v>0</v>
      </c>
      <c r="AG9" s="74">
        <v>0</v>
      </c>
      <c r="AH9" s="78">
        <f t="shared" si="6"/>
        <v>11534.94</v>
      </c>
      <c r="AI9" s="49"/>
      <c r="AJ9" s="49"/>
      <c r="AK9" s="79"/>
      <c r="AL9" s="80">
        <f t="shared" si="4"/>
        <v>11534.94</v>
      </c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</row>
    <row r="10" spans="1:132" s="82" customFormat="1" ht="12.75" x14ac:dyDescent="0.2">
      <c r="A10" s="71" t="s">
        <v>40</v>
      </c>
      <c r="B10" s="64">
        <f>12500+12500</f>
        <v>25000</v>
      </c>
      <c r="C10" s="72">
        <f>12500-447.29-3833.88+12500-1916.94-75.88</f>
        <v>18726.009999999998</v>
      </c>
      <c r="D10" s="73">
        <v>0</v>
      </c>
      <c r="E10" s="73">
        <v>0</v>
      </c>
      <c r="F10" s="73">
        <v>0</v>
      </c>
      <c r="G10" s="73">
        <f t="shared" si="0"/>
        <v>18726.009999999998</v>
      </c>
      <c r="H10" s="73">
        <f>900+225</f>
        <v>1125</v>
      </c>
      <c r="I10" s="74">
        <f>1900+475</f>
        <v>2375</v>
      </c>
      <c r="J10" s="73">
        <f t="shared" si="5"/>
        <v>3500</v>
      </c>
      <c r="K10" s="74">
        <v>30</v>
      </c>
      <c r="L10" s="73">
        <v>0</v>
      </c>
      <c r="M10" s="73">
        <v>0</v>
      </c>
      <c r="N10" s="73">
        <f>B10*5%/2</f>
        <v>625</v>
      </c>
      <c r="O10" s="73">
        <f t="shared" si="1"/>
        <v>625</v>
      </c>
      <c r="P10" s="74">
        <f t="shared" si="7"/>
        <v>1250</v>
      </c>
      <c r="Q10" s="73">
        <v>0</v>
      </c>
      <c r="R10" s="73">
        <v>200</v>
      </c>
      <c r="S10" s="73">
        <f t="shared" si="2"/>
        <v>200</v>
      </c>
      <c r="T10" s="72"/>
      <c r="U10" s="73"/>
      <c r="V10" s="73"/>
      <c r="W10" s="73">
        <v>0</v>
      </c>
      <c r="X10" s="73">
        <v>0</v>
      </c>
      <c r="Y10" s="73">
        <v>0</v>
      </c>
      <c r="Z10" s="73">
        <v>0</v>
      </c>
      <c r="AA10" s="73">
        <f t="shared" si="3"/>
        <v>16776.009999999998</v>
      </c>
      <c r="AB10" s="73">
        <v>0</v>
      </c>
      <c r="AC10" s="73">
        <v>0</v>
      </c>
      <c r="AD10" s="76">
        <v>0</v>
      </c>
      <c r="AE10" s="77"/>
      <c r="AF10" s="76"/>
      <c r="AG10" s="74"/>
      <c r="AH10" s="78">
        <f t="shared" si="6"/>
        <v>16776.009999999998</v>
      </c>
      <c r="AI10" s="49"/>
      <c r="AJ10" s="49"/>
      <c r="AK10" s="79"/>
      <c r="AL10" s="80">
        <f t="shared" si="4"/>
        <v>16776.009999999998</v>
      </c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</row>
    <row r="11" spans="1:132" x14ac:dyDescent="0.25">
      <c r="A11" s="71" t="s">
        <v>41</v>
      </c>
      <c r="B11" s="64">
        <f>9083.75+9083.75</f>
        <v>18167.5</v>
      </c>
      <c r="C11" s="72">
        <f>9083.75-2.9+9083.75</f>
        <v>18164.599999999999</v>
      </c>
      <c r="D11" s="73">
        <v>0</v>
      </c>
      <c r="E11" s="73">
        <v>0</v>
      </c>
      <c r="F11" s="73">
        <v>0</v>
      </c>
      <c r="G11" s="73">
        <f t="shared" si="0"/>
        <v>18164.599999999999</v>
      </c>
      <c r="H11" s="73">
        <v>810</v>
      </c>
      <c r="I11" s="74">
        <v>1710</v>
      </c>
      <c r="J11" s="73">
        <f t="shared" si="5"/>
        <v>2520</v>
      </c>
      <c r="K11" s="74">
        <v>30</v>
      </c>
      <c r="L11" s="73">
        <v>784.46</v>
      </c>
      <c r="M11" s="73">
        <v>0</v>
      </c>
      <c r="N11" s="73">
        <f>B11*5%/2</f>
        <v>454.1875</v>
      </c>
      <c r="O11" s="73">
        <f t="shared" si="1"/>
        <v>454.1875</v>
      </c>
      <c r="P11" s="74">
        <f t="shared" si="7"/>
        <v>908.375</v>
      </c>
      <c r="Q11" s="73">
        <v>0</v>
      </c>
      <c r="R11" s="73">
        <v>200</v>
      </c>
      <c r="S11" s="73">
        <f t="shared" si="2"/>
        <v>200</v>
      </c>
      <c r="T11" s="72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f t="shared" si="3"/>
        <v>15915.952499999999</v>
      </c>
      <c r="AB11" s="73">
        <v>0</v>
      </c>
      <c r="AC11" s="73">
        <v>0</v>
      </c>
      <c r="AD11" s="76">
        <v>0</v>
      </c>
      <c r="AE11" s="77">
        <v>0</v>
      </c>
      <c r="AF11" s="76">
        <v>0</v>
      </c>
      <c r="AG11" s="74">
        <v>0</v>
      </c>
      <c r="AH11" s="78">
        <f t="shared" si="6"/>
        <v>15915.952499999999</v>
      </c>
      <c r="AI11" s="49" t="s">
        <v>21</v>
      </c>
      <c r="AJ11" s="49"/>
      <c r="AK11" s="79"/>
      <c r="AL11" s="80">
        <f t="shared" si="4"/>
        <v>15915.952499999999</v>
      </c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</row>
    <row r="12" spans="1:132" s="86" customFormat="1" x14ac:dyDescent="0.25">
      <c r="A12" s="71" t="s">
        <v>42</v>
      </c>
      <c r="B12" s="64">
        <f>150000+30000+50000</f>
        <v>230000</v>
      </c>
      <c r="C12" s="72">
        <f>B12</f>
        <v>230000</v>
      </c>
      <c r="D12" s="73">
        <v>0</v>
      </c>
      <c r="E12" s="73">
        <v>0</v>
      </c>
      <c r="F12" s="73">
        <v>0</v>
      </c>
      <c r="G12" s="73">
        <f t="shared" si="0"/>
        <v>230000</v>
      </c>
      <c r="H12" s="73">
        <f>900+450</f>
        <v>1350</v>
      </c>
      <c r="I12" s="74">
        <f>1900+950</f>
        <v>2850</v>
      </c>
      <c r="J12" s="73">
        <f t="shared" si="5"/>
        <v>4200</v>
      </c>
      <c r="K12" s="74">
        <v>30</v>
      </c>
      <c r="L12" s="73">
        <v>0</v>
      </c>
      <c r="M12" s="73">
        <v>0</v>
      </c>
      <c r="N12" s="73">
        <v>2500</v>
      </c>
      <c r="O12" s="73">
        <f t="shared" si="1"/>
        <v>2500</v>
      </c>
      <c r="P12" s="74">
        <f t="shared" si="7"/>
        <v>5000</v>
      </c>
      <c r="Q12" s="73">
        <f>(G12-H12-N12-R12-166667)*30%+33541.8</f>
        <v>51326.7</v>
      </c>
      <c r="R12" s="73">
        <v>200</v>
      </c>
      <c r="S12" s="73">
        <f t="shared" si="2"/>
        <v>200</v>
      </c>
      <c r="T12" s="72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f t="shared" si="3"/>
        <v>174623.3</v>
      </c>
      <c r="AB12" s="73">
        <v>0</v>
      </c>
      <c r="AC12" s="73">
        <v>0</v>
      </c>
      <c r="AD12" s="76">
        <v>0</v>
      </c>
      <c r="AE12" s="77">
        <v>0</v>
      </c>
      <c r="AF12" s="76">
        <v>0</v>
      </c>
      <c r="AG12" s="74">
        <v>0</v>
      </c>
      <c r="AH12" s="78">
        <f t="shared" si="6"/>
        <v>174623.3</v>
      </c>
      <c r="AI12" s="83">
        <f>90000+50000+90000</f>
        <v>230000</v>
      </c>
      <c r="AJ12" s="83">
        <f>230000-H12-N12-Q12-R12</f>
        <v>174623.3</v>
      </c>
      <c r="AK12" s="84">
        <f>AI12-AJ12</f>
        <v>55376.700000000012</v>
      </c>
      <c r="AL12" s="80">
        <f t="shared" si="4"/>
        <v>174623.3</v>
      </c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</row>
    <row r="13" spans="1:132" x14ac:dyDescent="0.25">
      <c r="A13" s="71" t="s">
        <v>43</v>
      </c>
      <c r="B13" s="64">
        <f>10706+10706</f>
        <v>21412</v>
      </c>
      <c r="C13" s="72">
        <f>10706+10706</f>
        <v>21412</v>
      </c>
      <c r="D13" s="73">
        <v>0</v>
      </c>
      <c r="E13" s="73">
        <v>0</v>
      </c>
      <c r="F13" s="73">
        <f>897.84+641.31</f>
        <v>1539.15</v>
      </c>
      <c r="G13" s="73">
        <f t="shared" si="0"/>
        <v>22951.15</v>
      </c>
      <c r="H13" s="73">
        <v>967.5</v>
      </c>
      <c r="I13" s="74">
        <f>1900+142.5</f>
        <v>2042.5</v>
      </c>
      <c r="J13" s="73">
        <f t="shared" si="5"/>
        <v>3010</v>
      </c>
      <c r="K13" s="74">
        <v>30</v>
      </c>
      <c r="L13" s="73">
        <v>0</v>
      </c>
      <c r="M13" s="73">
        <v>0</v>
      </c>
      <c r="N13" s="73">
        <f t="shared" ref="N13:N24" si="8">B13*5%/2</f>
        <v>535.30000000000007</v>
      </c>
      <c r="O13" s="73">
        <f t="shared" si="1"/>
        <v>535.30000000000007</v>
      </c>
      <c r="P13" s="74">
        <f t="shared" si="7"/>
        <v>1070.6000000000001</v>
      </c>
      <c r="Q13" s="75">
        <f>(G13-H13-N13-R13-20833)*15%</f>
        <v>62.302500000000322</v>
      </c>
      <c r="R13" s="73">
        <v>200</v>
      </c>
      <c r="S13" s="73">
        <f t="shared" si="2"/>
        <v>200</v>
      </c>
      <c r="T13" s="72">
        <v>3680.46</v>
      </c>
      <c r="U13" s="73">
        <v>0</v>
      </c>
      <c r="V13" s="73">
        <f>1500+1500</f>
        <v>3000</v>
      </c>
      <c r="W13" s="73">
        <v>0</v>
      </c>
      <c r="X13" s="73">
        <v>0</v>
      </c>
      <c r="Y13" s="73">
        <v>0</v>
      </c>
      <c r="Z13" s="73">
        <v>0</v>
      </c>
      <c r="AA13" s="73">
        <f t="shared" si="3"/>
        <v>14505.587500000003</v>
      </c>
      <c r="AB13" s="73">
        <f>2550+2550</f>
        <v>5100</v>
      </c>
      <c r="AC13" s="73">
        <v>0</v>
      </c>
      <c r="AD13" s="76">
        <v>0</v>
      </c>
      <c r="AE13" s="77">
        <v>0</v>
      </c>
      <c r="AF13" s="76">
        <v>0</v>
      </c>
      <c r="AG13" s="74">
        <v>0</v>
      </c>
      <c r="AH13" s="78">
        <f t="shared" si="6"/>
        <v>19605.587500000001</v>
      </c>
      <c r="AI13" s="49"/>
      <c r="AJ13" s="49"/>
      <c r="AK13" s="79"/>
      <c r="AL13" s="80">
        <f t="shared" si="4"/>
        <v>19605.587500000001</v>
      </c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</row>
    <row r="14" spans="1:132" s="87" customFormat="1" ht="13.15" customHeight="1" x14ac:dyDescent="0.2">
      <c r="A14" s="71" t="s">
        <v>170</v>
      </c>
      <c r="B14" s="72">
        <f>10000+10000</f>
        <v>20000</v>
      </c>
      <c r="C14" s="72">
        <f>6134.16-60.7+10000-1533.54-65.5-191.7</f>
        <v>14282.719999999998</v>
      </c>
      <c r="D14" s="73"/>
      <c r="E14" s="73"/>
      <c r="F14" s="73">
        <v>0</v>
      </c>
      <c r="G14" s="74">
        <f>C14+D14+E14+F14</f>
        <v>14282.719999999998</v>
      </c>
      <c r="H14" s="73">
        <v>900</v>
      </c>
      <c r="I14" s="74">
        <v>1900</v>
      </c>
      <c r="J14" s="73">
        <f t="shared" si="5"/>
        <v>2800</v>
      </c>
      <c r="K14" s="73">
        <v>30</v>
      </c>
      <c r="L14" s="73">
        <v>0</v>
      </c>
      <c r="M14" s="73">
        <v>0</v>
      </c>
      <c r="N14" s="73">
        <f t="shared" si="8"/>
        <v>500</v>
      </c>
      <c r="O14" s="73">
        <f t="shared" si="1"/>
        <v>500</v>
      </c>
      <c r="P14" s="74">
        <f t="shared" si="7"/>
        <v>1000</v>
      </c>
      <c r="Q14" s="73">
        <v>0</v>
      </c>
      <c r="R14" s="73">
        <v>200</v>
      </c>
      <c r="S14" s="73">
        <f>R14</f>
        <v>200</v>
      </c>
      <c r="T14" s="72">
        <v>0</v>
      </c>
      <c r="U14" s="76">
        <v>0</v>
      </c>
      <c r="V14" s="76">
        <v>0</v>
      </c>
      <c r="W14" s="73">
        <v>0</v>
      </c>
      <c r="X14" s="73">
        <v>0</v>
      </c>
      <c r="Y14" s="73">
        <v>0</v>
      </c>
      <c r="Z14" s="73">
        <v>0</v>
      </c>
      <c r="AA14" s="73">
        <f t="shared" si="3"/>
        <v>12682.719999999998</v>
      </c>
      <c r="AB14" s="73"/>
      <c r="AC14" s="73"/>
      <c r="AD14" s="76"/>
      <c r="AE14" s="77"/>
      <c r="AF14" s="76"/>
      <c r="AG14" s="74"/>
      <c r="AH14" s="78">
        <f t="shared" si="6"/>
        <v>12682.719999999998</v>
      </c>
      <c r="AI14" s="49"/>
      <c r="AJ14" s="49"/>
      <c r="AK14" s="79"/>
      <c r="AL14" s="8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</row>
    <row r="15" spans="1:132" ht="14.25" customHeight="1" x14ac:dyDescent="0.25">
      <c r="A15" s="71" t="s">
        <v>44</v>
      </c>
      <c r="B15" s="64">
        <f>9500+9500</f>
        <v>19000</v>
      </c>
      <c r="C15" s="72">
        <f>9500-182.1+9500</f>
        <v>18817.900000000001</v>
      </c>
      <c r="D15" s="73">
        <v>0</v>
      </c>
      <c r="E15" s="73">
        <v>0</v>
      </c>
      <c r="F15" s="73">
        <v>0</v>
      </c>
      <c r="G15" s="73">
        <f t="shared" si="0"/>
        <v>18817.900000000001</v>
      </c>
      <c r="H15" s="73">
        <v>855</v>
      </c>
      <c r="I15" s="74">
        <v>1805</v>
      </c>
      <c r="J15" s="73">
        <f t="shared" si="5"/>
        <v>2660</v>
      </c>
      <c r="K15" s="73">
        <v>30</v>
      </c>
      <c r="L15" s="73">
        <v>1753.51</v>
      </c>
      <c r="M15" s="73">
        <v>0</v>
      </c>
      <c r="N15" s="73">
        <f t="shared" si="8"/>
        <v>475</v>
      </c>
      <c r="O15" s="73">
        <f t="shared" si="1"/>
        <v>475</v>
      </c>
      <c r="P15" s="74">
        <f t="shared" si="7"/>
        <v>950</v>
      </c>
      <c r="Q15" s="73">
        <v>0</v>
      </c>
      <c r="R15" s="73">
        <v>200</v>
      </c>
      <c r="S15" s="73">
        <f t="shared" si="2"/>
        <v>200</v>
      </c>
      <c r="T15" s="72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f t="shared" si="3"/>
        <v>15534.390000000003</v>
      </c>
      <c r="AB15" s="73">
        <f>3100+3100</f>
        <v>6200</v>
      </c>
      <c r="AC15" s="73">
        <v>0</v>
      </c>
      <c r="AD15" s="76">
        <v>0</v>
      </c>
      <c r="AE15" s="77">
        <v>0</v>
      </c>
      <c r="AF15" s="76">
        <v>0</v>
      </c>
      <c r="AG15" s="74">
        <v>0</v>
      </c>
      <c r="AH15" s="78">
        <f t="shared" si="6"/>
        <v>21734.390000000003</v>
      </c>
      <c r="AI15" s="49"/>
      <c r="AJ15" s="49"/>
      <c r="AK15" s="79"/>
      <c r="AL15" s="80">
        <f t="shared" si="4"/>
        <v>21734.39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</row>
    <row r="16" spans="1:132" ht="14.25" customHeight="1" x14ac:dyDescent="0.25">
      <c r="A16" s="71" t="s">
        <v>45</v>
      </c>
      <c r="B16" s="64">
        <f>7585+7585</f>
        <v>15170</v>
      </c>
      <c r="C16" s="72">
        <f>7585-16.96-581.6+7585-201.14</f>
        <v>14370.3</v>
      </c>
      <c r="D16" s="73">
        <v>0</v>
      </c>
      <c r="E16" s="73">
        <v>581.6</v>
      </c>
      <c r="F16" s="73">
        <v>545.25</v>
      </c>
      <c r="G16" s="73">
        <f t="shared" si="0"/>
        <v>15497.15</v>
      </c>
      <c r="H16" s="73">
        <v>675</v>
      </c>
      <c r="I16" s="74">
        <v>1425</v>
      </c>
      <c r="J16" s="73">
        <f t="shared" si="5"/>
        <v>2100</v>
      </c>
      <c r="K16" s="74">
        <v>30</v>
      </c>
      <c r="L16" s="73">
        <v>1384.35</v>
      </c>
      <c r="M16" s="73">
        <v>0</v>
      </c>
      <c r="N16" s="73">
        <f t="shared" si="8"/>
        <v>379.25</v>
      </c>
      <c r="O16" s="73">
        <f t="shared" si="1"/>
        <v>379.25</v>
      </c>
      <c r="P16" s="74">
        <f t="shared" si="7"/>
        <v>758.5</v>
      </c>
      <c r="Q16" s="73">
        <v>0</v>
      </c>
      <c r="R16" s="73">
        <v>200</v>
      </c>
      <c r="S16" s="73">
        <f t="shared" si="2"/>
        <v>200</v>
      </c>
      <c r="T16" s="73">
        <v>0</v>
      </c>
      <c r="U16" s="73">
        <v>0</v>
      </c>
      <c r="V16" s="88">
        <f>1000+1000</f>
        <v>2000</v>
      </c>
      <c r="W16" s="73">
        <v>0</v>
      </c>
      <c r="X16" s="73">
        <v>0</v>
      </c>
      <c r="Y16" s="73">
        <v>0</v>
      </c>
      <c r="Z16" s="73">
        <v>0</v>
      </c>
      <c r="AA16" s="73">
        <f t="shared" si="3"/>
        <v>10858.55</v>
      </c>
      <c r="AB16" s="73">
        <v>0</v>
      </c>
      <c r="AC16" s="73">
        <v>0</v>
      </c>
      <c r="AD16" s="76">
        <v>0</v>
      </c>
      <c r="AE16" s="77">
        <v>0</v>
      </c>
      <c r="AF16" s="76">
        <v>0</v>
      </c>
      <c r="AG16" s="74">
        <v>0</v>
      </c>
      <c r="AH16" s="78">
        <f t="shared" si="6"/>
        <v>10858.55</v>
      </c>
      <c r="AI16" s="49"/>
      <c r="AJ16" s="49"/>
      <c r="AK16" s="79"/>
      <c r="AL16" s="80">
        <f t="shared" si="4"/>
        <v>10858.55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</row>
    <row r="17" spans="1:132" x14ac:dyDescent="0.25">
      <c r="A17" s="71" t="s">
        <v>46</v>
      </c>
      <c r="B17" s="89">
        <f>12568.5+12568.5</f>
        <v>25137</v>
      </c>
      <c r="C17" s="72">
        <f>12568.5-112.43+12568.5-20.08</f>
        <v>25004.489999999998</v>
      </c>
      <c r="D17" s="73">
        <v>0</v>
      </c>
      <c r="E17" s="73">
        <v>0</v>
      </c>
      <c r="F17" s="73">
        <v>0</v>
      </c>
      <c r="G17" s="73">
        <f t="shared" si="0"/>
        <v>25004.489999999998</v>
      </c>
      <c r="H17" s="73">
        <v>1125</v>
      </c>
      <c r="I17" s="74">
        <f>1900+475</f>
        <v>2375</v>
      </c>
      <c r="J17" s="73">
        <f t="shared" si="5"/>
        <v>3500</v>
      </c>
      <c r="K17" s="73">
        <v>30</v>
      </c>
      <c r="L17" s="73">
        <v>1845.8</v>
      </c>
      <c r="M17" s="73">
        <v>0</v>
      </c>
      <c r="N17" s="73">
        <f t="shared" si="8"/>
        <v>628.42500000000007</v>
      </c>
      <c r="O17" s="73">
        <f>N17</f>
        <v>628.42500000000007</v>
      </c>
      <c r="P17" s="74">
        <f>N17+O17+0.01</f>
        <v>1256.8600000000001</v>
      </c>
      <c r="Q17" s="75">
        <f>(G17-H17-N17-R17-20833)*15%</f>
        <v>332.70974999999981</v>
      </c>
      <c r="R17" s="73">
        <v>200</v>
      </c>
      <c r="S17" s="73">
        <f t="shared" si="2"/>
        <v>200</v>
      </c>
      <c r="T17" s="72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f t="shared" si="3"/>
        <v>20872.555250000001</v>
      </c>
      <c r="AB17" s="73">
        <v>0</v>
      </c>
      <c r="AC17" s="73">
        <v>0</v>
      </c>
      <c r="AD17" s="76">
        <v>0</v>
      </c>
      <c r="AE17" s="77">
        <v>0</v>
      </c>
      <c r="AF17" s="76">
        <v>0</v>
      </c>
      <c r="AG17" s="74">
        <v>0</v>
      </c>
      <c r="AH17" s="78">
        <f t="shared" si="6"/>
        <v>20872.555250000001</v>
      </c>
      <c r="AI17" s="90"/>
      <c r="AJ17" s="49"/>
      <c r="AK17" s="79"/>
      <c r="AL17" s="80">
        <f t="shared" si="4"/>
        <v>20872.555250000001</v>
      </c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</row>
    <row r="18" spans="1:132" x14ac:dyDescent="0.25">
      <c r="A18" s="71" t="s">
        <v>47</v>
      </c>
      <c r="B18" s="64">
        <f>9646+9646</f>
        <v>19292</v>
      </c>
      <c r="C18" s="72">
        <f>9646-93.99-1479.26+9646-1479.26</f>
        <v>16239.49</v>
      </c>
      <c r="D18" s="73">
        <v>0</v>
      </c>
      <c r="E18" s="73">
        <v>0</v>
      </c>
      <c r="F18" s="73">
        <f>577.81+924.5</f>
        <v>1502.31</v>
      </c>
      <c r="G18" s="73">
        <f t="shared" si="0"/>
        <v>17741.8</v>
      </c>
      <c r="H18" s="74">
        <v>877.5</v>
      </c>
      <c r="I18" s="74">
        <v>1852.5</v>
      </c>
      <c r="J18" s="73">
        <f t="shared" si="5"/>
        <v>2730</v>
      </c>
      <c r="K18" s="74">
        <v>30</v>
      </c>
      <c r="L18" s="73">
        <v>1799.65</v>
      </c>
      <c r="M18" s="73">
        <v>0</v>
      </c>
      <c r="N18" s="73">
        <f t="shared" si="8"/>
        <v>482.3</v>
      </c>
      <c r="O18" s="73">
        <f t="shared" si="1"/>
        <v>482.3</v>
      </c>
      <c r="P18" s="74">
        <f t="shared" ref="P18:P34" si="9">N18+O18</f>
        <v>964.6</v>
      </c>
      <c r="Q18" s="73">
        <v>0</v>
      </c>
      <c r="R18" s="73">
        <v>200</v>
      </c>
      <c r="S18" s="73">
        <f t="shared" si="2"/>
        <v>200</v>
      </c>
      <c r="T18" s="72">
        <f>1717.05</f>
        <v>1717.05</v>
      </c>
      <c r="U18" s="73">
        <v>0</v>
      </c>
      <c r="V18" s="73">
        <v>2000</v>
      </c>
      <c r="W18" s="73">
        <v>0</v>
      </c>
      <c r="X18" s="73">
        <v>0</v>
      </c>
      <c r="Y18" s="73">
        <v>0</v>
      </c>
      <c r="Z18" s="73">
        <v>0</v>
      </c>
      <c r="AA18" s="73">
        <f t="shared" si="3"/>
        <v>10665.300000000001</v>
      </c>
      <c r="AB18" s="73">
        <f>2300-352.72+2300-352.72</f>
        <v>3894.5599999999995</v>
      </c>
      <c r="AC18" s="73">
        <v>0</v>
      </c>
      <c r="AD18" s="76">
        <v>0</v>
      </c>
      <c r="AE18" s="77">
        <v>0</v>
      </c>
      <c r="AF18" s="76">
        <v>0</v>
      </c>
      <c r="AG18" s="74">
        <v>0</v>
      </c>
      <c r="AH18" s="78">
        <f t="shared" si="6"/>
        <v>14559.86</v>
      </c>
      <c r="AI18" s="49"/>
      <c r="AJ18" s="49"/>
      <c r="AK18" s="79"/>
      <c r="AL18" s="80">
        <f t="shared" si="4"/>
        <v>14559.86</v>
      </c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</row>
    <row r="19" spans="1:132" x14ac:dyDescent="0.25">
      <c r="A19" s="71" t="s">
        <v>48</v>
      </c>
      <c r="B19" s="64">
        <f>35000+35000</f>
        <v>70000</v>
      </c>
      <c r="C19" s="72">
        <f>35000-749.19-2683.71+35000-396.96</f>
        <v>66170.14</v>
      </c>
      <c r="D19" s="73">
        <v>0</v>
      </c>
      <c r="E19" s="73">
        <v>2683.71</v>
      </c>
      <c r="F19" s="73">
        <f>16.77</f>
        <v>16.77</v>
      </c>
      <c r="G19" s="73">
        <f t="shared" si="0"/>
        <v>68870.62000000001</v>
      </c>
      <c r="H19" s="73">
        <v>1350</v>
      </c>
      <c r="I19" s="74">
        <v>2850</v>
      </c>
      <c r="J19" s="73">
        <f t="shared" si="5"/>
        <v>4200</v>
      </c>
      <c r="K19" s="74">
        <v>30</v>
      </c>
      <c r="L19" s="73">
        <v>1845.8</v>
      </c>
      <c r="M19" s="73">
        <v>0</v>
      </c>
      <c r="N19" s="73">
        <f t="shared" si="8"/>
        <v>1750</v>
      </c>
      <c r="O19" s="73">
        <f t="shared" si="1"/>
        <v>1750</v>
      </c>
      <c r="P19" s="74">
        <f t="shared" si="9"/>
        <v>3500</v>
      </c>
      <c r="Q19" s="73">
        <f>(G19-H19-N19-R19-33333)*20%+1875</f>
        <v>8322.5240000000013</v>
      </c>
      <c r="R19" s="73">
        <v>200</v>
      </c>
      <c r="S19" s="73">
        <f t="shared" si="2"/>
        <v>200</v>
      </c>
      <c r="T19" s="73">
        <v>3826.05</v>
      </c>
      <c r="U19" s="73">
        <v>0</v>
      </c>
      <c r="V19" s="73">
        <v>0</v>
      </c>
      <c r="W19" s="73">
        <f>10000+8157.16</f>
        <v>18157.16</v>
      </c>
      <c r="X19" s="73">
        <v>0</v>
      </c>
      <c r="Y19" s="73">
        <v>0</v>
      </c>
      <c r="Z19" s="73">
        <v>0</v>
      </c>
      <c r="AA19" s="73">
        <f t="shared" si="3"/>
        <v>33419.085999999996</v>
      </c>
      <c r="AB19" s="73">
        <v>0</v>
      </c>
      <c r="AC19" s="73">
        <v>0</v>
      </c>
      <c r="AD19" s="76">
        <f>1000+1000</f>
        <v>2000</v>
      </c>
      <c r="AE19" s="77">
        <v>0</v>
      </c>
      <c r="AF19" s="76">
        <v>0</v>
      </c>
      <c r="AG19" s="74">
        <v>0</v>
      </c>
      <c r="AH19" s="78">
        <f t="shared" si="6"/>
        <v>35419.085999999996</v>
      </c>
      <c r="AI19" s="49"/>
      <c r="AJ19" s="49"/>
      <c r="AK19" s="79"/>
      <c r="AL19" s="80">
        <f t="shared" si="4"/>
        <v>35419.085999999996</v>
      </c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</row>
    <row r="20" spans="1:132" x14ac:dyDescent="0.25">
      <c r="A20" s="71" t="s">
        <v>49</v>
      </c>
      <c r="B20" s="64">
        <f>7040+7040</f>
        <v>14080</v>
      </c>
      <c r="C20" s="72">
        <f>7040-122.59-134.96+7040-10.12</f>
        <v>13812.33</v>
      </c>
      <c r="D20" s="73">
        <v>0</v>
      </c>
      <c r="E20" s="73">
        <v>0</v>
      </c>
      <c r="F20" s="73">
        <f>506.1+506.1</f>
        <v>1012.2</v>
      </c>
      <c r="G20" s="73">
        <f t="shared" si="0"/>
        <v>14824.53</v>
      </c>
      <c r="H20" s="73">
        <v>630</v>
      </c>
      <c r="I20" s="74">
        <v>1330</v>
      </c>
      <c r="J20" s="73">
        <f t="shared" si="5"/>
        <v>1960</v>
      </c>
      <c r="K20" s="74">
        <v>10</v>
      </c>
      <c r="L20" s="73">
        <v>1292.06</v>
      </c>
      <c r="M20" s="73">
        <v>0</v>
      </c>
      <c r="N20" s="73">
        <f t="shared" si="8"/>
        <v>352</v>
      </c>
      <c r="O20" s="73">
        <f t="shared" si="1"/>
        <v>352</v>
      </c>
      <c r="P20" s="74">
        <f t="shared" si="9"/>
        <v>704</v>
      </c>
      <c r="Q20" s="73">
        <v>0</v>
      </c>
      <c r="R20" s="73">
        <v>200</v>
      </c>
      <c r="S20" s="73">
        <f t="shared" si="2"/>
        <v>200</v>
      </c>
      <c r="T20" s="72">
        <v>814.55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f t="shared" si="3"/>
        <v>11535.920000000002</v>
      </c>
      <c r="AB20" s="73">
        <v>0</v>
      </c>
      <c r="AC20" s="73">
        <v>0</v>
      </c>
      <c r="AD20" s="76">
        <v>0</v>
      </c>
      <c r="AE20" s="77">
        <v>0</v>
      </c>
      <c r="AF20" s="76">
        <v>0</v>
      </c>
      <c r="AG20" s="74">
        <v>0</v>
      </c>
      <c r="AH20" s="78">
        <f t="shared" si="6"/>
        <v>11535.920000000002</v>
      </c>
      <c r="AI20" s="90" t="s">
        <v>21</v>
      </c>
      <c r="AJ20" s="49"/>
      <c r="AK20" s="79"/>
      <c r="AL20" s="80">
        <f t="shared" si="4"/>
        <v>11535.920000000002</v>
      </c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</row>
    <row r="21" spans="1:132" x14ac:dyDescent="0.25">
      <c r="A21" s="71" t="s">
        <v>50</v>
      </c>
      <c r="B21" s="64">
        <f>10570+10570</f>
        <v>21140</v>
      </c>
      <c r="C21" s="72">
        <f>10570-192.49-101.31+10570-405.24-104.69</f>
        <v>20336.27</v>
      </c>
      <c r="D21" s="73">
        <v>0</v>
      </c>
      <c r="E21" s="73">
        <v>0</v>
      </c>
      <c r="F21" s="73">
        <v>0</v>
      </c>
      <c r="G21" s="73">
        <f t="shared" si="0"/>
        <v>20336.27</v>
      </c>
      <c r="H21" s="73">
        <v>945</v>
      </c>
      <c r="I21" s="74">
        <f>1900+95</f>
        <v>1995</v>
      </c>
      <c r="J21" s="73">
        <f t="shared" si="5"/>
        <v>2940</v>
      </c>
      <c r="K21" s="74">
        <v>30</v>
      </c>
      <c r="L21" s="73">
        <v>1845.8</v>
      </c>
      <c r="M21" s="73">
        <f>0</f>
        <v>0</v>
      </c>
      <c r="N21" s="73">
        <f t="shared" si="8"/>
        <v>528.5</v>
      </c>
      <c r="O21" s="73">
        <f t="shared" si="1"/>
        <v>528.5</v>
      </c>
      <c r="P21" s="74">
        <f t="shared" si="9"/>
        <v>1057</v>
      </c>
      <c r="Q21" s="74">
        <v>0</v>
      </c>
      <c r="R21" s="73">
        <v>200</v>
      </c>
      <c r="S21" s="73">
        <f t="shared" si="2"/>
        <v>200</v>
      </c>
      <c r="T21" s="72">
        <v>1611.71</v>
      </c>
      <c r="U21" s="73">
        <v>0</v>
      </c>
      <c r="V21" s="73">
        <f>1000+1000</f>
        <v>2000</v>
      </c>
      <c r="W21" s="73">
        <v>0</v>
      </c>
      <c r="X21" s="73">
        <v>0</v>
      </c>
      <c r="Y21" s="73">
        <v>0</v>
      </c>
      <c r="Z21" s="73">
        <v>0</v>
      </c>
      <c r="AA21" s="73">
        <f t="shared" si="3"/>
        <v>13205.260000000002</v>
      </c>
      <c r="AB21" s="73">
        <v>0</v>
      </c>
      <c r="AC21" s="73">
        <v>0</v>
      </c>
      <c r="AD21" s="76">
        <v>0</v>
      </c>
      <c r="AE21" s="77">
        <v>0</v>
      </c>
      <c r="AF21" s="76">
        <v>0</v>
      </c>
      <c r="AG21" s="74">
        <v>0</v>
      </c>
      <c r="AH21" s="78">
        <f t="shared" si="6"/>
        <v>13205.260000000002</v>
      </c>
      <c r="AI21" s="49"/>
      <c r="AJ21" s="49"/>
      <c r="AK21" s="79"/>
      <c r="AL21" s="80">
        <f t="shared" si="4"/>
        <v>13205.260000000002</v>
      </c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</row>
    <row r="22" spans="1:132" s="87" customFormat="1" ht="13.15" customHeight="1" x14ac:dyDescent="0.2">
      <c r="A22" s="71" t="s">
        <v>51</v>
      </c>
      <c r="B22" s="64">
        <f>8382+8382</f>
        <v>16764</v>
      </c>
      <c r="C22" s="72">
        <f>8382-12.05+8382-4.02</f>
        <v>16747.93</v>
      </c>
      <c r="D22" s="73">
        <v>0</v>
      </c>
      <c r="E22" s="73">
        <v>0</v>
      </c>
      <c r="F22" s="73">
        <f>2159.14+954.04</f>
        <v>3113.18</v>
      </c>
      <c r="G22" s="74">
        <f t="shared" si="0"/>
        <v>19861.11</v>
      </c>
      <c r="H22" s="73">
        <v>765</v>
      </c>
      <c r="I22" s="74">
        <v>1615</v>
      </c>
      <c r="J22" s="73">
        <f t="shared" si="5"/>
        <v>2380</v>
      </c>
      <c r="K22" s="74">
        <v>30</v>
      </c>
      <c r="L22" s="73">
        <v>1522.78</v>
      </c>
      <c r="M22" s="73">
        <v>0</v>
      </c>
      <c r="N22" s="73">
        <f t="shared" si="8"/>
        <v>419.1</v>
      </c>
      <c r="O22" s="73">
        <f t="shared" si="1"/>
        <v>419.1</v>
      </c>
      <c r="P22" s="74">
        <f t="shared" si="9"/>
        <v>838.2</v>
      </c>
      <c r="Q22" s="73">
        <v>0</v>
      </c>
      <c r="R22" s="73">
        <v>200</v>
      </c>
      <c r="S22" s="74">
        <f t="shared" si="2"/>
        <v>200</v>
      </c>
      <c r="T22" s="72">
        <v>1748.92</v>
      </c>
      <c r="U22" s="77">
        <v>0</v>
      </c>
      <c r="V22" s="77">
        <f>1000+1000</f>
        <v>2000</v>
      </c>
      <c r="W22" s="73">
        <v>0</v>
      </c>
      <c r="X22" s="73">
        <v>0</v>
      </c>
      <c r="Y22" s="73">
        <v>0</v>
      </c>
      <c r="Z22" s="73">
        <v>0</v>
      </c>
      <c r="AA22" s="73">
        <f t="shared" si="3"/>
        <v>13205.310000000003</v>
      </c>
      <c r="AB22" s="73">
        <v>0</v>
      </c>
      <c r="AC22" s="73">
        <v>0</v>
      </c>
      <c r="AD22" s="76">
        <v>0</v>
      </c>
      <c r="AE22" s="77">
        <v>0</v>
      </c>
      <c r="AF22" s="76">
        <v>0</v>
      </c>
      <c r="AG22" s="74">
        <v>0</v>
      </c>
      <c r="AH22" s="78">
        <f t="shared" si="6"/>
        <v>13205.310000000003</v>
      </c>
      <c r="AI22" s="49"/>
      <c r="AJ22" s="49"/>
      <c r="AK22" s="79"/>
      <c r="AL22" s="80">
        <f t="shared" si="4"/>
        <v>13205.310000000003</v>
      </c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</row>
    <row r="23" spans="1:132" s="87" customFormat="1" ht="13.15" customHeight="1" x14ac:dyDescent="0.2">
      <c r="A23" s="71" t="s">
        <v>171</v>
      </c>
      <c r="B23" s="64">
        <f>7500+7500</f>
        <v>15000</v>
      </c>
      <c r="C23" s="72">
        <f>7500-1437.7+7500-575.08</f>
        <v>12987.22</v>
      </c>
      <c r="D23" s="73"/>
      <c r="E23" s="73"/>
      <c r="F23" s="73">
        <v>2300.3200000000002</v>
      </c>
      <c r="G23" s="74">
        <f t="shared" si="0"/>
        <v>15287.539999999999</v>
      </c>
      <c r="H23" s="73">
        <v>675</v>
      </c>
      <c r="I23" s="74">
        <v>1425</v>
      </c>
      <c r="J23" s="73">
        <f t="shared" si="5"/>
        <v>2100</v>
      </c>
      <c r="K23" s="74">
        <v>30</v>
      </c>
      <c r="L23" s="73">
        <v>0</v>
      </c>
      <c r="M23" s="73">
        <v>0</v>
      </c>
      <c r="N23" s="73">
        <f>B23*5%/2</f>
        <v>375</v>
      </c>
      <c r="O23" s="73">
        <f>N23</f>
        <v>375</v>
      </c>
      <c r="P23" s="74">
        <f>N23+O23</f>
        <v>750</v>
      </c>
      <c r="Q23" s="73">
        <v>0</v>
      </c>
      <c r="R23" s="73">
        <v>200</v>
      </c>
      <c r="S23" s="73">
        <f t="shared" si="2"/>
        <v>200</v>
      </c>
      <c r="T23" s="72">
        <v>0</v>
      </c>
      <c r="U23" s="76">
        <v>0</v>
      </c>
      <c r="V23" s="76">
        <v>0</v>
      </c>
      <c r="W23" s="73">
        <v>0</v>
      </c>
      <c r="X23" s="73">
        <v>0</v>
      </c>
      <c r="Y23" s="73">
        <v>0</v>
      </c>
      <c r="Z23" s="73">
        <v>0</v>
      </c>
      <c r="AA23" s="73">
        <f t="shared" si="3"/>
        <v>14037.539999999999</v>
      </c>
      <c r="AB23" s="73"/>
      <c r="AC23" s="73"/>
      <c r="AD23" s="76"/>
      <c r="AE23" s="77"/>
      <c r="AF23" s="76"/>
      <c r="AG23" s="74"/>
      <c r="AH23" s="78">
        <f t="shared" si="6"/>
        <v>14037.539999999999</v>
      </c>
      <c r="AI23" s="49"/>
      <c r="AJ23" s="49"/>
      <c r="AK23" s="79"/>
      <c r="AL23" s="8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</row>
    <row r="24" spans="1:132" x14ac:dyDescent="0.25">
      <c r="A24" s="71" t="s">
        <v>52</v>
      </c>
      <c r="B24" s="64">
        <f>11260+11260</f>
        <v>22520</v>
      </c>
      <c r="C24" s="72">
        <f>11260-5.4+11260-17.99</f>
        <v>22496.609999999997</v>
      </c>
      <c r="D24" s="73">
        <v>0</v>
      </c>
      <c r="E24" s="73">
        <v>0</v>
      </c>
      <c r="F24" s="73">
        <f>1146.65+809.4</f>
        <v>1956.0500000000002</v>
      </c>
      <c r="G24" s="73">
        <f t="shared" si="0"/>
        <v>24452.659999999996</v>
      </c>
      <c r="H24" s="73">
        <f>900+112.5</f>
        <v>1012.5</v>
      </c>
      <c r="I24" s="74">
        <f>1900+237.5</f>
        <v>2137.5</v>
      </c>
      <c r="J24" s="73">
        <f t="shared" si="5"/>
        <v>3150</v>
      </c>
      <c r="K24" s="74">
        <v>30</v>
      </c>
      <c r="L24" s="73">
        <v>1845.8</v>
      </c>
      <c r="M24" s="73">
        <v>0</v>
      </c>
      <c r="N24" s="73">
        <f t="shared" si="8"/>
        <v>563</v>
      </c>
      <c r="O24" s="73">
        <f t="shared" si="1"/>
        <v>563</v>
      </c>
      <c r="P24" s="74">
        <f t="shared" si="9"/>
        <v>1126</v>
      </c>
      <c r="Q24" s="73">
        <f>(G24-H24-N24-R24-20833)*15%</f>
        <v>276.6239999999994</v>
      </c>
      <c r="R24" s="73">
        <v>200</v>
      </c>
      <c r="S24" s="73">
        <f t="shared" si="2"/>
        <v>200</v>
      </c>
      <c r="T24" s="72">
        <v>1417</v>
      </c>
      <c r="U24" s="73">
        <v>0</v>
      </c>
      <c r="V24" s="73">
        <v>0</v>
      </c>
      <c r="W24" s="73">
        <v>0</v>
      </c>
      <c r="X24" s="73">
        <v>0</v>
      </c>
      <c r="Y24" s="73">
        <v>0</v>
      </c>
      <c r="Z24" s="73">
        <v>0</v>
      </c>
      <c r="AA24" s="73">
        <f t="shared" si="3"/>
        <v>19137.735999999997</v>
      </c>
      <c r="AB24" s="73">
        <f>1900+1900</f>
        <v>3800</v>
      </c>
      <c r="AC24" s="73">
        <v>0</v>
      </c>
      <c r="AD24" s="76">
        <v>0</v>
      </c>
      <c r="AE24" s="77">
        <v>0</v>
      </c>
      <c r="AF24" s="76">
        <v>0</v>
      </c>
      <c r="AG24" s="74">
        <v>0</v>
      </c>
      <c r="AH24" s="78">
        <f t="shared" si="6"/>
        <v>22937.735999999997</v>
      </c>
      <c r="AI24" s="49" t="s">
        <v>21</v>
      </c>
      <c r="AJ24" s="49"/>
      <c r="AK24" s="79"/>
      <c r="AL24" s="80">
        <f t="shared" si="4"/>
        <v>22937.735999999997</v>
      </c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</row>
    <row r="25" spans="1:132" s="86" customFormat="1" x14ac:dyDescent="0.25">
      <c r="A25" s="71" t="s">
        <v>53</v>
      </c>
      <c r="B25" s="64">
        <f>62500+62500</f>
        <v>125000</v>
      </c>
      <c r="C25" s="72">
        <f>B25</f>
        <v>125000</v>
      </c>
      <c r="D25" s="73">
        <v>0</v>
      </c>
      <c r="E25" s="73">
        <v>0</v>
      </c>
      <c r="F25" s="73">
        <v>0</v>
      </c>
      <c r="G25" s="73">
        <f t="shared" si="0"/>
        <v>125000</v>
      </c>
      <c r="H25" s="73">
        <f>900+450</f>
        <v>1350</v>
      </c>
      <c r="I25" s="74">
        <f>1900+950</f>
        <v>2850</v>
      </c>
      <c r="J25" s="73">
        <f t="shared" si="5"/>
        <v>4200</v>
      </c>
      <c r="K25" s="74">
        <v>30</v>
      </c>
      <c r="L25" s="73">
        <v>0</v>
      </c>
      <c r="M25" s="73">
        <v>0</v>
      </c>
      <c r="N25" s="73">
        <f>5000/2</f>
        <v>2500</v>
      </c>
      <c r="O25" s="73">
        <f t="shared" si="1"/>
        <v>2500</v>
      </c>
      <c r="P25" s="74">
        <f t="shared" si="9"/>
        <v>5000</v>
      </c>
      <c r="Q25" s="73">
        <f>(G25-H25-N25-R25-66667)*25%+8541.8</f>
        <v>22112.55</v>
      </c>
      <c r="R25" s="73">
        <v>200</v>
      </c>
      <c r="S25" s="73">
        <f t="shared" si="2"/>
        <v>200</v>
      </c>
      <c r="T25" s="72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f t="shared" si="3"/>
        <v>98837.45</v>
      </c>
      <c r="AB25" s="73">
        <v>0</v>
      </c>
      <c r="AC25" s="73">
        <v>0</v>
      </c>
      <c r="AD25" s="76">
        <v>0</v>
      </c>
      <c r="AE25" s="77">
        <v>0</v>
      </c>
      <c r="AF25" s="76">
        <v>0</v>
      </c>
      <c r="AG25" s="74">
        <v>0</v>
      </c>
      <c r="AH25" s="78">
        <f t="shared" si="6"/>
        <v>98837.45</v>
      </c>
      <c r="AI25" s="83">
        <v>62500</v>
      </c>
      <c r="AJ25" s="83">
        <f>62500-H25-N25-Q25-R25</f>
        <v>36337.449999999997</v>
      </c>
      <c r="AK25" s="84">
        <f>AI25+AJ25</f>
        <v>98837.45</v>
      </c>
      <c r="AL25" s="80">
        <f t="shared" si="4"/>
        <v>98837.45</v>
      </c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</row>
    <row r="26" spans="1:132" s="86" customFormat="1" x14ac:dyDescent="0.25">
      <c r="A26" s="91" t="s">
        <v>54</v>
      </c>
      <c r="B26" s="64">
        <f>150000+30000+50000</f>
        <v>230000</v>
      </c>
      <c r="C26" s="72">
        <f>B26</f>
        <v>230000</v>
      </c>
      <c r="D26" s="73">
        <v>0</v>
      </c>
      <c r="E26" s="73">
        <v>0</v>
      </c>
      <c r="F26" s="73">
        <v>0</v>
      </c>
      <c r="G26" s="73">
        <f t="shared" si="0"/>
        <v>230000</v>
      </c>
      <c r="H26" s="73">
        <f>900+450</f>
        <v>1350</v>
      </c>
      <c r="I26" s="74">
        <f>1900+950</f>
        <v>2850</v>
      </c>
      <c r="J26" s="73">
        <f t="shared" si="5"/>
        <v>4200</v>
      </c>
      <c r="K26" s="74">
        <v>30</v>
      </c>
      <c r="L26" s="73">
        <v>0</v>
      </c>
      <c r="M26" s="73">
        <v>0</v>
      </c>
      <c r="N26" s="73">
        <f>5000/2</f>
        <v>2500</v>
      </c>
      <c r="O26" s="73">
        <f t="shared" si="1"/>
        <v>2500</v>
      </c>
      <c r="P26" s="74">
        <f t="shared" si="9"/>
        <v>5000</v>
      </c>
      <c r="Q26" s="73">
        <f>(G26-H26-N26-R26-166667)*30%+33541.8</f>
        <v>51326.7</v>
      </c>
      <c r="R26" s="73">
        <v>200</v>
      </c>
      <c r="S26" s="73">
        <f t="shared" si="2"/>
        <v>200</v>
      </c>
      <c r="T26" s="72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73">
        <f t="shared" si="3"/>
        <v>174623.3</v>
      </c>
      <c r="AB26" s="73">
        <v>0</v>
      </c>
      <c r="AC26" s="73">
        <v>0</v>
      </c>
      <c r="AD26" s="76">
        <v>0</v>
      </c>
      <c r="AE26" s="77">
        <v>0</v>
      </c>
      <c r="AF26" s="76">
        <v>0</v>
      </c>
      <c r="AG26" s="74">
        <v>0</v>
      </c>
      <c r="AH26" s="78">
        <f t="shared" si="6"/>
        <v>174623.3</v>
      </c>
      <c r="AI26" s="83">
        <f>90000+50000+90000</f>
        <v>230000</v>
      </c>
      <c r="AJ26" s="83">
        <f>230000-H26-N26-Q26-R26</f>
        <v>174623.3</v>
      </c>
      <c r="AK26" s="84">
        <f>AI26-AJ26</f>
        <v>55376.700000000012</v>
      </c>
      <c r="AL26" s="80">
        <f t="shared" si="4"/>
        <v>174623.3</v>
      </c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</row>
    <row r="27" spans="1:132" s="86" customFormat="1" x14ac:dyDescent="0.25">
      <c r="A27" s="71" t="s">
        <v>55</v>
      </c>
      <c r="B27" s="64">
        <f>8750+8750</f>
        <v>17500</v>
      </c>
      <c r="C27" s="72">
        <f>8750+8750</f>
        <v>17500</v>
      </c>
      <c r="D27" s="73">
        <v>0</v>
      </c>
      <c r="E27" s="73">
        <v>0</v>
      </c>
      <c r="F27" s="73">
        <f>1677.4+943.54</f>
        <v>2620.94</v>
      </c>
      <c r="G27" s="73">
        <f t="shared" si="0"/>
        <v>20120.939999999999</v>
      </c>
      <c r="H27" s="73">
        <v>787.5</v>
      </c>
      <c r="I27" s="74">
        <v>1662.5</v>
      </c>
      <c r="J27" s="73">
        <f t="shared" si="5"/>
        <v>2450</v>
      </c>
      <c r="K27" s="73">
        <v>30</v>
      </c>
      <c r="L27" s="73">
        <v>0</v>
      </c>
      <c r="M27" s="73">
        <v>0</v>
      </c>
      <c r="N27" s="73">
        <f t="shared" ref="N27:N34" si="10">B27*5%/2</f>
        <v>437.5</v>
      </c>
      <c r="O27" s="73">
        <f t="shared" si="1"/>
        <v>437.5</v>
      </c>
      <c r="P27" s="74">
        <f t="shared" si="9"/>
        <v>875</v>
      </c>
      <c r="Q27" s="88">
        <v>0</v>
      </c>
      <c r="R27" s="73">
        <v>200</v>
      </c>
      <c r="S27" s="73">
        <f t="shared" si="2"/>
        <v>200</v>
      </c>
      <c r="T27" s="72">
        <v>0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0</v>
      </c>
      <c r="AA27" s="73">
        <f t="shared" si="3"/>
        <v>18695.939999999999</v>
      </c>
      <c r="AB27" s="73">
        <v>0</v>
      </c>
      <c r="AC27" s="73">
        <v>0</v>
      </c>
      <c r="AD27" s="76">
        <v>0</v>
      </c>
      <c r="AE27" s="77">
        <v>0</v>
      </c>
      <c r="AF27" s="76">
        <v>0</v>
      </c>
      <c r="AG27" s="74">
        <v>0</v>
      </c>
      <c r="AH27" s="78">
        <f t="shared" si="6"/>
        <v>18695.939999999999</v>
      </c>
      <c r="AI27" s="83"/>
      <c r="AJ27" s="83"/>
      <c r="AK27" s="84"/>
      <c r="AL27" s="80">
        <f t="shared" si="4"/>
        <v>18695.939999999999</v>
      </c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</row>
    <row r="28" spans="1:132" x14ac:dyDescent="0.25">
      <c r="A28" s="71" t="s">
        <v>56</v>
      </c>
      <c r="B28" s="64">
        <f>12355+12355</f>
        <v>24710</v>
      </c>
      <c r="C28" s="72">
        <f>12355-1.97+12355</f>
        <v>24708.03</v>
      </c>
      <c r="D28" s="73">
        <v>0</v>
      </c>
      <c r="E28" s="73">
        <v>0</v>
      </c>
      <c r="F28" s="73">
        <v>0</v>
      </c>
      <c r="G28" s="73">
        <f t="shared" si="0"/>
        <v>24708.03</v>
      </c>
      <c r="H28" s="73">
        <f>900+202.5</f>
        <v>1102.5</v>
      </c>
      <c r="I28" s="74">
        <f>1900+427.5</f>
        <v>2327.5</v>
      </c>
      <c r="J28" s="73">
        <f t="shared" si="5"/>
        <v>3430</v>
      </c>
      <c r="K28" s="73">
        <v>30</v>
      </c>
      <c r="L28" s="73">
        <v>0</v>
      </c>
      <c r="M28" s="73">
        <v>0</v>
      </c>
      <c r="N28" s="73">
        <f t="shared" si="10"/>
        <v>617.75</v>
      </c>
      <c r="O28" s="73">
        <f t="shared" si="1"/>
        <v>617.75</v>
      </c>
      <c r="P28" s="74">
        <f t="shared" si="9"/>
        <v>1235.5</v>
      </c>
      <c r="Q28" s="88">
        <f>(G28-H28-N28-R28-20833)*15%</f>
        <v>293.21699999999981</v>
      </c>
      <c r="R28" s="73">
        <v>200</v>
      </c>
      <c r="S28" s="73">
        <f t="shared" si="2"/>
        <v>200</v>
      </c>
      <c r="T28" s="72">
        <v>2412.8200000000002</v>
      </c>
      <c r="U28" s="73">
        <v>0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3">
        <f t="shared" si="3"/>
        <v>20081.742999999999</v>
      </c>
      <c r="AB28" s="73">
        <f>1400+1400</f>
        <v>2800</v>
      </c>
      <c r="AC28" s="73">
        <v>0</v>
      </c>
      <c r="AD28" s="76">
        <f>1000+1000</f>
        <v>2000</v>
      </c>
      <c r="AE28" s="77">
        <v>0</v>
      </c>
      <c r="AF28" s="76">
        <v>0</v>
      </c>
      <c r="AG28" s="74">
        <v>0</v>
      </c>
      <c r="AH28" s="78">
        <f t="shared" si="6"/>
        <v>24881.742999999999</v>
      </c>
      <c r="AI28" s="49"/>
      <c r="AJ28" s="83"/>
      <c r="AK28" s="85" t="s">
        <v>21</v>
      </c>
      <c r="AL28" s="80">
        <f t="shared" si="4"/>
        <v>24881.742999999999</v>
      </c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</row>
    <row r="29" spans="1:132" x14ac:dyDescent="0.25">
      <c r="A29" s="71" t="s">
        <v>57</v>
      </c>
      <c r="B29" s="64">
        <f>10000+10000</f>
        <v>20000</v>
      </c>
      <c r="C29" s="72">
        <f>10000-3.19+10000</f>
        <v>19996.809999999998</v>
      </c>
      <c r="D29" s="73">
        <v>0</v>
      </c>
      <c r="E29" s="73">
        <v>0</v>
      </c>
      <c r="F29" s="73">
        <f>1497.66+1317.94</f>
        <v>2815.6000000000004</v>
      </c>
      <c r="G29" s="73">
        <f t="shared" si="0"/>
        <v>22812.409999999996</v>
      </c>
      <c r="H29" s="73">
        <v>900</v>
      </c>
      <c r="I29" s="74">
        <v>1900</v>
      </c>
      <c r="J29" s="73">
        <f t="shared" si="5"/>
        <v>2800</v>
      </c>
      <c r="K29" s="73">
        <v>30</v>
      </c>
      <c r="L29" s="73">
        <v>0</v>
      </c>
      <c r="M29" s="73">
        <v>0</v>
      </c>
      <c r="N29" s="73">
        <f t="shared" si="10"/>
        <v>500</v>
      </c>
      <c r="O29" s="73">
        <f t="shared" si="1"/>
        <v>500</v>
      </c>
      <c r="P29" s="74">
        <f t="shared" si="9"/>
        <v>1000</v>
      </c>
      <c r="Q29" s="88">
        <f>(G29-H29-N29-R29-20833)*15%</f>
        <v>56.911499999999428</v>
      </c>
      <c r="R29" s="73">
        <v>200</v>
      </c>
      <c r="S29" s="73">
        <f t="shared" si="2"/>
        <v>200</v>
      </c>
      <c r="T29" s="72">
        <v>0</v>
      </c>
      <c r="U29" s="73">
        <v>0</v>
      </c>
      <c r="V29" s="73">
        <v>0</v>
      </c>
      <c r="W29" s="73">
        <v>0</v>
      </c>
      <c r="X29" s="73">
        <v>0</v>
      </c>
      <c r="Y29" s="73">
        <v>0</v>
      </c>
      <c r="Z29" s="73">
        <v>0</v>
      </c>
      <c r="AA29" s="73">
        <f t="shared" si="3"/>
        <v>21155.498499999998</v>
      </c>
      <c r="AB29" s="73">
        <v>0</v>
      </c>
      <c r="AC29" s="73">
        <v>0</v>
      </c>
      <c r="AD29" s="76">
        <v>0</v>
      </c>
      <c r="AE29" s="77">
        <v>0</v>
      </c>
      <c r="AF29" s="76">
        <v>0</v>
      </c>
      <c r="AG29" s="74">
        <v>0</v>
      </c>
      <c r="AH29" s="78">
        <f t="shared" si="6"/>
        <v>21155.498499999998</v>
      </c>
      <c r="AI29" s="49"/>
      <c r="AJ29" s="83"/>
      <c r="AK29" s="85"/>
      <c r="AL29" s="80">
        <f t="shared" si="4"/>
        <v>21155.498499999998</v>
      </c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</row>
    <row r="30" spans="1:132" x14ac:dyDescent="0.25">
      <c r="A30" s="71" t="s">
        <v>58</v>
      </c>
      <c r="B30" s="64">
        <f>9500+9500</f>
        <v>19000</v>
      </c>
      <c r="C30" s="72">
        <f>9500-3.03+9500-728.43</f>
        <v>18268.54</v>
      </c>
      <c r="D30" s="73">
        <v>0</v>
      </c>
      <c r="E30" s="73">
        <v>0</v>
      </c>
      <c r="F30" s="73">
        <f>910.5+569.06</f>
        <v>1479.56</v>
      </c>
      <c r="G30" s="73">
        <f t="shared" si="0"/>
        <v>19748.100000000002</v>
      </c>
      <c r="H30" s="73">
        <v>855</v>
      </c>
      <c r="I30" s="74">
        <v>1805</v>
      </c>
      <c r="J30" s="73">
        <f t="shared" si="5"/>
        <v>2660</v>
      </c>
      <c r="K30" s="73">
        <v>30</v>
      </c>
      <c r="L30" s="73">
        <v>0</v>
      </c>
      <c r="M30" s="73">
        <v>0</v>
      </c>
      <c r="N30" s="73">
        <f t="shared" si="10"/>
        <v>475</v>
      </c>
      <c r="O30" s="73">
        <f t="shared" si="1"/>
        <v>475</v>
      </c>
      <c r="P30" s="74">
        <f t="shared" si="9"/>
        <v>950</v>
      </c>
      <c r="Q30" s="88">
        <v>0</v>
      </c>
      <c r="R30" s="73">
        <v>200</v>
      </c>
      <c r="S30" s="73">
        <f t="shared" si="2"/>
        <v>200</v>
      </c>
      <c r="T30" s="72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  <c r="Z30" s="73">
        <v>0</v>
      </c>
      <c r="AA30" s="73">
        <f t="shared" si="3"/>
        <v>18218.100000000002</v>
      </c>
      <c r="AB30" s="73">
        <v>0</v>
      </c>
      <c r="AC30" s="73">
        <v>0</v>
      </c>
      <c r="AD30" s="76">
        <v>0</v>
      </c>
      <c r="AE30" s="77">
        <v>0</v>
      </c>
      <c r="AF30" s="76">
        <v>0</v>
      </c>
      <c r="AG30" s="74">
        <v>0</v>
      </c>
      <c r="AH30" s="78">
        <f t="shared" si="6"/>
        <v>18218.100000000002</v>
      </c>
      <c r="AI30" s="49"/>
      <c r="AJ30" s="83"/>
      <c r="AK30" s="85"/>
      <c r="AL30" s="80">
        <f t="shared" si="4"/>
        <v>18218.100000000002</v>
      </c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</row>
    <row r="31" spans="1:132" x14ac:dyDescent="0.25">
      <c r="A31" s="71" t="s">
        <v>59</v>
      </c>
      <c r="B31" s="64">
        <f>8658+8658</f>
        <v>17316</v>
      </c>
      <c r="C31" s="72">
        <f>8658+8658</f>
        <v>17316</v>
      </c>
      <c r="D31" s="73">
        <v>0</v>
      </c>
      <c r="E31" s="73">
        <v>0</v>
      </c>
      <c r="F31" s="73">
        <v>0</v>
      </c>
      <c r="G31" s="73">
        <f t="shared" si="0"/>
        <v>17316</v>
      </c>
      <c r="H31" s="73">
        <v>787.5</v>
      </c>
      <c r="I31" s="74">
        <v>1662.5</v>
      </c>
      <c r="J31" s="73">
        <f t="shared" si="5"/>
        <v>2450</v>
      </c>
      <c r="K31" s="73">
        <v>30</v>
      </c>
      <c r="L31" s="73">
        <v>0</v>
      </c>
      <c r="M31" s="73">
        <v>0</v>
      </c>
      <c r="N31" s="73">
        <f t="shared" si="10"/>
        <v>432.90000000000003</v>
      </c>
      <c r="O31" s="73">
        <f t="shared" si="1"/>
        <v>432.90000000000003</v>
      </c>
      <c r="P31" s="74">
        <f t="shared" si="9"/>
        <v>865.80000000000007</v>
      </c>
      <c r="Q31" s="88">
        <v>0</v>
      </c>
      <c r="R31" s="73">
        <v>200</v>
      </c>
      <c r="S31" s="73">
        <f t="shared" si="2"/>
        <v>200</v>
      </c>
      <c r="T31" s="72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f t="shared" si="3"/>
        <v>15895.6</v>
      </c>
      <c r="AB31" s="73">
        <v>0</v>
      </c>
      <c r="AC31" s="73">
        <v>0</v>
      </c>
      <c r="AD31" s="76">
        <v>0</v>
      </c>
      <c r="AE31" s="77">
        <v>0</v>
      </c>
      <c r="AF31" s="76">
        <v>0</v>
      </c>
      <c r="AG31" s="74">
        <v>0</v>
      </c>
      <c r="AH31" s="78">
        <f t="shared" si="6"/>
        <v>15895.6</v>
      </c>
      <c r="AI31" s="49"/>
      <c r="AJ31" s="83"/>
      <c r="AK31" s="85"/>
      <c r="AL31" s="80">
        <f t="shared" si="4"/>
        <v>15895.6</v>
      </c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</row>
    <row r="32" spans="1:132" x14ac:dyDescent="0.25">
      <c r="A32" s="71" t="s">
        <v>60</v>
      </c>
      <c r="B32" s="64">
        <f>10911+10911</f>
        <v>21822</v>
      </c>
      <c r="C32" s="72">
        <f>10911+10911</f>
        <v>21822</v>
      </c>
      <c r="D32" s="73">
        <v>0</v>
      </c>
      <c r="E32" s="73">
        <v>0</v>
      </c>
      <c r="F32" s="73">
        <v>0</v>
      </c>
      <c r="G32" s="73">
        <f>C32+D32+E32+F32+Z32</f>
        <v>23621.65</v>
      </c>
      <c r="H32" s="73">
        <v>990</v>
      </c>
      <c r="I32" s="73">
        <f>1900+190</f>
        <v>2090</v>
      </c>
      <c r="J32" s="73">
        <f t="shared" si="5"/>
        <v>3080</v>
      </c>
      <c r="K32" s="73">
        <v>30</v>
      </c>
      <c r="L32" s="73">
        <v>0</v>
      </c>
      <c r="M32" s="73">
        <v>0</v>
      </c>
      <c r="N32" s="73">
        <f t="shared" si="10"/>
        <v>545.55000000000007</v>
      </c>
      <c r="O32" s="73">
        <f t="shared" si="1"/>
        <v>545.55000000000007</v>
      </c>
      <c r="P32" s="74">
        <f t="shared" si="9"/>
        <v>1091.1000000000001</v>
      </c>
      <c r="Q32" s="88">
        <f>(G32-H32-N32-R32-20833)*15%</f>
        <v>157.96500000000032</v>
      </c>
      <c r="R32" s="73">
        <v>200</v>
      </c>
      <c r="S32" s="73">
        <f t="shared" si="2"/>
        <v>200</v>
      </c>
      <c r="T32" s="73">
        <v>1293.73</v>
      </c>
      <c r="U32" s="73">
        <v>0</v>
      </c>
      <c r="V32" s="73">
        <v>0</v>
      </c>
      <c r="W32" s="73">
        <v>0</v>
      </c>
      <c r="X32" s="73">
        <v>0</v>
      </c>
      <c r="Y32" s="73">
        <v>0</v>
      </c>
      <c r="Z32" s="73">
        <v>1799.65</v>
      </c>
      <c r="AA32" s="73">
        <f>G32-H32-L32-M32-N32-Q32-R32-T32-U32-V32</f>
        <v>20434.405000000002</v>
      </c>
      <c r="AB32" s="73">
        <f>3150+3150</f>
        <v>6300</v>
      </c>
      <c r="AC32" s="73">
        <v>0</v>
      </c>
      <c r="AD32" s="76">
        <v>0</v>
      </c>
      <c r="AE32" s="77">
        <v>0</v>
      </c>
      <c r="AF32" s="77">
        <v>0</v>
      </c>
      <c r="AG32" s="74">
        <v>0</v>
      </c>
      <c r="AH32" s="78">
        <f t="shared" si="6"/>
        <v>26734.405000000002</v>
      </c>
      <c r="AI32" s="85"/>
      <c r="AJ32" s="83"/>
      <c r="AK32" s="85"/>
      <c r="AL32" s="80">
        <f t="shared" si="4"/>
        <v>28534.055000000004</v>
      </c>
      <c r="AM32" s="80">
        <f>AL32-AH32</f>
        <v>1799.6500000000015</v>
      </c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</row>
    <row r="33" spans="1:132" x14ac:dyDescent="0.25">
      <c r="A33" s="71" t="s">
        <v>61</v>
      </c>
      <c r="B33" s="64">
        <f>20000+20000</f>
        <v>40000</v>
      </c>
      <c r="C33" s="72">
        <f>20000-79.87+20000-70.29</f>
        <v>39849.840000000004</v>
      </c>
      <c r="D33" s="73">
        <v>0</v>
      </c>
      <c r="E33" s="73">
        <v>0</v>
      </c>
      <c r="F33" s="73">
        <v>0</v>
      </c>
      <c r="G33" s="73">
        <f t="shared" si="0"/>
        <v>39849.840000000004</v>
      </c>
      <c r="H33" s="73">
        <f>900+450</f>
        <v>1350</v>
      </c>
      <c r="I33" s="74">
        <f>1900+950</f>
        <v>2850</v>
      </c>
      <c r="J33" s="73">
        <f t="shared" si="5"/>
        <v>4200</v>
      </c>
      <c r="K33" s="74">
        <v>30</v>
      </c>
      <c r="L33" s="73">
        <v>0</v>
      </c>
      <c r="M33" s="73">
        <v>0</v>
      </c>
      <c r="N33" s="73">
        <f t="shared" si="10"/>
        <v>1000</v>
      </c>
      <c r="O33" s="73">
        <f t="shared" si="1"/>
        <v>1000</v>
      </c>
      <c r="P33" s="74">
        <f t="shared" si="9"/>
        <v>2000</v>
      </c>
      <c r="Q33" s="75">
        <f>(G33-H33-N33-R33-33333)*20%+1875</f>
        <v>2668.3680000000008</v>
      </c>
      <c r="R33" s="73">
        <v>200</v>
      </c>
      <c r="S33" s="73">
        <f t="shared" si="2"/>
        <v>200</v>
      </c>
      <c r="T33" s="72">
        <v>0</v>
      </c>
      <c r="U33" s="73">
        <v>0</v>
      </c>
      <c r="V33" s="73">
        <f>2300+2300</f>
        <v>4600</v>
      </c>
      <c r="W33" s="73">
        <v>0</v>
      </c>
      <c r="X33" s="73">
        <v>0</v>
      </c>
      <c r="Y33" s="73">
        <v>0</v>
      </c>
      <c r="Z33" s="73">
        <v>0</v>
      </c>
      <c r="AA33" s="73">
        <f t="shared" si="3"/>
        <v>30031.472000000002</v>
      </c>
      <c r="AB33" s="73">
        <f>10000+10000</f>
        <v>20000</v>
      </c>
      <c r="AC33" s="73">
        <v>0</v>
      </c>
      <c r="AD33" s="76">
        <v>0</v>
      </c>
      <c r="AE33" s="77">
        <v>0</v>
      </c>
      <c r="AF33" s="77">
        <v>0</v>
      </c>
      <c r="AG33" s="74">
        <v>0</v>
      </c>
      <c r="AH33" s="78">
        <f t="shared" si="6"/>
        <v>50031.472000000002</v>
      </c>
      <c r="AI33" s="92" t="s">
        <v>62</v>
      </c>
      <c r="AJ33" s="92">
        <f>284014.53-6073.46</f>
        <v>277941.07</v>
      </c>
      <c r="AK33" s="85"/>
      <c r="AL33" s="80">
        <f t="shared" si="4"/>
        <v>50031.472000000002</v>
      </c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</row>
    <row r="34" spans="1:132" x14ac:dyDescent="0.25">
      <c r="A34" s="71" t="s">
        <v>63</v>
      </c>
      <c r="B34" s="64">
        <f>10500+10500</f>
        <v>21000</v>
      </c>
      <c r="C34" s="72">
        <f>10500+10500</f>
        <v>21000</v>
      </c>
      <c r="D34" s="73">
        <v>0</v>
      </c>
      <c r="E34" s="73">
        <v>0</v>
      </c>
      <c r="F34" s="73">
        <v>251.6</v>
      </c>
      <c r="G34" s="73">
        <f t="shared" si="0"/>
        <v>21251.599999999999</v>
      </c>
      <c r="H34" s="73">
        <v>945</v>
      </c>
      <c r="I34" s="74">
        <f>1900+95</f>
        <v>1995</v>
      </c>
      <c r="J34" s="73">
        <f t="shared" si="5"/>
        <v>2940</v>
      </c>
      <c r="K34" s="73">
        <v>30</v>
      </c>
      <c r="L34" s="73">
        <v>1845.8</v>
      </c>
      <c r="M34" s="88">
        <v>0</v>
      </c>
      <c r="N34" s="73">
        <f t="shared" si="10"/>
        <v>525</v>
      </c>
      <c r="O34" s="73">
        <f t="shared" si="1"/>
        <v>525</v>
      </c>
      <c r="P34" s="74">
        <f t="shared" si="9"/>
        <v>1050</v>
      </c>
      <c r="Q34" s="73">
        <v>0</v>
      </c>
      <c r="R34" s="73">
        <v>200</v>
      </c>
      <c r="S34" s="73">
        <f t="shared" si="2"/>
        <v>200</v>
      </c>
      <c r="T34" s="72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73">
        <v>0</v>
      </c>
      <c r="AA34" s="73">
        <f t="shared" si="3"/>
        <v>17735.8</v>
      </c>
      <c r="AB34" s="73">
        <v>0</v>
      </c>
      <c r="AC34" s="73">
        <v>0</v>
      </c>
      <c r="AD34" s="76">
        <v>0</v>
      </c>
      <c r="AE34" s="77">
        <f>500+500</f>
        <v>1000</v>
      </c>
      <c r="AF34" s="77">
        <v>0</v>
      </c>
      <c r="AG34" s="74">
        <v>0</v>
      </c>
      <c r="AH34" s="78">
        <f t="shared" si="6"/>
        <v>18735.8</v>
      </c>
      <c r="AI34" s="92" t="s">
        <v>64</v>
      </c>
      <c r="AJ34" s="93">
        <v>33747.279999999999</v>
      </c>
      <c r="AK34" s="85"/>
      <c r="AL34" s="80">
        <f t="shared" si="4"/>
        <v>18735.8</v>
      </c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</row>
    <row r="35" spans="1:132" x14ac:dyDescent="0.25">
      <c r="A35" s="71" t="s">
        <v>65</v>
      </c>
      <c r="B35" s="64">
        <f>9066.5+9066.5</f>
        <v>18133</v>
      </c>
      <c r="C35" s="72">
        <f>9066.5-76.76+9066.5-75.31</f>
        <v>17980.929999999997</v>
      </c>
      <c r="D35" s="73">
        <v>0</v>
      </c>
      <c r="E35" s="73">
        <v>0</v>
      </c>
      <c r="F35" s="73">
        <v>0</v>
      </c>
      <c r="G35" s="73">
        <f t="shared" si="0"/>
        <v>17980.929999999997</v>
      </c>
      <c r="H35" s="73">
        <v>810</v>
      </c>
      <c r="I35" s="74">
        <v>1710</v>
      </c>
      <c r="J35" s="73">
        <f t="shared" si="5"/>
        <v>2520</v>
      </c>
      <c r="K35" s="74">
        <v>30</v>
      </c>
      <c r="L35" s="73">
        <v>1661.22</v>
      </c>
      <c r="M35" s="88">
        <v>0</v>
      </c>
      <c r="N35" s="73">
        <f>B35*5%/2-0.01</f>
        <v>453.31500000000005</v>
      </c>
      <c r="O35" s="73">
        <f>N35</f>
        <v>453.31500000000005</v>
      </c>
      <c r="P35" s="74">
        <f>N35+O35</f>
        <v>906.63000000000011</v>
      </c>
      <c r="Q35" s="73">
        <v>0</v>
      </c>
      <c r="R35" s="73">
        <v>200</v>
      </c>
      <c r="S35" s="73">
        <f t="shared" si="2"/>
        <v>200</v>
      </c>
      <c r="T35" s="72">
        <v>0</v>
      </c>
      <c r="U35" s="73">
        <v>0</v>
      </c>
      <c r="V35" s="73">
        <f>1500+1500</f>
        <v>3000</v>
      </c>
      <c r="W35" s="73">
        <v>0</v>
      </c>
      <c r="X35" s="73">
        <v>0</v>
      </c>
      <c r="Y35" s="73">
        <v>0</v>
      </c>
      <c r="Z35" s="73">
        <v>0</v>
      </c>
      <c r="AA35" s="73">
        <f t="shared" si="3"/>
        <v>11856.394999999997</v>
      </c>
      <c r="AB35" s="73">
        <v>0</v>
      </c>
      <c r="AC35" s="73">
        <v>0</v>
      </c>
      <c r="AD35" s="76">
        <v>0</v>
      </c>
      <c r="AE35" s="77">
        <v>0</v>
      </c>
      <c r="AF35" s="77">
        <v>0</v>
      </c>
      <c r="AG35" s="74">
        <v>0</v>
      </c>
      <c r="AH35" s="78">
        <f t="shared" si="6"/>
        <v>11856.394999999997</v>
      </c>
      <c r="AI35" s="92" t="s">
        <v>66</v>
      </c>
      <c r="AJ35" s="94">
        <f>6073.46</f>
        <v>6073.46</v>
      </c>
      <c r="AK35" s="85"/>
      <c r="AL35" s="80">
        <f t="shared" si="4"/>
        <v>11856.394999999997</v>
      </c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</row>
    <row r="36" spans="1:132" x14ac:dyDescent="0.25">
      <c r="A36" s="91" t="s">
        <v>67</v>
      </c>
      <c r="B36" s="95">
        <f>8000+8000</f>
        <v>16000</v>
      </c>
      <c r="C36" s="72">
        <f>8000-4293.94+8000-1226.84-153.36-153.36</f>
        <v>10172.5</v>
      </c>
      <c r="D36" s="73">
        <v>0</v>
      </c>
      <c r="E36" s="73">
        <v>0</v>
      </c>
      <c r="F36" s="73">
        <v>0</v>
      </c>
      <c r="G36" s="88">
        <f>C36+E36+F36+D36</f>
        <v>10172.5</v>
      </c>
      <c r="H36" s="73">
        <v>720</v>
      </c>
      <c r="I36" s="74">
        <v>1520</v>
      </c>
      <c r="J36" s="73">
        <f t="shared" si="5"/>
        <v>2240</v>
      </c>
      <c r="K36" s="74">
        <v>30</v>
      </c>
      <c r="L36" s="73">
        <v>738.32</v>
      </c>
      <c r="M36" s="88">
        <v>0</v>
      </c>
      <c r="N36" s="73">
        <f t="shared" ref="N36:N42" si="11">B36*5%/2</f>
        <v>400</v>
      </c>
      <c r="O36" s="73">
        <f t="shared" ref="O36:O41" si="12">N36</f>
        <v>400</v>
      </c>
      <c r="P36" s="96">
        <f t="shared" ref="P36:P41" si="13">N36+O36</f>
        <v>800</v>
      </c>
      <c r="Q36" s="88">
        <v>0</v>
      </c>
      <c r="R36" s="73">
        <v>200</v>
      </c>
      <c r="S36" s="88">
        <f t="shared" si="2"/>
        <v>200</v>
      </c>
      <c r="T36" s="97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f t="shared" si="3"/>
        <v>8114.18</v>
      </c>
      <c r="AB36" s="73">
        <v>0</v>
      </c>
      <c r="AC36" s="73">
        <v>0</v>
      </c>
      <c r="AD36" s="76">
        <v>0</v>
      </c>
      <c r="AE36" s="77">
        <v>0</v>
      </c>
      <c r="AF36" s="77">
        <v>0</v>
      </c>
      <c r="AG36" s="74">
        <v>0</v>
      </c>
      <c r="AH36" s="78">
        <f t="shared" si="6"/>
        <v>8114.18</v>
      </c>
      <c r="AI36" s="92" t="s">
        <v>68</v>
      </c>
      <c r="AJ36" s="98">
        <f>AJ33+AJ34+AJ35</f>
        <v>317761.81</v>
      </c>
      <c r="AK36" s="99"/>
      <c r="AL36" s="80">
        <f t="shared" si="4"/>
        <v>8114.18</v>
      </c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</row>
    <row r="37" spans="1:132" x14ac:dyDescent="0.25">
      <c r="A37" s="71" t="s">
        <v>69</v>
      </c>
      <c r="B37" s="64">
        <f>15000+15000</f>
        <v>30000</v>
      </c>
      <c r="C37" s="72">
        <f>15000-93.45-1150.16-287.54+15000-55.11</f>
        <v>28413.739999999998</v>
      </c>
      <c r="D37" s="73">
        <v>0</v>
      </c>
      <c r="E37" s="73">
        <v>0</v>
      </c>
      <c r="F37" s="73">
        <v>179.71</v>
      </c>
      <c r="G37" s="73">
        <f t="shared" ref="G37:G42" si="14">C37+D37+E37+F37</f>
        <v>28593.449999999997</v>
      </c>
      <c r="H37" s="88">
        <v>1350</v>
      </c>
      <c r="I37" s="88">
        <v>2850</v>
      </c>
      <c r="J37" s="73">
        <f t="shared" si="5"/>
        <v>4200</v>
      </c>
      <c r="K37" s="88">
        <v>30</v>
      </c>
      <c r="L37" s="88">
        <v>1523.08</v>
      </c>
      <c r="M37" s="88">
        <v>0</v>
      </c>
      <c r="N37" s="73">
        <f t="shared" si="11"/>
        <v>750</v>
      </c>
      <c r="O37" s="88">
        <f t="shared" si="12"/>
        <v>750</v>
      </c>
      <c r="P37" s="96">
        <f t="shared" si="13"/>
        <v>1500</v>
      </c>
      <c r="Q37" s="73">
        <f>(G37-H37-N37-R37-20833)*15%</f>
        <v>819.06749999999954</v>
      </c>
      <c r="R37" s="73">
        <v>200</v>
      </c>
      <c r="S37" s="88">
        <f t="shared" si="2"/>
        <v>200</v>
      </c>
      <c r="T37" s="88">
        <v>0</v>
      </c>
      <c r="U37" s="88">
        <v>0</v>
      </c>
      <c r="V37" s="88">
        <f>1000+1000</f>
        <v>2000</v>
      </c>
      <c r="W37" s="88">
        <v>0</v>
      </c>
      <c r="X37" s="73">
        <v>0</v>
      </c>
      <c r="Y37" s="73">
        <v>0</v>
      </c>
      <c r="Z37" s="73">
        <v>0</v>
      </c>
      <c r="AA37" s="73">
        <f t="shared" si="3"/>
        <v>21951.302499999994</v>
      </c>
      <c r="AB37" s="73">
        <v>0</v>
      </c>
      <c r="AC37" s="73">
        <v>0</v>
      </c>
      <c r="AD37" s="76">
        <v>0</v>
      </c>
      <c r="AE37" s="88">
        <v>0</v>
      </c>
      <c r="AF37" s="88">
        <v>0</v>
      </c>
      <c r="AG37" s="74">
        <v>0</v>
      </c>
      <c r="AH37" s="78">
        <f t="shared" si="6"/>
        <v>21951.302499999994</v>
      </c>
      <c r="AI37" s="87" t="s">
        <v>21</v>
      </c>
      <c r="AJ37" s="93" t="s">
        <v>21</v>
      </c>
      <c r="AK37" s="85"/>
      <c r="AL37" s="80">
        <f t="shared" si="4"/>
        <v>21951.302499999994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</row>
    <row r="38" spans="1:132" x14ac:dyDescent="0.25">
      <c r="A38" s="71" t="s">
        <v>70</v>
      </c>
      <c r="B38" s="64">
        <f>7196+7196</f>
        <v>14392</v>
      </c>
      <c r="C38" s="72">
        <f>7196-198.86-551.77+7196-6.9</f>
        <v>13634.470000000001</v>
      </c>
      <c r="D38" s="73">
        <v>0</v>
      </c>
      <c r="E38" s="73">
        <v>0</v>
      </c>
      <c r="F38" s="73">
        <v>0</v>
      </c>
      <c r="G38" s="73">
        <f t="shared" si="14"/>
        <v>13634.470000000001</v>
      </c>
      <c r="H38" s="73">
        <v>652.5</v>
      </c>
      <c r="I38" s="74">
        <v>1377.5</v>
      </c>
      <c r="J38" s="73">
        <f t="shared" si="5"/>
        <v>2030</v>
      </c>
      <c r="K38" s="74">
        <v>10</v>
      </c>
      <c r="L38" s="73">
        <v>1338.2</v>
      </c>
      <c r="M38" s="74">
        <v>0</v>
      </c>
      <c r="N38" s="73">
        <f t="shared" si="11"/>
        <v>359.8</v>
      </c>
      <c r="O38" s="73">
        <f t="shared" si="12"/>
        <v>359.8</v>
      </c>
      <c r="P38" s="74">
        <f t="shared" si="13"/>
        <v>719.6</v>
      </c>
      <c r="Q38" s="73">
        <v>0</v>
      </c>
      <c r="R38" s="73">
        <v>200</v>
      </c>
      <c r="S38" s="73">
        <f t="shared" si="2"/>
        <v>200</v>
      </c>
      <c r="T38" s="88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f t="shared" si="3"/>
        <v>11083.970000000001</v>
      </c>
      <c r="AB38" s="73">
        <v>0</v>
      </c>
      <c r="AC38" s="73">
        <v>0</v>
      </c>
      <c r="AD38" s="76">
        <v>0</v>
      </c>
      <c r="AE38" s="77">
        <v>0</v>
      </c>
      <c r="AF38" s="64">
        <v>0</v>
      </c>
      <c r="AG38" s="74">
        <v>0</v>
      </c>
      <c r="AH38" s="78">
        <f t="shared" si="6"/>
        <v>11083.970000000001</v>
      </c>
      <c r="AI38" s="87" t="s">
        <v>71</v>
      </c>
      <c r="AJ38" s="93">
        <f>278256.85-6609.26</f>
        <v>271647.58999999997</v>
      </c>
      <c r="AK38" s="85"/>
      <c r="AL38" s="80">
        <f t="shared" si="4"/>
        <v>11083.970000000001</v>
      </c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</row>
    <row r="39" spans="1:132" s="86" customFormat="1" x14ac:dyDescent="0.25">
      <c r="A39" s="71" t="s">
        <v>72</v>
      </c>
      <c r="B39" s="64">
        <f>11570+11570</f>
        <v>23140</v>
      </c>
      <c r="C39" s="72">
        <f>11570-121.98+11570-110.89</f>
        <v>22907.13</v>
      </c>
      <c r="D39" s="73">
        <v>0</v>
      </c>
      <c r="E39" s="73">
        <v>0</v>
      </c>
      <c r="F39" s="73">
        <f>693.06+277.22</f>
        <v>970.28</v>
      </c>
      <c r="G39" s="73">
        <f t="shared" si="14"/>
        <v>23877.41</v>
      </c>
      <c r="H39" s="73">
        <f>900+135</f>
        <v>1035</v>
      </c>
      <c r="I39" s="74">
        <f>1900+285</f>
        <v>2185</v>
      </c>
      <c r="J39" s="73">
        <f t="shared" si="5"/>
        <v>3220</v>
      </c>
      <c r="K39" s="74">
        <v>30</v>
      </c>
      <c r="L39" s="73">
        <v>0</v>
      </c>
      <c r="M39" s="73">
        <v>0</v>
      </c>
      <c r="N39" s="73">
        <f t="shared" si="11"/>
        <v>578.5</v>
      </c>
      <c r="O39" s="73">
        <f t="shared" si="12"/>
        <v>578.5</v>
      </c>
      <c r="P39" s="74">
        <f t="shared" si="13"/>
        <v>1157</v>
      </c>
      <c r="Q39" s="73">
        <f>(G39-H39-N39-R39-20833)*15%</f>
        <v>184.63649999999998</v>
      </c>
      <c r="R39" s="73">
        <v>200</v>
      </c>
      <c r="S39" s="73">
        <f t="shared" si="2"/>
        <v>200</v>
      </c>
      <c r="T39" s="72">
        <v>309.3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f t="shared" si="3"/>
        <v>21569.9735</v>
      </c>
      <c r="AB39" s="73">
        <f>500+500</f>
        <v>1000</v>
      </c>
      <c r="AC39" s="73">
        <v>0</v>
      </c>
      <c r="AD39" s="76">
        <v>0</v>
      </c>
      <c r="AE39" s="77">
        <f>500+500</f>
        <v>1000</v>
      </c>
      <c r="AF39" s="77">
        <v>0</v>
      </c>
      <c r="AG39" s="74">
        <v>0</v>
      </c>
      <c r="AH39" s="78">
        <f t="shared" si="6"/>
        <v>23569.9735</v>
      </c>
      <c r="AI39" s="92" t="s">
        <v>31</v>
      </c>
      <c r="AJ39" s="93">
        <v>33747.279999999999</v>
      </c>
      <c r="AK39" s="85"/>
      <c r="AL39" s="80">
        <f t="shared" si="4"/>
        <v>23569.9735</v>
      </c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</row>
    <row r="40" spans="1:132" s="86" customFormat="1" x14ac:dyDescent="0.25">
      <c r="A40" s="71" t="s">
        <v>73</v>
      </c>
      <c r="B40" s="64">
        <f>7500+7500</f>
        <v>15000</v>
      </c>
      <c r="C40" s="72">
        <f>7500+7500</f>
        <v>15000</v>
      </c>
      <c r="D40" s="73">
        <v>0</v>
      </c>
      <c r="E40" s="73">
        <v>0</v>
      </c>
      <c r="F40" s="73">
        <f>2021.62+853.58</f>
        <v>2875.2</v>
      </c>
      <c r="G40" s="73">
        <f t="shared" si="14"/>
        <v>17875.2</v>
      </c>
      <c r="H40" s="73">
        <v>675</v>
      </c>
      <c r="I40" s="74">
        <v>1425</v>
      </c>
      <c r="J40" s="73">
        <f t="shared" si="5"/>
        <v>2100</v>
      </c>
      <c r="K40" s="74">
        <v>30</v>
      </c>
      <c r="L40" s="73">
        <v>1845.8</v>
      </c>
      <c r="M40" s="73">
        <v>0</v>
      </c>
      <c r="N40" s="73">
        <f t="shared" si="11"/>
        <v>375</v>
      </c>
      <c r="O40" s="73">
        <f t="shared" si="12"/>
        <v>375</v>
      </c>
      <c r="P40" s="74">
        <f t="shared" si="13"/>
        <v>750</v>
      </c>
      <c r="Q40" s="73">
        <v>0</v>
      </c>
      <c r="R40" s="73">
        <v>200</v>
      </c>
      <c r="S40" s="73">
        <f t="shared" si="2"/>
        <v>200</v>
      </c>
      <c r="T40" s="72">
        <v>318.44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  <c r="AA40" s="73">
        <f t="shared" si="3"/>
        <v>14460.960000000001</v>
      </c>
      <c r="AB40" s="73"/>
      <c r="AC40" s="73"/>
      <c r="AD40" s="76"/>
      <c r="AE40" s="77"/>
      <c r="AF40" s="77"/>
      <c r="AG40" s="74"/>
      <c r="AH40" s="78">
        <f t="shared" si="6"/>
        <v>14460.960000000001</v>
      </c>
      <c r="AI40" s="92" t="s">
        <v>66</v>
      </c>
      <c r="AJ40" s="94">
        <v>6609.26</v>
      </c>
      <c r="AK40" s="99" t="s">
        <v>21</v>
      </c>
      <c r="AL40" s="80">
        <f t="shared" si="4"/>
        <v>14460.960000000001</v>
      </c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</row>
    <row r="41" spans="1:132" x14ac:dyDescent="0.25">
      <c r="A41" s="71" t="s">
        <v>74</v>
      </c>
      <c r="B41" s="64">
        <f>11880+11880</f>
        <v>23760</v>
      </c>
      <c r="C41" s="72">
        <f>11880-55.04+11880-28.47</f>
        <v>23676.489999999998</v>
      </c>
      <c r="D41" s="73">
        <v>0</v>
      </c>
      <c r="E41" s="73">
        <v>0</v>
      </c>
      <c r="F41" s="73">
        <v>0</v>
      </c>
      <c r="G41" s="73">
        <f t="shared" si="14"/>
        <v>23676.489999999998</v>
      </c>
      <c r="H41" s="73">
        <v>1080</v>
      </c>
      <c r="I41" s="74">
        <f>1900+380</f>
        <v>2280</v>
      </c>
      <c r="J41" s="73">
        <f t="shared" si="5"/>
        <v>3360</v>
      </c>
      <c r="K41" s="74">
        <v>30</v>
      </c>
      <c r="L41" s="73">
        <v>1845.8</v>
      </c>
      <c r="M41" s="73">
        <v>0</v>
      </c>
      <c r="N41" s="73">
        <f t="shared" si="11"/>
        <v>594</v>
      </c>
      <c r="O41" s="73">
        <f t="shared" si="12"/>
        <v>594</v>
      </c>
      <c r="P41" s="74">
        <f t="shared" si="13"/>
        <v>1188</v>
      </c>
      <c r="Q41" s="73">
        <f>(G41-H41-N41-R41-20833)*15%</f>
        <v>145.42349999999968</v>
      </c>
      <c r="R41" s="73">
        <v>200</v>
      </c>
      <c r="S41" s="73">
        <f t="shared" si="2"/>
        <v>200</v>
      </c>
      <c r="T41" s="72">
        <v>960.85</v>
      </c>
      <c r="U41" s="73">
        <v>0</v>
      </c>
      <c r="V41" s="73">
        <f>1500+1500</f>
        <v>3000</v>
      </c>
      <c r="W41" s="73">
        <v>0</v>
      </c>
      <c r="X41" s="73">
        <v>0</v>
      </c>
      <c r="Y41" s="73">
        <v>0</v>
      </c>
      <c r="Z41" s="73">
        <v>0</v>
      </c>
      <c r="AA41" s="73">
        <f t="shared" si="3"/>
        <v>15850.416500000001</v>
      </c>
      <c r="AB41" s="73">
        <v>0</v>
      </c>
      <c r="AC41" s="73">
        <v>0</v>
      </c>
      <c r="AD41" s="76">
        <v>0</v>
      </c>
      <c r="AE41" s="77">
        <v>0</v>
      </c>
      <c r="AF41" s="77">
        <v>0</v>
      </c>
      <c r="AG41" s="64">
        <v>0</v>
      </c>
      <c r="AH41" s="78">
        <f t="shared" si="6"/>
        <v>15850.416500000001</v>
      </c>
      <c r="AI41" s="92" t="s">
        <v>68</v>
      </c>
      <c r="AJ41" s="98">
        <f>AJ38+AJ39+AJ40</f>
        <v>312004.13</v>
      </c>
      <c r="AK41" s="99" t="s">
        <v>21</v>
      </c>
      <c r="AL41" s="80">
        <f t="shared" si="4"/>
        <v>15850.416499999999</v>
      </c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</row>
    <row r="42" spans="1:132" x14ac:dyDescent="0.25">
      <c r="A42" s="71" t="s">
        <v>75</v>
      </c>
      <c r="B42" s="64">
        <f>12568.5+12568.5</f>
        <v>25137</v>
      </c>
      <c r="C42" s="72">
        <f>12568.5-333.27-481.86+12568.5-126.48</f>
        <v>24195.39</v>
      </c>
      <c r="D42" s="73">
        <v>0</v>
      </c>
      <c r="E42" s="73">
        <v>0</v>
      </c>
      <c r="F42" s="73">
        <v>0</v>
      </c>
      <c r="G42" s="73">
        <f t="shared" si="14"/>
        <v>24195.39</v>
      </c>
      <c r="H42" s="73">
        <v>1125</v>
      </c>
      <c r="I42" s="74">
        <f>1900+475</f>
        <v>2375</v>
      </c>
      <c r="J42" s="73">
        <f t="shared" si="5"/>
        <v>3500</v>
      </c>
      <c r="K42" s="74">
        <v>30</v>
      </c>
      <c r="L42" s="73">
        <v>1845.8</v>
      </c>
      <c r="M42" s="73">
        <v>0</v>
      </c>
      <c r="N42" s="73">
        <f t="shared" si="11"/>
        <v>628.42500000000007</v>
      </c>
      <c r="O42" s="73">
        <f>N42</f>
        <v>628.42500000000007</v>
      </c>
      <c r="P42" s="74">
        <f>N42+O42</f>
        <v>1256.8500000000001</v>
      </c>
      <c r="Q42" s="73">
        <f>(G42-H42-N42-R42-20833)*15%</f>
        <v>211.34475</v>
      </c>
      <c r="R42" s="73">
        <v>200</v>
      </c>
      <c r="S42" s="73">
        <f t="shared" si="2"/>
        <v>200</v>
      </c>
      <c r="T42" s="72">
        <v>920.61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f>G42-L42-M42-T42-U42-V42-W42-X42-Y42-Z42-H42-N42-Q42-R42</f>
        <v>19264.21025</v>
      </c>
      <c r="AB42" s="73">
        <v>0</v>
      </c>
      <c r="AC42" s="73">
        <v>0</v>
      </c>
      <c r="AD42" s="76">
        <v>0</v>
      </c>
      <c r="AE42" s="77">
        <v>0</v>
      </c>
      <c r="AF42" s="77">
        <v>0</v>
      </c>
      <c r="AG42" s="74">
        <v>0</v>
      </c>
      <c r="AH42" s="78">
        <f t="shared" si="6"/>
        <v>19264.21025</v>
      </c>
      <c r="AI42" s="92" t="s">
        <v>21</v>
      </c>
      <c r="AJ42" s="98" t="s">
        <v>21</v>
      </c>
      <c r="AK42" s="99" t="s">
        <v>21</v>
      </c>
      <c r="AL42" s="80">
        <f t="shared" si="4"/>
        <v>19264.21025</v>
      </c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</row>
    <row r="43" spans="1:132" ht="15.75" thickBot="1" x14ac:dyDescent="0.3">
      <c r="A43" s="100"/>
      <c r="B43" s="101">
        <f t="shared" ref="B43:AG43" si="15">SUM(B7:B42)</f>
        <v>1322421.5</v>
      </c>
      <c r="C43" s="101">
        <f t="shared" si="15"/>
        <v>1285634.7899999998</v>
      </c>
      <c r="D43" s="101">
        <f t="shared" si="15"/>
        <v>0</v>
      </c>
      <c r="E43" s="101">
        <f t="shared" si="15"/>
        <v>3265.31</v>
      </c>
      <c r="F43" s="101">
        <f t="shared" si="15"/>
        <v>23178.12</v>
      </c>
      <c r="G43" s="101">
        <f t="shared" si="15"/>
        <v>1313877.8699999999</v>
      </c>
      <c r="H43" s="101">
        <f t="shared" si="15"/>
        <v>34740</v>
      </c>
      <c r="I43" s="101">
        <f t="shared" si="15"/>
        <v>73340</v>
      </c>
      <c r="J43" s="101">
        <f t="shared" si="15"/>
        <v>108080</v>
      </c>
      <c r="K43" s="101">
        <f t="shared" si="15"/>
        <v>1040</v>
      </c>
      <c r="L43" s="101">
        <f t="shared" si="15"/>
        <v>31840.319999999992</v>
      </c>
      <c r="M43" s="101">
        <f t="shared" si="15"/>
        <v>0</v>
      </c>
      <c r="N43" s="101">
        <f t="shared" si="15"/>
        <v>25935.527499999997</v>
      </c>
      <c r="O43" s="101">
        <f t="shared" si="15"/>
        <v>25935.527499999997</v>
      </c>
      <c r="P43" s="101">
        <f t="shared" si="15"/>
        <v>51871.074999999997</v>
      </c>
      <c r="Q43" s="101">
        <f t="shared" si="15"/>
        <v>140067.92299999995</v>
      </c>
      <c r="R43" s="101">
        <f t="shared" si="15"/>
        <v>7200</v>
      </c>
      <c r="S43" s="101">
        <f>SUM(S7:S42)</f>
        <v>7200</v>
      </c>
      <c r="T43" s="101">
        <f>SUM(T7:T42)</f>
        <v>21981.489999999998</v>
      </c>
      <c r="U43" s="101">
        <f t="shared" si="15"/>
        <v>0</v>
      </c>
      <c r="V43" s="101">
        <f t="shared" si="15"/>
        <v>23600</v>
      </c>
      <c r="W43" s="101">
        <f t="shared" si="15"/>
        <v>18157.16</v>
      </c>
      <c r="X43" s="101">
        <f t="shared" si="15"/>
        <v>0</v>
      </c>
      <c r="Y43" s="101">
        <f t="shared" si="15"/>
        <v>0</v>
      </c>
      <c r="Z43" s="101">
        <f t="shared" si="15"/>
        <v>1799.65</v>
      </c>
      <c r="AA43" s="101">
        <f>SUM(AA7:AA42)</f>
        <v>1010355.4494999998</v>
      </c>
      <c r="AB43" s="101">
        <f t="shared" si="15"/>
        <v>59494.559999999998</v>
      </c>
      <c r="AC43" s="101">
        <f t="shared" si="15"/>
        <v>0</v>
      </c>
      <c r="AD43" s="101">
        <f t="shared" si="15"/>
        <v>6000</v>
      </c>
      <c r="AE43" s="101">
        <f t="shared" si="15"/>
        <v>2000</v>
      </c>
      <c r="AF43" s="101">
        <f t="shared" si="15"/>
        <v>0</v>
      </c>
      <c r="AG43" s="101">
        <f t="shared" si="15"/>
        <v>0</v>
      </c>
      <c r="AH43" s="101">
        <f>SUM(AH7:AH42)</f>
        <v>1077850.0094999997</v>
      </c>
      <c r="AI43" s="92" t="s">
        <v>76</v>
      </c>
      <c r="AJ43" s="94">
        <f>AH45</f>
        <v>448084.06949999975</v>
      </c>
      <c r="AK43" s="99" t="s">
        <v>21</v>
      </c>
      <c r="AL43" s="80">
        <f>SUM(AL7:AL42)</f>
        <v>1052929.3994999998</v>
      </c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</row>
    <row r="44" spans="1:132" s="106" customFormat="1" ht="13.5" thickTop="1" x14ac:dyDescent="0.2">
      <c r="A44" s="85"/>
      <c r="B44" s="83" t="s">
        <v>25</v>
      </c>
      <c r="C44" s="83"/>
      <c r="D44" s="102"/>
      <c r="E44" s="102"/>
      <c r="F44" s="102"/>
      <c r="G44" s="102">
        <f>358636.34+370241.53</f>
        <v>728877.87000000011</v>
      </c>
      <c r="H44" s="102">
        <f>H43-H26-H25-H12</f>
        <v>30690</v>
      </c>
      <c r="I44" s="102"/>
      <c r="J44" s="102"/>
      <c r="K44" s="102"/>
      <c r="L44" s="102"/>
      <c r="M44" s="102"/>
      <c r="N44" s="102">
        <f>N43-N26-N25-N12</f>
        <v>18435.527499999997</v>
      </c>
      <c r="O44" s="102"/>
      <c r="P44" s="102"/>
      <c r="Q44" s="102">
        <f>Q42+Q41+Q39+Q37+Q33+Q32+Q29+Q28+Q24+Q19+Q17+Q13+Q7</f>
        <v>15301.973000000002</v>
      </c>
      <c r="R44" s="102">
        <f>R43-R26-R25-R12</f>
        <v>6600</v>
      </c>
      <c r="S44" s="102" t="s">
        <v>21</v>
      </c>
      <c r="T44" s="102">
        <f>T43-21981.49</f>
        <v>0</v>
      </c>
      <c r="U44" s="102"/>
      <c r="V44" s="102"/>
      <c r="W44" s="102"/>
      <c r="X44" s="32"/>
      <c r="Y44" s="32"/>
      <c r="Z44" s="32"/>
      <c r="AA44" s="102">
        <f>284014.53+278256.85</f>
        <v>562271.38</v>
      </c>
      <c r="AB44" s="102"/>
      <c r="AC44" s="102"/>
      <c r="AD44" s="102"/>
      <c r="AE44" s="102"/>
      <c r="AF44" s="102"/>
      <c r="AG44" s="103"/>
      <c r="AH44" s="102">
        <f>277941.07+33747.28+6073.46+278256.85+33747.28</f>
        <v>629765.93999999994</v>
      </c>
      <c r="AI44" s="104" t="s">
        <v>68</v>
      </c>
      <c r="AJ44" s="105">
        <f>AJ43+AJ41+AJ36</f>
        <v>1077850.0094999997</v>
      </c>
      <c r="AK44" s="99"/>
      <c r="AL44" s="80">
        <f>AL43-AH43</f>
        <v>-24920.60999999987</v>
      </c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</row>
    <row r="45" spans="1:132" x14ac:dyDescent="0.25">
      <c r="A45" s="85"/>
      <c r="B45" s="83"/>
      <c r="C45" s="31"/>
      <c r="D45" s="32"/>
      <c r="E45" s="32"/>
      <c r="F45" s="32"/>
      <c r="G45" s="107">
        <f>G26+G25+G12</f>
        <v>585000</v>
      </c>
      <c r="H45" s="32"/>
      <c r="I45" s="32"/>
      <c r="J45" s="32"/>
      <c r="K45" s="32"/>
      <c r="L45" s="32"/>
      <c r="M45" s="32"/>
      <c r="N45" s="32" t="s">
        <v>21</v>
      </c>
      <c r="O45" s="32"/>
      <c r="P45" s="32"/>
      <c r="Q45" s="32"/>
      <c r="R45" s="32" t="s">
        <v>21</v>
      </c>
      <c r="S45" s="32"/>
      <c r="T45" s="31"/>
      <c r="U45" s="32"/>
      <c r="V45" s="32"/>
      <c r="W45" s="32"/>
      <c r="X45" s="32"/>
      <c r="Y45" s="32"/>
      <c r="Z45" s="32"/>
      <c r="AA45" s="107">
        <f>AA26+AA25+AA12</f>
        <v>448084.05</v>
      </c>
      <c r="AB45" s="32"/>
      <c r="AC45" s="32"/>
      <c r="AD45" s="32"/>
      <c r="AE45" s="32" t="s">
        <v>21</v>
      </c>
      <c r="AF45" s="32"/>
      <c r="AG45" s="83"/>
      <c r="AH45" s="107">
        <f>AH43-AH44</f>
        <v>448084.06949999975</v>
      </c>
      <c r="AI45" s="49"/>
      <c r="AJ45" s="83"/>
      <c r="AK45" s="85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</row>
    <row r="46" spans="1:132" x14ac:dyDescent="0.25">
      <c r="A46" s="85"/>
      <c r="B46" s="83"/>
      <c r="C46" s="31"/>
      <c r="D46" s="32"/>
      <c r="E46" s="32"/>
      <c r="F46" s="32"/>
      <c r="G46" s="102">
        <f>G44+G45</f>
        <v>1313877.8700000001</v>
      </c>
      <c r="H46" s="32"/>
      <c r="I46" s="32"/>
      <c r="J46" s="32"/>
      <c r="K46" s="32"/>
      <c r="L46" s="32"/>
      <c r="M46" s="32"/>
      <c r="N46" s="108" t="s">
        <v>21</v>
      </c>
      <c r="O46" s="108"/>
      <c r="P46" s="108"/>
      <c r="Q46" s="108"/>
      <c r="R46" s="109"/>
      <c r="S46" s="108"/>
      <c r="T46" s="31"/>
      <c r="U46" s="32"/>
      <c r="V46" s="32"/>
      <c r="W46" s="32"/>
      <c r="X46" s="32"/>
      <c r="Y46" s="32"/>
      <c r="Z46" s="32"/>
      <c r="AA46" s="32">
        <f>AA44+AA45-AF43</f>
        <v>1010355.4299999999</v>
      </c>
      <c r="AB46" s="32"/>
      <c r="AC46" s="32"/>
      <c r="AD46" s="32"/>
      <c r="AE46" s="32"/>
      <c r="AF46" s="32"/>
      <c r="AG46" s="83"/>
      <c r="AH46" s="32">
        <f>AH44+AH45</f>
        <v>1077850.0094999997</v>
      </c>
      <c r="AI46" s="49" t="s">
        <v>21</v>
      </c>
      <c r="AJ46" s="83"/>
      <c r="AK46" s="99" t="s">
        <v>21</v>
      </c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</row>
    <row r="47" spans="1:132" x14ac:dyDescent="0.25">
      <c r="A47" s="85"/>
      <c r="B47" s="83"/>
      <c r="C47" s="31" t="s">
        <v>21</v>
      </c>
      <c r="D47" s="32"/>
      <c r="E47" s="32"/>
      <c r="F47" s="32"/>
      <c r="G47" s="102"/>
      <c r="H47" s="32"/>
      <c r="I47" s="32"/>
      <c r="J47" s="32"/>
      <c r="K47" s="32"/>
      <c r="L47" s="32"/>
      <c r="M47" s="32"/>
      <c r="N47" s="108"/>
      <c r="O47" s="108"/>
      <c r="P47" s="108"/>
      <c r="Q47" s="108" t="s">
        <v>21</v>
      </c>
      <c r="R47" s="109"/>
      <c r="S47" s="108"/>
      <c r="T47" s="31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83"/>
      <c r="AH47" s="49"/>
      <c r="AI47" s="87"/>
      <c r="AJ47" s="83"/>
      <c r="AK47" s="85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</row>
    <row r="48" spans="1:132" x14ac:dyDescent="0.25">
      <c r="A48" s="30" t="s">
        <v>77</v>
      </c>
      <c r="B48" s="83"/>
      <c r="C48" s="83"/>
      <c r="D48" s="102"/>
      <c r="E48" s="102"/>
      <c r="F48" s="102"/>
      <c r="G48" s="32" t="s">
        <v>21</v>
      </c>
      <c r="H48" s="3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83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83"/>
      <c r="AH48" s="49"/>
      <c r="AI48" s="87" t="s">
        <v>21</v>
      </c>
      <c r="AJ48" s="110" t="s">
        <v>21</v>
      </c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</row>
    <row r="49" spans="1:132" ht="13.15" customHeight="1" x14ac:dyDescent="0.25">
      <c r="A49" s="37" t="s">
        <v>121</v>
      </c>
      <c r="B49" s="37" t="s">
        <v>2</v>
      </c>
      <c r="C49" s="37" t="s">
        <v>3</v>
      </c>
      <c r="D49" s="38" t="s">
        <v>4</v>
      </c>
      <c r="E49" s="38" t="s">
        <v>5</v>
      </c>
      <c r="F49" s="38" t="s">
        <v>6</v>
      </c>
      <c r="G49" s="38" t="s">
        <v>7</v>
      </c>
      <c r="H49" s="39" t="s">
        <v>8</v>
      </c>
      <c r="I49" s="39"/>
      <c r="J49" s="39"/>
      <c r="K49" s="39"/>
      <c r="L49" s="38" t="s">
        <v>9</v>
      </c>
      <c r="M49" s="38" t="s">
        <v>10</v>
      </c>
      <c r="N49" s="39" t="s">
        <v>11</v>
      </c>
      <c r="O49" s="39"/>
      <c r="P49" s="39"/>
      <c r="Q49" s="40" t="s">
        <v>12</v>
      </c>
      <c r="R49" s="41" t="s">
        <v>13</v>
      </c>
      <c r="S49" s="42"/>
      <c r="T49" s="43" t="s">
        <v>14</v>
      </c>
      <c r="U49" s="40" t="s">
        <v>15</v>
      </c>
      <c r="V49" s="40" t="s">
        <v>16</v>
      </c>
      <c r="W49" s="40" t="s">
        <v>17</v>
      </c>
      <c r="X49" s="41" t="s">
        <v>18</v>
      </c>
      <c r="Y49" s="40" t="s">
        <v>19</v>
      </c>
      <c r="Z49" s="44"/>
      <c r="AA49" s="40" t="s">
        <v>20</v>
      </c>
      <c r="AB49" s="45" t="s">
        <v>31</v>
      </c>
      <c r="AC49" s="46"/>
      <c r="AD49" s="46"/>
      <c r="AE49" s="47"/>
      <c r="AF49" s="40" t="s">
        <v>78</v>
      </c>
      <c r="AG49" s="43" t="s">
        <v>23</v>
      </c>
      <c r="AH49" s="48" t="s">
        <v>24</v>
      </c>
      <c r="AI49" s="85"/>
      <c r="AJ49" s="83"/>
      <c r="AK49" s="85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</row>
    <row r="50" spans="1:132" ht="12.75" customHeight="1" x14ac:dyDescent="0.25">
      <c r="A50" s="37"/>
      <c r="B50" s="37"/>
      <c r="C50" s="37"/>
      <c r="D50" s="38"/>
      <c r="E50" s="38"/>
      <c r="F50" s="38"/>
      <c r="G50" s="38"/>
      <c r="H50" s="39" t="s">
        <v>25</v>
      </c>
      <c r="I50" s="39" t="s">
        <v>26</v>
      </c>
      <c r="J50" s="39" t="s">
        <v>27</v>
      </c>
      <c r="K50" s="40" t="s">
        <v>28</v>
      </c>
      <c r="L50" s="38"/>
      <c r="M50" s="38"/>
      <c r="N50" s="51" t="s">
        <v>25</v>
      </c>
      <c r="O50" s="51" t="s">
        <v>26</v>
      </c>
      <c r="P50" s="51" t="s">
        <v>29</v>
      </c>
      <c r="Q50" s="52"/>
      <c r="R50" s="53"/>
      <c r="S50" s="54"/>
      <c r="T50" s="55"/>
      <c r="U50" s="52"/>
      <c r="V50" s="52"/>
      <c r="W50" s="52"/>
      <c r="X50" s="56"/>
      <c r="Y50" s="52"/>
      <c r="Z50" s="57" t="s">
        <v>30</v>
      </c>
      <c r="AA50" s="52"/>
      <c r="AB50" s="111"/>
      <c r="AC50" s="112"/>
      <c r="AD50" s="112"/>
      <c r="AE50" s="112"/>
      <c r="AF50" s="52"/>
      <c r="AG50" s="55"/>
      <c r="AH50" s="62"/>
      <c r="AI50" s="50"/>
      <c r="AJ50" s="49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</row>
    <row r="51" spans="1:132" ht="21.75" customHeight="1" x14ac:dyDescent="0.25">
      <c r="A51" s="37"/>
      <c r="B51" s="37"/>
      <c r="C51" s="37"/>
      <c r="D51" s="38"/>
      <c r="E51" s="38"/>
      <c r="F51" s="38"/>
      <c r="G51" s="38"/>
      <c r="H51" s="39"/>
      <c r="I51" s="39"/>
      <c r="J51" s="39"/>
      <c r="K51" s="63"/>
      <c r="L51" s="38"/>
      <c r="M51" s="38"/>
      <c r="N51" s="51"/>
      <c r="O51" s="51"/>
      <c r="P51" s="51"/>
      <c r="Q51" s="63"/>
      <c r="R51" s="64" t="s">
        <v>25</v>
      </c>
      <c r="S51" s="64" t="s">
        <v>26</v>
      </c>
      <c r="T51" s="65"/>
      <c r="U51" s="63"/>
      <c r="V51" s="63"/>
      <c r="W51" s="63"/>
      <c r="X51" s="53"/>
      <c r="Y51" s="63"/>
      <c r="Z51" s="66" t="s">
        <v>32</v>
      </c>
      <c r="AA51" s="63"/>
      <c r="AB51" s="67" t="s">
        <v>33</v>
      </c>
      <c r="AC51" s="68" t="s">
        <v>34</v>
      </c>
      <c r="AD51" s="68" t="s">
        <v>35</v>
      </c>
      <c r="AE51" s="67" t="s">
        <v>36</v>
      </c>
      <c r="AF51" s="63"/>
      <c r="AG51" s="65"/>
      <c r="AH51" s="69"/>
      <c r="AI51" s="50"/>
      <c r="AJ51" s="49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</row>
    <row r="52" spans="1:132" x14ac:dyDescent="0.25">
      <c r="A52" s="71" t="s">
        <v>155</v>
      </c>
      <c r="B52" s="113">
        <f>8893+8893</f>
        <v>17786</v>
      </c>
      <c r="C52" s="64">
        <f>8893-681.89+8893</f>
        <v>17104.11</v>
      </c>
      <c r="D52" s="64">
        <v>0</v>
      </c>
      <c r="E52" s="64">
        <v>681.89</v>
      </c>
      <c r="F52" s="64">
        <v>0</v>
      </c>
      <c r="G52" s="73">
        <f t="shared" ref="G52:G59" si="16">C52+D52+E52+F52</f>
        <v>17786</v>
      </c>
      <c r="H52" s="73">
        <v>810</v>
      </c>
      <c r="I52" s="73">
        <v>1710</v>
      </c>
      <c r="J52" s="73">
        <f t="shared" ref="J52:J59" si="17">H52+I52</f>
        <v>2520</v>
      </c>
      <c r="K52" s="73">
        <v>30</v>
      </c>
      <c r="L52" s="73">
        <v>0</v>
      </c>
      <c r="M52" s="73">
        <v>0</v>
      </c>
      <c r="N52" s="73">
        <f t="shared" ref="N52:N59" si="18">B52*5%/2</f>
        <v>444.65000000000003</v>
      </c>
      <c r="O52" s="73">
        <f t="shared" ref="O52:O59" si="19">N52</f>
        <v>444.65000000000003</v>
      </c>
      <c r="P52" s="74">
        <f t="shared" ref="P52:P59" si="20">N52+O52</f>
        <v>889.30000000000007</v>
      </c>
      <c r="Q52" s="73">
        <v>0</v>
      </c>
      <c r="R52" s="74">
        <v>200</v>
      </c>
      <c r="S52" s="74">
        <f t="shared" ref="S52:S59" si="21">R52</f>
        <v>200</v>
      </c>
      <c r="T52" s="64">
        <v>941.46</v>
      </c>
      <c r="U52" s="74">
        <v>0</v>
      </c>
      <c r="V52" s="74">
        <v>0</v>
      </c>
      <c r="W52" s="77">
        <v>0</v>
      </c>
      <c r="X52" s="73">
        <v>0</v>
      </c>
      <c r="Y52" s="73"/>
      <c r="Z52" s="73"/>
      <c r="AA52" s="73">
        <f t="shared" ref="AA52:AA59" si="22">G52-L52-M52-T52-U52-V52-W52-X52-Y52-Z52-H52-N52-Q52-R52</f>
        <v>15389.890000000001</v>
      </c>
      <c r="AB52" s="73">
        <f>+AC52</f>
        <v>0</v>
      </c>
      <c r="AC52" s="73">
        <v>0</v>
      </c>
      <c r="AD52" s="73">
        <v>0</v>
      </c>
      <c r="AE52" s="74">
        <v>0</v>
      </c>
      <c r="AF52" s="73">
        <v>0</v>
      </c>
      <c r="AG52" s="73">
        <v>0</v>
      </c>
      <c r="AH52" s="113">
        <f>AA52+AB52+AC52+AD52+AE52+AF52</f>
        <v>15389.890000000001</v>
      </c>
      <c r="AI52" s="50"/>
      <c r="AJ52" s="49"/>
      <c r="AK52" s="80"/>
      <c r="AL52" s="8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</row>
    <row r="53" spans="1:132" x14ac:dyDescent="0.25">
      <c r="A53" s="71" t="s">
        <v>156</v>
      </c>
      <c r="B53" s="113">
        <f>9000+9000</f>
        <v>18000</v>
      </c>
      <c r="C53" s="64">
        <f>9000+9000</f>
        <v>18000</v>
      </c>
      <c r="D53" s="64">
        <v>0</v>
      </c>
      <c r="E53" s="64">
        <v>0</v>
      </c>
      <c r="F53" s="64">
        <v>0</v>
      </c>
      <c r="G53" s="73">
        <f t="shared" si="16"/>
        <v>18000</v>
      </c>
      <c r="H53" s="73">
        <v>810</v>
      </c>
      <c r="I53" s="73">
        <v>1710</v>
      </c>
      <c r="J53" s="73">
        <f t="shared" si="17"/>
        <v>2520</v>
      </c>
      <c r="K53" s="73">
        <v>30</v>
      </c>
      <c r="L53" s="73">
        <f>1661.22</f>
        <v>1661.22</v>
      </c>
      <c r="M53" s="73">
        <v>0</v>
      </c>
      <c r="N53" s="73">
        <f t="shared" si="18"/>
        <v>450</v>
      </c>
      <c r="O53" s="73">
        <f t="shared" si="19"/>
        <v>450</v>
      </c>
      <c r="P53" s="74">
        <f t="shared" si="20"/>
        <v>900</v>
      </c>
      <c r="Q53" s="73">
        <v>0</v>
      </c>
      <c r="R53" s="74">
        <v>200</v>
      </c>
      <c r="S53" s="74">
        <f t="shared" si="21"/>
        <v>200</v>
      </c>
      <c r="T53" s="74">
        <v>0</v>
      </c>
      <c r="U53" s="114">
        <v>0</v>
      </c>
      <c r="V53" s="74">
        <v>0</v>
      </c>
      <c r="W53" s="77">
        <v>0</v>
      </c>
      <c r="X53" s="73">
        <v>0</v>
      </c>
      <c r="Y53" s="73"/>
      <c r="Z53" s="73"/>
      <c r="AA53" s="73">
        <f t="shared" si="22"/>
        <v>14878.78</v>
      </c>
      <c r="AB53" s="73">
        <v>0</v>
      </c>
      <c r="AC53" s="73">
        <v>0</v>
      </c>
      <c r="AD53" s="73">
        <v>0</v>
      </c>
      <c r="AE53" s="74">
        <v>0</v>
      </c>
      <c r="AF53" s="73">
        <v>0</v>
      </c>
      <c r="AG53" s="73">
        <v>0</v>
      </c>
      <c r="AH53" s="113">
        <f t="shared" ref="AH53:AH59" si="23">AA53+AB53+AC53+AD53+AE53+AF53</f>
        <v>14878.78</v>
      </c>
      <c r="AI53" s="115" t="s">
        <v>62</v>
      </c>
      <c r="AJ53" s="92">
        <f>72505.89-2146.96</f>
        <v>70358.929999999993</v>
      </c>
      <c r="AK53" s="79"/>
      <c r="AL53" s="8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</row>
    <row r="54" spans="1:132" x14ac:dyDescent="0.25">
      <c r="A54" s="71" t="s">
        <v>172</v>
      </c>
      <c r="B54" s="64">
        <f>7000+7000</f>
        <v>14000</v>
      </c>
      <c r="C54" s="64">
        <f>2146.96+7000</f>
        <v>9146.9599999999991</v>
      </c>
      <c r="D54" s="64">
        <v>0</v>
      </c>
      <c r="E54" s="64">
        <v>0</v>
      </c>
      <c r="F54" s="64">
        <v>0</v>
      </c>
      <c r="G54" s="73">
        <f t="shared" si="16"/>
        <v>9146.9599999999991</v>
      </c>
      <c r="H54" s="73">
        <v>630</v>
      </c>
      <c r="I54" s="74">
        <v>1330</v>
      </c>
      <c r="J54" s="73">
        <f t="shared" si="17"/>
        <v>1960</v>
      </c>
      <c r="K54" s="74">
        <v>10</v>
      </c>
      <c r="L54" s="73">
        <v>0</v>
      </c>
      <c r="M54" s="73">
        <v>0</v>
      </c>
      <c r="N54" s="73">
        <f t="shared" si="18"/>
        <v>350</v>
      </c>
      <c r="O54" s="73">
        <f t="shared" si="19"/>
        <v>350</v>
      </c>
      <c r="P54" s="74">
        <f t="shared" si="20"/>
        <v>700</v>
      </c>
      <c r="Q54" s="73">
        <v>0</v>
      </c>
      <c r="R54" s="74">
        <v>200</v>
      </c>
      <c r="S54" s="74">
        <f t="shared" si="21"/>
        <v>200</v>
      </c>
      <c r="T54" s="74">
        <v>0</v>
      </c>
      <c r="U54" s="114">
        <v>0</v>
      </c>
      <c r="V54" s="74">
        <v>0</v>
      </c>
      <c r="W54" s="77">
        <v>0</v>
      </c>
      <c r="X54" s="73">
        <v>0</v>
      </c>
      <c r="Y54" s="73"/>
      <c r="Z54" s="73"/>
      <c r="AA54" s="73">
        <f t="shared" si="22"/>
        <v>7966.9599999999991</v>
      </c>
      <c r="AB54" s="73">
        <v>0</v>
      </c>
      <c r="AC54" s="73">
        <v>0</v>
      </c>
      <c r="AD54" s="73">
        <v>0</v>
      </c>
      <c r="AE54" s="74">
        <v>0</v>
      </c>
      <c r="AF54" s="73">
        <v>0</v>
      </c>
      <c r="AG54" s="73">
        <v>0</v>
      </c>
      <c r="AH54" s="113">
        <f>AA54+AB54+AC54+AD54+AE54+AF54</f>
        <v>7966.9599999999991</v>
      </c>
      <c r="AI54" s="116" t="s">
        <v>64</v>
      </c>
      <c r="AJ54" s="93">
        <v>7200</v>
      </c>
      <c r="AK54" s="79" t="s">
        <v>79</v>
      </c>
      <c r="AL54" s="8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</row>
    <row r="55" spans="1:132" x14ac:dyDescent="0.25">
      <c r="A55" s="71" t="s">
        <v>158</v>
      </c>
      <c r="B55" s="64">
        <f>14000+14000</f>
        <v>28000</v>
      </c>
      <c r="C55" s="64">
        <f>14000+14000-4.47</f>
        <v>27995.53</v>
      </c>
      <c r="D55" s="64">
        <v>0</v>
      </c>
      <c r="E55" s="64">
        <v>0</v>
      </c>
      <c r="F55" s="64">
        <v>0</v>
      </c>
      <c r="G55" s="73">
        <f t="shared" si="16"/>
        <v>27995.53</v>
      </c>
      <c r="H55" s="73">
        <v>1260</v>
      </c>
      <c r="I55" s="73">
        <f>1900+760</f>
        <v>2660</v>
      </c>
      <c r="J55" s="73">
        <f t="shared" si="17"/>
        <v>3920</v>
      </c>
      <c r="K55" s="73">
        <v>30</v>
      </c>
      <c r="L55" s="73">
        <v>0</v>
      </c>
      <c r="M55" s="73">
        <v>0</v>
      </c>
      <c r="N55" s="73">
        <f t="shared" si="18"/>
        <v>700</v>
      </c>
      <c r="O55" s="73">
        <f t="shared" si="19"/>
        <v>700</v>
      </c>
      <c r="P55" s="74">
        <f t="shared" si="20"/>
        <v>1400</v>
      </c>
      <c r="Q55" s="74">
        <f>(G55-H55-N55-R55-20833)*15%</f>
        <v>750.37949999999978</v>
      </c>
      <c r="R55" s="74">
        <v>200</v>
      </c>
      <c r="S55" s="74">
        <f t="shared" si="21"/>
        <v>200</v>
      </c>
      <c r="T55" s="64">
        <v>0</v>
      </c>
      <c r="U55" s="74">
        <v>0</v>
      </c>
      <c r="V55" s="74">
        <v>0</v>
      </c>
      <c r="W55" s="77">
        <v>0</v>
      </c>
      <c r="X55" s="73">
        <v>0</v>
      </c>
      <c r="Y55" s="73"/>
      <c r="Z55" s="73"/>
      <c r="AA55" s="73">
        <f>G55-L55-M55-T55-U55-V55-W55-X55-Y55-Z55-H55-N55-Q55-R55</f>
        <v>25085.1505</v>
      </c>
      <c r="AB55" s="73">
        <v>0</v>
      </c>
      <c r="AC55" s="73">
        <v>0</v>
      </c>
      <c r="AD55" s="73">
        <v>0</v>
      </c>
      <c r="AE55" s="74">
        <v>0</v>
      </c>
      <c r="AF55" s="73">
        <v>0</v>
      </c>
      <c r="AG55" s="73">
        <v>0</v>
      </c>
      <c r="AH55" s="113">
        <f t="shared" si="23"/>
        <v>25085.1505</v>
      </c>
      <c r="AI55" s="116" t="s">
        <v>80</v>
      </c>
      <c r="AJ55" s="94">
        <v>2146.96</v>
      </c>
      <c r="AK55" s="79" t="s">
        <v>80</v>
      </c>
      <c r="AL55" s="8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</row>
    <row r="56" spans="1:132" x14ac:dyDescent="0.25">
      <c r="A56" s="71" t="s">
        <v>159</v>
      </c>
      <c r="B56" s="64">
        <f>12500+12500</f>
        <v>25000</v>
      </c>
      <c r="C56" s="64">
        <f>12500+12500</f>
        <v>25000</v>
      </c>
      <c r="D56" s="64">
        <v>0</v>
      </c>
      <c r="E56" s="64">
        <v>0</v>
      </c>
      <c r="F56" s="64">
        <v>0</v>
      </c>
      <c r="G56" s="73">
        <f t="shared" si="16"/>
        <v>25000</v>
      </c>
      <c r="H56" s="73">
        <f>900+225</f>
        <v>1125</v>
      </c>
      <c r="I56" s="74">
        <f>1900+475</f>
        <v>2375</v>
      </c>
      <c r="J56" s="73">
        <f t="shared" si="17"/>
        <v>3500</v>
      </c>
      <c r="K56" s="74">
        <v>30</v>
      </c>
      <c r="L56" s="73">
        <v>0</v>
      </c>
      <c r="M56" s="73">
        <v>0</v>
      </c>
      <c r="N56" s="73">
        <f t="shared" si="18"/>
        <v>625</v>
      </c>
      <c r="O56" s="73">
        <f t="shared" si="19"/>
        <v>625</v>
      </c>
      <c r="P56" s="74">
        <f t="shared" si="20"/>
        <v>1250</v>
      </c>
      <c r="Q56" s="74">
        <f>(G56-H56-N56-R56-20833)*15%</f>
        <v>332.55</v>
      </c>
      <c r="R56" s="74">
        <v>200</v>
      </c>
      <c r="S56" s="74">
        <f t="shared" si="21"/>
        <v>200</v>
      </c>
      <c r="T56" s="64">
        <v>0</v>
      </c>
      <c r="U56" s="74">
        <v>0</v>
      </c>
      <c r="V56" s="74">
        <v>0</v>
      </c>
      <c r="W56" s="77">
        <f>0</f>
        <v>0</v>
      </c>
      <c r="X56" s="73">
        <v>0</v>
      </c>
      <c r="Y56" s="73"/>
      <c r="Z56" s="73"/>
      <c r="AA56" s="73">
        <f t="shared" si="22"/>
        <v>22717.45</v>
      </c>
      <c r="AB56" s="73">
        <v>0</v>
      </c>
      <c r="AC56" s="73">
        <v>0</v>
      </c>
      <c r="AD56" s="73">
        <v>0</v>
      </c>
      <c r="AE56" s="74">
        <v>0</v>
      </c>
      <c r="AF56" s="73">
        <v>0</v>
      </c>
      <c r="AG56" s="73">
        <v>0</v>
      </c>
      <c r="AH56" s="113">
        <f t="shared" si="23"/>
        <v>22717.45</v>
      </c>
      <c r="AI56" s="116" t="s">
        <v>81</v>
      </c>
      <c r="AJ56" s="31">
        <f>AJ53+AJ54+AJ55</f>
        <v>79705.89</v>
      </c>
      <c r="AK56" s="84" t="s">
        <v>21</v>
      </c>
      <c r="AL56" s="8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</row>
    <row r="57" spans="1:132" s="118" customFormat="1" ht="12.75" customHeight="1" x14ac:dyDescent="0.2">
      <c r="A57" s="71" t="s">
        <v>160</v>
      </c>
      <c r="B57" s="117">
        <f>8054+8054</f>
        <v>16108</v>
      </c>
      <c r="C57" s="64">
        <f>8054+8054-6.43-154.38</f>
        <v>15947.19</v>
      </c>
      <c r="D57" s="64">
        <v>0</v>
      </c>
      <c r="E57" s="64">
        <v>0</v>
      </c>
      <c r="F57" s="64">
        <v>0</v>
      </c>
      <c r="G57" s="73">
        <f t="shared" si="16"/>
        <v>15947.19</v>
      </c>
      <c r="H57" s="73">
        <v>720</v>
      </c>
      <c r="I57" s="73">
        <v>1520</v>
      </c>
      <c r="J57" s="73">
        <f t="shared" si="17"/>
        <v>2240</v>
      </c>
      <c r="K57" s="73">
        <v>30</v>
      </c>
      <c r="L57" s="73">
        <v>0</v>
      </c>
      <c r="M57" s="73">
        <v>0</v>
      </c>
      <c r="N57" s="73">
        <f t="shared" si="18"/>
        <v>402.70000000000005</v>
      </c>
      <c r="O57" s="73">
        <f t="shared" si="19"/>
        <v>402.70000000000005</v>
      </c>
      <c r="P57" s="74">
        <f t="shared" si="20"/>
        <v>805.40000000000009</v>
      </c>
      <c r="Q57" s="73">
        <v>0</v>
      </c>
      <c r="R57" s="74">
        <v>200</v>
      </c>
      <c r="S57" s="74">
        <f t="shared" si="21"/>
        <v>200</v>
      </c>
      <c r="T57" s="72">
        <v>0</v>
      </c>
      <c r="U57" s="73">
        <v>0</v>
      </c>
      <c r="V57" s="73">
        <v>0</v>
      </c>
      <c r="W57" s="73">
        <v>0</v>
      </c>
      <c r="X57" s="73">
        <v>0</v>
      </c>
      <c r="Y57" s="73"/>
      <c r="Z57" s="73"/>
      <c r="AA57" s="73">
        <f t="shared" si="22"/>
        <v>14624.49</v>
      </c>
      <c r="AB57" s="73">
        <v>0</v>
      </c>
      <c r="AC57" s="73"/>
      <c r="AD57" s="73">
        <v>0</v>
      </c>
      <c r="AE57" s="74">
        <v>0</v>
      </c>
      <c r="AF57" s="73">
        <v>0</v>
      </c>
      <c r="AG57" s="73">
        <v>0</v>
      </c>
      <c r="AH57" s="113">
        <f t="shared" si="23"/>
        <v>14624.49</v>
      </c>
      <c r="AI57" s="115" t="s">
        <v>71</v>
      </c>
      <c r="AJ57" s="92">
        <f>66172.36-5820</f>
        <v>60352.36</v>
      </c>
      <c r="AK57" s="79"/>
      <c r="AL57" s="8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</row>
    <row r="58" spans="1:132" s="118" customFormat="1" ht="12.75" customHeight="1" x14ac:dyDescent="0.2">
      <c r="A58" s="71" t="s">
        <v>161</v>
      </c>
      <c r="B58" s="117">
        <f>14800+14800</f>
        <v>29600</v>
      </c>
      <c r="C58" s="64">
        <f>14800-122.94+14800</f>
        <v>29477.059999999998</v>
      </c>
      <c r="D58" s="64">
        <v>0</v>
      </c>
      <c r="E58" s="64">
        <v>0</v>
      </c>
      <c r="F58" s="64">
        <v>0</v>
      </c>
      <c r="G58" s="73">
        <f t="shared" si="16"/>
        <v>29477.059999999998</v>
      </c>
      <c r="H58" s="73">
        <v>1327.5</v>
      </c>
      <c r="I58" s="73">
        <f>1900+902.5</f>
        <v>2802.5</v>
      </c>
      <c r="J58" s="73">
        <f t="shared" si="17"/>
        <v>4130</v>
      </c>
      <c r="K58" s="73">
        <v>30</v>
      </c>
      <c r="L58" s="73">
        <v>0</v>
      </c>
      <c r="M58" s="73">
        <v>0</v>
      </c>
      <c r="N58" s="73">
        <f t="shared" si="18"/>
        <v>740</v>
      </c>
      <c r="O58" s="73">
        <f t="shared" si="19"/>
        <v>740</v>
      </c>
      <c r="P58" s="74">
        <f t="shared" si="20"/>
        <v>1480</v>
      </c>
      <c r="Q58" s="74">
        <f>(G58-H58-N58-R58-20833)*15%</f>
        <v>956.48399999999958</v>
      </c>
      <c r="R58" s="74">
        <v>200</v>
      </c>
      <c r="S58" s="74">
        <f t="shared" si="21"/>
        <v>200</v>
      </c>
      <c r="T58" s="64">
        <v>0</v>
      </c>
      <c r="U58" s="73">
        <v>0</v>
      </c>
      <c r="V58" s="73">
        <v>0</v>
      </c>
      <c r="W58" s="73">
        <v>0</v>
      </c>
      <c r="X58" s="73">
        <v>0</v>
      </c>
      <c r="Y58" s="73"/>
      <c r="Z58" s="73"/>
      <c r="AA58" s="73">
        <f t="shared" si="22"/>
        <v>26253.075999999997</v>
      </c>
      <c r="AB58" s="73">
        <f>7200+7200</f>
        <v>14400</v>
      </c>
      <c r="AC58" s="73">
        <v>0</v>
      </c>
      <c r="AD58" s="73">
        <v>0</v>
      </c>
      <c r="AE58" s="74">
        <v>0</v>
      </c>
      <c r="AF58" s="73">
        <v>0</v>
      </c>
      <c r="AG58" s="73">
        <v>0</v>
      </c>
      <c r="AH58" s="113">
        <f t="shared" si="23"/>
        <v>40653.076000000001</v>
      </c>
      <c r="AI58" s="119" t="s">
        <v>64</v>
      </c>
      <c r="AJ58" s="120">
        <v>7200</v>
      </c>
      <c r="AK58" s="79" t="s">
        <v>79</v>
      </c>
      <c r="AL58" s="8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</row>
    <row r="59" spans="1:132" s="86" customFormat="1" x14ac:dyDescent="0.25">
      <c r="A59" s="71" t="s">
        <v>162</v>
      </c>
      <c r="B59" s="64">
        <f>7000+7000</f>
        <v>14000</v>
      </c>
      <c r="C59" s="64">
        <f>7000-54.79-33.54+7000-40.25-536.74</f>
        <v>13334.68</v>
      </c>
      <c r="D59" s="64">
        <v>0</v>
      </c>
      <c r="E59" s="64">
        <v>0</v>
      </c>
      <c r="F59" s="64">
        <v>0</v>
      </c>
      <c r="G59" s="73">
        <f t="shared" si="16"/>
        <v>13334.68</v>
      </c>
      <c r="H59" s="73">
        <v>630</v>
      </c>
      <c r="I59" s="73">
        <v>1330</v>
      </c>
      <c r="J59" s="73">
        <f t="shared" si="17"/>
        <v>1960</v>
      </c>
      <c r="K59" s="73">
        <v>10</v>
      </c>
      <c r="L59" s="73">
        <v>392.23</v>
      </c>
      <c r="M59" s="73"/>
      <c r="N59" s="73">
        <f t="shared" si="18"/>
        <v>350</v>
      </c>
      <c r="O59" s="73">
        <f t="shared" si="19"/>
        <v>350</v>
      </c>
      <c r="P59" s="74">
        <f t="shared" si="20"/>
        <v>700</v>
      </c>
      <c r="Q59" s="73"/>
      <c r="R59" s="74">
        <v>200</v>
      </c>
      <c r="S59" s="73">
        <f t="shared" si="21"/>
        <v>200</v>
      </c>
      <c r="T59" s="72"/>
      <c r="U59" s="73"/>
      <c r="V59" s="73"/>
      <c r="W59" s="73"/>
      <c r="X59" s="73">
        <v>0</v>
      </c>
      <c r="Y59" s="73"/>
      <c r="Z59" s="73"/>
      <c r="AA59" s="73">
        <f t="shared" si="22"/>
        <v>11762.45</v>
      </c>
      <c r="AB59" s="73">
        <v>0</v>
      </c>
      <c r="AC59" s="73">
        <v>0</v>
      </c>
      <c r="AD59" s="73">
        <v>0</v>
      </c>
      <c r="AE59" s="74">
        <v>0</v>
      </c>
      <c r="AF59" s="73">
        <v>0</v>
      </c>
      <c r="AG59" s="73">
        <v>0</v>
      </c>
      <c r="AH59" s="78">
        <f t="shared" si="23"/>
        <v>11762.45</v>
      </c>
      <c r="AI59" s="116" t="s">
        <v>80</v>
      </c>
      <c r="AJ59" s="94">
        <v>5820</v>
      </c>
      <c r="AK59" s="79" t="s">
        <v>21</v>
      </c>
      <c r="AL59" s="80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  <c r="CX59" s="85"/>
      <c r="CY59" s="85"/>
      <c r="CZ59" s="85"/>
      <c r="DA59" s="85"/>
      <c r="DB59" s="85"/>
      <c r="DC59" s="85"/>
      <c r="DD59" s="85"/>
      <c r="DE59" s="85"/>
      <c r="DF59" s="85"/>
      <c r="DG59" s="85"/>
      <c r="DH59" s="85"/>
      <c r="DI59" s="85"/>
      <c r="DJ59" s="85"/>
      <c r="DK59" s="85"/>
      <c r="DL59" s="85"/>
      <c r="DM59" s="85"/>
      <c r="DN59" s="85"/>
      <c r="DO59" s="85"/>
      <c r="DP59" s="85"/>
      <c r="DQ59" s="85"/>
      <c r="DR59" s="85"/>
      <c r="DS59" s="85"/>
      <c r="DT59" s="85"/>
      <c r="DU59" s="85"/>
      <c r="DV59" s="85"/>
      <c r="DW59" s="85"/>
      <c r="DX59" s="85"/>
      <c r="DY59" s="85"/>
      <c r="DZ59" s="85"/>
      <c r="EA59" s="85"/>
      <c r="EB59" s="85"/>
    </row>
    <row r="60" spans="1:132" ht="15.75" thickBot="1" x14ac:dyDescent="0.3">
      <c r="A60" s="100"/>
      <c r="B60" s="121">
        <f t="shared" ref="B60:AH60" si="24">SUM(B52:B59)</f>
        <v>162494</v>
      </c>
      <c r="C60" s="121">
        <f t="shared" si="24"/>
        <v>156005.53</v>
      </c>
      <c r="D60" s="121">
        <f t="shared" si="24"/>
        <v>0</v>
      </c>
      <c r="E60" s="121">
        <f t="shared" si="24"/>
        <v>681.89</v>
      </c>
      <c r="F60" s="121">
        <f t="shared" si="24"/>
        <v>0</v>
      </c>
      <c r="G60" s="121">
        <f t="shared" si="24"/>
        <v>156687.41999999998</v>
      </c>
      <c r="H60" s="121">
        <f t="shared" si="24"/>
        <v>7312.5</v>
      </c>
      <c r="I60" s="121">
        <f t="shared" si="24"/>
        <v>15437.5</v>
      </c>
      <c r="J60" s="121">
        <f t="shared" si="24"/>
        <v>22750</v>
      </c>
      <c r="K60" s="121">
        <f t="shared" si="24"/>
        <v>200</v>
      </c>
      <c r="L60" s="121">
        <f t="shared" si="24"/>
        <v>2053.4499999999998</v>
      </c>
      <c r="M60" s="121">
        <f t="shared" si="24"/>
        <v>0</v>
      </c>
      <c r="N60" s="121">
        <f t="shared" si="24"/>
        <v>4062.3500000000004</v>
      </c>
      <c r="O60" s="121">
        <f t="shared" si="24"/>
        <v>4062.3500000000004</v>
      </c>
      <c r="P60" s="121">
        <f t="shared" si="24"/>
        <v>8124.7000000000007</v>
      </c>
      <c r="Q60" s="121">
        <f t="shared" si="24"/>
        <v>2039.4134999999992</v>
      </c>
      <c r="R60" s="121">
        <f t="shared" si="24"/>
        <v>1600</v>
      </c>
      <c r="S60" s="121">
        <f t="shared" si="24"/>
        <v>1600</v>
      </c>
      <c r="T60" s="121">
        <f t="shared" si="24"/>
        <v>941.46</v>
      </c>
      <c r="U60" s="121">
        <f t="shared" si="24"/>
        <v>0</v>
      </c>
      <c r="V60" s="121">
        <f t="shared" si="24"/>
        <v>0</v>
      </c>
      <c r="W60" s="121">
        <f t="shared" si="24"/>
        <v>0</v>
      </c>
      <c r="X60" s="121">
        <f t="shared" si="24"/>
        <v>0</v>
      </c>
      <c r="Y60" s="121">
        <f t="shared" si="24"/>
        <v>0</v>
      </c>
      <c r="Z60" s="121">
        <f t="shared" si="24"/>
        <v>0</v>
      </c>
      <c r="AA60" s="121">
        <f t="shared" si="24"/>
        <v>138678.24650000001</v>
      </c>
      <c r="AB60" s="121">
        <f t="shared" si="24"/>
        <v>14400</v>
      </c>
      <c r="AC60" s="121">
        <f t="shared" si="24"/>
        <v>0</v>
      </c>
      <c r="AD60" s="121">
        <f t="shared" si="24"/>
        <v>0</v>
      </c>
      <c r="AE60" s="121">
        <f t="shared" si="24"/>
        <v>0</v>
      </c>
      <c r="AF60" s="121">
        <f t="shared" si="24"/>
        <v>0</v>
      </c>
      <c r="AG60" s="121">
        <f t="shared" si="24"/>
        <v>0</v>
      </c>
      <c r="AH60" s="121">
        <f t="shared" si="24"/>
        <v>153078.24650000001</v>
      </c>
      <c r="AI60" s="116" t="s">
        <v>81</v>
      </c>
      <c r="AJ60" s="122">
        <f>AJ57+AJ58+AJ59</f>
        <v>73372.36</v>
      </c>
      <c r="AK60" s="50"/>
      <c r="AL60" s="8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</row>
    <row r="61" spans="1:132" ht="15.75" thickTop="1" x14ac:dyDescent="0.25">
      <c r="A61" s="85"/>
      <c r="B61" s="83"/>
      <c r="C61" s="83" t="s">
        <v>21</v>
      </c>
      <c r="D61" s="102"/>
      <c r="E61" s="102"/>
      <c r="F61" s="102"/>
      <c r="G61" s="32">
        <f>75500.8+81186.62</f>
        <v>156687.41999999998</v>
      </c>
      <c r="H61" s="32"/>
      <c r="I61" s="102"/>
      <c r="J61" s="102" t="s">
        <v>21</v>
      </c>
      <c r="K61" s="102"/>
      <c r="L61" s="102"/>
      <c r="M61" s="102"/>
      <c r="N61" s="32"/>
      <c r="O61" s="102"/>
      <c r="P61" s="102" t="s">
        <v>21</v>
      </c>
      <c r="Q61" s="102"/>
      <c r="R61" s="32"/>
      <c r="S61" s="102"/>
      <c r="T61" s="83"/>
      <c r="U61" s="102"/>
      <c r="V61" s="102"/>
      <c r="W61" s="102"/>
      <c r="X61" s="102"/>
      <c r="Y61" s="102"/>
      <c r="Z61" s="102"/>
      <c r="AA61" s="102">
        <f>72505.89+66172.36</f>
        <v>138678.25</v>
      </c>
      <c r="AB61" s="102"/>
      <c r="AC61" s="102"/>
      <c r="AD61" s="102"/>
      <c r="AE61" s="102"/>
      <c r="AF61" s="102"/>
      <c r="AG61" s="83"/>
      <c r="AH61" s="49">
        <f>G60-H60-L60-N60-Q60-R60-T60+AB60</f>
        <v>153078.24649999998</v>
      </c>
      <c r="AI61" s="119" t="s">
        <v>68</v>
      </c>
      <c r="AJ61" s="110">
        <f>AJ60+AJ56</f>
        <v>153078.25</v>
      </c>
      <c r="AK61" s="84" t="s">
        <v>21</v>
      </c>
      <c r="AL61" s="8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</row>
    <row r="62" spans="1:132" x14ac:dyDescent="0.25">
      <c r="A62" s="30" t="s">
        <v>84</v>
      </c>
      <c r="B62" s="83"/>
      <c r="C62" s="83" t="s">
        <v>21</v>
      </c>
      <c r="D62" s="102"/>
      <c r="E62" s="102"/>
      <c r="F62" s="102"/>
      <c r="G62" s="32" t="s">
        <v>21</v>
      </c>
      <c r="H62" s="32"/>
      <c r="I62" s="102"/>
      <c r="J62" s="102"/>
      <c r="K62" s="102"/>
      <c r="L62" s="102"/>
      <c r="M62" s="102"/>
      <c r="N62" s="102"/>
      <c r="O62" s="102"/>
      <c r="P62" s="102"/>
      <c r="Q62" s="102" t="s">
        <v>21</v>
      </c>
      <c r="R62" s="102"/>
      <c r="S62" s="102"/>
      <c r="T62" s="83"/>
      <c r="U62" s="102"/>
      <c r="V62" s="102"/>
      <c r="W62" s="102"/>
      <c r="X62" s="102"/>
      <c r="Y62" s="102"/>
      <c r="Z62" s="102" t="s">
        <v>21</v>
      </c>
      <c r="AA62" s="32" t="s">
        <v>21</v>
      </c>
      <c r="AB62" s="102"/>
      <c r="AC62" s="102"/>
      <c r="AD62" s="102"/>
      <c r="AE62" s="102"/>
      <c r="AF62" s="102"/>
      <c r="AG62" s="83"/>
      <c r="AH62" s="49" t="s">
        <v>21</v>
      </c>
      <c r="AI62" s="87" t="s">
        <v>21</v>
      </c>
      <c r="AJ62" s="92" t="s">
        <v>21</v>
      </c>
      <c r="AK62" s="79" t="s">
        <v>21</v>
      </c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</row>
    <row r="63" spans="1:132" ht="17.25" customHeight="1" x14ac:dyDescent="0.25">
      <c r="A63" s="37" t="s">
        <v>121</v>
      </c>
      <c r="B63" s="37" t="s">
        <v>2</v>
      </c>
      <c r="C63" s="37" t="s">
        <v>3</v>
      </c>
      <c r="D63" s="38" t="s">
        <v>85</v>
      </c>
      <c r="E63" s="38" t="s">
        <v>86</v>
      </c>
      <c r="F63" s="38" t="s">
        <v>6</v>
      </c>
      <c r="G63" s="38" t="s">
        <v>7</v>
      </c>
      <c r="H63" s="39" t="s">
        <v>21</v>
      </c>
      <c r="I63" s="39"/>
      <c r="J63" s="39"/>
      <c r="K63" s="39"/>
      <c r="L63" s="38" t="s">
        <v>9</v>
      </c>
      <c r="M63" s="38" t="s">
        <v>10</v>
      </c>
      <c r="N63" s="39" t="s">
        <v>11</v>
      </c>
      <c r="O63" s="39"/>
      <c r="P63" s="39"/>
      <c r="Q63" s="40" t="s">
        <v>12</v>
      </c>
      <c r="R63" s="41" t="s">
        <v>13</v>
      </c>
      <c r="S63" s="42"/>
      <c r="T63" s="43" t="s">
        <v>14</v>
      </c>
      <c r="U63" s="40" t="s">
        <v>15</v>
      </c>
      <c r="V63" s="40" t="s">
        <v>16</v>
      </c>
      <c r="W63" s="40" t="s">
        <v>17</v>
      </c>
      <c r="X63" s="41" t="s">
        <v>18</v>
      </c>
      <c r="Y63" s="40" t="s">
        <v>19</v>
      </c>
      <c r="Z63" s="44"/>
      <c r="AA63" s="40" t="s">
        <v>20</v>
      </c>
      <c r="AB63" s="45" t="s">
        <v>31</v>
      </c>
      <c r="AC63" s="46"/>
      <c r="AD63" s="46"/>
      <c r="AE63" s="47"/>
      <c r="AF63" s="40" t="s">
        <v>22</v>
      </c>
      <c r="AG63" s="123"/>
      <c r="AH63" s="48" t="s">
        <v>24</v>
      </c>
      <c r="AI63" s="87"/>
      <c r="AJ63" s="92"/>
      <c r="AK63" s="79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</row>
    <row r="64" spans="1:132" ht="13.5" customHeight="1" x14ac:dyDescent="0.25">
      <c r="A64" s="37"/>
      <c r="B64" s="37"/>
      <c r="C64" s="37"/>
      <c r="D64" s="38"/>
      <c r="E64" s="38"/>
      <c r="F64" s="38"/>
      <c r="G64" s="38"/>
      <c r="H64" s="39" t="s">
        <v>25</v>
      </c>
      <c r="I64" s="39" t="s">
        <v>26</v>
      </c>
      <c r="J64" s="39" t="s">
        <v>27</v>
      </c>
      <c r="K64" s="40" t="s">
        <v>28</v>
      </c>
      <c r="L64" s="38"/>
      <c r="M64" s="38"/>
      <c r="N64" s="51" t="s">
        <v>25</v>
      </c>
      <c r="O64" s="51" t="s">
        <v>26</v>
      </c>
      <c r="P64" s="51" t="s">
        <v>29</v>
      </c>
      <c r="Q64" s="52"/>
      <c r="R64" s="53"/>
      <c r="S64" s="54"/>
      <c r="T64" s="55"/>
      <c r="U64" s="52"/>
      <c r="V64" s="52"/>
      <c r="W64" s="52"/>
      <c r="X64" s="56"/>
      <c r="Y64" s="52"/>
      <c r="Z64" s="124" t="s">
        <v>87</v>
      </c>
      <c r="AA64" s="52"/>
      <c r="AB64" s="59"/>
      <c r="AC64" s="60"/>
      <c r="AD64" s="60"/>
      <c r="AE64" s="61"/>
      <c r="AF64" s="52"/>
      <c r="AG64" s="125"/>
      <c r="AH64" s="62"/>
      <c r="AI64" s="87"/>
      <c r="AJ64" s="92"/>
      <c r="AK64" s="79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</row>
    <row r="65" spans="1:132" ht="24.75" customHeight="1" x14ac:dyDescent="0.25">
      <c r="A65" s="37"/>
      <c r="B65" s="37"/>
      <c r="C65" s="37"/>
      <c r="D65" s="38"/>
      <c r="E65" s="38"/>
      <c r="F65" s="38"/>
      <c r="G65" s="38"/>
      <c r="H65" s="39"/>
      <c r="I65" s="39"/>
      <c r="J65" s="39"/>
      <c r="K65" s="63"/>
      <c r="L65" s="38"/>
      <c r="M65" s="38"/>
      <c r="N65" s="51"/>
      <c r="O65" s="51"/>
      <c r="P65" s="51"/>
      <c r="Q65" s="63"/>
      <c r="R65" s="64" t="s">
        <v>25</v>
      </c>
      <c r="S65" s="64" t="s">
        <v>26</v>
      </c>
      <c r="T65" s="65"/>
      <c r="U65" s="63"/>
      <c r="V65" s="63"/>
      <c r="W65" s="63"/>
      <c r="X65" s="53"/>
      <c r="Y65" s="63"/>
      <c r="Z65" s="126"/>
      <c r="AA65" s="63"/>
      <c r="AB65" s="67" t="s">
        <v>33</v>
      </c>
      <c r="AC65" s="68" t="s">
        <v>34</v>
      </c>
      <c r="AD65" s="68" t="s">
        <v>35</v>
      </c>
      <c r="AE65" s="67" t="s">
        <v>36</v>
      </c>
      <c r="AF65" s="63"/>
      <c r="AG65" s="97" t="s">
        <v>88</v>
      </c>
      <c r="AH65" s="69"/>
      <c r="AI65" s="87" t="s">
        <v>62</v>
      </c>
      <c r="AJ65" s="92">
        <v>4419.75</v>
      </c>
      <c r="AK65" s="79" t="s">
        <v>79</v>
      </c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</row>
    <row r="66" spans="1:132" x14ac:dyDescent="0.25">
      <c r="A66" s="71" t="s">
        <v>173</v>
      </c>
      <c r="B66" s="113">
        <f>7500+7500</f>
        <v>15000</v>
      </c>
      <c r="C66" s="64">
        <f>7500-162.93+7500-13.18</f>
        <v>14823.89</v>
      </c>
      <c r="D66" s="64">
        <v>0</v>
      </c>
      <c r="E66" s="64"/>
      <c r="F66" s="74"/>
      <c r="G66" s="73">
        <f>D66+C66+E66+F66</f>
        <v>14823.89</v>
      </c>
      <c r="H66" s="73">
        <v>675</v>
      </c>
      <c r="I66" s="74">
        <v>1425</v>
      </c>
      <c r="J66" s="73">
        <f>H66+I66</f>
        <v>2100</v>
      </c>
      <c r="K66" s="74">
        <v>30</v>
      </c>
      <c r="L66" s="127">
        <v>1568.93</v>
      </c>
      <c r="M66" s="127">
        <v>0</v>
      </c>
      <c r="N66" s="73">
        <f>B66*5%/2</f>
        <v>375</v>
      </c>
      <c r="O66" s="127">
        <f>N66</f>
        <v>375</v>
      </c>
      <c r="P66" s="74">
        <f>N66+O66</f>
        <v>750</v>
      </c>
      <c r="Q66" s="127">
        <v>0</v>
      </c>
      <c r="R66" s="128">
        <v>200</v>
      </c>
      <c r="S66" s="128">
        <f>R66</f>
        <v>200</v>
      </c>
      <c r="T66" s="129">
        <v>1348.39</v>
      </c>
      <c r="U66" s="129">
        <v>0</v>
      </c>
      <c r="V66" s="129">
        <v>0</v>
      </c>
      <c r="W66" s="77">
        <v>0</v>
      </c>
      <c r="X66" s="73">
        <v>0</v>
      </c>
      <c r="Y66" s="73"/>
      <c r="Z66" s="73"/>
      <c r="AA66" s="73">
        <f>G66-H66-L66-M66-N66-Q66-R66-T66</f>
        <v>10656.57</v>
      </c>
      <c r="AB66" s="74">
        <v>0</v>
      </c>
      <c r="AC66" s="74">
        <v>0</v>
      </c>
      <c r="AD66" s="74">
        <v>0</v>
      </c>
      <c r="AE66" s="74">
        <v>0</v>
      </c>
      <c r="AF66" s="74">
        <v>0</v>
      </c>
      <c r="AG66" s="74">
        <v>0</v>
      </c>
      <c r="AH66" s="113">
        <f>AA66+AB66+AC66+AD66+AE66+AF66+AG66</f>
        <v>10656.57</v>
      </c>
      <c r="AI66" s="87" t="s">
        <v>71</v>
      </c>
      <c r="AJ66" s="92">
        <v>6236.82</v>
      </c>
      <c r="AK66" s="79" t="s">
        <v>79</v>
      </c>
      <c r="AL66" s="50">
        <v>6326.15</v>
      </c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</row>
    <row r="67" spans="1:132" ht="15.75" thickBot="1" x14ac:dyDescent="0.3">
      <c r="A67" s="100"/>
      <c r="B67" s="130">
        <f>B66</f>
        <v>15000</v>
      </c>
      <c r="C67" s="131">
        <f>SUM(C66:C66)</f>
        <v>14823.89</v>
      </c>
      <c r="D67" s="131">
        <f t="shared" ref="D67:AH67" si="25">D66</f>
        <v>0</v>
      </c>
      <c r="E67" s="131">
        <f t="shared" si="25"/>
        <v>0</v>
      </c>
      <c r="F67" s="131">
        <f t="shared" si="25"/>
        <v>0</v>
      </c>
      <c r="G67" s="131">
        <f t="shared" si="25"/>
        <v>14823.89</v>
      </c>
      <c r="H67" s="131">
        <f t="shared" si="25"/>
        <v>675</v>
      </c>
      <c r="I67" s="131">
        <f t="shared" si="25"/>
        <v>1425</v>
      </c>
      <c r="J67" s="131">
        <f t="shared" si="25"/>
        <v>2100</v>
      </c>
      <c r="K67" s="131">
        <f t="shared" si="25"/>
        <v>30</v>
      </c>
      <c r="L67" s="131">
        <f t="shared" si="25"/>
        <v>1568.93</v>
      </c>
      <c r="M67" s="131">
        <f t="shared" si="25"/>
        <v>0</v>
      </c>
      <c r="N67" s="131">
        <f t="shared" si="25"/>
        <v>375</v>
      </c>
      <c r="O67" s="131">
        <f t="shared" si="25"/>
        <v>375</v>
      </c>
      <c r="P67" s="131">
        <f t="shared" si="25"/>
        <v>750</v>
      </c>
      <c r="Q67" s="131">
        <f t="shared" si="25"/>
        <v>0</v>
      </c>
      <c r="R67" s="131">
        <f t="shared" si="25"/>
        <v>200</v>
      </c>
      <c r="S67" s="131">
        <f t="shared" si="25"/>
        <v>200</v>
      </c>
      <c r="T67" s="131">
        <f t="shared" si="25"/>
        <v>1348.39</v>
      </c>
      <c r="U67" s="131">
        <f t="shared" si="25"/>
        <v>0</v>
      </c>
      <c r="V67" s="131">
        <f t="shared" si="25"/>
        <v>0</v>
      </c>
      <c r="W67" s="131">
        <f t="shared" si="25"/>
        <v>0</v>
      </c>
      <c r="X67" s="131">
        <f t="shared" si="25"/>
        <v>0</v>
      </c>
      <c r="Y67" s="131">
        <f t="shared" si="25"/>
        <v>0</v>
      </c>
      <c r="Z67" s="131">
        <f t="shared" si="25"/>
        <v>0</v>
      </c>
      <c r="AA67" s="131">
        <f t="shared" si="25"/>
        <v>10656.57</v>
      </c>
      <c r="AB67" s="131">
        <f t="shared" si="25"/>
        <v>0</v>
      </c>
      <c r="AC67" s="131">
        <f t="shared" si="25"/>
        <v>0</v>
      </c>
      <c r="AD67" s="131">
        <f t="shared" si="25"/>
        <v>0</v>
      </c>
      <c r="AE67" s="131">
        <f t="shared" si="25"/>
        <v>0</v>
      </c>
      <c r="AF67" s="131">
        <f t="shared" si="25"/>
        <v>0</v>
      </c>
      <c r="AG67" s="131">
        <f t="shared" si="25"/>
        <v>0</v>
      </c>
      <c r="AH67" s="131">
        <f t="shared" si="25"/>
        <v>10656.57</v>
      </c>
      <c r="AI67" s="87"/>
      <c r="AJ67" s="93"/>
      <c r="AK67" s="79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</row>
    <row r="68" spans="1:132" ht="15.75" thickTop="1" x14ac:dyDescent="0.25">
      <c r="A68" s="85"/>
      <c r="B68" s="83"/>
      <c r="C68" s="83" t="s">
        <v>21</v>
      </c>
      <c r="D68" s="102"/>
      <c r="E68" s="102"/>
      <c r="F68" s="102"/>
      <c r="G68" s="32" t="s">
        <v>21</v>
      </c>
      <c r="H68" s="3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83"/>
      <c r="U68" s="102"/>
      <c r="V68" s="102"/>
      <c r="W68" s="102"/>
      <c r="X68" s="102"/>
      <c r="Y68" s="102"/>
      <c r="Z68" s="102"/>
      <c r="AA68" s="102">
        <f>4419.75+6236.82</f>
        <v>10656.57</v>
      </c>
      <c r="AB68" s="102"/>
      <c r="AC68" s="102"/>
      <c r="AD68" s="102"/>
      <c r="AE68" s="102"/>
      <c r="AF68" s="102"/>
      <c r="AG68" s="83"/>
      <c r="AH68" s="49">
        <f>4419.75+6236.82</f>
        <v>10656.57</v>
      </c>
      <c r="AI68" s="87" t="s">
        <v>68</v>
      </c>
      <c r="AJ68" s="104">
        <f>AJ66+AJ65</f>
        <v>10656.57</v>
      </c>
      <c r="AK68" s="50" t="s">
        <v>21</v>
      </c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</row>
    <row r="69" spans="1:132" x14ac:dyDescent="0.25">
      <c r="A69" s="30" t="s">
        <v>21</v>
      </c>
      <c r="B69" s="83"/>
      <c r="C69" s="83" t="s">
        <v>21</v>
      </c>
      <c r="D69" s="102"/>
      <c r="E69" s="102"/>
      <c r="F69" s="102"/>
      <c r="G69" s="32" t="s">
        <v>21</v>
      </c>
      <c r="H69" s="32"/>
      <c r="I69" s="102"/>
      <c r="J69" s="102"/>
      <c r="K69" s="102"/>
      <c r="L69" s="102"/>
      <c r="M69" s="102"/>
      <c r="N69" s="102"/>
      <c r="O69" s="102"/>
      <c r="P69" s="102"/>
      <c r="Q69" s="102" t="s">
        <v>21</v>
      </c>
      <c r="R69" s="102"/>
      <c r="S69" s="102"/>
      <c r="T69" s="83"/>
      <c r="U69" s="102"/>
      <c r="V69" s="102"/>
      <c r="W69" s="102"/>
      <c r="X69" s="102"/>
      <c r="Y69" s="102"/>
      <c r="Z69" s="102" t="s">
        <v>21</v>
      </c>
      <c r="AA69" s="32"/>
      <c r="AB69" s="102"/>
      <c r="AC69" s="102"/>
      <c r="AD69" s="102"/>
      <c r="AE69" s="102"/>
      <c r="AF69" s="102"/>
      <c r="AG69" s="83"/>
      <c r="AH69" s="49"/>
      <c r="AI69" s="87" t="s">
        <v>21</v>
      </c>
      <c r="AJ69" s="92" t="s">
        <v>21</v>
      </c>
      <c r="AK69" s="79" t="s">
        <v>21</v>
      </c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</row>
    <row r="70" spans="1:132" x14ac:dyDescent="0.25">
      <c r="A70" s="30"/>
      <c r="B70" s="83"/>
      <c r="C70" s="83"/>
      <c r="D70" s="102"/>
      <c r="E70" s="102"/>
      <c r="F70" s="102"/>
      <c r="G70" s="32"/>
      <c r="H70" s="3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83"/>
      <c r="U70" s="102"/>
      <c r="V70" s="102"/>
      <c r="W70" s="102"/>
      <c r="X70" s="102"/>
      <c r="Y70" s="102"/>
      <c r="Z70" s="102"/>
      <c r="AA70" s="32"/>
      <c r="AB70" s="102"/>
      <c r="AC70" s="102"/>
      <c r="AD70" s="102"/>
      <c r="AE70" s="102"/>
      <c r="AF70" s="102"/>
      <c r="AG70" s="83"/>
      <c r="AH70" s="49"/>
      <c r="AI70" s="87"/>
      <c r="AJ70" s="92"/>
      <c r="AK70" s="79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</row>
    <row r="71" spans="1:132" x14ac:dyDescent="0.25">
      <c r="A71" s="30"/>
      <c r="B71" s="83"/>
      <c r="C71" s="83"/>
      <c r="D71" s="102"/>
      <c r="E71" s="102"/>
      <c r="F71" s="102"/>
      <c r="G71" s="32"/>
      <c r="H71" s="3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83"/>
      <c r="U71" s="102"/>
      <c r="V71" s="102"/>
      <c r="W71" s="102"/>
      <c r="X71" s="102"/>
      <c r="Y71" s="102"/>
      <c r="Z71" s="102"/>
      <c r="AA71" s="32"/>
      <c r="AB71" s="102"/>
      <c r="AC71" s="102"/>
      <c r="AD71" s="102"/>
      <c r="AE71" s="102"/>
      <c r="AF71" s="102"/>
      <c r="AG71" s="83"/>
      <c r="AH71" s="49"/>
      <c r="AI71" s="87"/>
      <c r="AJ71" s="92"/>
      <c r="AK71" s="79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</row>
    <row r="72" spans="1:132" x14ac:dyDescent="0.25">
      <c r="A72" s="85"/>
      <c r="B72" s="83"/>
      <c r="C72" s="83"/>
      <c r="D72" s="102"/>
      <c r="E72" s="102"/>
      <c r="F72" s="102"/>
      <c r="G72" s="32"/>
      <c r="H72" s="3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83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83"/>
      <c r="AH72" s="49"/>
      <c r="AI72" s="87"/>
      <c r="AJ72" s="132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</row>
    <row r="73" spans="1:132" x14ac:dyDescent="0.25">
      <c r="A73" s="85"/>
      <c r="B73" s="83"/>
      <c r="C73" s="83"/>
      <c r="D73" s="102"/>
      <c r="E73" s="102"/>
      <c r="F73" s="102"/>
      <c r="G73" s="32"/>
      <c r="H73" s="3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83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83"/>
      <c r="AH73" s="49"/>
      <c r="AI73" s="87"/>
      <c r="AJ73" s="132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</row>
    <row r="74" spans="1:132" x14ac:dyDescent="0.25">
      <c r="A74" s="30" t="s">
        <v>89</v>
      </c>
      <c r="B74" s="83"/>
      <c r="C74" s="83"/>
      <c r="D74" s="102"/>
      <c r="E74" s="102"/>
      <c r="F74" s="102"/>
      <c r="G74" s="32"/>
      <c r="H74" s="3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83"/>
      <c r="U74" s="102"/>
      <c r="V74" s="102"/>
      <c r="W74" s="102"/>
      <c r="X74" s="102"/>
      <c r="Y74" s="102"/>
      <c r="Z74" s="102"/>
      <c r="AA74" s="102" t="s">
        <v>21</v>
      </c>
      <c r="AB74" s="102"/>
      <c r="AC74" s="102" t="s">
        <v>21</v>
      </c>
      <c r="AD74" s="102" t="s">
        <v>21</v>
      </c>
      <c r="AE74" s="102" t="s">
        <v>21</v>
      </c>
      <c r="AF74" s="102"/>
      <c r="AG74" s="83"/>
      <c r="AH74" s="49"/>
      <c r="AI74" s="50"/>
      <c r="AJ74" s="49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</row>
    <row r="75" spans="1:132" ht="13.15" customHeight="1" x14ac:dyDescent="0.25">
      <c r="A75" s="37" t="s">
        <v>121</v>
      </c>
      <c r="B75" s="37" t="s">
        <v>2</v>
      </c>
      <c r="C75" s="37" t="s">
        <v>3</v>
      </c>
      <c r="D75" s="38" t="s">
        <v>85</v>
      </c>
      <c r="E75" s="38" t="s">
        <v>5</v>
      </c>
      <c r="F75" s="38" t="s">
        <v>6</v>
      </c>
      <c r="G75" s="38" t="s">
        <v>7</v>
      </c>
      <c r="H75" s="39" t="s">
        <v>8</v>
      </c>
      <c r="I75" s="39"/>
      <c r="J75" s="39"/>
      <c r="K75" s="39"/>
      <c r="L75" s="38" t="s">
        <v>9</v>
      </c>
      <c r="M75" s="38" t="s">
        <v>10</v>
      </c>
      <c r="N75" s="39" t="s">
        <v>11</v>
      </c>
      <c r="O75" s="39"/>
      <c r="P75" s="39"/>
      <c r="Q75" s="40" t="s">
        <v>12</v>
      </c>
      <c r="R75" s="133" t="s">
        <v>13</v>
      </c>
      <c r="S75" s="134"/>
      <c r="T75" s="43" t="s">
        <v>14</v>
      </c>
      <c r="U75" s="40" t="s">
        <v>15</v>
      </c>
      <c r="V75" s="40" t="s">
        <v>16</v>
      </c>
      <c r="W75" s="40" t="s">
        <v>17</v>
      </c>
      <c r="X75" s="41" t="s">
        <v>18</v>
      </c>
      <c r="Y75" s="40" t="s">
        <v>19</v>
      </c>
      <c r="Z75" s="44"/>
      <c r="AA75" s="40" t="s">
        <v>20</v>
      </c>
      <c r="AB75" s="45" t="s">
        <v>31</v>
      </c>
      <c r="AC75" s="46"/>
      <c r="AD75" s="46"/>
      <c r="AE75" s="46"/>
      <c r="AF75" s="135" t="s">
        <v>90</v>
      </c>
      <c r="AG75" s="136"/>
      <c r="AH75" s="137" t="s">
        <v>24</v>
      </c>
      <c r="AI75" s="87"/>
      <c r="AJ75" s="92"/>
      <c r="AK75" s="79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</row>
    <row r="76" spans="1:132" ht="12.75" customHeight="1" x14ac:dyDescent="0.25">
      <c r="A76" s="37"/>
      <c r="B76" s="37"/>
      <c r="C76" s="37"/>
      <c r="D76" s="38"/>
      <c r="E76" s="38"/>
      <c r="F76" s="38"/>
      <c r="G76" s="38"/>
      <c r="H76" s="39" t="s">
        <v>25</v>
      </c>
      <c r="I76" s="39" t="s">
        <v>26</v>
      </c>
      <c r="J76" s="39" t="s">
        <v>27</v>
      </c>
      <c r="K76" s="40" t="s">
        <v>28</v>
      </c>
      <c r="L76" s="38"/>
      <c r="M76" s="38"/>
      <c r="N76" s="51" t="s">
        <v>25</v>
      </c>
      <c r="O76" s="51" t="s">
        <v>26</v>
      </c>
      <c r="P76" s="51" t="s">
        <v>29</v>
      </c>
      <c r="Q76" s="52"/>
      <c r="R76" s="48" t="s">
        <v>25</v>
      </c>
      <c r="S76" s="48" t="s">
        <v>26</v>
      </c>
      <c r="T76" s="55"/>
      <c r="U76" s="52"/>
      <c r="V76" s="52"/>
      <c r="W76" s="52"/>
      <c r="X76" s="56"/>
      <c r="Y76" s="52"/>
      <c r="Z76" s="124" t="s">
        <v>87</v>
      </c>
      <c r="AA76" s="52"/>
      <c r="AB76" s="59"/>
      <c r="AC76" s="60"/>
      <c r="AD76" s="60"/>
      <c r="AE76" s="60"/>
      <c r="AF76" s="57"/>
      <c r="AG76" s="138"/>
      <c r="AH76" s="139"/>
      <c r="AI76" s="87" t="s">
        <v>62</v>
      </c>
      <c r="AJ76" s="92">
        <v>7536.74</v>
      </c>
      <c r="AK76" s="79" t="s">
        <v>79</v>
      </c>
      <c r="AL76" s="50">
        <v>13269.69</v>
      </c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</row>
    <row r="77" spans="1:132" ht="24.75" customHeight="1" x14ac:dyDescent="0.25">
      <c r="A77" s="37"/>
      <c r="B77" s="37"/>
      <c r="C77" s="37"/>
      <c r="D77" s="38"/>
      <c r="E77" s="38"/>
      <c r="F77" s="38"/>
      <c r="G77" s="38"/>
      <c r="H77" s="39"/>
      <c r="I77" s="39"/>
      <c r="J77" s="39"/>
      <c r="K77" s="63"/>
      <c r="L77" s="38"/>
      <c r="M77" s="38"/>
      <c r="N77" s="51"/>
      <c r="O77" s="51"/>
      <c r="P77" s="51"/>
      <c r="Q77" s="63"/>
      <c r="R77" s="69"/>
      <c r="S77" s="69"/>
      <c r="T77" s="65"/>
      <c r="U77" s="63"/>
      <c r="V77" s="63"/>
      <c r="W77" s="63"/>
      <c r="X77" s="53"/>
      <c r="Y77" s="63"/>
      <c r="Z77" s="126"/>
      <c r="AA77" s="63"/>
      <c r="AB77" s="67" t="s">
        <v>33</v>
      </c>
      <c r="AC77" s="68" t="s">
        <v>34</v>
      </c>
      <c r="AD77" s="68" t="s">
        <v>91</v>
      </c>
      <c r="AE77" s="67" t="s">
        <v>36</v>
      </c>
      <c r="AF77" s="66"/>
      <c r="AG77" s="140" t="s">
        <v>88</v>
      </c>
      <c r="AH77" s="88"/>
      <c r="AI77" s="87" t="s">
        <v>64</v>
      </c>
      <c r="AJ77" s="94">
        <v>0</v>
      </c>
      <c r="AK77" s="79" t="s">
        <v>79</v>
      </c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</row>
    <row r="78" spans="1:132" x14ac:dyDescent="0.25">
      <c r="A78" s="71" t="s">
        <v>163</v>
      </c>
      <c r="B78" s="113">
        <f>7000+7000</f>
        <v>14000</v>
      </c>
      <c r="C78" s="64">
        <f>7000+7000</f>
        <v>14000</v>
      </c>
      <c r="D78" s="64">
        <v>0</v>
      </c>
      <c r="E78" s="74">
        <v>536.74</v>
      </c>
      <c r="F78" s="74">
        <v>0</v>
      </c>
      <c r="G78" s="127">
        <f>C78+D78+E78+F78</f>
        <v>14536.74</v>
      </c>
      <c r="H78" s="127">
        <v>630</v>
      </c>
      <c r="I78" s="128">
        <v>1330</v>
      </c>
      <c r="J78" s="127">
        <f>H78+I78</f>
        <v>1960</v>
      </c>
      <c r="K78" s="127">
        <v>10</v>
      </c>
      <c r="L78" s="127">
        <v>0</v>
      </c>
      <c r="M78" s="127">
        <v>0</v>
      </c>
      <c r="N78" s="73">
        <f>B78*5%/2</f>
        <v>350</v>
      </c>
      <c r="O78" s="127">
        <f>N78</f>
        <v>350</v>
      </c>
      <c r="P78" s="74">
        <f>N78+O78</f>
        <v>700</v>
      </c>
      <c r="Q78" s="128">
        <v>0</v>
      </c>
      <c r="R78" s="128">
        <v>200</v>
      </c>
      <c r="S78" s="128">
        <f>R78</f>
        <v>200</v>
      </c>
      <c r="T78" s="64">
        <v>0</v>
      </c>
      <c r="U78" s="74">
        <v>0</v>
      </c>
      <c r="V78" s="74">
        <v>0</v>
      </c>
      <c r="W78" s="74">
        <v>0</v>
      </c>
      <c r="X78" s="74">
        <v>0</v>
      </c>
      <c r="Y78" s="73"/>
      <c r="Z78" s="73"/>
      <c r="AA78" s="73">
        <f>G78-L78-M78-T78-U78-V78-W78-X78-Y78-Z78-R78-H78-N78</f>
        <v>13356.74</v>
      </c>
      <c r="AB78" s="74">
        <v>0</v>
      </c>
      <c r="AC78" s="74">
        <v>0</v>
      </c>
      <c r="AD78" s="74">
        <v>0</v>
      </c>
      <c r="AE78" s="74">
        <v>0</v>
      </c>
      <c r="AF78" s="74">
        <f>AB78+AC78+AD78</f>
        <v>0</v>
      </c>
      <c r="AG78" s="74">
        <f>AC78+AD78+AE78</f>
        <v>0</v>
      </c>
      <c r="AH78" s="113">
        <f>AA78+AB78+AC78+AD78+AE78+AF78</f>
        <v>13356.74</v>
      </c>
      <c r="AI78" s="87" t="s">
        <v>71</v>
      </c>
      <c r="AJ78" s="92">
        <v>5820</v>
      </c>
      <c r="AK78" s="84" t="s">
        <v>92</v>
      </c>
      <c r="AL78" s="80">
        <f>G78-H78-N78-R78</f>
        <v>13356.74</v>
      </c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</row>
    <row r="79" spans="1:132" ht="15.75" thickBot="1" x14ac:dyDescent="0.3">
      <c r="A79" s="100"/>
      <c r="B79" s="130">
        <f>B78</f>
        <v>14000</v>
      </c>
      <c r="C79" s="131">
        <f t="shared" ref="C79:AH79" si="26">SUM(C78:C78)</f>
        <v>14000</v>
      </c>
      <c r="D79" s="101">
        <f t="shared" si="26"/>
        <v>0</v>
      </c>
      <c r="E79" s="101">
        <f t="shared" si="26"/>
        <v>536.74</v>
      </c>
      <c r="F79" s="101">
        <f t="shared" si="26"/>
        <v>0</v>
      </c>
      <c r="G79" s="101">
        <f t="shared" si="26"/>
        <v>14536.74</v>
      </c>
      <c r="H79" s="101">
        <f t="shared" si="26"/>
        <v>630</v>
      </c>
      <c r="I79" s="101">
        <f t="shared" si="26"/>
        <v>1330</v>
      </c>
      <c r="J79" s="101">
        <f t="shared" si="26"/>
        <v>1960</v>
      </c>
      <c r="K79" s="101">
        <f t="shared" si="26"/>
        <v>10</v>
      </c>
      <c r="L79" s="101">
        <f t="shared" si="26"/>
        <v>0</v>
      </c>
      <c r="M79" s="101">
        <f t="shared" si="26"/>
        <v>0</v>
      </c>
      <c r="N79" s="101">
        <f t="shared" si="26"/>
        <v>350</v>
      </c>
      <c r="O79" s="101">
        <f t="shared" si="26"/>
        <v>350</v>
      </c>
      <c r="P79" s="101">
        <f t="shared" si="26"/>
        <v>700</v>
      </c>
      <c r="Q79" s="101">
        <f t="shared" si="26"/>
        <v>0</v>
      </c>
      <c r="R79" s="101">
        <f t="shared" si="26"/>
        <v>200</v>
      </c>
      <c r="S79" s="101">
        <f t="shared" si="26"/>
        <v>200</v>
      </c>
      <c r="T79" s="101">
        <f t="shared" si="26"/>
        <v>0</v>
      </c>
      <c r="U79" s="101">
        <f t="shared" si="26"/>
        <v>0</v>
      </c>
      <c r="V79" s="101">
        <f t="shared" si="26"/>
        <v>0</v>
      </c>
      <c r="W79" s="101">
        <f t="shared" si="26"/>
        <v>0</v>
      </c>
      <c r="X79" s="101">
        <f t="shared" si="26"/>
        <v>0</v>
      </c>
      <c r="Y79" s="101">
        <f t="shared" si="26"/>
        <v>0</v>
      </c>
      <c r="Z79" s="101">
        <f t="shared" si="26"/>
        <v>0</v>
      </c>
      <c r="AA79" s="101">
        <f t="shared" si="26"/>
        <v>13356.74</v>
      </c>
      <c r="AB79" s="101">
        <f t="shared" si="26"/>
        <v>0</v>
      </c>
      <c r="AC79" s="101">
        <f t="shared" si="26"/>
        <v>0</v>
      </c>
      <c r="AD79" s="101">
        <f t="shared" si="26"/>
        <v>0</v>
      </c>
      <c r="AE79" s="101">
        <f t="shared" si="26"/>
        <v>0</v>
      </c>
      <c r="AF79" s="101">
        <f t="shared" si="26"/>
        <v>0</v>
      </c>
      <c r="AG79" s="101">
        <f t="shared" si="26"/>
        <v>0</v>
      </c>
      <c r="AH79" s="101">
        <f t="shared" si="26"/>
        <v>13356.74</v>
      </c>
      <c r="AI79" s="87" t="s">
        <v>64</v>
      </c>
      <c r="AJ79" s="94">
        <v>0</v>
      </c>
      <c r="AK79" s="79" t="s">
        <v>79</v>
      </c>
      <c r="AL79" s="80" t="e">
        <f>#REF!+AL78</f>
        <v>#REF!</v>
      </c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</row>
    <row r="80" spans="1:132" ht="15.75" thickTop="1" x14ac:dyDescent="0.25">
      <c r="A80" s="100"/>
      <c r="B80" s="130"/>
      <c r="C80" s="83"/>
      <c r="D80" s="102"/>
      <c r="E80" s="102"/>
      <c r="F80" s="102"/>
      <c r="G80" s="32">
        <f>7536.74+7000</f>
        <v>14536.74</v>
      </c>
      <c r="H80" s="102">
        <v>0</v>
      </c>
      <c r="I80" s="102"/>
      <c r="J80" s="102"/>
      <c r="K80" s="102"/>
      <c r="L80" s="102"/>
      <c r="M80" s="102"/>
      <c r="N80" s="102"/>
      <c r="O80" s="102"/>
      <c r="P80" s="102"/>
      <c r="Q80" s="102"/>
      <c r="R80" s="102" t="s">
        <v>21</v>
      </c>
      <c r="S80" s="102"/>
      <c r="T80" s="83"/>
      <c r="U80" s="102"/>
      <c r="V80" s="102"/>
      <c r="W80" s="102"/>
      <c r="X80" s="102"/>
      <c r="Y80" s="102"/>
      <c r="Z80" s="102"/>
      <c r="AA80" s="102">
        <f>7536.74+5820</f>
        <v>13356.74</v>
      </c>
      <c r="AB80" s="102"/>
      <c r="AC80" s="102"/>
      <c r="AD80" s="102"/>
      <c r="AE80" s="102"/>
      <c r="AF80" s="102"/>
      <c r="AG80" s="83"/>
      <c r="AH80" s="49">
        <f>7536.74+5820</f>
        <v>13356.74</v>
      </c>
      <c r="AI80" s="87" t="s">
        <v>27</v>
      </c>
      <c r="AJ80" s="104">
        <f>AJ79+AJ78+AJ77+AJ76</f>
        <v>13356.74</v>
      </c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</row>
    <row r="81" spans="1:132" x14ac:dyDescent="0.25">
      <c r="A81" s="100"/>
      <c r="B81" s="130"/>
      <c r="C81" s="83"/>
      <c r="D81" s="102"/>
      <c r="E81" s="102"/>
      <c r="F81" s="102"/>
      <c r="G81" s="3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83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83"/>
      <c r="AH81" s="49"/>
      <c r="AI81" s="87"/>
      <c r="AJ81" s="11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</row>
    <row r="82" spans="1:132" x14ac:dyDescent="0.25">
      <c r="A82" s="100"/>
      <c r="B82" s="130"/>
      <c r="C82" s="83"/>
      <c r="D82" s="102"/>
      <c r="E82" s="102"/>
      <c r="F82" s="102"/>
      <c r="G82" s="3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83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83"/>
      <c r="AH82" s="49"/>
      <c r="AI82" s="87"/>
      <c r="AJ82" s="11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</row>
    <row r="83" spans="1:132" x14ac:dyDescent="0.25">
      <c r="A83" s="100"/>
      <c r="B83" s="130"/>
      <c r="C83" s="83"/>
      <c r="D83" s="102"/>
      <c r="E83" s="102"/>
      <c r="F83" s="102"/>
      <c r="G83" s="3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83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83"/>
      <c r="AH83" s="49"/>
      <c r="AI83" s="87"/>
      <c r="AJ83" s="11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</row>
    <row r="84" spans="1:132" x14ac:dyDescent="0.25">
      <c r="A84" s="100"/>
      <c r="B84" s="130"/>
      <c r="C84" s="83"/>
      <c r="D84" s="102"/>
      <c r="E84" s="102"/>
      <c r="F84" s="102"/>
      <c r="G84" s="3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83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83"/>
      <c r="AH84" s="49"/>
      <c r="AI84" s="87"/>
      <c r="AJ84" s="11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</row>
    <row r="85" spans="1:132" x14ac:dyDescent="0.25">
      <c r="A85" s="30" t="s">
        <v>93</v>
      </c>
      <c r="B85" s="83"/>
      <c r="C85" s="83"/>
      <c r="D85" s="102"/>
      <c r="E85" s="102"/>
      <c r="F85" s="102"/>
      <c r="G85" s="32"/>
      <c r="H85" s="3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83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83"/>
      <c r="AH85" s="49"/>
      <c r="AI85" s="50"/>
      <c r="AJ85" s="49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</row>
    <row r="86" spans="1:132" ht="13.9" customHeight="1" x14ac:dyDescent="0.25">
      <c r="A86" s="37" t="s">
        <v>121</v>
      </c>
      <c r="B86" s="37" t="s">
        <v>2</v>
      </c>
      <c r="C86" s="37" t="s">
        <v>3</v>
      </c>
      <c r="D86" s="38" t="s">
        <v>4</v>
      </c>
      <c r="E86" s="38" t="s">
        <v>94</v>
      </c>
      <c r="F86" s="38" t="s">
        <v>6</v>
      </c>
      <c r="G86" s="38" t="s">
        <v>7</v>
      </c>
      <c r="H86" s="39" t="s">
        <v>8</v>
      </c>
      <c r="I86" s="39"/>
      <c r="J86" s="39"/>
      <c r="K86" s="39"/>
      <c r="L86" s="38" t="s">
        <v>9</v>
      </c>
      <c r="M86" s="38" t="s">
        <v>10</v>
      </c>
      <c r="N86" s="39" t="s">
        <v>11</v>
      </c>
      <c r="O86" s="39"/>
      <c r="P86" s="39"/>
      <c r="Q86" s="40" t="s">
        <v>12</v>
      </c>
      <c r="R86" s="41" t="s">
        <v>13</v>
      </c>
      <c r="S86" s="42"/>
      <c r="T86" s="43" t="s">
        <v>14</v>
      </c>
      <c r="U86" s="40" t="s">
        <v>15</v>
      </c>
      <c r="V86" s="40" t="s">
        <v>16</v>
      </c>
      <c r="W86" s="40" t="s">
        <v>17</v>
      </c>
      <c r="X86" s="41" t="s">
        <v>18</v>
      </c>
      <c r="Y86" s="40" t="s">
        <v>19</v>
      </c>
      <c r="Z86" s="44"/>
      <c r="AA86" s="40" t="s">
        <v>20</v>
      </c>
      <c r="AB86" s="45" t="s">
        <v>21</v>
      </c>
      <c r="AC86" s="46"/>
      <c r="AD86" s="46"/>
      <c r="AE86" s="47"/>
      <c r="AF86" s="40" t="s">
        <v>90</v>
      </c>
      <c r="AG86" s="141"/>
      <c r="AH86" s="48" t="s">
        <v>24</v>
      </c>
      <c r="AI86" s="87" t="s">
        <v>62</v>
      </c>
      <c r="AJ86" s="92">
        <v>44496.38</v>
      </c>
      <c r="AK86" s="79" t="s">
        <v>79</v>
      </c>
      <c r="AL86" s="50">
        <v>44923.4</v>
      </c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</row>
    <row r="87" spans="1:132" ht="12.75" customHeight="1" x14ac:dyDescent="0.25">
      <c r="A87" s="37"/>
      <c r="B87" s="37"/>
      <c r="C87" s="37"/>
      <c r="D87" s="38"/>
      <c r="E87" s="38"/>
      <c r="F87" s="38"/>
      <c r="G87" s="38"/>
      <c r="H87" s="39" t="s">
        <v>25</v>
      </c>
      <c r="I87" s="39" t="s">
        <v>26</v>
      </c>
      <c r="J87" s="39" t="s">
        <v>27</v>
      </c>
      <c r="K87" s="40" t="s">
        <v>28</v>
      </c>
      <c r="L87" s="38"/>
      <c r="M87" s="38"/>
      <c r="N87" s="51" t="s">
        <v>25</v>
      </c>
      <c r="O87" s="51" t="s">
        <v>26</v>
      </c>
      <c r="P87" s="51" t="s">
        <v>29</v>
      </c>
      <c r="Q87" s="52"/>
      <c r="R87" s="53"/>
      <c r="S87" s="54"/>
      <c r="T87" s="55"/>
      <c r="U87" s="52"/>
      <c r="V87" s="52"/>
      <c r="W87" s="52"/>
      <c r="X87" s="56"/>
      <c r="Y87" s="52"/>
      <c r="Z87" s="124" t="s">
        <v>87</v>
      </c>
      <c r="AA87" s="52"/>
      <c r="AB87" s="59" t="s">
        <v>31</v>
      </c>
      <c r="AC87" s="60"/>
      <c r="AD87" s="60"/>
      <c r="AE87" s="61"/>
      <c r="AF87" s="52"/>
      <c r="AG87" s="142"/>
      <c r="AH87" s="62"/>
      <c r="AI87" s="87" t="s">
        <v>64</v>
      </c>
      <c r="AJ87" s="94">
        <v>3050</v>
      </c>
      <c r="AK87" s="79" t="s">
        <v>79</v>
      </c>
      <c r="AL87" s="50">
        <v>3120.17</v>
      </c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</row>
    <row r="88" spans="1:132" ht="23.25" customHeight="1" x14ac:dyDescent="0.25">
      <c r="A88" s="37"/>
      <c r="B88" s="37"/>
      <c r="C88" s="37"/>
      <c r="D88" s="38"/>
      <c r="E88" s="38"/>
      <c r="F88" s="38"/>
      <c r="G88" s="38"/>
      <c r="H88" s="39"/>
      <c r="I88" s="39"/>
      <c r="J88" s="39"/>
      <c r="K88" s="63"/>
      <c r="L88" s="38"/>
      <c r="M88" s="38"/>
      <c r="N88" s="51"/>
      <c r="O88" s="51"/>
      <c r="P88" s="51"/>
      <c r="Q88" s="63"/>
      <c r="R88" s="64" t="s">
        <v>25</v>
      </c>
      <c r="S88" s="64" t="s">
        <v>26</v>
      </c>
      <c r="T88" s="65"/>
      <c r="U88" s="63"/>
      <c r="V88" s="63"/>
      <c r="W88" s="63"/>
      <c r="X88" s="53"/>
      <c r="Y88" s="63"/>
      <c r="Z88" s="126"/>
      <c r="AA88" s="63"/>
      <c r="AB88" s="67" t="s">
        <v>33</v>
      </c>
      <c r="AC88" s="68" t="s">
        <v>34</v>
      </c>
      <c r="AD88" s="68" t="s">
        <v>35</v>
      </c>
      <c r="AE88" s="67" t="s">
        <v>36</v>
      </c>
      <c r="AF88" s="63"/>
      <c r="AG88" s="143" t="s">
        <v>88</v>
      </c>
      <c r="AH88" s="69"/>
      <c r="AI88" s="87" t="s">
        <v>81</v>
      </c>
      <c r="AJ88" s="122">
        <f>AJ86+AJ87</f>
        <v>47546.38</v>
      </c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</row>
    <row r="89" spans="1:132" x14ac:dyDescent="0.25">
      <c r="A89" s="71" t="s">
        <v>164</v>
      </c>
      <c r="B89" s="64">
        <f>9500+9500</f>
        <v>19000</v>
      </c>
      <c r="C89" s="64">
        <f>9500+9500</f>
        <v>19000</v>
      </c>
      <c r="D89" s="64">
        <v>0</v>
      </c>
      <c r="E89" s="74">
        <v>0</v>
      </c>
      <c r="F89" s="74">
        <f>3414.38+710.19+2276.25</f>
        <v>6400.82</v>
      </c>
      <c r="G89" s="73">
        <f>C89+D89+E89+F89</f>
        <v>25400.82</v>
      </c>
      <c r="H89" s="74">
        <v>855</v>
      </c>
      <c r="I89" s="74">
        <v>1805</v>
      </c>
      <c r="J89" s="73">
        <f>H89+I89</f>
        <v>2660</v>
      </c>
      <c r="K89" s="74">
        <v>30</v>
      </c>
      <c r="L89" s="73">
        <v>0</v>
      </c>
      <c r="M89" s="73">
        <v>0</v>
      </c>
      <c r="N89" s="73">
        <f>B89*5%/2</f>
        <v>475</v>
      </c>
      <c r="O89" s="74">
        <f>N89</f>
        <v>475</v>
      </c>
      <c r="P89" s="74">
        <f>N89+O89</f>
        <v>950</v>
      </c>
      <c r="Q89" s="74">
        <f>(G89-H89-N89-R89-20833)*15%</f>
        <v>455.67299999999994</v>
      </c>
      <c r="R89" s="74">
        <v>200</v>
      </c>
      <c r="S89" s="74">
        <f>R89</f>
        <v>200</v>
      </c>
      <c r="T89" s="72">
        <v>0</v>
      </c>
      <c r="U89" s="73">
        <v>0</v>
      </c>
      <c r="V89" s="73">
        <f>1500+1500</f>
        <v>3000</v>
      </c>
      <c r="W89" s="73">
        <v>0</v>
      </c>
      <c r="X89" s="73">
        <v>0</v>
      </c>
      <c r="Y89" s="73">
        <v>0</v>
      </c>
      <c r="Z89" s="73">
        <v>0</v>
      </c>
      <c r="AA89" s="73">
        <f>G89-L89-M89-T89-U89-V89-W89-X89-H89-N89-R89-Q89</f>
        <v>20415.147000000001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113">
        <f>AA89+AB89+AC89+AD89+AE89+AF89</f>
        <v>20415.147000000001</v>
      </c>
      <c r="AJ89" s="144"/>
      <c r="AK89" s="50"/>
      <c r="AL89" s="80">
        <f>G89-H89-L89-M89-N89-Q89-R89-V89+AB89+AC89</f>
        <v>20415.147000000001</v>
      </c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</row>
    <row r="90" spans="1:132" ht="14.25" customHeight="1" x14ac:dyDescent="0.25">
      <c r="A90" s="71" t="s">
        <v>165</v>
      </c>
      <c r="B90" s="64">
        <f>13650+13650</f>
        <v>27300</v>
      </c>
      <c r="C90" s="64">
        <f>13650+13650</f>
        <v>27300</v>
      </c>
      <c r="D90" s="64">
        <v>0</v>
      </c>
      <c r="E90" s="74">
        <v>0</v>
      </c>
      <c r="F90" s="74">
        <v>0</v>
      </c>
      <c r="G90" s="73">
        <f>C90+D90+E90+F90</f>
        <v>27300</v>
      </c>
      <c r="H90" s="74">
        <v>1237.5</v>
      </c>
      <c r="I90" s="74">
        <f>1900+712.5</f>
        <v>2612.5</v>
      </c>
      <c r="J90" s="73">
        <f>H90+I90</f>
        <v>3850</v>
      </c>
      <c r="K90" s="74">
        <v>30</v>
      </c>
      <c r="L90" s="73">
        <v>0</v>
      </c>
      <c r="M90" s="73">
        <v>0</v>
      </c>
      <c r="N90" s="73">
        <f>B90*5%/2</f>
        <v>682.5</v>
      </c>
      <c r="O90" s="74">
        <f>N90</f>
        <v>682.5</v>
      </c>
      <c r="P90" s="74">
        <f>N90+O90</f>
        <v>1365</v>
      </c>
      <c r="Q90" s="74">
        <f>(G90-H90-N90-R90-20833)*15%</f>
        <v>652.04999999999995</v>
      </c>
      <c r="R90" s="74">
        <v>200</v>
      </c>
      <c r="S90" s="74">
        <f>R90</f>
        <v>200</v>
      </c>
      <c r="T90" s="72">
        <v>0</v>
      </c>
      <c r="U90" s="73">
        <v>0</v>
      </c>
      <c r="V90" s="73">
        <v>0</v>
      </c>
      <c r="W90" s="73">
        <v>0</v>
      </c>
      <c r="X90" s="73">
        <v>0</v>
      </c>
      <c r="Y90" s="73">
        <v>0</v>
      </c>
      <c r="Z90" s="73">
        <v>0</v>
      </c>
      <c r="AA90" s="73">
        <f>G90-L90-M90-T90-U90-V90-W90-X90-H90-N90-R90-Q90</f>
        <v>24527.95</v>
      </c>
      <c r="AB90" s="73">
        <f>3050+3050</f>
        <v>6100</v>
      </c>
      <c r="AC90" s="73">
        <v>0</v>
      </c>
      <c r="AD90" s="73">
        <v>0</v>
      </c>
      <c r="AE90" s="73">
        <v>0</v>
      </c>
      <c r="AF90" s="73">
        <v>0</v>
      </c>
      <c r="AG90" s="73">
        <v>0</v>
      </c>
      <c r="AH90" s="113">
        <f>AA90+AB90+AC90+AD90+AE90+AF90</f>
        <v>30627.95</v>
      </c>
      <c r="AI90" s="87" t="s">
        <v>71</v>
      </c>
      <c r="AJ90" s="92">
        <v>36458.120000000003</v>
      </c>
      <c r="AK90" s="79" t="s">
        <v>79</v>
      </c>
      <c r="AL90" s="80">
        <f>G90-H90-L90-M90-N90-Q90-R90-V90+AB90+AC90</f>
        <v>30627.95</v>
      </c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</row>
    <row r="91" spans="1:132" ht="14.25" customHeight="1" x14ac:dyDescent="0.25">
      <c r="A91" s="71" t="s">
        <v>166</v>
      </c>
      <c r="B91" s="113">
        <f>6825+6825</f>
        <v>13650</v>
      </c>
      <c r="C91" s="64">
        <f>6825+6825</f>
        <v>13650</v>
      </c>
      <c r="D91" s="64">
        <v>0</v>
      </c>
      <c r="E91" s="74">
        <v>0</v>
      </c>
      <c r="F91" s="74">
        <v>0</v>
      </c>
      <c r="G91" s="73">
        <f>C91+D91+E91+F91</f>
        <v>13650</v>
      </c>
      <c r="H91" s="74">
        <v>607.5</v>
      </c>
      <c r="I91" s="74">
        <v>1282.5</v>
      </c>
      <c r="J91" s="73">
        <f>H91+I91</f>
        <v>1890</v>
      </c>
      <c r="K91" s="74">
        <v>10</v>
      </c>
      <c r="L91" s="127">
        <v>0</v>
      </c>
      <c r="M91" s="127">
        <v>0</v>
      </c>
      <c r="N91" s="73">
        <f>B91*5%/2</f>
        <v>341.25</v>
      </c>
      <c r="O91" s="127">
        <f>N91</f>
        <v>341.25</v>
      </c>
      <c r="P91" s="74">
        <f>N91+O91</f>
        <v>682.5</v>
      </c>
      <c r="Q91" s="127">
        <v>0</v>
      </c>
      <c r="R91" s="127">
        <v>200</v>
      </c>
      <c r="S91" s="127">
        <f>R91</f>
        <v>200</v>
      </c>
      <c r="T91" s="117">
        <v>0</v>
      </c>
      <c r="U91" s="127">
        <f>0</f>
        <v>0</v>
      </c>
      <c r="V91" s="127">
        <v>0</v>
      </c>
      <c r="W91" s="73">
        <v>0</v>
      </c>
      <c r="X91" s="73">
        <v>0</v>
      </c>
      <c r="Y91" s="73">
        <v>0</v>
      </c>
      <c r="Z91" s="73">
        <v>0</v>
      </c>
      <c r="AA91" s="73">
        <f>G91-L91-M91-T91-U91-V91-W91-X91-H91-N91-R91-Q91</f>
        <v>12501.25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113">
        <f>AA91+AB91+AC91+AD91+AE91+AF91</f>
        <v>12501.25</v>
      </c>
      <c r="AI91" s="87" t="s">
        <v>64</v>
      </c>
      <c r="AJ91" s="94">
        <v>3050</v>
      </c>
      <c r="AK91" s="79" t="s">
        <v>79</v>
      </c>
      <c r="AL91" s="80">
        <f>G91-H91-L91-M91-N91-Q91-R91-V91+AB91+AC91</f>
        <v>12501.25</v>
      </c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</row>
    <row r="92" spans="1:132" x14ac:dyDescent="0.25">
      <c r="A92" s="71" t="s">
        <v>167</v>
      </c>
      <c r="B92" s="113">
        <f>6825+6825</f>
        <v>13650</v>
      </c>
      <c r="C92" s="64">
        <f>6825+6825</f>
        <v>13650</v>
      </c>
      <c r="D92" s="64">
        <v>0</v>
      </c>
      <c r="E92" s="74">
        <v>0</v>
      </c>
      <c r="F92" s="74">
        <v>0</v>
      </c>
      <c r="G92" s="73">
        <f>C92+D92+E92+F92</f>
        <v>13650</v>
      </c>
      <c r="H92" s="74">
        <v>607.5</v>
      </c>
      <c r="I92" s="74">
        <v>1282.5</v>
      </c>
      <c r="J92" s="73">
        <f>H92+I92</f>
        <v>1890</v>
      </c>
      <c r="K92" s="74">
        <v>10</v>
      </c>
      <c r="L92" s="127">
        <v>0</v>
      </c>
      <c r="M92" s="127">
        <v>0</v>
      </c>
      <c r="N92" s="73">
        <f>B92*5%/2</f>
        <v>341.25</v>
      </c>
      <c r="O92" s="127">
        <f>N92</f>
        <v>341.25</v>
      </c>
      <c r="P92" s="74">
        <f>N92+O92</f>
        <v>682.5</v>
      </c>
      <c r="Q92" s="127">
        <v>0</v>
      </c>
      <c r="R92" s="127">
        <v>200</v>
      </c>
      <c r="S92" s="127">
        <f>R92</f>
        <v>200</v>
      </c>
      <c r="T92" s="117">
        <v>0</v>
      </c>
      <c r="U92" s="127">
        <v>0</v>
      </c>
      <c r="V92" s="127">
        <f>1000+1000</f>
        <v>2000</v>
      </c>
      <c r="W92" s="73">
        <v>0</v>
      </c>
      <c r="X92" s="73">
        <v>0</v>
      </c>
      <c r="Y92" s="73">
        <v>0</v>
      </c>
      <c r="Z92" s="73">
        <v>0</v>
      </c>
      <c r="AA92" s="73">
        <f>G92-L92-M92-T92-U92-V92-W92-X92-H92-N92-R92-Q92</f>
        <v>10501.25</v>
      </c>
      <c r="AB92" s="73">
        <v>0</v>
      </c>
      <c r="AC92" s="73">
        <v>0</v>
      </c>
      <c r="AD92" s="73">
        <v>0</v>
      </c>
      <c r="AE92" s="73">
        <v>0</v>
      </c>
      <c r="AF92" s="73">
        <v>0</v>
      </c>
      <c r="AG92" s="73">
        <v>0</v>
      </c>
      <c r="AH92" s="113">
        <f>AA92+AB92+AC92+AD92+AE92+AF92</f>
        <v>10501.25</v>
      </c>
      <c r="AI92" s="87" t="s">
        <v>81</v>
      </c>
      <c r="AJ92" s="122">
        <f>AJ90+AJ91</f>
        <v>39508.120000000003</v>
      </c>
      <c r="AK92" s="50"/>
      <c r="AL92" s="80">
        <f>G92-H92-L92-M92-N92-Q92-R92-V92+AB92+AC92</f>
        <v>10501.25</v>
      </c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</row>
    <row r="93" spans="1:132" s="85" customFormat="1" x14ac:dyDescent="0.25">
      <c r="A93" s="71" t="s">
        <v>168</v>
      </c>
      <c r="B93" s="64">
        <f>6782+6782</f>
        <v>13564</v>
      </c>
      <c r="C93" s="64">
        <f>6782+6782</f>
        <v>13564</v>
      </c>
      <c r="D93" s="64">
        <v>0</v>
      </c>
      <c r="E93" s="74">
        <v>0</v>
      </c>
      <c r="F93" s="74">
        <f>591.5</f>
        <v>591.5</v>
      </c>
      <c r="G93" s="73">
        <f>C93+D93+E93+F93</f>
        <v>14155.5</v>
      </c>
      <c r="H93" s="74">
        <v>607.5</v>
      </c>
      <c r="I93" s="74">
        <v>1282.5</v>
      </c>
      <c r="J93" s="73">
        <f>H93+I93</f>
        <v>1890</v>
      </c>
      <c r="K93" s="74">
        <v>10</v>
      </c>
      <c r="L93" s="127">
        <v>0</v>
      </c>
      <c r="M93" s="127">
        <v>0</v>
      </c>
      <c r="N93" s="73">
        <f>B93*5%/2</f>
        <v>339.1</v>
      </c>
      <c r="O93" s="127">
        <f>N93</f>
        <v>339.1</v>
      </c>
      <c r="P93" s="74">
        <f>N93+O93</f>
        <v>678.2</v>
      </c>
      <c r="Q93" s="127">
        <v>0</v>
      </c>
      <c r="R93" s="127">
        <v>200</v>
      </c>
      <c r="S93" s="127">
        <f>R93</f>
        <v>200</v>
      </c>
      <c r="T93" s="117">
        <v>0</v>
      </c>
      <c r="U93" s="127">
        <v>0</v>
      </c>
      <c r="V93" s="127">
        <v>0</v>
      </c>
      <c r="W93" s="73">
        <v>0</v>
      </c>
      <c r="X93" s="73">
        <v>0</v>
      </c>
      <c r="Y93" s="73">
        <v>0</v>
      </c>
      <c r="Z93" s="73">
        <v>0</v>
      </c>
      <c r="AA93" s="73">
        <f>G93-L93-M93-T93-U93-V93-W93-X93-H93-N93-R93-Q93</f>
        <v>13008.9</v>
      </c>
      <c r="AB93" s="73">
        <v>0</v>
      </c>
      <c r="AC93" s="73">
        <v>0</v>
      </c>
      <c r="AD93" s="73">
        <v>0</v>
      </c>
      <c r="AE93" s="73">
        <v>0</v>
      </c>
      <c r="AF93" s="73">
        <v>0</v>
      </c>
      <c r="AG93" s="73">
        <v>0</v>
      </c>
      <c r="AH93" s="113">
        <f>AA93+AB93+AC93+AD93+AE93+AF93</f>
        <v>13008.9</v>
      </c>
      <c r="AI93"/>
      <c r="AJ93" s="144"/>
      <c r="AK93" s="50"/>
      <c r="AL93" s="80">
        <f>G93-H93-N93-R93+Y93</f>
        <v>13008.9</v>
      </c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</row>
    <row r="94" spans="1:132" s="85" customFormat="1" ht="13.5" thickBot="1" x14ac:dyDescent="0.25">
      <c r="A94" s="100"/>
      <c r="B94" s="130">
        <f>SUM(B89:B93)</f>
        <v>87164</v>
      </c>
      <c r="C94" s="131">
        <f t="shared" ref="C94:AH94" si="27">SUM(C89:C93)</f>
        <v>87164</v>
      </c>
      <c r="D94" s="131">
        <f t="shared" si="27"/>
        <v>0</v>
      </c>
      <c r="E94" s="131">
        <f t="shared" si="27"/>
        <v>0</v>
      </c>
      <c r="F94" s="131">
        <f t="shared" si="27"/>
        <v>6992.32</v>
      </c>
      <c r="G94" s="131">
        <f t="shared" si="27"/>
        <v>94156.32</v>
      </c>
      <c r="H94" s="131">
        <f t="shared" si="27"/>
        <v>3915</v>
      </c>
      <c r="I94" s="131">
        <f t="shared" si="27"/>
        <v>8265</v>
      </c>
      <c r="J94" s="131">
        <f t="shared" si="27"/>
        <v>12180</v>
      </c>
      <c r="K94" s="131">
        <f t="shared" si="27"/>
        <v>90</v>
      </c>
      <c r="L94" s="131">
        <f t="shared" si="27"/>
        <v>0</v>
      </c>
      <c r="M94" s="131">
        <f t="shared" si="27"/>
        <v>0</v>
      </c>
      <c r="N94" s="131">
        <f t="shared" si="27"/>
        <v>2179.1</v>
      </c>
      <c r="O94" s="131">
        <f t="shared" si="27"/>
        <v>2179.1</v>
      </c>
      <c r="P94" s="131">
        <f t="shared" si="27"/>
        <v>4358.2</v>
      </c>
      <c r="Q94" s="131">
        <f t="shared" si="27"/>
        <v>1107.723</v>
      </c>
      <c r="R94" s="131">
        <f t="shared" si="27"/>
        <v>1000</v>
      </c>
      <c r="S94" s="131">
        <f t="shared" si="27"/>
        <v>1000</v>
      </c>
      <c r="T94" s="131">
        <f t="shared" si="27"/>
        <v>0</v>
      </c>
      <c r="U94" s="131">
        <f t="shared" si="27"/>
        <v>0</v>
      </c>
      <c r="V94" s="131">
        <f t="shared" si="27"/>
        <v>5000</v>
      </c>
      <c r="W94" s="131">
        <f t="shared" si="27"/>
        <v>0</v>
      </c>
      <c r="X94" s="131">
        <f t="shared" si="27"/>
        <v>0</v>
      </c>
      <c r="Y94" s="131">
        <f t="shared" si="27"/>
        <v>0</v>
      </c>
      <c r="Z94" s="131">
        <f t="shared" si="27"/>
        <v>0</v>
      </c>
      <c r="AA94" s="131">
        <f t="shared" si="27"/>
        <v>80954.497000000003</v>
      </c>
      <c r="AB94" s="131">
        <f t="shared" si="27"/>
        <v>6100</v>
      </c>
      <c r="AC94" s="131">
        <f t="shared" si="27"/>
        <v>0</v>
      </c>
      <c r="AD94" s="131">
        <f t="shared" si="27"/>
        <v>0</v>
      </c>
      <c r="AE94" s="131">
        <f t="shared" si="27"/>
        <v>0</v>
      </c>
      <c r="AF94" s="131">
        <f t="shared" si="27"/>
        <v>0</v>
      </c>
      <c r="AG94" s="131">
        <f t="shared" si="27"/>
        <v>0</v>
      </c>
      <c r="AH94" s="131">
        <f t="shared" si="27"/>
        <v>87054.497000000003</v>
      </c>
      <c r="AI94" s="87" t="s">
        <v>68</v>
      </c>
      <c r="AJ94" s="110">
        <f>AJ92+AJ88</f>
        <v>87054.5</v>
      </c>
      <c r="AK94" s="50"/>
      <c r="AL94" s="80">
        <f>SUM(AL89:AL93)</f>
        <v>87054.497000000003</v>
      </c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</row>
    <row r="95" spans="1:132" s="85" customFormat="1" ht="12.75" thickTop="1" x14ac:dyDescent="0.2">
      <c r="B95" s="83"/>
      <c r="C95" s="83"/>
      <c r="D95" s="102"/>
      <c r="E95" s="102"/>
      <c r="F95" s="102"/>
      <c r="G95" s="32"/>
      <c r="H95" s="32"/>
      <c r="I95" s="102"/>
      <c r="J95" s="102"/>
      <c r="K95" s="102"/>
      <c r="L95" s="102"/>
      <c r="M95" s="102"/>
      <c r="N95" s="102"/>
      <c r="O95" s="83"/>
      <c r="P95" s="83"/>
      <c r="Q95" s="102"/>
      <c r="R95" s="83"/>
      <c r="S95" s="83"/>
      <c r="T95" s="83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83"/>
      <c r="AH95" s="102" t="s">
        <v>21</v>
      </c>
      <c r="AI95" s="49"/>
      <c r="AJ95" s="49"/>
      <c r="AK95" s="80" t="s">
        <v>21</v>
      </c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</row>
    <row r="96" spans="1:132" s="85" customFormat="1" ht="12.75" thickBot="1" x14ac:dyDescent="0.25">
      <c r="A96" s="145" t="s">
        <v>100</v>
      </c>
      <c r="B96" s="130" t="s">
        <v>82</v>
      </c>
      <c r="C96" s="146">
        <f t="shared" ref="C96:AG96" si="28">C94+C79+C67+C60+C43</f>
        <v>1557628.2099999997</v>
      </c>
      <c r="D96" s="146">
        <f t="shared" si="28"/>
        <v>0</v>
      </c>
      <c r="E96" s="146">
        <f t="shared" si="28"/>
        <v>4483.9400000000005</v>
      </c>
      <c r="F96" s="146">
        <f t="shared" si="28"/>
        <v>30170.44</v>
      </c>
      <c r="G96" s="146">
        <f t="shared" si="28"/>
        <v>1594082.2399999998</v>
      </c>
      <c r="H96" s="146">
        <f t="shared" si="28"/>
        <v>47272.5</v>
      </c>
      <c r="I96" s="146">
        <f t="shared" si="28"/>
        <v>99797.5</v>
      </c>
      <c r="J96" s="146">
        <f t="shared" si="28"/>
        <v>147070</v>
      </c>
      <c r="K96" s="146">
        <f t="shared" si="28"/>
        <v>1370</v>
      </c>
      <c r="L96" s="146">
        <f t="shared" si="28"/>
        <v>35462.69999999999</v>
      </c>
      <c r="M96" s="146">
        <f t="shared" si="28"/>
        <v>0</v>
      </c>
      <c r="N96" s="146">
        <f t="shared" si="28"/>
        <v>32901.977499999994</v>
      </c>
      <c r="O96" s="146">
        <f t="shared" si="28"/>
        <v>32901.977499999994</v>
      </c>
      <c r="P96" s="146">
        <f t="shared" si="28"/>
        <v>65803.975000000006</v>
      </c>
      <c r="Q96" s="146">
        <f t="shared" si="28"/>
        <v>143215.05949999994</v>
      </c>
      <c r="R96" s="146">
        <f t="shared" si="28"/>
        <v>10200</v>
      </c>
      <c r="S96" s="146">
        <f t="shared" si="28"/>
        <v>10200</v>
      </c>
      <c r="T96" s="146">
        <f t="shared" si="28"/>
        <v>24271.339999999997</v>
      </c>
      <c r="U96" s="146">
        <f t="shared" si="28"/>
        <v>0</v>
      </c>
      <c r="V96" s="146">
        <f t="shared" si="28"/>
        <v>28600</v>
      </c>
      <c r="W96" s="146">
        <f t="shared" si="28"/>
        <v>18157.16</v>
      </c>
      <c r="X96" s="146">
        <f t="shared" si="28"/>
        <v>0</v>
      </c>
      <c r="Y96" s="146">
        <f t="shared" si="28"/>
        <v>0</v>
      </c>
      <c r="Z96" s="146">
        <f t="shared" si="28"/>
        <v>1799.65</v>
      </c>
      <c r="AA96" s="146">
        <f>AA94+AA79+AA67+AA60+AA43</f>
        <v>1254001.5029999998</v>
      </c>
      <c r="AB96" s="146">
        <f t="shared" si="28"/>
        <v>79994.559999999998</v>
      </c>
      <c r="AC96" s="146">
        <f t="shared" si="28"/>
        <v>0</v>
      </c>
      <c r="AD96" s="146">
        <f t="shared" si="28"/>
        <v>6000</v>
      </c>
      <c r="AE96" s="146">
        <f t="shared" si="28"/>
        <v>2000</v>
      </c>
      <c r="AF96" s="146">
        <f t="shared" si="28"/>
        <v>0</v>
      </c>
      <c r="AG96" s="146">
        <f t="shared" si="28"/>
        <v>0</v>
      </c>
      <c r="AH96" s="146">
        <f>AH94+AH79+AH67+AH60+AH43+0.01</f>
        <v>1341996.0729999996</v>
      </c>
      <c r="AI96" s="83"/>
      <c r="AJ96" s="83"/>
    </row>
    <row r="97" spans="2:38" s="85" customFormat="1" ht="12" x14ac:dyDescent="0.2">
      <c r="B97" s="83"/>
      <c r="C97" s="83"/>
      <c r="D97" s="102"/>
      <c r="E97" s="102"/>
      <c r="F97" s="10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83"/>
      <c r="U97" s="32"/>
      <c r="V97" s="32"/>
      <c r="W97" s="32"/>
      <c r="X97" s="32"/>
      <c r="Y97" s="32"/>
      <c r="Z97" s="32"/>
      <c r="AA97" s="102"/>
      <c r="AB97" s="102"/>
      <c r="AC97" s="147"/>
      <c r="AD97" s="147"/>
      <c r="AE97" s="147"/>
      <c r="AF97" s="147"/>
      <c r="AG97" s="83"/>
      <c r="AH97" s="147"/>
      <c r="AI97" s="83"/>
      <c r="AJ97" s="83"/>
    </row>
    <row r="98" spans="2:38" s="85" customFormat="1" ht="12" x14ac:dyDescent="0.2">
      <c r="B98" s="83"/>
      <c r="C98" s="83"/>
      <c r="D98" s="102"/>
      <c r="E98" s="102"/>
      <c r="F98" s="102"/>
      <c r="G98" s="32">
        <f>46996.38+47159.94</f>
        <v>94156.32</v>
      </c>
      <c r="H98" s="148"/>
      <c r="I98" s="148"/>
      <c r="J98" s="148"/>
      <c r="K98" s="148"/>
      <c r="L98" s="148"/>
      <c r="M98" s="148"/>
      <c r="N98" s="148"/>
      <c r="O98" s="148"/>
      <c r="P98" s="148"/>
      <c r="Q98" s="102" t="s">
        <v>21</v>
      </c>
      <c r="R98" s="102"/>
      <c r="S98" s="102"/>
      <c r="T98" s="83"/>
      <c r="U98" s="102"/>
      <c r="V98" s="102"/>
      <c r="W98" s="102"/>
      <c r="X98" s="102"/>
      <c r="Y98" s="102"/>
      <c r="Z98" s="102"/>
      <c r="AA98" s="102">
        <f>44496.38+36458.12</f>
        <v>80954.5</v>
      </c>
      <c r="AB98" s="102"/>
      <c r="AC98" s="147"/>
      <c r="AD98" s="147"/>
      <c r="AE98" s="147"/>
      <c r="AF98" s="147"/>
      <c r="AG98" s="83"/>
      <c r="AH98" s="149">
        <f>AH94+AH79+AH67+AH60+AH43+0.01</f>
        <v>1341996.0729999996</v>
      </c>
      <c r="AI98" s="87" t="s">
        <v>62</v>
      </c>
      <c r="AJ98" s="120">
        <f>AJ86+AJ76+AJ65+AJ53+AJ33</f>
        <v>404752.87</v>
      </c>
      <c r="AK98" s="99" t="s">
        <v>83</v>
      </c>
      <c r="AL98" s="83"/>
    </row>
    <row r="99" spans="2:38" s="85" customFormat="1" ht="12" x14ac:dyDescent="0.2">
      <c r="B99" s="83"/>
      <c r="C99" s="83"/>
      <c r="D99" s="102"/>
      <c r="E99" s="102"/>
      <c r="F99" s="102"/>
      <c r="G99" s="32"/>
      <c r="H99" s="102"/>
      <c r="I99" s="102"/>
      <c r="J99" s="112" t="s">
        <v>95</v>
      </c>
      <c r="K99" s="112"/>
      <c r="L99" s="112"/>
      <c r="M99" s="112" t="s">
        <v>96</v>
      </c>
      <c r="N99" s="112"/>
      <c r="O99" s="112"/>
      <c r="P99" s="150" t="s">
        <v>97</v>
      </c>
      <c r="Q99" s="102"/>
      <c r="R99" s="102"/>
      <c r="S99" s="102"/>
      <c r="T99" s="83"/>
      <c r="U99" s="102"/>
      <c r="V99" s="102"/>
      <c r="W99" s="102"/>
      <c r="X99" s="102"/>
      <c r="Y99" s="102"/>
      <c r="Z99" s="102"/>
      <c r="AA99" s="102" t="s">
        <v>21</v>
      </c>
      <c r="AB99" s="102"/>
      <c r="AC99" s="151" t="s">
        <v>21</v>
      </c>
      <c r="AD99" s="151"/>
      <c r="AE99" s="152" t="s">
        <v>21</v>
      </c>
      <c r="AF99" s="153"/>
      <c r="AG99" s="153"/>
      <c r="AH99" s="154"/>
      <c r="AI99" s="87" t="s">
        <v>62</v>
      </c>
      <c r="AJ99" s="120">
        <f>AJ55+AJ35</f>
        <v>8220.42</v>
      </c>
      <c r="AK99" s="99" t="s">
        <v>80</v>
      </c>
      <c r="AL99" s="83"/>
    </row>
    <row r="100" spans="2:38" s="85" customFormat="1" ht="12" x14ac:dyDescent="0.2">
      <c r="B100" s="83"/>
      <c r="C100" s="83"/>
      <c r="D100" s="102"/>
      <c r="E100" s="102"/>
      <c r="F100" s="102"/>
      <c r="G100" s="155" t="s">
        <v>38</v>
      </c>
      <c r="H100" s="156"/>
      <c r="I100" s="156"/>
      <c r="J100" s="157">
        <v>418.22</v>
      </c>
      <c r="K100" s="158">
        <v>418.23</v>
      </c>
      <c r="L100" s="157">
        <f>J100+K100</f>
        <v>836.45</v>
      </c>
      <c r="M100" s="159">
        <v>418.23</v>
      </c>
      <c r="N100" s="160">
        <v>418.23</v>
      </c>
      <c r="O100" s="161">
        <f>M100+N100</f>
        <v>836.46</v>
      </c>
      <c r="P100" s="161">
        <f>J100-M100</f>
        <v>-9.9999999999909051E-3</v>
      </c>
      <c r="Q100" s="102"/>
      <c r="R100" s="102"/>
      <c r="S100" s="102"/>
      <c r="T100" s="83"/>
      <c r="U100" s="102"/>
      <c r="V100" s="102"/>
      <c r="W100" s="102"/>
      <c r="X100" s="102"/>
      <c r="Y100" s="102"/>
      <c r="Z100" s="102"/>
      <c r="AA100" s="102"/>
      <c r="AB100" s="102"/>
      <c r="AC100" s="147"/>
      <c r="AD100" s="147"/>
      <c r="AE100" s="162" t="s">
        <v>21</v>
      </c>
      <c r="AF100" s="147"/>
      <c r="AG100" s="120"/>
      <c r="AH100" s="154"/>
      <c r="AI100" s="87" t="s">
        <v>64</v>
      </c>
      <c r="AJ100" s="163">
        <f>AJ87+AJ77+AJ54+AJ34</f>
        <v>43997.279999999999</v>
      </c>
      <c r="AK100" s="99" t="s">
        <v>83</v>
      </c>
      <c r="AL100" s="83"/>
    </row>
    <row r="101" spans="2:38" s="85" customFormat="1" ht="12" x14ac:dyDescent="0.2">
      <c r="B101" s="83"/>
      <c r="C101" s="83"/>
      <c r="D101" s="102"/>
      <c r="E101" s="102"/>
      <c r="F101" s="102"/>
      <c r="G101" s="164" t="s">
        <v>46</v>
      </c>
      <c r="H101" s="156"/>
      <c r="I101" s="156"/>
      <c r="J101" s="157">
        <v>628.41999999999996</v>
      </c>
      <c r="K101" s="158">
        <v>628.42999999999995</v>
      </c>
      <c r="L101" s="157">
        <f>J101+K101</f>
        <v>1256.8499999999999</v>
      </c>
      <c r="M101" s="159">
        <v>628.42999999999995</v>
      </c>
      <c r="N101" s="160">
        <v>628.42999999999995</v>
      </c>
      <c r="O101" s="161">
        <f>M101+N101</f>
        <v>1256.8599999999999</v>
      </c>
      <c r="P101" s="161">
        <f>J101-M101</f>
        <v>-9.9999999999909051E-3</v>
      </c>
      <c r="Q101" s="102"/>
      <c r="R101" s="102"/>
      <c r="S101" s="102"/>
      <c r="T101" s="83"/>
      <c r="U101" s="102"/>
      <c r="V101" s="102"/>
      <c r="W101" s="102"/>
      <c r="X101" s="102"/>
      <c r="Y101" s="102"/>
      <c r="Z101" s="102"/>
      <c r="AA101" s="102"/>
      <c r="AB101" s="102"/>
      <c r="AC101" s="147"/>
      <c r="AD101" s="147"/>
      <c r="AE101" s="147"/>
      <c r="AF101" s="147"/>
      <c r="AG101" s="83"/>
      <c r="AH101" s="154" t="s">
        <v>21</v>
      </c>
      <c r="AI101" s="87" t="s">
        <v>27</v>
      </c>
      <c r="AJ101" s="120">
        <f>SUM(AJ98:AJ100)</f>
        <v>456970.56999999995</v>
      </c>
      <c r="AL101" s="83"/>
    </row>
    <row r="102" spans="2:38" s="85" customFormat="1" ht="12" x14ac:dyDescent="0.2">
      <c r="B102" s="83"/>
      <c r="C102" s="83"/>
      <c r="D102" s="102"/>
      <c r="E102" s="102"/>
      <c r="F102" s="102"/>
      <c r="G102" s="155" t="s">
        <v>65</v>
      </c>
      <c r="H102" s="156"/>
      <c r="I102" s="156"/>
      <c r="J102" s="157">
        <v>453.32</v>
      </c>
      <c r="K102" s="158">
        <v>453.33</v>
      </c>
      <c r="L102" s="157">
        <f>J102+K102</f>
        <v>906.65</v>
      </c>
      <c r="M102" s="159">
        <v>453.32</v>
      </c>
      <c r="N102" s="160">
        <v>453.33</v>
      </c>
      <c r="O102" s="161">
        <f>M102+N102</f>
        <v>906.65</v>
      </c>
      <c r="P102" s="161">
        <f>J102-M102</f>
        <v>0</v>
      </c>
      <c r="Q102" s="102"/>
      <c r="R102" s="102"/>
      <c r="S102" s="102"/>
      <c r="T102" s="83"/>
      <c r="U102" s="102"/>
      <c r="V102" s="102"/>
      <c r="W102" s="102"/>
      <c r="X102" s="102"/>
      <c r="Y102" s="102"/>
      <c r="Z102" s="102"/>
      <c r="AA102" s="102"/>
      <c r="AB102" s="102"/>
      <c r="AC102" s="147"/>
      <c r="AD102" s="147"/>
      <c r="AE102" s="147"/>
      <c r="AF102" s="147"/>
      <c r="AG102" s="83"/>
      <c r="AH102" s="154" t="s">
        <v>21</v>
      </c>
      <c r="AJ102" s="120" t="s">
        <v>21</v>
      </c>
      <c r="AL102" s="83"/>
    </row>
    <row r="103" spans="2:38" s="85" customFormat="1" ht="12" x14ac:dyDescent="0.2">
      <c r="B103" s="83"/>
      <c r="C103" s="83"/>
      <c r="D103" s="102"/>
      <c r="E103" s="102"/>
      <c r="F103" s="102"/>
      <c r="G103" s="155" t="s">
        <v>75</v>
      </c>
      <c r="H103" s="156"/>
      <c r="I103" s="156"/>
      <c r="J103" s="157">
        <v>628.41999999999996</v>
      </c>
      <c r="K103" s="158">
        <v>628.42999999999995</v>
      </c>
      <c r="L103" s="157">
        <f>J103+K103</f>
        <v>1256.8499999999999</v>
      </c>
      <c r="M103" s="159">
        <v>628.42999999999995</v>
      </c>
      <c r="N103" s="160">
        <v>628.42999999999995</v>
      </c>
      <c r="O103" s="161">
        <f>M103+N103</f>
        <v>1256.8599999999999</v>
      </c>
      <c r="P103" s="161">
        <f>J103-M103</f>
        <v>-9.9999999999909051E-3</v>
      </c>
      <c r="Q103" s="102"/>
      <c r="R103" s="102"/>
      <c r="S103" s="102"/>
      <c r="T103" s="83"/>
      <c r="U103" s="102"/>
      <c r="V103" s="102"/>
      <c r="W103" s="102"/>
      <c r="X103" s="102"/>
      <c r="Y103" s="102"/>
      <c r="Z103" s="102"/>
      <c r="AA103" s="102"/>
      <c r="AB103" s="102"/>
      <c r="AC103" s="147"/>
      <c r="AD103" s="147"/>
      <c r="AE103" s="147"/>
      <c r="AF103" s="147"/>
      <c r="AG103" s="83"/>
      <c r="AH103" s="154" t="s">
        <v>21</v>
      </c>
      <c r="AI103" s="87" t="s">
        <v>71</v>
      </c>
      <c r="AJ103" s="83">
        <f>AJ90+AJ78+AJ66+AJ57+AJ38</f>
        <v>380514.88999999996</v>
      </c>
      <c r="AK103" s="99" t="s">
        <v>83</v>
      </c>
      <c r="AL103" s="83"/>
    </row>
    <row r="104" spans="2:38" s="85" customFormat="1" ht="12" x14ac:dyDescent="0.2">
      <c r="B104" s="83"/>
      <c r="C104" s="83"/>
      <c r="D104" s="102"/>
      <c r="E104" s="102"/>
      <c r="F104" s="102"/>
      <c r="H104" s="102"/>
      <c r="I104" s="102"/>
      <c r="J104" s="102"/>
      <c r="K104" s="102"/>
      <c r="L104" s="102"/>
      <c r="M104" s="102"/>
      <c r="N104" s="165"/>
      <c r="Q104" s="102"/>
      <c r="R104" s="102"/>
      <c r="S104" s="102"/>
      <c r="T104" s="83"/>
      <c r="U104" s="102"/>
      <c r="V104" s="102"/>
      <c r="W104" s="102"/>
      <c r="X104" s="102"/>
      <c r="Y104" s="102"/>
      <c r="Z104" s="102"/>
      <c r="AA104" s="102"/>
      <c r="AB104" s="102"/>
      <c r="AC104" s="147"/>
      <c r="AD104" s="147"/>
      <c r="AE104" s="147"/>
      <c r="AF104" s="147"/>
      <c r="AG104" s="83"/>
      <c r="AH104" s="154" t="s">
        <v>21</v>
      </c>
      <c r="AI104" s="87" t="s">
        <v>71</v>
      </c>
      <c r="AJ104" s="120">
        <f>AJ59+AJ40</f>
        <v>12429.26</v>
      </c>
      <c r="AK104" s="99" t="s">
        <v>80</v>
      </c>
      <c r="AL104" s="83"/>
    </row>
    <row r="105" spans="2:38" s="85" customFormat="1" ht="12" x14ac:dyDescent="0.2">
      <c r="B105" s="83"/>
      <c r="C105" s="83"/>
      <c r="D105" s="102"/>
      <c r="E105" s="102"/>
      <c r="F105" s="102"/>
      <c r="H105" s="102"/>
      <c r="I105" s="102"/>
      <c r="J105" s="102"/>
      <c r="K105" s="102"/>
      <c r="L105" s="102"/>
      <c r="M105" s="102"/>
      <c r="N105" s="165"/>
      <c r="Q105" s="102"/>
      <c r="R105" s="102"/>
      <c r="S105" s="102"/>
      <c r="T105" s="83"/>
      <c r="U105" s="102"/>
      <c r="V105" s="102"/>
      <c r="W105" s="102"/>
      <c r="X105" s="102"/>
      <c r="Y105" s="102"/>
      <c r="Z105" s="102"/>
      <c r="AA105" s="102"/>
      <c r="AB105" s="102"/>
      <c r="AC105" s="147"/>
      <c r="AD105" s="147"/>
      <c r="AE105" s="147"/>
      <c r="AF105" s="147"/>
      <c r="AG105" s="83"/>
      <c r="AH105" s="154" t="s">
        <v>21</v>
      </c>
      <c r="AI105" s="87" t="s">
        <v>64</v>
      </c>
      <c r="AJ105" s="163">
        <f>AJ91+AJ79+AJ58+AJ39</f>
        <v>43997.279999999999</v>
      </c>
      <c r="AK105" s="99" t="s">
        <v>83</v>
      </c>
      <c r="AL105" s="83"/>
    </row>
    <row r="106" spans="2:38" s="85" customFormat="1" ht="12" x14ac:dyDescent="0.2">
      <c r="B106" s="83"/>
      <c r="C106" s="83"/>
      <c r="D106" s="102"/>
      <c r="E106" s="102"/>
      <c r="F106" s="102"/>
      <c r="G106" s="32"/>
      <c r="Q106" s="102"/>
      <c r="R106" s="102"/>
      <c r="S106" s="102"/>
      <c r="T106" s="83"/>
      <c r="U106" s="102"/>
      <c r="V106" s="102"/>
      <c r="W106" s="102"/>
      <c r="X106" s="102"/>
      <c r="Y106" s="102"/>
      <c r="Z106" s="102"/>
      <c r="AA106" s="102"/>
      <c r="AB106" s="102"/>
      <c r="AC106" s="147"/>
      <c r="AD106" s="147"/>
      <c r="AE106" s="147"/>
      <c r="AF106" s="147"/>
      <c r="AG106" s="83"/>
      <c r="AH106" s="154" t="s">
        <v>21</v>
      </c>
      <c r="AI106" s="87" t="s">
        <v>27</v>
      </c>
      <c r="AJ106" s="120">
        <f>SUM(AJ103:AJ105)</f>
        <v>436941.42999999993</v>
      </c>
      <c r="AK106" s="99" t="s">
        <v>21</v>
      </c>
      <c r="AL106" s="83"/>
    </row>
    <row r="107" spans="2:38" s="85" customFormat="1" ht="12" x14ac:dyDescent="0.2">
      <c r="B107" s="83"/>
      <c r="C107" s="83"/>
      <c r="D107" s="102"/>
      <c r="E107" s="102"/>
      <c r="F107" s="102"/>
      <c r="G107" s="32"/>
      <c r="H107" s="3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83"/>
      <c r="U107" s="102"/>
      <c r="V107" s="102"/>
      <c r="W107" s="102"/>
      <c r="X107" s="102"/>
      <c r="Y107" s="102"/>
      <c r="Z107" s="102"/>
      <c r="AA107" s="102"/>
      <c r="AB107" s="102"/>
      <c r="AC107" s="147"/>
      <c r="AD107" s="147"/>
      <c r="AE107" s="147"/>
      <c r="AF107" s="147"/>
      <c r="AG107" s="83"/>
      <c r="AH107" s="154" t="s">
        <v>21</v>
      </c>
      <c r="AJ107" s="83"/>
      <c r="AL107" s="83"/>
    </row>
    <row r="108" spans="2:38" s="85" customFormat="1" ht="12" x14ac:dyDescent="0.2">
      <c r="B108" s="83"/>
      <c r="C108" s="83"/>
      <c r="D108" s="102"/>
      <c r="E108" s="102"/>
      <c r="F108" s="10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0"/>
      <c r="AJ108" s="32"/>
      <c r="AL108" s="83"/>
    </row>
    <row r="109" spans="2:38" s="85" customFormat="1" ht="12" x14ac:dyDescent="0.2">
      <c r="B109" s="83"/>
      <c r="C109" s="83"/>
      <c r="D109" s="102"/>
      <c r="E109" s="102"/>
      <c r="F109" s="102"/>
      <c r="G109" s="32"/>
      <c r="H109" s="3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83"/>
      <c r="U109" s="102"/>
      <c r="V109" s="102"/>
      <c r="W109" s="102"/>
      <c r="X109" s="102"/>
      <c r="Y109" s="102"/>
      <c r="Z109" s="102"/>
      <c r="AA109" s="102"/>
      <c r="AB109" s="102"/>
      <c r="AC109" s="147"/>
      <c r="AD109" s="147"/>
      <c r="AE109" s="147"/>
      <c r="AF109" s="147"/>
      <c r="AG109" s="83"/>
      <c r="AH109" s="154" t="s">
        <v>21</v>
      </c>
      <c r="AI109" s="30" t="s">
        <v>98</v>
      </c>
      <c r="AJ109" s="32">
        <f>AJ98+AJ100+AJ103+AJ105</f>
        <v>873262.32000000007</v>
      </c>
      <c r="AK109" s="99"/>
      <c r="AL109" s="83"/>
    </row>
    <row r="110" spans="2:38" s="85" customFormat="1" ht="12" x14ac:dyDescent="0.2">
      <c r="B110" s="83"/>
      <c r="C110" s="83"/>
      <c r="D110" s="102"/>
      <c r="E110" s="102"/>
      <c r="F110" s="102"/>
      <c r="G110" s="32"/>
      <c r="H110" s="3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83"/>
      <c r="U110" s="102"/>
      <c r="V110" s="102"/>
      <c r="W110" s="102"/>
      <c r="X110" s="102"/>
      <c r="Y110" s="102"/>
      <c r="Z110" s="102"/>
      <c r="AA110" s="102"/>
      <c r="AB110" s="102"/>
      <c r="AC110" s="147"/>
      <c r="AD110" s="147"/>
      <c r="AE110" s="147"/>
      <c r="AF110" s="147"/>
      <c r="AG110" s="83"/>
      <c r="AH110" s="154" t="s">
        <v>21</v>
      </c>
      <c r="AI110" s="166" t="s">
        <v>80</v>
      </c>
      <c r="AJ110" s="167">
        <f>AJ104+AJ99</f>
        <v>20649.68</v>
      </c>
      <c r="AK110" s="99"/>
      <c r="AL110" s="83"/>
    </row>
    <row r="111" spans="2:38" s="85" customFormat="1" ht="12" x14ac:dyDescent="0.2">
      <c r="B111" s="83"/>
      <c r="C111" s="83"/>
      <c r="D111" s="102"/>
      <c r="E111" s="102"/>
      <c r="F111" s="102"/>
      <c r="G111" s="32"/>
      <c r="H111" s="3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83"/>
      <c r="U111" s="102"/>
      <c r="V111" s="102"/>
      <c r="W111" s="102"/>
      <c r="X111" s="102"/>
      <c r="Y111" s="102"/>
      <c r="Z111" s="102"/>
      <c r="AA111" s="102"/>
      <c r="AB111" s="102"/>
      <c r="AC111" s="147"/>
      <c r="AD111" s="147"/>
      <c r="AE111" s="147"/>
      <c r="AF111" s="147"/>
      <c r="AG111" s="83"/>
      <c r="AH111" s="83"/>
      <c r="AI111" s="30" t="s">
        <v>99</v>
      </c>
      <c r="AJ111" s="168">
        <f>AJ43</f>
        <v>448084.06949999975</v>
      </c>
      <c r="AK111" s="99"/>
      <c r="AL111" s="83"/>
    </row>
    <row r="112" spans="2:38" s="85" customFormat="1" ht="12.75" x14ac:dyDescent="0.2">
      <c r="B112" s="83"/>
      <c r="C112" s="83"/>
      <c r="D112" s="102"/>
      <c r="E112" s="102"/>
      <c r="F112" s="102"/>
      <c r="G112" s="32"/>
      <c r="H112" s="3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83"/>
      <c r="U112" s="102"/>
      <c r="V112" s="102"/>
      <c r="W112" s="102"/>
      <c r="X112" s="102"/>
      <c r="Y112" s="102"/>
      <c r="Z112" s="102"/>
      <c r="AA112" s="102"/>
      <c r="AB112" s="102"/>
      <c r="AC112" s="147"/>
      <c r="AD112" s="147"/>
      <c r="AE112" s="147"/>
      <c r="AF112" s="83"/>
      <c r="AG112" s="83"/>
      <c r="AI112" s="169" t="s">
        <v>100</v>
      </c>
      <c r="AJ112" s="170">
        <f>AJ109+AJ110+AJ111</f>
        <v>1341996.0694999998</v>
      </c>
      <c r="AK112" s="85" t="s">
        <v>21</v>
      </c>
      <c r="AL112" s="83"/>
    </row>
    <row r="113" spans="2:38" s="85" customFormat="1" ht="12.75" x14ac:dyDescent="0.2">
      <c r="B113" s="83"/>
      <c r="C113" s="83"/>
      <c r="D113" s="102"/>
      <c r="E113" s="102"/>
      <c r="F113" s="102"/>
      <c r="G113" s="32"/>
      <c r="H113" s="3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83"/>
      <c r="U113" s="102"/>
      <c r="V113" s="102"/>
      <c r="W113" s="102"/>
      <c r="X113" s="102"/>
      <c r="Y113" s="102"/>
      <c r="Z113" s="102"/>
      <c r="AA113" s="102"/>
      <c r="AB113" s="102"/>
      <c r="AC113" s="147"/>
      <c r="AD113" s="147"/>
      <c r="AE113" s="147"/>
      <c r="AF113" s="83"/>
      <c r="AG113" s="83"/>
      <c r="AI113" s="171"/>
      <c r="AJ113" s="172"/>
      <c r="AL113" s="83"/>
    </row>
    <row r="114" spans="2:38" s="85" customFormat="1" ht="12" x14ac:dyDescent="0.2">
      <c r="B114" s="83"/>
      <c r="C114" s="83"/>
      <c r="D114" s="102"/>
      <c r="E114" s="102"/>
      <c r="F114" s="102"/>
      <c r="G114" s="32"/>
      <c r="H114" s="32"/>
      <c r="I114" s="102"/>
      <c r="J114" s="102"/>
      <c r="K114" s="102"/>
      <c r="L114" s="102"/>
      <c r="M114" s="102"/>
      <c r="N114" s="102"/>
      <c r="O114" s="102"/>
      <c r="P114" s="102"/>
      <c r="Q114" s="102"/>
      <c r="R114" s="83"/>
      <c r="S114" s="102"/>
      <c r="T114" s="102"/>
      <c r="U114" s="102"/>
      <c r="V114" s="102"/>
      <c r="W114" s="102"/>
      <c r="X114" s="102"/>
      <c r="Y114" s="102"/>
      <c r="Z114" s="102"/>
      <c r="AA114" s="147"/>
      <c r="AB114" s="147"/>
      <c r="AC114" s="147"/>
      <c r="AD114" s="83"/>
      <c r="AE114" s="83"/>
      <c r="AJ114" s="83" t="s">
        <v>21</v>
      </c>
      <c r="AK114" s="99"/>
      <c r="AL114" s="83"/>
    </row>
    <row r="115" spans="2:38" s="85" customFormat="1" ht="12" x14ac:dyDescent="0.2">
      <c r="B115" s="83"/>
      <c r="C115" s="83"/>
      <c r="D115" s="102"/>
      <c r="E115" s="102"/>
      <c r="F115" s="102"/>
      <c r="G115" s="32"/>
      <c r="H115" s="32"/>
      <c r="I115" s="102"/>
      <c r="J115" s="102"/>
      <c r="K115" s="102"/>
      <c r="L115" s="102"/>
      <c r="M115" s="102"/>
      <c r="N115" s="102"/>
      <c r="O115" s="102"/>
      <c r="P115" s="102"/>
      <c r="Q115" s="102"/>
      <c r="R115" s="83"/>
      <c r="S115" s="102"/>
      <c r="T115" s="102"/>
      <c r="U115" s="102"/>
      <c r="V115" s="102"/>
      <c r="W115" s="102"/>
      <c r="X115" s="102"/>
      <c r="Y115" s="102"/>
      <c r="Z115" s="102"/>
      <c r="AA115" s="147"/>
      <c r="AB115" s="147"/>
      <c r="AC115" s="147"/>
      <c r="AD115" s="83"/>
      <c r="AE115" s="83"/>
      <c r="AJ115" s="83" t="s">
        <v>21</v>
      </c>
      <c r="AK115" s="99" t="s">
        <v>21</v>
      </c>
      <c r="AL115" s="83"/>
    </row>
    <row r="116" spans="2:38" s="85" customFormat="1" ht="12" x14ac:dyDescent="0.2">
      <c r="B116" s="83"/>
      <c r="C116" s="83"/>
      <c r="D116" s="102"/>
      <c r="E116" s="102"/>
      <c r="F116" s="102"/>
      <c r="G116" s="32"/>
      <c r="H116" s="32"/>
      <c r="I116" s="102"/>
      <c r="J116" s="102"/>
      <c r="K116" s="102"/>
      <c r="L116" s="102"/>
      <c r="M116" s="102"/>
      <c r="N116" s="102"/>
      <c r="O116" s="102"/>
      <c r="P116" s="102"/>
      <c r="Q116" s="102"/>
      <c r="R116" s="83"/>
      <c r="S116" s="102"/>
      <c r="T116" s="102"/>
      <c r="U116" s="102"/>
      <c r="V116" s="102"/>
      <c r="W116" s="102"/>
      <c r="X116" s="102"/>
      <c r="Y116" s="102"/>
      <c r="Z116" s="102"/>
      <c r="AA116" s="147"/>
      <c r="AB116" s="147"/>
      <c r="AC116" s="147"/>
      <c r="AD116" s="83"/>
      <c r="AE116" s="83"/>
      <c r="AH116" s="173" t="s">
        <v>101</v>
      </c>
      <c r="AI116" s="174" t="s">
        <v>102</v>
      </c>
      <c r="AJ116" s="175"/>
      <c r="AK116" s="173" t="s">
        <v>21</v>
      </c>
    </row>
    <row r="117" spans="2:38" s="85" customFormat="1" ht="15.75" customHeight="1" x14ac:dyDescent="0.2">
      <c r="B117" s="83"/>
      <c r="C117" s="83"/>
      <c r="D117" s="102"/>
      <c r="E117" s="102"/>
      <c r="F117" s="102"/>
      <c r="G117" s="32"/>
      <c r="H117" s="32"/>
      <c r="I117" s="102"/>
      <c r="J117" s="102"/>
      <c r="K117" s="102"/>
      <c r="L117" s="102"/>
      <c r="M117" s="102"/>
      <c r="N117" s="102"/>
      <c r="O117" s="102"/>
      <c r="P117" s="102"/>
      <c r="Q117" s="102"/>
      <c r="R117" s="83"/>
      <c r="S117" s="102"/>
      <c r="T117" s="102"/>
      <c r="U117" s="102"/>
      <c r="V117" s="102"/>
      <c r="W117" s="102"/>
      <c r="X117" s="102"/>
      <c r="Y117" s="102"/>
      <c r="Z117" s="102"/>
      <c r="AA117" s="147"/>
      <c r="AB117" s="147"/>
      <c r="AC117" s="147"/>
      <c r="AD117" s="83"/>
      <c r="AE117" s="83"/>
      <c r="AH117" s="173" t="s">
        <v>103</v>
      </c>
      <c r="AI117" s="176" t="s">
        <v>104</v>
      </c>
      <c r="AJ117" s="176"/>
      <c r="AK117" s="176"/>
    </row>
    <row r="118" spans="2:38" s="85" customFormat="1" ht="12" x14ac:dyDescent="0.2">
      <c r="B118" s="83"/>
      <c r="C118" s="83"/>
      <c r="D118" s="102"/>
      <c r="E118" s="102"/>
      <c r="F118" s="102"/>
      <c r="G118" s="32"/>
      <c r="H118" s="32"/>
      <c r="I118" s="102"/>
      <c r="J118" s="102"/>
      <c r="K118" s="102"/>
      <c r="L118" s="102"/>
      <c r="M118" s="102"/>
      <c r="N118" s="102"/>
      <c r="O118" s="102"/>
      <c r="P118" s="102"/>
      <c r="Q118" s="102"/>
      <c r="R118" s="83"/>
      <c r="S118" s="102"/>
      <c r="T118" s="102"/>
      <c r="U118" s="102"/>
      <c r="V118" s="102"/>
      <c r="W118" s="102"/>
      <c r="X118" s="102"/>
      <c r="Y118" s="102"/>
      <c r="Z118" s="102"/>
      <c r="AA118" s="147"/>
      <c r="AB118" s="147"/>
      <c r="AC118" s="147"/>
      <c r="AD118" s="83"/>
      <c r="AE118" s="83"/>
      <c r="AH118" s="173" t="s">
        <v>105</v>
      </c>
      <c r="AI118" s="152" t="s">
        <v>106</v>
      </c>
      <c r="AJ118" s="175"/>
      <c r="AK118" s="173"/>
    </row>
    <row r="119" spans="2:38" s="85" customFormat="1" ht="12" x14ac:dyDescent="0.2">
      <c r="B119" s="83"/>
      <c r="C119" s="83"/>
      <c r="D119" s="102"/>
      <c r="E119" s="102"/>
      <c r="F119" s="102"/>
      <c r="G119" s="32"/>
      <c r="H119" s="32"/>
      <c r="I119" s="102"/>
      <c r="J119" s="102"/>
      <c r="K119" s="102"/>
      <c r="L119" s="102"/>
      <c r="M119" s="102"/>
      <c r="N119" s="102"/>
      <c r="O119" s="102"/>
      <c r="P119" s="102"/>
      <c r="Q119" s="102"/>
      <c r="R119" s="83"/>
      <c r="S119" s="102"/>
      <c r="T119" s="102"/>
      <c r="U119" s="102"/>
      <c r="V119" s="102"/>
      <c r="W119" s="102"/>
      <c r="X119" s="102"/>
      <c r="Y119" s="102"/>
      <c r="Z119" s="102"/>
      <c r="AA119" s="147"/>
      <c r="AB119" s="147"/>
      <c r="AC119" s="147"/>
      <c r="AD119" s="83"/>
      <c r="AE119" s="83"/>
      <c r="AH119" s="173" t="s">
        <v>107</v>
      </c>
      <c r="AI119" s="152" t="s">
        <v>108</v>
      </c>
      <c r="AJ119" s="175"/>
      <c r="AK119" s="173"/>
    </row>
    <row r="120" spans="2:38" s="85" customFormat="1" ht="12.75" x14ac:dyDescent="0.2">
      <c r="B120" s="83"/>
      <c r="C120" s="83"/>
      <c r="D120" s="102"/>
      <c r="E120" s="102"/>
      <c r="F120" s="102"/>
      <c r="G120" s="32"/>
      <c r="H120" s="32"/>
      <c r="I120" s="102"/>
      <c r="J120" s="102"/>
      <c r="K120" s="102"/>
      <c r="L120" s="102"/>
      <c r="M120" s="102"/>
      <c r="N120" s="102"/>
      <c r="O120" s="102"/>
      <c r="P120" s="102"/>
      <c r="Q120" s="102"/>
      <c r="R120" s="83"/>
      <c r="S120" s="102"/>
      <c r="T120" s="102"/>
      <c r="U120" s="102"/>
      <c r="V120" s="102"/>
      <c r="W120" s="102"/>
      <c r="X120" s="102"/>
      <c r="Y120" s="102"/>
      <c r="Z120" s="102"/>
      <c r="AA120" s="147"/>
      <c r="AB120" s="147"/>
      <c r="AC120" s="147"/>
      <c r="AD120" s="83"/>
      <c r="AE120" s="83"/>
      <c r="AH120" s="173" t="s">
        <v>105</v>
      </c>
      <c r="AI120" s="177" t="s">
        <v>109</v>
      </c>
      <c r="AJ120" s="175"/>
      <c r="AK120" s="173"/>
    </row>
    <row r="121" spans="2:38" s="85" customFormat="1" ht="12.75" x14ac:dyDescent="0.2">
      <c r="B121" s="83"/>
      <c r="C121" s="83"/>
      <c r="D121" s="102"/>
      <c r="E121" s="102"/>
      <c r="F121" s="102"/>
      <c r="G121" s="32"/>
      <c r="H121" s="32"/>
      <c r="I121" s="102"/>
      <c r="J121" s="102"/>
      <c r="K121" s="102"/>
      <c r="L121" s="102"/>
      <c r="M121" s="102"/>
      <c r="N121" s="102"/>
      <c r="O121" s="102"/>
      <c r="P121" s="102"/>
      <c r="Q121" s="102"/>
      <c r="R121" s="83"/>
      <c r="S121" s="102"/>
      <c r="T121" s="102"/>
      <c r="U121" s="102"/>
      <c r="V121" s="102"/>
      <c r="W121" s="102"/>
      <c r="X121" s="102"/>
      <c r="Y121" s="102"/>
      <c r="Z121" s="102"/>
      <c r="AA121" s="147"/>
      <c r="AB121" s="147"/>
      <c r="AC121" s="147"/>
      <c r="AD121" s="83"/>
      <c r="AE121" s="83"/>
      <c r="AH121" s="173" t="s">
        <v>103</v>
      </c>
      <c r="AI121" s="177" t="s">
        <v>110</v>
      </c>
      <c r="AJ121" s="175"/>
      <c r="AK121" s="173"/>
    </row>
    <row r="122" spans="2:38" s="85" customFormat="1" ht="12" x14ac:dyDescent="0.2">
      <c r="B122" s="83"/>
      <c r="C122" s="83"/>
      <c r="D122" s="102"/>
      <c r="E122" s="102"/>
      <c r="F122" s="102"/>
      <c r="G122" s="32"/>
      <c r="H122" s="32"/>
      <c r="I122" s="102"/>
      <c r="J122" s="102"/>
      <c r="K122" s="102"/>
      <c r="L122" s="102"/>
      <c r="M122" s="102"/>
      <c r="N122" s="102"/>
      <c r="O122" s="102"/>
      <c r="P122" s="102"/>
      <c r="Q122" s="102"/>
      <c r="R122" s="83"/>
      <c r="S122" s="102"/>
      <c r="T122" s="102"/>
      <c r="U122" s="102"/>
      <c r="V122" s="102"/>
      <c r="W122" s="102"/>
      <c r="X122" s="102"/>
      <c r="Y122" s="102"/>
      <c r="Z122" s="102"/>
      <c r="AA122" s="147"/>
      <c r="AB122" s="147"/>
      <c r="AC122" s="147"/>
      <c r="AD122" s="83"/>
      <c r="AE122" s="83"/>
      <c r="AH122" s="173" t="s">
        <v>111</v>
      </c>
      <c r="AI122" s="152" t="s">
        <v>112</v>
      </c>
      <c r="AJ122" s="175"/>
      <c r="AK122" s="173"/>
      <c r="AL122" s="173"/>
    </row>
    <row r="123" spans="2:38" s="85" customFormat="1" ht="12" x14ac:dyDescent="0.2">
      <c r="B123" s="83"/>
      <c r="C123" s="83"/>
      <c r="D123" s="102"/>
      <c r="E123" s="102"/>
      <c r="F123" s="102"/>
      <c r="G123" s="32"/>
      <c r="H123" s="32"/>
      <c r="I123" s="102"/>
      <c r="J123" s="102"/>
      <c r="K123" s="102"/>
      <c r="L123" s="102"/>
      <c r="M123" s="102"/>
      <c r="N123" s="102"/>
      <c r="O123" s="102"/>
      <c r="P123" s="102"/>
      <c r="Q123" s="102"/>
      <c r="R123" s="83"/>
      <c r="S123" s="102"/>
      <c r="T123" s="102"/>
      <c r="U123" s="102"/>
      <c r="V123" s="102"/>
      <c r="W123" s="102"/>
      <c r="X123" s="102"/>
      <c r="Y123" s="102"/>
      <c r="Z123" s="102"/>
      <c r="AA123" s="147"/>
      <c r="AB123" s="147"/>
      <c r="AC123" s="147"/>
      <c r="AD123" s="83"/>
      <c r="AE123" s="83"/>
      <c r="AH123" s="173" t="s">
        <v>113</v>
      </c>
      <c r="AI123" s="152" t="s">
        <v>114</v>
      </c>
      <c r="AJ123" s="178"/>
      <c r="AK123" s="173"/>
      <c r="AL123" s="173"/>
    </row>
    <row r="124" spans="2:38" s="85" customFormat="1" ht="12" x14ac:dyDescent="0.2">
      <c r="B124" s="83"/>
      <c r="C124" s="83"/>
      <c r="D124" s="102"/>
      <c r="E124" s="102"/>
      <c r="F124" s="102"/>
      <c r="G124" s="32"/>
      <c r="H124" s="32"/>
      <c r="I124" s="102"/>
      <c r="J124" s="102"/>
      <c r="K124" s="102"/>
      <c r="L124" s="102"/>
      <c r="M124" s="102"/>
      <c r="N124" s="102"/>
      <c r="O124" s="102"/>
      <c r="P124" s="102"/>
      <c r="Q124" s="102"/>
      <c r="R124" s="83"/>
      <c r="S124" s="102"/>
      <c r="T124" s="102"/>
      <c r="U124" s="102"/>
      <c r="V124" s="102"/>
      <c r="W124" s="102"/>
      <c r="X124" s="102"/>
      <c r="Y124" s="102"/>
      <c r="Z124" s="102"/>
      <c r="AA124" s="147"/>
      <c r="AB124" s="147"/>
      <c r="AC124" s="147"/>
      <c r="AD124" s="83"/>
      <c r="AE124" s="83"/>
      <c r="AH124" s="173" t="s">
        <v>115</v>
      </c>
      <c r="AI124" s="152" t="s">
        <v>116</v>
      </c>
      <c r="AJ124" s="178"/>
      <c r="AK124" s="173"/>
      <c r="AL124" s="173"/>
    </row>
    <row r="125" spans="2:38" s="85" customFormat="1" ht="12" x14ac:dyDescent="0.2">
      <c r="B125" s="83"/>
      <c r="C125" s="83"/>
      <c r="D125" s="102"/>
      <c r="E125" s="102"/>
      <c r="F125" s="102"/>
      <c r="G125" s="32"/>
      <c r="H125" s="32"/>
      <c r="I125" s="102"/>
      <c r="J125" s="102"/>
      <c r="K125" s="102"/>
      <c r="L125" s="102"/>
      <c r="M125" s="102"/>
      <c r="N125" s="102"/>
      <c r="O125" s="102"/>
      <c r="P125" s="102"/>
      <c r="Q125" s="102"/>
      <c r="R125" s="83"/>
      <c r="S125" s="102"/>
      <c r="T125" s="102"/>
      <c r="U125" s="102"/>
      <c r="V125" s="102"/>
      <c r="W125" s="102"/>
      <c r="X125" s="102"/>
      <c r="Y125" s="102"/>
      <c r="Z125" s="102"/>
      <c r="AA125" s="147"/>
      <c r="AB125" s="147"/>
      <c r="AC125" s="147"/>
      <c r="AD125" s="83"/>
      <c r="AE125" s="83"/>
      <c r="AH125" s="173" t="s">
        <v>117</v>
      </c>
      <c r="AI125" s="152" t="s">
        <v>118</v>
      </c>
      <c r="AJ125" s="178"/>
      <c r="AK125" s="173"/>
      <c r="AL125" s="173"/>
    </row>
    <row r="126" spans="2:38" s="85" customFormat="1" ht="12" x14ac:dyDescent="0.2">
      <c r="B126" s="83"/>
      <c r="C126" s="83"/>
      <c r="D126" s="102"/>
      <c r="E126" s="102"/>
      <c r="F126" s="102"/>
      <c r="G126" s="32"/>
      <c r="H126" s="32"/>
      <c r="I126" s="102"/>
      <c r="J126" s="102"/>
      <c r="K126" s="102"/>
      <c r="L126" s="102"/>
      <c r="M126" s="102"/>
      <c r="N126" s="102"/>
      <c r="O126" s="102"/>
      <c r="P126" s="102"/>
      <c r="Q126" s="102"/>
      <c r="R126" s="83"/>
      <c r="S126" s="102"/>
      <c r="T126" s="102"/>
      <c r="U126" s="102"/>
      <c r="V126" s="102"/>
      <c r="W126" s="102"/>
      <c r="X126" s="102"/>
      <c r="Y126" s="102"/>
      <c r="Z126" s="102"/>
      <c r="AA126" s="147"/>
      <c r="AB126" s="147"/>
      <c r="AC126" s="147"/>
      <c r="AD126" s="83"/>
      <c r="AE126" s="83"/>
      <c r="AH126" s="173" t="s">
        <v>119</v>
      </c>
      <c r="AI126" s="152" t="s">
        <v>120</v>
      </c>
      <c r="AJ126" s="178"/>
      <c r="AK126" s="173"/>
      <c r="AL126" s="173"/>
    </row>
    <row r="127" spans="2:38" s="85" customFormat="1" ht="12" x14ac:dyDescent="0.2">
      <c r="B127" s="83"/>
      <c r="C127" s="83"/>
      <c r="D127" s="102"/>
      <c r="E127" s="102"/>
      <c r="F127" s="102"/>
      <c r="G127" s="32"/>
      <c r="H127" s="32"/>
      <c r="I127" s="102"/>
      <c r="J127" s="102"/>
      <c r="K127" s="102"/>
      <c r="L127" s="102"/>
      <c r="M127" s="102"/>
      <c r="N127" s="102"/>
      <c r="O127" s="102"/>
      <c r="P127" s="102"/>
      <c r="Q127" s="102"/>
      <c r="R127" s="83"/>
      <c r="S127" s="102"/>
      <c r="T127" s="102"/>
      <c r="U127" s="102"/>
      <c r="V127" s="102"/>
      <c r="W127" s="102"/>
      <c r="X127" s="102"/>
      <c r="Y127" s="102"/>
      <c r="Z127" s="102"/>
      <c r="AA127" s="147"/>
      <c r="AB127" s="147"/>
      <c r="AC127" s="147"/>
      <c r="AD127" s="83"/>
      <c r="AE127" s="83"/>
      <c r="AH127" s="173" t="s">
        <v>174</v>
      </c>
      <c r="AI127" s="152" t="s">
        <v>157</v>
      </c>
      <c r="AJ127" s="83"/>
    </row>
    <row r="128" spans="2:38" s="85" customFormat="1" ht="12" x14ac:dyDescent="0.2">
      <c r="B128" s="83"/>
      <c r="C128" s="83"/>
      <c r="D128" s="102"/>
      <c r="E128" s="102"/>
      <c r="F128" s="102"/>
      <c r="G128" s="32"/>
      <c r="H128" s="32"/>
      <c r="I128" s="102"/>
      <c r="J128" s="102"/>
      <c r="K128" s="102"/>
      <c r="L128" s="102"/>
      <c r="M128" s="102"/>
      <c r="N128" s="102"/>
      <c r="O128" s="102"/>
      <c r="P128" s="102"/>
      <c r="Q128" s="102"/>
      <c r="R128" s="83"/>
      <c r="S128" s="102"/>
      <c r="T128" s="102"/>
      <c r="U128" s="102"/>
      <c r="V128" s="102"/>
      <c r="W128" s="102"/>
      <c r="X128" s="102"/>
      <c r="Y128" s="102"/>
      <c r="Z128" s="102"/>
      <c r="AA128" s="147"/>
      <c r="AB128" s="147"/>
      <c r="AC128" s="147"/>
      <c r="AD128" s="83"/>
      <c r="AE128" s="83"/>
      <c r="AJ128" s="83"/>
    </row>
    <row r="129" spans="2:36" s="85" customFormat="1" ht="12" x14ac:dyDescent="0.2">
      <c r="B129" s="83"/>
      <c r="C129" s="83"/>
      <c r="D129" s="102"/>
      <c r="E129" s="102"/>
      <c r="F129" s="102"/>
      <c r="G129" s="32"/>
      <c r="H129" s="32"/>
      <c r="I129" s="102"/>
      <c r="J129" s="102"/>
      <c r="K129" s="102"/>
      <c r="L129" s="102"/>
      <c r="M129" s="102"/>
      <c r="N129" s="102"/>
      <c r="O129" s="102"/>
      <c r="P129" s="102"/>
      <c r="Q129" s="102"/>
      <c r="R129" s="83"/>
      <c r="S129" s="102"/>
      <c r="T129" s="102"/>
      <c r="U129" s="102"/>
      <c r="V129" s="102"/>
      <c r="W129" s="102"/>
      <c r="X129" s="102"/>
      <c r="Y129" s="102"/>
      <c r="Z129" s="102"/>
      <c r="AA129" s="147"/>
      <c r="AB129" s="147"/>
      <c r="AC129" s="147"/>
      <c r="AD129" s="83"/>
      <c r="AE129" s="83"/>
      <c r="AJ129" s="83"/>
    </row>
    <row r="130" spans="2:36" s="85" customFormat="1" ht="12" x14ac:dyDescent="0.2">
      <c r="B130" s="83"/>
      <c r="C130" s="83"/>
      <c r="D130" s="102"/>
      <c r="E130" s="102"/>
      <c r="F130" s="102"/>
      <c r="G130" s="32"/>
      <c r="H130" s="32"/>
      <c r="I130" s="102"/>
      <c r="J130" s="102"/>
      <c r="K130" s="102"/>
      <c r="L130" s="102"/>
      <c r="M130" s="102"/>
      <c r="N130" s="102"/>
      <c r="O130" s="102"/>
      <c r="P130" s="102"/>
      <c r="Q130" s="102"/>
      <c r="R130" s="83"/>
      <c r="S130" s="102"/>
      <c r="T130" s="102"/>
      <c r="U130" s="102"/>
      <c r="V130" s="102"/>
      <c r="W130" s="102"/>
      <c r="X130" s="102"/>
      <c r="Y130" s="102"/>
      <c r="Z130" s="102"/>
      <c r="AA130" s="147"/>
      <c r="AB130" s="147"/>
      <c r="AC130" s="147"/>
      <c r="AD130" s="83"/>
      <c r="AE130" s="83"/>
      <c r="AJ130" s="83"/>
    </row>
    <row r="131" spans="2:36" s="85" customFormat="1" ht="12" x14ac:dyDescent="0.2">
      <c r="B131" s="83"/>
      <c r="C131" s="83"/>
      <c r="D131" s="102"/>
      <c r="E131" s="102"/>
      <c r="F131" s="102"/>
      <c r="G131" s="32"/>
      <c r="H131" s="32"/>
      <c r="I131" s="102"/>
      <c r="J131" s="102"/>
      <c r="K131" s="102"/>
      <c r="L131" s="102"/>
      <c r="M131" s="102"/>
      <c r="N131" s="102"/>
      <c r="O131" s="102"/>
      <c r="P131" s="102"/>
      <c r="Q131" s="102"/>
      <c r="R131" s="83"/>
      <c r="S131" s="102"/>
      <c r="T131" s="102"/>
      <c r="U131" s="102"/>
      <c r="V131" s="102"/>
      <c r="W131" s="102"/>
      <c r="X131" s="102"/>
      <c r="Y131" s="102"/>
      <c r="Z131" s="102"/>
      <c r="AA131" s="147"/>
      <c r="AB131" s="147"/>
      <c r="AC131" s="147"/>
      <c r="AD131" s="83"/>
      <c r="AE131" s="83"/>
      <c r="AJ131" s="83"/>
    </row>
    <row r="132" spans="2:36" s="85" customFormat="1" ht="12" x14ac:dyDescent="0.2">
      <c r="B132" s="83"/>
      <c r="C132" s="83"/>
      <c r="D132" s="102"/>
      <c r="E132" s="102"/>
      <c r="F132" s="102"/>
      <c r="G132" s="32"/>
      <c r="H132" s="32"/>
      <c r="I132" s="102"/>
      <c r="J132" s="102"/>
      <c r="K132" s="102"/>
      <c r="L132" s="102"/>
      <c r="M132" s="102"/>
      <c r="N132" s="102"/>
      <c r="O132" s="102"/>
      <c r="P132" s="102"/>
      <c r="Q132" s="102"/>
      <c r="R132" s="83"/>
      <c r="S132" s="102"/>
      <c r="T132" s="102"/>
      <c r="U132" s="102"/>
      <c r="V132" s="102"/>
      <c r="W132" s="102"/>
      <c r="X132" s="102"/>
      <c r="Y132" s="102"/>
      <c r="Z132" s="102"/>
      <c r="AA132" s="147"/>
      <c r="AB132" s="147"/>
      <c r="AC132" s="147"/>
      <c r="AD132" s="83"/>
      <c r="AE132" s="83"/>
      <c r="AJ132" s="83"/>
    </row>
    <row r="133" spans="2:36" s="85" customFormat="1" ht="12" x14ac:dyDescent="0.2">
      <c r="B133" s="83"/>
      <c r="C133" s="83"/>
      <c r="D133" s="102"/>
      <c r="E133" s="102"/>
      <c r="F133" s="102"/>
      <c r="G133" s="32"/>
      <c r="H133" s="32"/>
      <c r="I133" s="102"/>
      <c r="J133" s="102"/>
      <c r="K133" s="102"/>
      <c r="L133" s="102"/>
      <c r="M133" s="102"/>
      <c r="N133" s="102"/>
      <c r="O133" s="102"/>
      <c r="P133" s="102"/>
      <c r="Q133" s="102"/>
      <c r="R133" s="83"/>
      <c r="S133" s="102"/>
      <c r="T133" s="102"/>
      <c r="U133" s="102"/>
      <c r="V133" s="102"/>
      <c r="W133" s="102"/>
      <c r="X133" s="102"/>
      <c r="Y133" s="102"/>
      <c r="Z133" s="102"/>
      <c r="AA133" s="147"/>
      <c r="AB133" s="147"/>
      <c r="AC133" s="147"/>
      <c r="AD133" s="83"/>
      <c r="AE133" s="83"/>
      <c r="AJ133" s="83"/>
    </row>
  </sheetData>
  <mergeCells count="155">
    <mergeCell ref="AI117:AK117"/>
    <mergeCell ref="AA86:AA88"/>
    <mergeCell ref="AB86:AE86"/>
    <mergeCell ref="AF86:AF88"/>
    <mergeCell ref="AH86:AH88"/>
    <mergeCell ref="H87:H88"/>
    <mergeCell ref="I87:I88"/>
    <mergeCell ref="J87:J88"/>
    <mergeCell ref="K87:K88"/>
    <mergeCell ref="N87:N88"/>
    <mergeCell ref="O87:O88"/>
    <mergeCell ref="P87:P88"/>
    <mergeCell ref="AB87:AE87"/>
    <mergeCell ref="N86:P86"/>
    <mergeCell ref="Q86:Q88"/>
    <mergeCell ref="R86:S87"/>
    <mergeCell ref="T86:T88"/>
    <mergeCell ref="U86:U88"/>
    <mergeCell ref="V86:V88"/>
    <mergeCell ref="W86:W88"/>
    <mergeCell ref="X86:X88"/>
    <mergeCell ref="Y86:Y88"/>
    <mergeCell ref="A86:A88"/>
    <mergeCell ref="B86:B88"/>
    <mergeCell ref="C86:C88"/>
    <mergeCell ref="D86:D88"/>
    <mergeCell ref="E86:E88"/>
    <mergeCell ref="F86:F88"/>
    <mergeCell ref="G86:G88"/>
    <mergeCell ref="H86:K86"/>
    <mergeCell ref="L86:L88"/>
    <mergeCell ref="AA75:AA77"/>
    <mergeCell ref="AB75:AE76"/>
    <mergeCell ref="H76:H77"/>
    <mergeCell ref="I76:I77"/>
    <mergeCell ref="J76:J77"/>
    <mergeCell ref="K76:K77"/>
    <mergeCell ref="N76:N77"/>
    <mergeCell ref="O76:O77"/>
    <mergeCell ref="P76:P77"/>
    <mergeCell ref="R76:R77"/>
    <mergeCell ref="S76:S77"/>
    <mergeCell ref="N75:P75"/>
    <mergeCell ref="Q75:Q77"/>
    <mergeCell ref="R75:S75"/>
    <mergeCell ref="T75:T77"/>
    <mergeCell ref="U75:U77"/>
    <mergeCell ref="V75:V77"/>
    <mergeCell ref="W75:W77"/>
    <mergeCell ref="X75:X77"/>
    <mergeCell ref="Y75:Y77"/>
    <mergeCell ref="A75:A77"/>
    <mergeCell ref="B75:B77"/>
    <mergeCell ref="C75:C77"/>
    <mergeCell ref="D75:D77"/>
    <mergeCell ref="E75:E77"/>
    <mergeCell ref="F75:F77"/>
    <mergeCell ref="G75:G77"/>
    <mergeCell ref="H75:K75"/>
    <mergeCell ref="L75:L77"/>
    <mergeCell ref="AA63:AA65"/>
    <mergeCell ref="AB63:AE64"/>
    <mergeCell ref="AF63:AF65"/>
    <mergeCell ref="AH63:AH65"/>
    <mergeCell ref="H64:H65"/>
    <mergeCell ref="I64:I65"/>
    <mergeCell ref="J64:J65"/>
    <mergeCell ref="K64:K65"/>
    <mergeCell ref="N64:N65"/>
    <mergeCell ref="O64:O65"/>
    <mergeCell ref="P64:P65"/>
    <mergeCell ref="N63:P63"/>
    <mergeCell ref="Q63:Q65"/>
    <mergeCell ref="R63:S64"/>
    <mergeCell ref="T63:T65"/>
    <mergeCell ref="U63:U65"/>
    <mergeCell ref="V63:V65"/>
    <mergeCell ref="W63:W65"/>
    <mergeCell ref="X63:X65"/>
    <mergeCell ref="Y63:Y65"/>
    <mergeCell ref="A63:A65"/>
    <mergeCell ref="B63:B65"/>
    <mergeCell ref="C63:C65"/>
    <mergeCell ref="D63:D65"/>
    <mergeCell ref="E63:E65"/>
    <mergeCell ref="F63:F65"/>
    <mergeCell ref="G63:G65"/>
    <mergeCell ref="H63:K63"/>
    <mergeCell ref="L63:L65"/>
    <mergeCell ref="AG49:AG51"/>
    <mergeCell ref="AH49:AH51"/>
    <mergeCell ref="H50:H51"/>
    <mergeCell ref="I50:I51"/>
    <mergeCell ref="J50:J51"/>
    <mergeCell ref="K50:K51"/>
    <mergeCell ref="N50:N51"/>
    <mergeCell ref="O50:O51"/>
    <mergeCell ref="P50:P51"/>
    <mergeCell ref="AH4:AH6"/>
    <mergeCell ref="AB5:AE5"/>
    <mergeCell ref="A49:A51"/>
    <mergeCell ref="B49:B51"/>
    <mergeCell ref="C49:C51"/>
    <mergeCell ref="D49:D51"/>
    <mergeCell ref="E49:E51"/>
    <mergeCell ref="F49:F51"/>
    <mergeCell ref="G49:G51"/>
    <mergeCell ref="H49:K49"/>
    <mergeCell ref="L49:L51"/>
    <mergeCell ref="M49:M51"/>
    <mergeCell ref="N49:P49"/>
    <mergeCell ref="Q49:Q51"/>
    <mergeCell ref="R49:S50"/>
    <mergeCell ref="T49:T51"/>
    <mergeCell ref="U49:U51"/>
    <mergeCell ref="V49:V51"/>
    <mergeCell ref="W49:W51"/>
    <mergeCell ref="X49:X51"/>
    <mergeCell ref="Y49:Y51"/>
    <mergeCell ref="AA49:AA51"/>
    <mergeCell ref="AB49:AE49"/>
    <mergeCell ref="AF49:AF51"/>
    <mergeCell ref="A4:A6"/>
    <mergeCell ref="N4:P4"/>
    <mergeCell ref="Q4:Q6"/>
    <mergeCell ref="R4:S5"/>
    <mergeCell ref="U4:U6"/>
    <mergeCell ref="V4:V6"/>
    <mergeCell ref="AB4:AE4"/>
    <mergeCell ref="AF4:AF6"/>
    <mergeCell ref="AG4:AG6"/>
    <mergeCell ref="M86:M88"/>
    <mergeCell ref="M75:M77"/>
    <mergeCell ref="M63:M65"/>
    <mergeCell ref="H5:H6"/>
    <mergeCell ref="I5:I6"/>
    <mergeCell ref="J5:J6"/>
    <mergeCell ref="K5:K6"/>
    <mergeCell ref="N5:N6"/>
    <mergeCell ref="O5:O6"/>
    <mergeCell ref="P5:P6"/>
    <mergeCell ref="T4:T6"/>
    <mergeCell ref="W4:W6"/>
    <mergeCell ref="X4:X6"/>
    <mergeCell ref="Y4:Y6"/>
    <mergeCell ref="AA4:AA6"/>
    <mergeCell ref="B4:B6"/>
    <mergeCell ref="C4:C6"/>
    <mergeCell ref="D4:D6"/>
    <mergeCell ref="E4:E6"/>
    <mergeCell ref="F4:F6"/>
    <mergeCell ref="G4:G6"/>
    <mergeCell ref="H4:K4"/>
    <mergeCell ref="L4:L6"/>
    <mergeCell ref="M4:M6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6"/>
  <sheetViews>
    <sheetView tabSelected="1" zoomScaleNormal="100" workbookViewId="0">
      <pane xSplit="1" ySplit="1" topLeftCell="M35" activePane="bottomRight" state="frozen"/>
      <selection pane="topRight" activeCell="L1" sqref="L1"/>
      <selection pane="bottomLeft" activeCell="A2" sqref="A2"/>
      <selection pane="bottomRight" activeCell="P42" sqref="P42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10" max="10" width="11.28515625" customWidth="1"/>
    <col min="14" max="14" width="17.140625" customWidth="1"/>
    <col min="15" max="15" width="16.7109375" customWidth="1"/>
    <col min="20" max="21" width="13.140625" customWidth="1"/>
    <col min="22" max="22" width="14.7109375" customWidth="1"/>
    <col min="23" max="23" width="11.42578125" bestFit="1" customWidth="1"/>
    <col min="24" max="24" width="13.85546875" customWidth="1"/>
    <col min="25" max="25" width="9.7109375" customWidth="1"/>
    <col min="27" max="27" width="10" customWidth="1"/>
    <col min="28" max="28" width="11" customWidth="1"/>
    <col min="29" max="29" width="11.28515625" customWidth="1"/>
    <col min="30" max="30" width="12.42578125" customWidth="1"/>
    <col min="37" max="37" width="11.42578125" customWidth="1"/>
  </cols>
  <sheetData>
    <row r="1" spans="1:103" ht="35.25" customHeight="1" x14ac:dyDescent="0.25">
      <c r="A1" s="15" t="s">
        <v>121</v>
      </c>
      <c r="B1" s="15" t="s">
        <v>2</v>
      </c>
      <c r="C1" s="15" t="s">
        <v>122</v>
      </c>
      <c r="D1" s="22" t="s">
        <v>123</v>
      </c>
      <c r="E1" s="22" t="s">
        <v>124</v>
      </c>
      <c r="F1" s="22" t="s">
        <v>125</v>
      </c>
      <c r="G1" s="22" t="s">
        <v>126</v>
      </c>
      <c r="H1" s="10" t="s">
        <v>127</v>
      </c>
      <c r="I1" s="10" t="s">
        <v>128</v>
      </c>
      <c r="J1" s="10" t="s">
        <v>129</v>
      </c>
      <c r="K1" s="4" t="s">
        <v>28</v>
      </c>
      <c r="L1" s="22" t="s">
        <v>130</v>
      </c>
      <c r="M1" s="22" t="s">
        <v>131</v>
      </c>
      <c r="N1" s="7" t="s">
        <v>132</v>
      </c>
      <c r="O1" s="7" t="s">
        <v>133</v>
      </c>
      <c r="P1" s="7" t="s">
        <v>134</v>
      </c>
      <c r="Q1" s="23" t="s">
        <v>135</v>
      </c>
      <c r="R1" s="23" t="s">
        <v>136</v>
      </c>
      <c r="S1" s="23" t="s">
        <v>137</v>
      </c>
      <c r="T1" s="4" t="s">
        <v>138</v>
      </c>
      <c r="U1" s="24" t="s">
        <v>139</v>
      </c>
      <c r="V1" s="24" t="s">
        <v>140</v>
      </c>
      <c r="W1" s="25" t="s">
        <v>141</v>
      </c>
      <c r="X1" s="4" t="s">
        <v>142</v>
      </c>
      <c r="Y1" s="4" t="s">
        <v>143</v>
      </c>
      <c r="Z1" s="4" t="s">
        <v>144</v>
      </c>
      <c r="AA1" s="24" t="s">
        <v>145</v>
      </c>
      <c r="AB1" s="4" t="s">
        <v>146</v>
      </c>
      <c r="AC1" s="6" t="s">
        <v>147</v>
      </c>
      <c r="AD1" s="26" t="s">
        <v>148</v>
      </c>
      <c r="AE1" s="2" t="s">
        <v>149</v>
      </c>
      <c r="AF1" s="3" t="s">
        <v>150</v>
      </c>
      <c r="AG1" s="27" t="s">
        <v>151</v>
      </c>
      <c r="AH1" s="28" t="s">
        <v>36</v>
      </c>
      <c r="AI1" s="4" t="s">
        <v>152</v>
      </c>
      <c r="AJ1" s="25" t="s">
        <v>153</v>
      </c>
      <c r="AK1" s="29" t="s">
        <v>154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25">
      <c r="A2" s="179" t="s">
        <v>37</v>
      </c>
      <c r="B2" s="72">
        <f>17550+17550</f>
        <v>35100</v>
      </c>
      <c r="C2" s="72">
        <f>17550-33.64+17550</f>
        <v>35066.36</v>
      </c>
      <c r="D2" s="73">
        <v>0</v>
      </c>
      <c r="E2" s="73">
        <v>0</v>
      </c>
      <c r="F2" s="73">
        <v>0</v>
      </c>
      <c r="G2" s="73">
        <f t="shared" ref="G2:G30" si="0">C2+D2+E2+F2</f>
        <v>35066.36</v>
      </c>
      <c r="H2" s="73">
        <v>1350</v>
      </c>
      <c r="I2" s="74">
        <f>1900+950</f>
        <v>2850</v>
      </c>
      <c r="J2" s="73">
        <f>H2+I2</f>
        <v>4200</v>
      </c>
      <c r="K2" s="73">
        <v>30</v>
      </c>
      <c r="L2" s="73">
        <f>1845.8</f>
        <v>1845.8</v>
      </c>
      <c r="M2" s="73">
        <v>0</v>
      </c>
      <c r="N2" s="73">
        <f>B2*5%/2</f>
        <v>877.5</v>
      </c>
      <c r="O2" s="73">
        <f t="shared" ref="O2:O29" si="1">N2</f>
        <v>877.5</v>
      </c>
      <c r="P2" s="73">
        <f>N2+O2</f>
        <v>1755</v>
      </c>
      <c r="Q2" s="9"/>
      <c r="R2" s="9"/>
      <c r="S2" s="9"/>
      <c r="T2" s="11">
        <v>1770.8790000000001</v>
      </c>
      <c r="U2" s="73">
        <v>200</v>
      </c>
      <c r="V2" s="73">
        <f t="shared" ref="V2:V37" si="2">U2</f>
        <v>200</v>
      </c>
      <c r="W2" s="8">
        <v>0</v>
      </c>
      <c r="X2" s="9">
        <v>0</v>
      </c>
      <c r="Y2" s="9">
        <v>0</v>
      </c>
      <c r="Z2" s="9">
        <v>0</v>
      </c>
      <c r="AA2" s="73">
        <v>0</v>
      </c>
      <c r="AB2" s="73">
        <v>0</v>
      </c>
      <c r="AC2" s="73">
        <v>0</v>
      </c>
      <c r="AD2" s="73">
        <v>29022.180999999997</v>
      </c>
      <c r="AE2" s="73">
        <f>5200+5200</f>
        <v>10400</v>
      </c>
      <c r="AF2" s="73">
        <v>0</v>
      </c>
      <c r="AG2" s="76">
        <f>1000+1000</f>
        <v>2000</v>
      </c>
      <c r="AH2" s="77">
        <v>0</v>
      </c>
      <c r="AI2" s="76">
        <v>0</v>
      </c>
      <c r="AJ2" s="74">
        <v>0</v>
      </c>
      <c r="AK2" s="13">
        <v>41422.180999999997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25">
      <c r="A3" s="179" t="s">
        <v>38</v>
      </c>
      <c r="B3" s="81">
        <f>8364.5+8364.5</f>
        <v>16729</v>
      </c>
      <c r="C3" s="72">
        <f>8364.5-25.39+8364.5</f>
        <v>16703.61</v>
      </c>
      <c r="D3" s="73">
        <v>0</v>
      </c>
      <c r="E3" s="73">
        <v>0</v>
      </c>
      <c r="F3" s="73">
        <v>0</v>
      </c>
      <c r="G3" s="73">
        <f t="shared" si="0"/>
        <v>16703.61</v>
      </c>
      <c r="H3" s="73">
        <v>742.5</v>
      </c>
      <c r="I3" s="74">
        <v>1567.5</v>
      </c>
      <c r="J3" s="73">
        <f t="shared" ref="J3:J37" si="3">H3+I3</f>
        <v>2310</v>
      </c>
      <c r="K3" s="73">
        <v>30</v>
      </c>
      <c r="L3" s="73">
        <v>1430.49</v>
      </c>
      <c r="M3" s="73">
        <v>0</v>
      </c>
      <c r="N3" s="73">
        <f>B3*5%/2</f>
        <v>418.22500000000002</v>
      </c>
      <c r="O3" s="73">
        <f>N3</f>
        <v>418.22500000000002</v>
      </c>
      <c r="P3" s="73">
        <f>N3+O3+0.01</f>
        <v>836.46</v>
      </c>
      <c r="Q3" s="9"/>
      <c r="R3" s="9"/>
      <c r="S3" s="9"/>
      <c r="T3" s="9">
        <v>0</v>
      </c>
      <c r="U3" s="73">
        <v>200</v>
      </c>
      <c r="V3" s="73">
        <f t="shared" si="2"/>
        <v>200</v>
      </c>
      <c r="W3" s="8">
        <v>950</v>
      </c>
      <c r="X3" s="9">
        <v>0</v>
      </c>
      <c r="Y3" s="9">
        <v>0</v>
      </c>
      <c r="Z3" s="9">
        <v>0</v>
      </c>
      <c r="AA3" s="73">
        <v>0</v>
      </c>
      <c r="AB3" s="73">
        <v>0</v>
      </c>
      <c r="AC3" s="73">
        <v>0</v>
      </c>
      <c r="AD3" s="73">
        <v>12962.395</v>
      </c>
      <c r="AE3" s="73">
        <v>0</v>
      </c>
      <c r="AF3" s="73">
        <v>0</v>
      </c>
      <c r="AG3" s="76">
        <v>0</v>
      </c>
      <c r="AH3" s="73">
        <v>0</v>
      </c>
      <c r="AI3" s="73">
        <v>0</v>
      </c>
      <c r="AJ3" s="73">
        <v>0</v>
      </c>
      <c r="AK3" s="13">
        <v>12962.395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s="14" customFormat="1" ht="12.75" x14ac:dyDescent="0.2">
      <c r="A4" s="179" t="s">
        <v>39</v>
      </c>
      <c r="B4" s="64">
        <f>16000</f>
        <v>16000</v>
      </c>
      <c r="C4" s="72">
        <f>8000-304.16-1226.84+8000-1533.55-80.51</f>
        <v>12854.94</v>
      </c>
      <c r="D4" s="73">
        <v>0</v>
      </c>
      <c r="E4" s="73">
        <v>0</v>
      </c>
      <c r="F4" s="73">
        <v>0</v>
      </c>
      <c r="G4" s="73">
        <f t="shared" si="0"/>
        <v>12854.94</v>
      </c>
      <c r="H4" s="73">
        <v>720</v>
      </c>
      <c r="I4" s="74">
        <v>1520</v>
      </c>
      <c r="J4" s="73">
        <f t="shared" si="3"/>
        <v>2240</v>
      </c>
      <c r="K4" s="74">
        <v>30</v>
      </c>
      <c r="L4" s="73">
        <v>0</v>
      </c>
      <c r="M4" s="73">
        <v>0</v>
      </c>
      <c r="N4" s="73">
        <f>B4*5%/2</f>
        <v>400</v>
      </c>
      <c r="O4" s="73">
        <f t="shared" si="1"/>
        <v>400</v>
      </c>
      <c r="P4" s="74">
        <f t="shared" ref="P4:P11" si="4">N4+O4</f>
        <v>800</v>
      </c>
      <c r="Q4" s="9"/>
      <c r="R4" s="9"/>
      <c r="S4" s="9"/>
      <c r="T4" s="9">
        <v>0</v>
      </c>
      <c r="U4" s="73">
        <v>200</v>
      </c>
      <c r="V4" s="73">
        <f t="shared" si="2"/>
        <v>200</v>
      </c>
      <c r="W4" s="8">
        <v>0</v>
      </c>
      <c r="X4" s="9">
        <v>0</v>
      </c>
      <c r="Y4" s="9">
        <v>0</v>
      </c>
      <c r="Z4" s="9">
        <v>0</v>
      </c>
      <c r="AA4" s="73">
        <v>0</v>
      </c>
      <c r="AB4" s="73">
        <v>0</v>
      </c>
      <c r="AC4" s="73">
        <v>0</v>
      </c>
      <c r="AD4" s="73">
        <v>11534.94</v>
      </c>
      <c r="AE4" s="73">
        <v>0</v>
      </c>
      <c r="AF4" s="73">
        <v>0</v>
      </c>
      <c r="AG4" s="76">
        <v>0</v>
      </c>
      <c r="AH4" s="77">
        <v>0</v>
      </c>
      <c r="AI4" s="76">
        <v>0</v>
      </c>
      <c r="AJ4" s="74">
        <v>0</v>
      </c>
      <c r="AK4" s="13">
        <v>11534.94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s="14" customFormat="1" ht="12.75" x14ac:dyDescent="0.2">
      <c r="A5" s="179" t="s">
        <v>40</v>
      </c>
      <c r="B5" s="64">
        <f>12500+12500</f>
        <v>25000</v>
      </c>
      <c r="C5" s="72">
        <f>12500-447.29-3833.88+12500-1916.94-75.88</f>
        <v>18726.009999999998</v>
      </c>
      <c r="D5" s="73">
        <v>0</v>
      </c>
      <c r="E5" s="73">
        <v>0</v>
      </c>
      <c r="F5" s="73">
        <v>0</v>
      </c>
      <c r="G5" s="73">
        <f t="shared" si="0"/>
        <v>18726.009999999998</v>
      </c>
      <c r="H5" s="73">
        <f>900+225</f>
        <v>1125</v>
      </c>
      <c r="I5" s="74">
        <f>1900+475</f>
        <v>2375</v>
      </c>
      <c r="J5" s="73">
        <f t="shared" si="3"/>
        <v>3500</v>
      </c>
      <c r="K5" s="74">
        <v>30</v>
      </c>
      <c r="L5" s="73">
        <v>0</v>
      </c>
      <c r="M5" s="73">
        <v>0</v>
      </c>
      <c r="N5" s="73">
        <f>B5*5%/2</f>
        <v>625</v>
      </c>
      <c r="O5" s="73">
        <f t="shared" si="1"/>
        <v>625</v>
      </c>
      <c r="P5" s="74">
        <f t="shared" si="4"/>
        <v>1250</v>
      </c>
      <c r="Q5" s="9"/>
      <c r="R5" s="9"/>
      <c r="S5" s="9"/>
      <c r="T5" s="9">
        <v>0</v>
      </c>
      <c r="U5" s="73">
        <v>200</v>
      </c>
      <c r="V5" s="73">
        <f t="shared" si="2"/>
        <v>200</v>
      </c>
      <c r="W5" s="8"/>
      <c r="X5" s="9"/>
      <c r="Y5" s="9"/>
      <c r="Z5" s="9">
        <v>0</v>
      </c>
      <c r="AA5" s="73">
        <v>0</v>
      </c>
      <c r="AB5" s="73">
        <v>0</v>
      </c>
      <c r="AC5" s="73">
        <v>0</v>
      </c>
      <c r="AD5" s="73">
        <v>16776.009999999998</v>
      </c>
      <c r="AE5" s="73">
        <v>0</v>
      </c>
      <c r="AF5" s="73">
        <v>0</v>
      </c>
      <c r="AG5" s="76">
        <v>0</v>
      </c>
      <c r="AH5" s="77"/>
      <c r="AI5" s="76"/>
      <c r="AJ5" s="74"/>
      <c r="AK5" s="13">
        <v>16776.009999999998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1:103" x14ac:dyDescent="0.25">
      <c r="A6" s="179" t="s">
        <v>41</v>
      </c>
      <c r="B6" s="64">
        <f>9083.75+9083.75</f>
        <v>18167.5</v>
      </c>
      <c r="C6" s="72">
        <f>9083.75-2.9+9083.75</f>
        <v>18164.599999999999</v>
      </c>
      <c r="D6" s="73">
        <v>0</v>
      </c>
      <c r="E6" s="73">
        <v>0</v>
      </c>
      <c r="F6" s="73">
        <v>0</v>
      </c>
      <c r="G6" s="73">
        <f t="shared" si="0"/>
        <v>18164.599999999999</v>
      </c>
      <c r="H6" s="73">
        <v>810</v>
      </c>
      <c r="I6" s="74">
        <v>1710</v>
      </c>
      <c r="J6" s="73">
        <f t="shared" si="3"/>
        <v>2520</v>
      </c>
      <c r="K6" s="74">
        <v>30</v>
      </c>
      <c r="L6" s="73">
        <v>784.46</v>
      </c>
      <c r="M6" s="73">
        <v>0</v>
      </c>
      <c r="N6" s="73">
        <f>B6*5%/2</f>
        <v>454.1875</v>
      </c>
      <c r="O6" s="73">
        <f t="shared" si="1"/>
        <v>454.1875</v>
      </c>
      <c r="P6" s="74">
        <f t="shared" si="4"/>
        <v>908.375</v>
      </c>
      <c r="Q6" s="9"/>
      <c r="R6" s="9"/>
      <c r="S6" s="9"/>
      <c r="T6" s="9">
        <v>0</v>
      </c>
      <c r="U6" s="73">
        <v>200</v>
      </c>
      <c r="V6" s="73">
        <f t="shared" si="2"/>
        <v>200</v>
      </c>
      <c r="W6" s="8">
        <v>0</v>
      </c>
      <c r="X6" s="9">
        <v>0</v>
      </c>
      <c r="Y6" s="9">
        <v>0</v>
      </c>
      <c r="Z6" s="9">
        <v>0</v>
      </c>
      <c r="AA6" s="73">
        <v>0</v>
      </c>
      <c r="AB6" s="73">
        <v>0</v>
      </c>
      <c r="AC6" s="73">
        <v>0</v>
      </c>
      <c r="AD6" s="73">
        <v>15915.952499999999</v>
      </c>
      <c r="AE6" s="73">
        <v>0</v>
      </c>
      <c r="AF6" s="73">
        <v>0</v>
      </c>
      <c r="AG6" s="76">
        <v>0</v>
      </c>
      <c r="AH6" s="77">
        <v>0</v>
      </c>
      <c r="AI6" s="76">
        <v>0</v>
      </c>
      <c r="AJ6" s="74">
        <v>0</v>
      </c>
      <c r="AK6" s="13">
        <v>15915.952499999999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x14ac:dyDescent="0.25">
      <c r="A7" s="179" t="s">
        <v>42</v>
      </c>
      <c r="B7" s="64">
        <f>150000+30000+50000</f>
        <v>230000</v>
      </c>
      <c r="C7" s="72">
        <f>B7</f>
        <v>230000</v>
      </c>
      <c r="D7" s="73">
        <v>0</v>
      </c>
      <c r="E7" s="73">
        <v>0</v>
      </c>
      <c r="F7" s="73">
        <v>0</v>
      </c>
      <c r="G7" s="73">
        <f t="shared" si="0"/>
        <v>230000</v>
      </c>
      <c r="H7" s="73">
        <f>900+450</f>
        <v>1350</v>
      </c>
      <c r="I7" s="74">
        <f>1900+950</f>
        <v>2850</v>
      </c>
      <c r="J7" s="73">
        <f t="shared" si="3"/>
        <v>4200</v>
      </c>
      <c r="K7" s="74">
        <v>30</v>
      </c>
      <c r="L7" s="73">
        <v>0</v>
      </c>
      <c r="M7" s="73">
        <v>0</v>
      </c>
      <c r="N7" s="73">
        <v>2500</v>
      </c>
      <c r="O7" s="73">
        <f t="shared" si="1"/>
        <v>2500</v>
      </c>
      <c r="P7" s="74">
        <f t="shared" si="4"/>
        <v>5000</v>
      </c>
      <c r="Q7" s="9"/>
      <c r="R7" s="9"/>
      <c r="S7" s="9"/>
      <c r="T7" s="9">
        <v>51326.7</v>
      </c>
      <c r="U7" s="73">
        <v>200</v>
      </c>
      <c r="V7" s="73">
        <f t="shared" si="2"/>
        <v>200</v>
      </c>
      <c r="W7" s="8">
        <v>0</v>
      </c>
      <c r="X7" s="9">
        <v>0</v>
      </c>
      <c r="Y7" s="9">
        <v>0</v>
      </c>
      <c r="Z7" s="9">
        <v>0</v>
      </c>
      <c r="AA7" s="73">
        <v>0</v>
      </c>
      <c r="AB7" s="73">
        <v>0</v>
      </c>
      <c r="AC7" s="73">
        <v>0</v>
      </c>
      <c r="AD7" s="73">
        <v>174623.3</v>
      </c>
      <c r="AE7" s="73">
        <v>0</v>
      </c>
      <c r="AF7" s="73">
        <v>0</v>
      </c>
      <c r="AG7" s="76">
        <v>0</v>
      </c>
      <c r="AH7" s="77">
        <v>0</v>
      </c>
      <c r="AI7" s="76">
        <v>0</v>
      </c>
      <c r="AJ7" s="74">
        <v>0</v>
      </c>
      <c r="AK7" s="13">
        <v>174623.3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</row>
    <row r="8" spans="1:103" x14ac:dyDescent="0.25">
      <c r="A8" s="179" t="s">
        <v>43</v>
      </c>
      <c r="B8" s="64">
        <f>10706+10706</f>
        <v>21412</v>
      </c>
      <c r="C8" s="72">
        <f>10706+10706</f>
        <v>21412</v>
      </c>
      <c r="D8" s="73">
        <v>0</v>
      </c>
      <c r="E8" s="73">
        <v>0</v>
      </c>
      <c r="F8" s="73">
        <f>897.84+641.31</f>
        <v>1539.15</v>
      </c>
      <c r="G8" s="73">
        <f t="shared" si="0"/>
        <v>22951.15</v>
      </c>
      <c r="H8" s="73">
        <v>967.5</v>
      </c>
      <c r="I8" s="74">
        <f>1900+142.5</f>
        <v>2042.5</v>
      </c>
      <c r="J8" s="73">
        <f t="shared" si="3"/>
        <v>3010</v>
      </c>
      <c r="K8" s="74">
        <v>30</v>
      </c>
      <c r="L8" s="73">
        <v>0</v>
      </c>
      <c r="M8" s="73">
        <v>0</v>
      </c>
      <c r="N8" s="73">
        <f t="shared" ref="N8:N19" si="5">B8*5%/2</f>
        <v>535.30000000000007</v>
      </c>
      <c r="O8" s="73">
        <f t="shared" si="1"/>
        <v>535.30000000000007</v>
      </c>
      <c r="P8" s="74">
        <f t="shared" si="4"/>
        <v>1070.6000000000001</v>
      </c>
      <c r="Q8" s="9"/>
      <c r="R8" s="9"/>
      <c r="S8" s="9"/>
      <c r="T8" s="11">
        <v>62.302500000000322</v>
      </c>
      <c r="U8" s="73">
        <v>200</v>
      </c>
      <c r="V8" s="73">
        <f t="shared" si="2"/>
        <v>200</v>
      </c>
      <c r="W8" s="8">
        <v>3680.46</v>
      </c>
      <c r="X8" s="9">
        <v>0</v>
      </c>
      <c r="Y8" s="9">
        <v>3000</v>
      </c>
      <c r="Z8" s="9">
        <v>0</v>
      </c>
      <c r="AA8" s="73">
        <v>0</v>
      </c>
      <c r="AB8" s="73">
        <v>0</v>
      </c>
      <c r="AC8" s="73">
        <v>0</v>
      </c>
      <c r="AD8" s="73">
        <v>14505.587500000003</v>
      </c>
      <c r="AE8" s="73">
        <f>2550+2550</f>
        <v>5100</v>
      </c>
      <c r="AF8" s="73">
        <v>0</v>
      </c>
      <c r="AG8" s="76">
        <v>0</v>
      </c>
      <c r="AH8" s="77">
        <v>0</v>
      </c>
      <c r="AI8" s="76">
        <v>0</v>
      </c>
      <c r="AJ8" s="74">
        <v>0</v>
      </c>
      <c r="AK8" s="13">
        <v>19605.587500000001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ht="14.25" customHeight="1" x14ac:dyDescent="0.25">
      <c r="A9" s="179" t="s">
        <v>170</v>
      </c>
      <c r="B9" s="72">
        <f>10000+10000</f>
        <v>20000</v>
      </c>
      <c r="C9" s="72">
        <f>6134.16-60.7+10000-1533.54-65.5-191.7</f>
        <v>14282.719999999998</v>
      </c>
      <c r="D9" s="73"/>
      <c r="E9" s="73"/>
      <c r="F9" s="73">
        <v>0</v>
      </c>
      <c r="G9" s="74">
        <f>C9+D9+E9+F9</f>
        <v>14282.719999999998</v>
      </c>
      <c r="H9" s="73">
        <v>900</v>
      </c>
      <c r="I9" s="74">
        <v>1900</v>
      </c>
      <c r="J9" s="73">
        <f t="shared" si="3"/>
        <v>2800</v>
      </c>
      <c r="K9" s="73">
        <v>30</v>
      </c>
      <c r="L9" s="73">
        <v>0</v>
      </c>
      <c r="M9" s="73">
        <v>0</v>
      </c>
      <c r="N9" s="73">
        <f t="shared" si="5"/>
        <v>500</v>
      </c>
      <c r="O9" s="73">
        <f t="shared" si="1"/>
        <v>500</v>
      </c>
      <c r="P9" s="74">
        <f t="shared" si="4"/>
        <v>1000</v>
      </c>
      <c r="Q9" s="9"/>
      <c r="R9" s="9"/>
      <c r="S9" s="9"/>
      <c r="T9" s="9">
        <v>0</v>
      </c>
      <c r="U9" s="73">
        <v>200</v>
      </c>
      <c r="V9" s="73">
        <f>U9</f>
        <v>200</v>
      </c>
      <c r="W9" s="8">
        <v>0</v>
      </c>
      <c r="X9" s="9">
        <v>0</v>
      </c>
      <c r="Y9" s="9">
        <v>0</v>
      </c>
      <c r="Z9" s="9">
        <v>0</v>
      </c>
      <c r="AA9" s="73">
        <v>0</v>
      </c>
      <c r="AB9" s="73">
        <v>0</v>
      </c>
      <c r="AC9" s="73">
        <v>0</v>
      </c>
      <c r="AD9" s="73">
        <v>12682.719999999998</v>
      </c>
      <c r="AE9" s="73"/>
      <c r="AF9" s="73"/>
      <c r="AG9" s="76"/>
      <c r="AH9" s="77"/>
      <c r="AI9" s="76"/>
      <c r="AJ9" s="74"/>
      <c r="AK9" s="13">
        <v>12682.719999999998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1:103" ht="14.25" customHeight="1" x14ac:dyDescent="0.25">
      <c r="A10" s="179" t="s">
        <v>44</v>
      </c>
      <c r="B10" s="64">
        <f>9500+9500</f>
        <v>19000</v>
      </c>
      <c r="C10" s="72">
        <f>9500-182.1+9500</f>
        <v>18817.900000000001</v>
      </c>
      <c r="D10" s="73">
        <v>0</v>
      </c>
      <c r="E10" s="73">
        <v>0</v>
      </c>
      <c r="F10" s="73">
        <v>0</v>
      </c>
      <c r="G10" s="73">
        <f t="shared" si="0"/>
        <v>18817.900000000001</v>
      </c>
      <c r="H10" s="73">
        <v>855</v>
      </c>
      <c r="I10" s="74">
        <v>1805</v>
      </c>
      <c r="J10" s="73">
        <f t="shared" si="3"/>
        <v>2660</v>
      </c>
      <c r="K10" s="73">
        <v>30</v>
      </c>
      <c r="L10" s="73">
        <v>1753.51</v>
      </c>
      <c r="M10" s="73">
        <v>0</v>
      </c>
      <c r="N10" s="73">
        <f t="shared" si="5"/>
        <v>475</v>
      </c>
      <c r="O10" s="73">
        <f t="shared" si="1"/>
        <v>475</v>
      </c>
      <c r="P10" s="74">
        <f t="shared" si="4"/>
        <v>950</v>
      </c>
      <c r="Q10" s="9"/>
      <c r="R10" s="9"/>
      <c r="S10" s="9"/>
      <c r="T10" s="9">
        <v>0</v>
      </c>
      <c r="U10" s="73">
        <v>200</v>
      </c>
      <c r="V10" s="73">
        <f t="shared" si="2"/>
        <v>200</v>
      </c>
      <c r="W10" s="8">
        <v>0</v>
      </c>
      <c r="X10" s="9">
        <v>0</v>
      </c>
      <c r="Y10" s="1">
        <v>0</v>
      </c>
      <c r="Z10" s="9">
        <v>0</v>
      </c>
      <c r="AA10" s="73">
        <v>0</v>
      </c>
      <c r="AB10" s="73">
        <v>0</v>
      </c>
      <c r="AC10" s="73">
        <v>0</v>
      </c>
      <c r="AD10" s="73">
        <v>15534.390000000003</v>
      </c>
      <c r="AE10" s="73">
        <f>3100+3100</f>
        <v>6200</v>
      </c>
      <c r="AF10" s="73">
        <v>0</v>
      </c>
      <c r="AG10" s="76">
        <v>0</v>
      </c>
      <c r="AH10" s="77">
        <v>0</v>
      </c>
      <c r="AI10" s="76">
        <v>0</v>
      </c>
      <c r="AJ10" s="74">
        <v>0</v>
      </c>
      <c r="AK10" s="13">
        <v>21734.390000000003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x14ac:dyDescent="0.25">
      <c r="A11" s="179" t="s">
        <v>45</v>
      </c>
      <c r="B11" s="64">
        <f>7585+7585</f>
        <v>15170</v>
      </c>
      <c r="C11" s="72">
        <f>7585-16.96-581.6+7585-201.14</f>
        <v>14370.3</v>
      </c>
      <c r="D11" s="73">
        <v>0</v>
      </c>
      <c r="E11" s="73">
        <v>581.6</v>
      </c>
      <c r="F11" s="73">
        <v>545.25</v>
      </c>
      <c r="G11" s="73">
        <f t="shared" si="0"/>
        <v>15497.15</v>
      </c>
      <c r="H11" s="73">
        <v>675</v>
      </c>
      <c r="I11" s="74">
        <v>1425</v>
      </c>
      <c r="J11" s="73">
        <f t="shared" si="3"/>
        <v>2100</v>
      </c>
      <c r="K11" s="74">
        <v>30</v>
      </c>
      <c r="L11" s="73">
        <v>1384.35</v>
      </c>
      <c r="M11" s="73">
        <v>0</v>
      </c>
      <c r="N11" s="73">
        <f t="shared" si="5"/>
        <v>379.25</v>
      </c>
      <c r="O11" s="73">
        <f t="shared" si="1"/>
        <v>379.25</v>
      </c>
      <c r="P11" s="74">
        <f t="shared" si="4"/>
        <v>758.5</v>
      </c>
      <c r="Q11" s="9"/>
      <c r="R11" s="9"/>
      <c r="S11" s="9"/>
      <c r="T11" s="11">
        <v>0</v>
      </c>
      <c r="U11" s="73">
        <v>200</v>
      </c>
      <c r="V11" s="73">
        <f t="shared" si="2"/>
        <v>200</v>
      </c>
      <c r="W11" s="8">
        <v>0</v>
      </c>
      <c r="X11" s="9">
        <v>0</v>
      </c>
      <c r="Y11" s="9">
        <v>2000</v>
      </c>
      <c r="Z11" s="9">
        <v>0</v>
      </c>
      <c r="AA11" s="73">
        <v>0</v>
      </c>
      <c r="AB11" s="73">
        <v>0</v>
      </c>
      <c r="AC11" s="73">
        <v>0</v>
      </c>
      <c r="AD11" s="73">
        <v>10858.55</v>
      </c>
      <c r="AE11" s="73">
        <v>0</v>
      </c>
      <c r="AF11" s="73">
        <v>0</v>
      </c>
      <c r="AG11" s="76">
        <v>0</v>
      </c>
      <c r="AH11" s="77">
        <v>0</v>
      </c>
      <c r="AI11" s="76">
        <v>0</v>
      </c>
      <c r="AJ11" s="74">
        <v>0</v>
      </c>
      <c r="AK11" s="13">
        <v>10858.55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x14ac:dyDescent="0.25">
      <c r="A12" s="179" t="s">
        <v>46</v>
      </c>
      <c r="B12" s="89">
        <f>12568.5+12568.5</f>
        <v>25137</v>
      </c>
      <c r="C12" s="72">
        <f>12568.5-112.43+12568.5-20.08</f>
        <v>25004.489999999998</v>
      </c>
      <c r="D12" s="73">
        <v>0</v>
      </c>
      <c r="E12" s="73">
        <v>0</v>
      </c>
      <c r="F12" s="73">
        <v>0</v>
      </c>
      <c r="G12" s="73">
        <f t="shared" si="0"/>
        <v>25004.489999999998</v>
      </c>
      <c r="H12" s="73">
        <v>1125</v>
      </c>
      <c r="I12" s="74">
        <f>1900+475</f>
        <v>2375</v>
      </c>
      <c r="J12" s="73">
        <f t="shared" si="3"/>
        <v>3500</v>
      </c>
      <c r="K12" s="73">
        <v>30</v>
      </c>
      <c r="L12" s="73">
        <v>1845.8</v>
      </c>
      <c r="M12" s="73">
        <v>0</v>
      </c>
      <c r="N12" s="73">
        <f t="shared" si="5"/>
        <v>628.42500000000007</v>
      </c>
      <c r="O12" s="73">
        <f>N12</f>
        <v>628.42500000000007</v>
      </c>
      <c r="P12" s="74">
        <f>N12+O12+0.01</f>
        <v>1256.8600000000001</v>
      </c>
      <c r="Q12" s="9"/>
      <c r="R12" s="9"/>
      <c r="S12" s="9"/>
      <c r="T12" s="9">
        <v>332.70974999999981</v>
      </c>
      <c r="U12" s="73">
        <v>200</v>
      </c>
      <c r="V12" s="73">
        <f t="shared" si="2"/>
        <v>200</v>
      </c>
      <c r="W12" s="8">
        <v>0</v>
      </c>
      <c r="X12" s="9">
        <v>0</v>
      </c>
      <c r="Y12" s="9">
        <v>0</v>
      </c>
      <c r="Z12" s="9">
        <v>0</v>
      </c>
      <c r="AA12" s="73">
        <v>0</v>
      </c>
      <c r="AB12" s="73">
        <v>0</v>
      </c>
      <c r="AC12" s="73">
        <v>0</v>
      </c>
      <c r="AD12" s="73">
        <v>20872.555250000001</v>
      </c>
      <c r="AE12" s="73">
        <v>0</v>
      </c>
      <c r="AF12" s="73">
        <v>0</v>
      </c>
      <c r="AG12" s="76">
        <v>0</v>
      </c>
      <c r="AH12" s="77">
        <v>0</v>
      </c>
      <c r="AI12" s="76">
        <v>0</v>
      </c>
      <c r="AJ12" s="74">
        <v>0</v>
      </c>
      <c r="AK12" s="13">
        <v>20872.555250000001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x14ac:dyDescent="0.25">
      <c r="A13" s="179" t="s">
        <v>47</v>
      </c>
      <c r="B13" s="64">
        <f>9646+9646</f>
        <v>19292</v>
      </c>
      <c r="C13" s="72">
        <f>9646-93.99-1479.26+9646-1479.26</f>
        <v>16239.49</v>
      </c>
      <c r="D13" s="73">
        <v>0</v>
      </c>
      <c r="E13" s="73">
        <v>0</v>
      </c>
      <c r="F13" s="73">
        <f>577.81+924.5</f>
        <v>1502.31</v>
      </c>
      <c r="G13" s="73">
        <f t="shared" si="0"/>
        <v>17741.8</v>
      </c>
      <c r="H13" s="74">
        <v>877.5</v>
      </c>
      <c r="I13" s="74">
        <v>1852.5</v>
      </c>
      <c r="J13" s="73">
        <f t="shared" si="3"/>
        <v>2730</v>
      </c>
      <c r="K13" s="74">
        <v>30</v>
      </c>
      <c r="L13" s="73">
        <v>1799.65</v>
      </c>
      <c r="M13" s="73">
        <v>0</v>
      </c>
      <c r="N13" s="73">
        <f t="shared" si="5"/>
        <v>482.3</v>
      </c>
      <c r="O13" s="73">
        <f t="shared" si="1"/>
        <v>482.3</v>
      </c>
      <c r="P13" s="74">
        <f t="shared" ref="P13:P29" si="6">N13+O13</f>
        <v>964.6</v>
      </c>
      <c r="Q13" s="9"/>
      <c r="R13" s="9"/>
      <c r="S13" s="9"/>
      <c r="T13" s="9">
        <v>0</v>
      </c>
      <c r="U13" s="73">
        <v>200</v>
      </c>
      <c r="V13" s="73">
        <f t="shared" si="2"/>
        <v>200</v>
      </c>
      <c r="W13" s="9">
        <v>1717.05</v>
      </c>
      <c r="X13" s="9">
        <v>0</v>
      </c>
      <c r="Y13" s="9">
        <v>2000</v>
      </c>
      <c r="Z13" s="9">
        <v>0</v>
      </c>
      <c r="AA13" s="73">
        <v>0</v>
      </c>
      <c r="AB13" s="73">
        <v>0</v>
      </c>
      <c r="AC13" s="73">
        <v>0</v>
      </c>
      <c r="AD13" s="73">
        <v>10665.300000000001</v>
      </c>
      <c r="AE13" s="73">
        <f>2300-352.72+2300-352.72</f>
        <v>3894.5599999999995</v>
      </c>
      <c r="AF13" s="73">
        <v>0</v>
      </c>
      <c r="AG13" s="76">
        <v>0</v>
      </c>
      <c r="AH13" s="77">
        <v>0</v>
      </c>
      <c r="AI13" s="76">
        <v>0</v>
      </c>
      <c r="AJ13" s="74">
        <v>0</v>
      </c>
      <c r="AK13" s="13">
        <v>14559.86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x14ac:dyDescent="0.25">
      <c r="A14" s="179" t="s">
        <v>48</v>
      </c>
      <c r="B14" s="64">
        <f>35000+35000</f>
        <v>70000</v>
      </c>
      <c r="C14" s="72">
        <f>35000-749.19-2683.71+35000-396.96</f>
        <v>66170.14</v>
      </c>
      <c r="D14" s="73">
        <v>0</v>
      </c>
      <c r="E14" s="73">
        <v>2683.71</v>
      </c>
      <c r="F14" s="73">
        <f>16.77</f>
        <v>16.77</v>
      </c>
      <c r="G14" s="73">
        <f t="shared" si="0"/>
        <v>68870.62000000001</v>
      </c>
      <c r="H14" s="73">
        <v>1350</v>
      </c>
      <c r="I14" s="74">
        <v>2850</v>
      </c>
      <c r="J14" s="73">
        <f t="shared" si="3"/>
        <v>4200</v>
      </c>
      <c r="K14" s="74">
        <v>30</v>
      </c>
      <c r="L14" s="73">
        <v>1845.8</v>
      </c>
      <c r="M14" s="73">
        <v>0</v>
      </c>
      <c r="N14" s="73">
        <f t="shared" si="5"/>
        <v>1750</v>
      </c>
      <c r="O14" s="73">
        <f t="shared" si="1"/>
        <v>1750</v>
      </c>
      <c r="P14" s="74">
        <f t="shared" si="6"/>
        <v>3500</v>
      </c>
      <c r="Q14" s="9"/>
      <c r="R14" s="9"/>
      <c r="S14" s="9"/>
      <c r="T14" s="9">
        <v>8322.5240000000013</v>
      </c>
      <c r="U14" s="73">
        <v>200</v>
      </c>
      <c r="V14" s="73">
        <f t="shared" si="2"/>
        <v>200</v>
      </c>
      <c r="W14" s="8">
        <v>3826.05</v>
      </c>
      <c r="X14" s="9">
        <v>0</v>
      </c>
      <c r="Y14" s="9">
        <v>0</v>
      </c>
      <c r="Z14" s="9">
        <v>18157.16</v>
      </c>
      <c r="AA14" s="73">
        <v>0</v>
      </c>
      <c r="AB14" s="73">
        <v>0</v>
      </c>
      <c r="AC14" s="73">
        <v>0</v>
      </c>
      <c r="AD14" s="73">
        <v>33419.085999999996</v>
      </c>
      <c r="AE14" s="73">
        <v>0</v>
      </c>
      <c r="AF14" s="73">
        <v>0</v>
      </c>
      <c r="AG14" s="76">
        <f>1000+1000</f>
        <v>2000</v>
      </c>
      <c r="AH14" s="77">
        <v>0</v>
      </c>
      <c r="AI14" s="76">
        <v>0</v>
      </c>
      <c r="AJ14" s="74">
        <v>0</v>
      </c>
      <c r="AK14" s="13">
        <v>35419.085999999996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x14ac:dyDescent="0.25">
      <c r="A15" s="179" t="s">
        <v>49</v>
      </c>
      <c r="B15" s="64">
        <f>7040+7040</f>
        <v>14080</v>
      </c>
      <c r="C15" s="72">
        <f>7040-122.59-134.96+7040-10.12</f>
        <v>13812.33</v>
      </c>
      <c r="D15" s="73">
        <v>0</v>
      </c>
      <c r="E15" s="73">
        <v>0</v>
      </c>
      <c r="F15" s="73">
        <f>506.1+506.1</f>
        <v>1012.2</v>
      </c>
      <c r="G15" s="73">
        <f t="shared" si="0"/>
        <v>14824.53</v>
      </c>
      <c r="H15" s="73">
        <v>630</v>
      </c>
      <c r="I15" s="74">
        <v>1330</v>
      </c>
      <c r="J15" s="73">
        <f t="shared" si="3"/>
        <v>1960</v>
      </c>
      <c r="K15" s="74">
        <v>10</v>
      </c>
      <c r="L15" s="73">
        <v>1292.06</v>
      </c>
      <c r="M15" s="73">
        <v>0</v>
      </c>
      <c r="N15" s="73">
        <f t="shared" si="5"/>
        <v>352</v>
      </c>
      <c r="O15" s="73">
        <f t="shared" si="1"/>
        <v>352</v>
      </c>
      <c r="P15" s="74">
        <f t="shared" si="6"/>
        <v>704</v>
      </c>
      <c r="Q15" s="9"/>
      <c r="R15" s="9"/>
      <c r="S15" s="9"/>
      <c r="T15" s="10">
        <v>0</v>
      </c>
      <c r="U15" s="73">
        <v>200</v>
      </c>
      <c r="V15" s="73">
        <f t="shared" si="2"/>
        <v>200</v>
      </c>
      <c r="W15" s="8">
        <v>814.55</v>
      </c>
      <c r="X15" s="9">
        <v>0</v>
      </c>
      <c r="Y15" s="9">
        <v>0</v>
      </c>
      <c r="Z15" s="9">
        <v>0</v>
      </c>
      <c r="AA15" s="73">
        <v>0</v>
      </c>
      <c r="AB15" s="73">
        <v>0</v>
      </c>
      <c r="AC15" s="73">
        <v>0</v>
      </c>
      <c r="AD15" s="73">
        <v>11535.920000000002</v>
      </c>
      <c r="AE15" s="73">
        <v>0</v>
      </c>
      <c r="AF15" s="73">
        <v>0</v>
      </c>
      <c r="AG15" s="76">
        <v>0</v>
      </c>
      <c r="AH15" s="77">
        <v>0</v>
      </c>
      <c r="AI15" s="76">
        <v>0</v>
      </c>
      <c r="AJ15" s="74">
        <v>0</v>
      </c>
      <c r="AK15" s="13">
        <v>11535.920000000002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s="16" customFormat="1" ht="12.75" customHeight="1" x14ac:dyDescent="0.2">
      <c r="A16" s="179" t="s">
        <v>50</v>
      </c>
      <c r="B16" s="64">
        <f>10570+10570</f>
        <v>21140</v>
      </c>
      <c r="C16" s="72">
        <f>10570-192.49-101.31+10570-405.24-104.69</f>
        <v>20336.27</v>
      </c>
      <c r="D16" s="73">
        <v>0</v>
      </c>
      <c r="E16" s="73">
        <v>0</v>
      </c>
      <c r="F16" s="73">
        <v>0</v>
      </c>
      <c r="G16" s="73">
        <f t="shared" si="0"/>
        <v>20336.27</v>
      </c>
      <c r="H16" s="73">
        <v>945</v>
      </c>
      <c r="I16" s="74">
        <f>1900+95</f>
        <v>1995</v>
      </c>
      <c r="J16" s="73">
        <f t="shared" si="3"/>
        <v>2940</v>
      </c>
      <c r="K16" s="74">
        <v>30</v>
      </c>
      <c r="L16" s="73">
        <v>1845.8</v>
      </c>
      <c r="M16" s="73">
        <f>0</f>
        <v>0</v>
      </c>
      <c r="N16" s="73">
        <f t="shared" si="5"/>
        <v>528.5</v>
      </c>
      <c r="O16" s="73">
        <f t="shared" si="1"/>
        <v>528.5</v>
      </c>
      <c r="P16" s="74">
        <f t="shared" si="6"/>
        <v>1057</v>
      </c>
      <c r="Q16" s="9"/>
      <c r="R16" s="9"/>
      <c r="S16" s="9"/>
      <c r="T16" s="9">
        <v>0</v>
      </c>
      <c r="U16" s="73">
        <v>200</v>
      </c>
      <c r="V16" s="73">
        <f t="shared" si="2"/>
        <v>200</v>
      </c>
      <c r="W16" s="8">
        <v>1611.71</v>
      </c>
      <c r="X16" s="12">
        <v>0</v>
      </c>
      <c r="Y16" s="12">
        <v>2000</v>
      </c>
      <c r="Z16" s="9">
        <v>0</v>
      </c>
      <c r="AA16" s="73">
        <v>0</v>
      </c>
      <c r="AB16" s="73">
        <v>0</v>
      </c>
      <c r="AC16" s="73">
        <v>0</v>
      </c>
      <c r="AD16" s="73">
        <v>13205.260000000002</v>
      </c>
      <c r="AE16" s="73">
        <v>0</v>
      </c>
      <c r="AF16" s="73">
        <v>0</v>
      </c>
      <c r="AG16" s="76">
        <v>0</v>
      </c>
      <c r="AH16" s="77">
        <v>0</v>
      </c>
      <c r="AI16" s="76">
        <v>0</v>
      </c>
      <c r="AJ16" s="74">
        <v>0</v>
      </c>
      <c r="AK16" s="13">
        <v>13205.260000000002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1:103" x14ac:dyDescent="0.25">
      <c r="A17" s="179" t="s">
        <v>51</v>
      </c>
      <c r="B17" s="64">
        <f>8382+8382</f>
        <v>16764</v>
      </c>
      <c r="C17" s="72">
        <f>8382-12.05+8382-4.02</f>
        <v>16747.93</v>
      </c>
      <c r="D17" s="73">
        <v>0</v>
      </c>
      <c r="E17" s="73">
        <v>0</v>
      </c>
      <c r="F17" s="73">
        <f>2159.14+954.04</f>
        <v>3113.18</v>
      </c>
      <c r="G17" s="74">
        <f t="shared" si="0"/>
        <v>19861.11</v>
      </c>
      <c r="H17" s="73">
        <v>765</v>
      </c>
      <c r="I17" s="74">
        <v>1615</v>
      </c>
      <c r="J17" s="73">
        <f t="shared" si="3"/>
        <v>2380</v>
      </c>
      <c r="K17" s="74">
        <v>30</v>
      </c>
      <c r="L17" s="73">
        <v>1522.78</v>
      </c>
      <c r="M17" s="73">
        <v>0</v>
      </c>
      <c r="N17" s="73">
        <f t="shared" si="5"/>
        <v>419.1</v>
      </c>
      <c r="O17" s="73">
        <f t="shared" si="1"/>
        <v>419.1</v>
      </c>
      <c r="P17" s="74">
        <f t="shared" si="6"/>
        <v>838.2</v>
      </c>
      <c r="Q17" s="9"/>
      <c r="R17" s="9"/>
      <c r="S17" s="9"/>
      <c r="T17" s="9">
        <v>0</v>
      </c>
      <c r="U17" s="73">
        <v>200</v>
      </c>
      <c r="V17" s="74">
        <f t="shared" si="2"/>
        <v>200</v>
      </c>
      <c r="W17" s="8">
        <v>1748.92</v>
      </c>
      <c r="X17" s="9">
        <v>0</v>
      </c>
      <c r="Y17" s="9">
        <v>2000</v>
      </c>
      <c r="Z17" s="9">
        <v>0</v>
      </c>
      <c r="AA17" s="73">
        <v>0</v>
      </c>
      <c r="AB17" s="73">
        <v>0</v>
      </c>
      <c r="AC17" s="73">
        <v>0</v>
      </c>
      <c r="AD17" s="73">
        <v>13205.310000000003</v>
      </c>
      <c r="AE17" s="73">
        <v>0</v>
      </c>
      <c r="AF17" s="73">
        <v>0</v>
      </c>
      <c r="AG17" s="76">
        <v>0</v>
      </c>
      <c r="AH17" s="77">
        <v>0</v>
      </c>
      <c r="AI17" s="76">
        <v>0</v>
      </c>
      <c r="AJ17" s="74">
        <v>0</v>
      </c>
      <c r="AK17" s="13">
        <v>13205.310000000003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1:103" x14ac:dyDescent="0.25">
      <c r="A18" s="179" t="s">
        <v>171</v>
      </c>
      <c r="B18" s="64">
        <f>7500+7500</f>
        <v>15000</v>
      </c>
      <c r="C18" s="72">
        <f>7500-1437.7+7500-575.08</f>
        <v>12987.22</v>
      </c>
      <c r="D18" s="73"/>
      <c r="E18" s="73"/>
      <c r="F18" s="73">
        <v>2300.3200000000002</v>
      </c>
      <c r="G18" s="74">
        <f t="shared" si="0"/>
        <v>15287.539999999999</v>
      </c>
      <c r="H18" s="73">
        <v>675</v>
      </c>
      <c r="I18" s="74">
        <v>1425</v>
      </c>
      <c r="J18" s="73">
        <f t="shared" si="3"/>
        <v>2100</v>
      </c>
      <c r="K18" s="74">
        <v>30</v>
      </c>
      <c r="L18" s="73">
        <v>0</v>
      </c>
      <c r="M18" s="73">
        <v>0</v>
      </c>
      <c r="N18" s="73">
        <f>B18*5%/2</f>
        <v>375</v>
      </c>
      <c r="O18" s="73">
        <f>N18</f>
        <v>375</v>
      </c>
      <c r="P18" s="74">
        <f>N18+O18</f>
        <v>750</v>
      </c>
      <c r="Q18" s="9"/>
      <c r="R18" s="9"/>
      <c r="S18" s="9"/>
      <c r="T18" s="9">
        <v>0</v>
      </c>
      <c r="U18" s="73">
        <v>200</v>
      </c>
      <c r="V18" s="73">
        <f t="shared" si="2"/>
        <v>200</v>
      </c>
      <c r="W18" s="8">
        <v>0</v>
      </c>
      <c r="X18" s="9">
        <v>0</v>
      </c>
      <c r="Y18" s="9">
        <v>0</v>
      </c>
      <c r="Z18" s="9">
        <v>0</v>
      </c>
      <c r="AA18" s="73">
        <v>0</v>
      </c>
      <c r="AB18" s="73">
        <v>0</v>
      </c>
      <c r="AC18" s="73">
        <v>0</v>
      </c>
      <c r="AD18" s="73">
        <v>14037.539999999999</v>
      </c>
      <c r="AE18" s="73"/>
      <c r="AF18" s="73"/>
      <c r="AG18" s="76"/>
      <c r="AH18" s="77"/>
      <c r="AI18" s="76"/>
      <c r="AJ18" s="74"/>
      <c r="AK18" s="13">
        <v>14037.539999999999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x14ac:dyDescent="0.25">
      <c r="A19" s="180" t="s">
        <v>52</v>
      </c>
      <c r="B19" s="64">
        <f>11260+11260</f>
        <v>22520</v>
      </c>
      <c r="C19" s="72">
        <f>11260-5.4+11260-17.99</f>
        <v>22496.609999999997</v>
      </c>
      <c r="D19" s="73">
        <v>0</v>
      </c>
      <c r="E19" s="73">
        <v>0</v>
      </c>
      <c r="F19" s="73">
        <f>1146.65+809.4</f>
        <v>1956.0500000000002</v>
      </c>
      <c r="G19" s="73">
        <f t="shared" si="0"/>
        <v>24452.659999999996</v>
      </c>
      <c r="H19" s="73">
        <f>900+112.5</f>
        <v>1012.5</v>
      </c>
      <c r="I19" s="74">
        <f>1900+237.5</f>
        <v>2137.5</v>
      </c>
      <c r="J19" s="73">
        <f t="shared" si="3"/>
        <v>3150</v>
      </c>
      <c r="K19" s="74">
        <v>30</v>
      </c>
      <c r="L19" s="73">
        <v>1845.8</v>
      </c>
      <c r="M19" s="73">
        <v>0</v>
      </c>
      <c r="N19" s="73">
        <f t="shared" si="5"/>
        <v>563</v>
      </c>
      <c r="O19" s="73">
        <f t="shared" si="1"/>
        <v>563</v>
      </c>
      <c r="P19" s="74">
        <f t="shared" si="6"/>
        <v>1126</v>
      </c>
      <c r="Q19" s="9"/>
      <c r="R19" s="9"/>
      <c r="S19" s="9"/>
      <c r="T19" s="9">
        <v>276.6239999999994</v>
      </c>
      <c r="U19" s="73">
        <v>200</v>
      </c>
      <c r="V19" s="73">
        <f t="shared" si="2"/>
        <v>200</v>
      </c>
      <c r="W19" s="8">
        <v>1417</v>
      </c>
      <c r="X19" s="9">
        <v>0</v>
      </c>
      <c r="Y19" s="9">
        <v>0</v>
      </c>
      <c r="Z19" s="9">
        <v>0</v>
      </c>
      <c r="AA19" s="73">
        <v>0</v>
      </c>
      <c r="AB19" s="73">
        <v>0</v>
      </c>
      <c r="AC19" s="73">
        <v>0</v>
      </c>
      <c r="AD19" s="73">
        <v>19137.735999999997</v>
      </c>
      <c r="AE19" s="73">
        <f>1900+1900</f>
        <v>3800</v>
      </c>
      <c r="AF19" s="73">
        <v>0</v>
      </c>
      <c r="AG19" s="76">
        <v>0</v>
      </c>
      <c r="AH19" s="77">
        <v>0</v>
      </c>
      <c r="AI19" s="76">
        <v>0</v>
      </c>
      <c r="AJ19" s="74">
        <v>0</v>
      </c>
      <c r="AK19" s="13">
        <v>22937.735999999997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1:103" x14ac:dyDescent="0.25">
      <c r="A20" s="179" t="s">
        <v>53</v>
      </c>
      <c r="B20" s="64">
        <f>62500+62500</f>
        <v>125000</v>
      </c>
      <c r="C20" s="72">
        <f>B20</f>
        <v>125000</v>
      </c>
      <c r="D20" s="73">
        <v>0</v>
      </c>
      <c r="E20" s="73">
        <v>0</v>
      </c>
      <c r="F20" s="73">
        <v>0</v>
      </c>
      <c r="G20" s="73">
        <f t="shared" si="0"/>
        <v>125000</v>
      </c>
      <c r="H20" s="73">
        <f>900+450</f>
        <v>1350</v>
      </c>
      <c r="I20" s="74">
        <f>1900+950</f>
        <v>2850</v>
      </c>
      <c r="J20" s="73">
        <f t="shared" si="3"/>
        <v>4200</v>
      </c>
      <c r="K20" s="74">
        <v>30</v>
      </c>
      <c r="L20" s="73">
        <v>0</v>
      </c>
      <c r="M20" s="73">
        <v>0</v>
      </c>
      <c r="N20" s="73">
        <f>5000/2</f>
        <v>2500</v>
      </c>
      <c r="O20" s="73">
        <f t="shared" si="1"/>
        <v>2500</v>
      </c>
      <c r="P20" s="74">
        <f t="shared" si="6"/>
        <v>5000</v>
      </c>
      <c r="Q20" s="9"/>
      <c r="R20" s="9"/>
      <c r="S20" s="9"/>
      <c r="T20" s="1">
        <v>22112.55</v>
      </c>
      <c r="U20" s="73">
        <v>200</v>
      </c>
      <c r="V20" s="73">
        <f t="shared" si="2"/>
        <v>200</v>
      </c>
      <c r="W20" s="8">
        <v>0</v>
      </c>
      <c r="X20" s="9">
        <v>0</v>
      </c>
      <c r="Y20" s="9">
        <v>0</v>
      </c>
      <c r="Z20" s="9">
        <v>0</v>
      </c>
      <c r="AA20" s="73">
        <v>0</v>
      </c>
      <c r="AB20" s="73">
        <v>0</v>
      </c>
      <c r="AC20" s="73">
        <v>0</v>
      </c>
      <c r="AD20" s="73">
        <v>98837.45</v>
      </c>
      <c r="AE20" s="73">
        <v>0</v>
      </c>
      <c r="AF20" s="73">
        <v>0</v>
      </c>
      <c r="AG20" s="76">
        <v>0</v>
      </c>
      <c r="AH20" s="77">
        <v>0</v>
      </c>
      <c r="AI20" s="76">
        <v>0</v>
      </c>
      <c r="AJ20" s="74">
        <v>0</v>
      </c>
      <c r="AK20" s="13">
        <v>98837.45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</row>
    <row r="21" spans="1:103" x14ac:dyDescent="0.25">
      <c r="A21" s="179" t="s">
        <v>54</v>
      </c>
      <c r="B21" s="64">
        <f>150000+30000+50000</f>
        <v>230000</v>
      </c>
      <c r="C21" s="72">
        <f>B21</f>
        <v>230000</v>
      </c>
      <c r="D21" s="73">
        <v>0</v>
      </c>
      <c r="E21" s="73">
        <v>0</v>
      </c>
      <c r="F21" s="73">
        <v>0</v>
      </c>
      <c r="G21" s="73">
        <f t="shared" si="0"/>
        <v>230000</v>
      </c>
      <c r="H21" s="73">
        <f>900+450</f>
        <v>1350</v>
      </c>
      <c r="I21" s="74">
        <f>1900+950</f>
        <v>2850</v>
      </c>
      <c r="J21" s="73">
        <f t="shared" si="3"/>
        <v>4200</v>
      </c>
      <c r="K21" s="74">
        <v>30</v>
      </c>
      <c r="L21" s="73">
        <v>0</v>
      </c>
      <c r="M21" s="73">
        <v>0</v>
      </c>
      <c r="N21" s="73">
        <f>5000/2</f>
        <v>2500</v>
      </c>
      <c r="O21" s="73">
        <f t="shared" si="1"/>
        <v>2500</v>
      </c>
      <c r="P21" s="74">
        <f t="shared" si="6"/>
        <v>5000</v>
      </c>
      <c r="Q21" s="9"/>
      <c r="R21" s="9"/>
      <c r="S21" s="9"/>
      <c r="T21" s="1">
        <v>51326.7</v>
      </c>
      <c r="U21" s="73">
        <v>200</v>
      </c>
      <c r="V21" s="73">
        <f t="shared" si="2"/>
        <v>200</v>
      </c>
      <c r="W21" s="8">
        <v>0</v>
      </c>
      <c r="X21" s="9">
        <v>0</v>
      </c>
      <c r="Y21" s="9">
        <v>0</v>
      </c>
      <c r="Z21" s="9">
        <v>0</v>
      </c>
      <c r="AA21" s="73">
        <v>0</v>
      </c>
      <c r="AB21" s="73">
        <v>0</v>
      </c>
      <c r="AC21" s="73">
        <v>0</v>
      </c>
      <c r="AD21" s="73">
        <v>174623.3</v>
      </c>
      <c r="AE21" s="73">
        <v>0</v>
      </c>
      <c r="AF21" s="73">
        <v>0</v>
      </c>
      <c r="AG21" s="76">
        <v>0</v>
      </c>
      <c r="AH21" s="77">
        <v>0</v>
      </c>
      <c r="AI21" s="76">
        <v>0</v>
      </c>
      <c r="AJ21" s="74">
        <v>0</v>
      </c>
      <c r="AK21" s="13">
        <v>174623.3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1:103" x14ac:dyDescent="0.25">
      <c r="A22" s="179" t="s">
        <v>55</v>
      </c>
      <c r="B22" s="64">
        <f>8750+8750</f>
        <v>17500</v>
      </c>
      <c r="C22" s="72">
        <f>8750+8750</f>
        <v>17500</v>
      </c>
      <c r="D22" s="73">
        <v>0</v>
      </c>
      <c r="E22" s="73">
        <v>0</v>
      </c>
      <c r="F22" s="73">
        <f>1677.4+943.54</f>
        <v>2620.94</v>
      </c>
      <c r="G22" s="73">
        <f t="shared" si="0"/>
        <v>20120.939999999999</v>
      </c>
      <c r="H22" s="73">
        <v>787.5</v>
      </c>
      <c r="I22" s="74">
        <v>1662.5</v>
      </c>
      <c r="J22" s="73">
        <f t="shared" si="3"/>
        <v>2450</v>
      </c>
      <c r="K22" s="73">
        <v>30</v>
      </c>
      <c r="L22" s="73">
        <v>0</v>
      </c>
      <c r="M22" s="73">
        <v>0</v>
      </c>
      <c r="N22" s="73">
        <f t="shared" ref="N22:N29" si="7">B22*5%/2</f>
        <v>437.5</v>
      </c>
      <c r="O22" s="73">
        <f t="shared" si="1"/>
        <v>437.5</v>
      </c>
      <c r="P22" s="74">
        <f t="shared" si="6"/>
        <v>875</v>
      </c>
      <c r="Q22" s="9"/>
      <c r="R22" s="9"/>
      <c r="S22" s="9"/>
      <c r="T22" s="1">
        <v>0</v>
      </c>
      <c r="U22" s="73">
        <v>200</v>
      </c>
      <c r="V22" s="73">
        <f t="shared" si="2"/>
        <v>200</v>
      </c>
      <c r="W22" s="8">
        <v>0</v>
      </c>
      <c r="X22" s="9">
        <v>0</v>
      </c>
      <c r="Y22" s="9">
        <v>0</v>
      </c>
      <c r="Z22" s="9">
        <v>0</v>
      </c>
      <c r="AA22" s="73">
        <v>0</v>
      </c>
      <c r="AB22" s="73">
        <v>0</v>
      </c>
      <c r="AC22" s="73">
        <v>0</v>
      </c>
      <c r="AD22" s="73">
        <v>18695.939999999999</v>
      </c>
      <c r="AE22" s="73">
        <v>0</v>
      </c>
      <c r="AF22" s="73">
        <v>0</v>
      </c>
      <c r="AG22" s="76">
        <v>0</v>
      </c>
      <c r="AH22" s="77">
        <v>0</v>
      </c>
      <c r="AI22" s="76">
        <v>0</v>
      </c>
      <c r="AJ22" s="74">
        <v>0</v>
      </c>
      <c r="AK22" s="13">
        <v>18695.939999999999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</row>
    <row r="23" spans="1:103" x14ac:dyDescent="0.25">
      <c r="A23" s="179" t="s">
        <v>56</v>
      </c>
      <c r="B23" s="64">
        <f>12355+12355</f>
        <v>24710</v>
      </c>
      <c r="C23" s="72">
        <f>12355-1.97+12355</f>
        <v>24708.03</v>
      </c>
      <c r="D23" s="73">
        <v>0</v>
      </c>
      <c r="E23" s="73">
        <v>0</v>
      </c>
      <c r="F23" s="73">
        <v>0</v>
      </c>
      <c r="G23" s="73">
        <f t="shared" si="0"/>
        <v>24708.03</v>
      </c>
      <c r="H23" s="73">
        <f>900+202.5</f>
        <v>1102.5</v>
      </c>
      <c r="I23" s="74">
        <f>1900+427.5</f>
        <v>2327.5</v>
      </c>
      <c r="J23" s="73">
        <f t="shared" si="3"/>
        <v>3430</v>
      </c>
      <c r="K23" s="73">
        <v>30</v>
      </c>
      <c r="L23" s="73">
        <v>0</v>
      </c>
      <c r="M23" s="73">
        <v>0</v>
      </c>
      <c r="N23" s="73">
        <f t="shared" si="7"/>
        <v>617.75</v>
      </c>
      <c r="O23" s="73">
        <f t="shared" si="1"/>
        <v>617.75</v>
      </c>
      <c r="P23" s="74">
        <f t="shared" si="6"/>
        <v>1235.5</v>
      </c>
      <c r="Q23" s="9"/>
      <c r="R23" s="9"/>
      <c r="S23" s="9"/>
      <c r="T23" s="1">
        <v>293.21699999999981</v>
      </c>
      <c r="U23" s="73">
        <v>200</v>
      </c>
      <c r="V23" s="73">
        <f t="shared" si="2"/>
        <v>200</v>
      </c>
      <c r="W23" s="8">
        <v>2412.8200000000002</v>
      </c>
      <c r="X23" s="9">
        <v>0</v>
      </c>
      <c r="Y23" s="9">
        <v>0</v>
      </c>
      <c r="Z23" s="9">
        <v>0</v>
      </c>
      <c r="AA23" s="73">
        <v>0</v>
      </c>
      <c r="AB23" s="73">
        <v>0</v>
      </c>
      <c r="AC23" s="73">
        <v>0</v>
      </c>
      <c r="AD23" s="73">
        <v>20081.742999999999</v>
      </c>
      <c r="AE23" s="73">
        <f>1400+1400</f>
        <v>2800</v>
      </c>
      <c r="AF23" s="73">
        <v>0</v>
      </c>
      <c r="AG23" s="76">
        <f>1000+1000</f>
        <v>2000</v>
      </c>
      <c r="AH23" s="77">
        <v>0</v>
      </c>
      <c r="AI23" s="76">
        <v>0</v>
      </c>
      <c r="AJ23" s="74">
        <v>0</v>
      </c>
      <c r="AK23" s="13">
        <v>24881.742999999999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1:103" x14ac:dyDescent="0.25">
      <c r="A24" s="179" t="s">
        <v>57</v>
      </c>
      <c r="B24" s="64">
        <f>10000+10000</f>
        <v>20000</v>
      </c>
      <c r="C24" s="72">
        <f>10000-3.19+10000</f>
        <v>19996.809999999998</v>
      </c>
      <c r="D24" s="73">
        <v>0</v>
      </c>
      <c r="E24" s="73">
        <v>0</v>
      </c>
      <c r="F24" s="73">
        <f>1497.66+1317.94</f>
        <v>2815.6000000000004</v>
      </c>
      <c r="G24" s="73">
        <f t="shared" si="0"/>
        <v>22812.409999999996</v>
      </c>
      <c r="H24" s="73">
        <v>900</v>
      </c>
      <c r="I24" s="74">
        <v>1900</v>
      </c>
      <c r="J24" s="73">
        <f t="shared" si="3"/>
        <v>2800</v>
      </c>
      <c r="K24" s="73">
        <v>30</v>
      </c>
      <c r="L24" s="73">
        <v>0</v>
      </c>
      <c r="M24" s="73">
        <v>0</v>
      </c>
      <c r="N24" s="73">
        <f t="shared" si="7"/>
        <v>500</v>
      </c>
      <c r="O24" s="73">
        <f t="shared" si="1"/>
        <v>500</v>
      </c>
      <c r="P24" s="74">
        <f t="shared" si="6"/>
        <v>1000</v>
      </c>
      <c r="Q24" s="9"/>
      <c r="R24" s="9"/>
      <c r="S24" s="9"/>
      <c r="T24" s="1">
        <v>56.911499999999428</v>
      </c>
      <c r="U24" s="73">
        <v>200</v>
      </c>
      <c r="V24" s="73">
        <f t="shared" si="2"/>
        <v>200</v>
      </c>
      <c r="W24" s="8">
        <v>0</v>
      </c>
      <c r="X24" s="9">
        <v>0</v>
      </c>
      <c r="Y24" s="9">
        <v>0</v>
      </c>
      <c r="Z24" s="9">
        <v>0</v>
      </c>
      <c r="AA24" s="73">
        <v>0</v>
      </c>
      <c r="AB24" s="73">
        <v>0</v>
      </c>
      <c r="AC24" s="73">
        <v>0</v>
      </c>
      <c r="AD24" s="73">
        <v>21155.498499999998</v>
      </c>
      <c r="AE24" s="73">
        <v>0</v>
      </c>
      <c r="AF24" s="73">
        <v>0</v>
      </c>
      <c r="AG24" s="76">
        <v>0</v>
      </c>
      <c r="AH24" s="77">
        <v>0</v>
      </c>
      <c r="AI24" s="76">
        <v>0</v>
      </c>
      <c r="AJ24" s="74">
        <v>0</v>
      </c>
      <c r="AK24" s="13">
        <v>21155.498499999998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1:103" x14ac:dyDescent="0.25">
      <c r="A25" s="179" t="s">
        <v>58</v>
      </c>
      <c r="B25" s="64">
        <f>9500+9500</f>
        <v>19000</v>
      </c>
      <c r="C25" s="72">
        <f>9500-3.03+9500-728.43</f>
        <v>18268.54</v>
      </c>
      <c r="D25" s="73">
        <v>0</v>
      </c>
      <c r="E25" s="73">
        <v>0</v>
      </c>
      <c r="F25" s="73">
        <f>910.5+569.06</f>
        <v>1479.56</v>
      </c>
      <c r="G25" s="73">
        <f t="shared" si="0"/>
        <v>19748.100000000002</v>
      </c>
      <c r="H25" s="73">
        <v>855</v>
      </c>
      <c r="I25" s="74">
        <v>1805</v>
      </c>
      <c r="J25" s="73">
        <f t="shared" si="3"/>
        <v>2660</v>
      </c>
      <c r="K25" s="73">
        <v>30</v>
      </c>
      <c r="L25" s="73">
        <v>0</v>
      </c>
      <c r="M25" s="73">
        <v>0</v>
      </c>
      <c r="N25" s="73">
        <f t="shared" si="7"/>
        <v>475</v>
      </c>
      <c r="O25" s="73">
        <f t="shared" si="1"/>
        <v>475</v>
      </c>
      <c r="P25" s="74">
        <f t="shared" si="6"/>
        <v>950</v>
      </c>
      <c r="Q25" s="9"/>
      <c r="R25" s="9"/>
      <c r="S25" s="9"/>
      <c r="T25" s="1">
        <v>0</v>
      </c>
      <c r="U25" s="73">
        <v>200</v>
      </c>
      <c r="V25" s="73">
        <f t="shared" si="2"/>
        <v>200</v>
      </c>
      <c r="W25" s="9">
        <v>0</v>
      </c>
      <c r="X25" s="9">
        <v>0</v>
      </c>
      <c r="Y25" s="9">
        <v>0</v>
      </c>
      <c r="Z25" s="9">
        <v>0</v>
      </c>
      <c r="AA25" s="73">
        <v>0</v>
      </c>
      <c r="AB25" s="73">
        <v>0</v>
      </c>
      <c r="AC25" s="73">
        <v>0</v>
      </c>
      <c r="AD25" s="73">
        <v>18218.100000000002</v>
      </c>
      <c r="AE25" s="73">
        <v>0</v>
      </c>
      <c r="AF25" s="73">
        <v>0</v>
      </c>
      <c r="AG25" s="76">
        <v>0</v>
      </c>
      <c r="AH25" s="77">
        <v>0</v>
      </c>
      <c r="AI25" s="76">
        <v>0</v>
      </c>
      <c r="AJ25" s="74">
        <v>0</v>
      </c>
      <c r="AK25" s="13">
        <v>18218.100000000002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1:103" x14ac:dyDescent="0.25">
      <c r="A26" s="179" t="s">
        <v>59</v>
      </c>
      <c r="B26" s="64">
        <f>8658+8658</f>
        <v>17316</v>
      </c>
      <c r="C26" s="72">
        <f>8658+8658</f>
        <v>17316</v>
      </c>
      <c r="D26" s="73">
        <v>0</v>
      </c>
      <c r="E26" s="73">
        <v>0</v>
      </c>
      <c r="F26" s="73">
        <v>0</v>
      </c>
      <c r="G26" s="73">
        <f t="shared" si="0"/>
        <v>17316</v>
      </c>
      <c r="H26" s="73">
        <v>787.5</v>
      </c>
      <c r="I26" s="74">
        <v>1662.5</v>
      </c>
      <c r="J26" s="73">
        <f t="shared" si="3"/>
        <v>2450</v>
      </c>
      <c r="K26" s="73">
        <v>30</v>
      </c>
      <c r="L26" s="73">
        <v>0</v>
      </c>
      <c r="M26" s="73">
        <v>0</v>
      </c>
      <c r="N26" s="73">
        <f t="shared" si="7"/>
        <v>432.90000000000003</v>
      </c>
      <c r="O26" s="73">
        <f t="shared" si="1"/>
        <v>432.90000000000003</v>
      </c>
      <c r="P26" s="74">
        <f t="shared" si="6"/>
        <v>865.80000000000007</v>
      </c>
      <c r="Q26" s="9"/>
      <c r="R26" s="9"/>
      <c r="S26" s="9"/>
      <c r="T26" s="11">
        <v>0</v>
      </c>
      <c r="U26" s="73">
        <v>200</v>
      </c>
      <c r="V26" s="73">
        <f t="shared" si="2"/>
        <v>200</v>
      </c>
      <c r="W26" s="8">
        <v>0</v>
      </c>
      <c r="X26" s="9">
        <v>0</v>
      </c>
      <c r="Y26" s="9">
        <v>0</v>
      </c>
      <c r="Z26" s="9">
        <v>0</v>
      </c>
      <c r="AA26" s="73">
        <v>0</v>
      </c>
      <c r="AB26" s="73">
        <v>0</v>
      </c>
      <c r="AC26" s="73">
        <v>0</v>
      </c>
      <c r="AD26" s="73">
        <v>15895.6</v>
      </c>
      <c r="AE26" s="73">
        <v>0</v>
      </c>
      <c r="AF26" s="73">
        <v>0</v>
      </c>
      <c r="AG26" s="76">
        <v>0</v>
      </c>
      <c r="AH26" s="77">
        <v>0</v>
      </c>
      <c r="AI26" s="76">
        <v>0</v>
      </c>
      <c r="AJ26" s="74">
        <v>0</v>
      </c>
      <c r="AK26" s="13">
        <v>15895.6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1:103" x14ac:dyDescent="0.25">
      <c r="A27" s="179" t="s">
        <v>60</v>
      </c>
      <c r="B27" s="64">
        <f>10911+10911</f>
        <v>21822</v>
      </c>
      <c r="C27" s="72">
        <f>10911+10911</f>
        <v>21822</v>
      </c>
      <c r="D27" s="73">
        <v>0</v>
      </c>
      <c r="E27" s="73">
        <v>0</v>
      </c>
      <c r="F27" s="73">
        <v>0</v>
      </c>
      <c r="G27" s="73">
        <f>C27+D27+E27+F27+Z27</f>
        <v>21822</v>
      </c>
      <c r="H27" s="73">
        <v>990</v>
      </c>
      <c r="I27" s="73">
        <f>1900+190</f>
        <v>2090</v>
      </c>
      <c r="J27" s="73">
        <f t="shared" si="3"/>
        <v>3080</v>
      </c>
      <c r="K27" s="73">
        <v>30</v>
      </c>
      <c r="L27" s="73">
        <v>0</v>
      </c>
      <c r="M27" s="73">
        <v>0</v>
      </c>
      <c r="N27" s="73">
        <f t="shared" si="7"/>
        <v>545.55000000000007</v>
      </c>
      <c r="O27" s="73">
        <f t="shared" si="1"/>
        <v>545.55000000000007</v>
      </c>
      <c r="P27" s="74">
        <f t="shared" si="6"/>
        <v>1091.1000000000001</v>
      </c>
      <c r="Q27" s="9"/>
      <c r="R27" s="9"/>
      <c r="S27" s="9"/>
      <c r="T27" s="9">
        <v>157.96500000000032</v>
      </c>
      <c r="U27" s="73">
        <v>200</v>
      </c>
      <c r="V27" s="73">
        <f t="shared" si="2"/>
        <v>200</v>
      </c>
      <c r="W27" s="8">
        <v>1293.73</v>
      </c>
      <c r="X27" s="9">
        <v>0</v>
      </c>
      <c r="Y27" s="9">
        <v>0</v>
      </c>
      <c r="Z27" s="9">
        <v>0</v>
      </c>
      <c r="AA27" s="73">
        <v>0</v>
      </c>
      <c r="AB27" s="73">
        <v>0</v>
      </c>
      <c r="AC27" s="73">
        <v>1799.65</v>
      </c>
      <c r="AD27" s="73">
        <v>20434.405000000002</v>
      </c>
      <c r="AE27" s="73">
        <f>3150+3150</f>
        <v>6300</v>
      </c>
      <c r="AF27" s="73">
        <v>0</v>
      </c>
      <c r="AG27" s="76">
        <v>0</v>
      </c>
      <c r="AH27" s="77">
        <v>0</v>
      </c>
      <c r="AI27" s="77">
        <v>0</v>
      </c>
      <c r="AJ27" s="74">
        <v>0</v>
      </c>
      <c r="AK27" s="13">
        <v>26734.405000000002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1:103" x14ac:dyDescent="0.25">
      <c r="A28" s="179" t="s">
        <v>61</v>
      </c>
      <c r="B28" s="64">
        <f>20000+20000</f>
        <v>40000</v>
      </c>
      <c r="C28" s="72">
        <f>20000-79.87+20000-70.29</f>
        <v>39849.840000000004</v>
      </c>
      <c r="D28" s="73">
        <v>0</v>
      </c>
      <c r="E28" s="73">
        <v>0</v>
      </c>
      <c r="F28" s="73">
        <v>0</v>
      </c>
      <c r="G28" s="73">
        <f t="shared" si="0"/>
        <v>39849.840000000004</v>
      </c>
      <c r="H28" s="73">
        <f>900+450</f>
        <v>1350</v>
      </c>
      <c r="I28" s="74">
        <f>1900+950</f>
        <v>2850</v>
      </c>
      <c r="J28" s="73">
        <f t="shared" si="3"/>
        <v>4200</v>
      </c>
      <c r="K28" s="74">
        <v>30</v>
      </c>
      <c r="L28" s="73">
        <v>0</v>
      </c>
      <c r="M28" s="73">
        <v>0</v>
      </c>
      <c r="N28" s="73">
        <f t="shared" si="7"/>
        <v>1000</v>
      </c>
      <c r="O28" s="73">
        <f t="shared" si="1"/>
        <v>1000</v>
      </c>
      <c r="P28" s="74">
        <f t="shared" si="6"/>
        <v>2000</v>
      </c>
      <c r="Q28" s="9"/>
      <c r="R28" s="9"/>
      <c r="S28" s="9"/>
      <c r="T28" s="9">
        <v>2668.3680000000008</v>
      </c>
      <c r="U28" s="73">
        <v>200</v>
      </c>
      <c r="V28" s="73">
        <f t="shared" si="2"/>
        <v>200</v>
      </c>
      <c r="W28" s="8">
        <v>0</v>
      </c>
      <c r="X28" s="9">
        <v>0</v>
      </c>
      <c r="Y28" s="9">
        <v>4600</v>
      </c>
      <c r="Z28" s="9">
        <v>0</v>
      </c>
      <c r="AA28" s="73">
        <v>0</v>
      </c>
      <c r="AB28" s="73">
        <v>0</v>
      </c>
      <c r="AC28" s="73">
        <v>0</v>
      </c>
      <c r="AD28" s="73">
        <v>30031.472000000002</v>
      </c>
      <c r="AE28" s="73">
        <f>10000+10000</f>
        <v>20000</v>
      </c>
      <c r="AF28" s="73">
        <v>0</v>
      </c>
      <c r="AG28" s="76">
        <v>0</v>
      </c>
      <c r="AH28" s="77">
        <v>0</v>
      </c>
      <c r="AI28" s="77">
        <v>0</v>
      </c>
      <c r="AJ28" s="74">
        <v>0</v>
      </c>
      <c r="AK28" s="13">
        <v>50031.472000000002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1:103" x14ac:dyDescent="0.25">
      <c r="A29" s="180" t="s">
        <v>63</v>
      </c>
      <c r="B29" s="64">
        <f>10500+10500</f>
        <v>21000</v>
      </c>
      <c r="C29" s="72">
        <f>10500+10500</f>
        <v>21000</v>
      </c>
      <c r="D29" s="73">
        <v>0</v>
      </c>
      <c r="E29" s="73">
        <v>0</v>
      </c>
      <c r="F29" s="73">
        <v>251.6</v>
      </c>
      <c r="G29" s="73">
        <f t="shared" si="0"/>
        <v>21251.599999999999</v>
      </c>
      <c r="H29" s="73">
        <v>945</v>
      </c>
      <c r="I29" s="74">
        <f>1900+95</f>
        <v>1995</v>
      </c>
      <c r="J29" s="73">
        <f t="shared" si="3"/>
        <v>2940</v>
      </c>
      <c r="K29" s="73">
        <v>30</v>
      </c>
      <c r="L29" s="73">
        <v>1845.8</v>
      </c>
      <c r="M29" s="88">
        <v>0</v>
      </c>
      <c r="N29" s="73">
        <f t="shared" si="7"/>
        <v>525</v>
      </c>
      <c r="O29" s="73">
        <f t="shared" si="1"/>
        <v>525</v>
      </c>
      <c r="P29" s="74">
        <f t="shared" si="6"/>
        <v>1050</v>
      </c>
      <c r="Q29" s="9"/>
      <c r="R29" s="9"/>
      <c r="S29" s="9"/>
      <c r="T29" s="1">
        <v>0</v>
      </c>
      <c r="U29" s="73">
        <v>200</v>
      </c>
      <c r="V29" s="73">
        <f t="shared" si="2"/>
        <v>200</v>
      </c>
      <c r="W29" s="17">
        <v>0</v>
      </c>
      <c r="X29" s="9">
        <v>0</v>
      </c>
      <c r="Y29" s="9">
        <v>0</v>
      </c>
      <c r="Z29" s="9">
        <v>0</v>
      </c>
      <c r="AA29" s="73">
        <v>0</v>
      </c>
      <c r="AB29" s="73">
        <v>0</v>
      </c>
      <c r="AC29" s="73">
        <v>0</v>
      </c>
      <c r="AD29" s="73">
        <v>17735.8</v>
      </c>
      <c r="AE29" s="73">
        <v>0</v>
      </c>
      <c r="AF29" s="73">
        <v>0</v>
      </c>
      <c r="AG29" s="76">
        <v>0</v>
      </c>
      <c r="AH29" s="77">
        <f>500+500</f>
        <v>1000</v>
      </c>
      <c r="AI29" s="77">
        <v>0</v>
      </c>
      <c r="AJ29" s="74">
        <v>0</v>
      </c>
      <c r="AK29" s="13">
        <v>18735.8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1:103" x14ac:dyDescent="0.25">
      <c r="A30" s="179" t="s">
        <v>65</v>
      </c>
      <c r="B30" s="64">
        <f>9066.5+9066.5</f>
        <v>18133</v>
      </c>
      <c r="C30" s="72">
        <f>9066.5-76.76+9066.5-75.31</f>
        <v>17980.929999999997</v>
      </c>
      <c r="D30" s="73">
        <v>0</v>
      </c>
      <c r="E30" s="73">
        <v>0</v>
      </c>
      <c r="F30" s="73">
        <v>0</v>
      </c>
      <c r="G30" s="73">
        <f t="shared" si="0"/>
        <v>17980.929999999997</v>
      </c>
      <c r="H30" s="73">
        <v>810</v>
      </c>
      <c r="I30" s="74">
        <v>1710</v>
      </c>
      <c r="J30" s="73">
        <f t="shared" si="3"/>
        <v>2520</v>
      </c>
      <c r="K30" s="74">
        <v>30</v>
      </c>
      <c r="L30" s="73">
        <v>1661.22</v>
      </c>
      <c r="M30" s="88">
        <v>0</v>
      </c>
      <c r="N30" s="73">
        <f>B30*5%/2-0.01</f>
        <v>453.31500000000005</v>
      </c>
      <c r="O30" s="73">
        <f>N30</f>
        <v>453.31500000000005</v>
      </c>
      <c r="P30" s="74">
        <f>N30+O30</f>
        <v>906.63000000000011</v>
      </c>
      <c r="Q30" s="9"/>
      <c r="R30" s="9"/>
      <c r="S30" s="9"/>
      <c r="T30" s="9">
        <v>0</v>
      </c>
      <c r="U30" s="73">
        <v>200</v>
      </c>
      <c r="V30" s="73">
        <f t="shared" si="2"/>
        <v>200</v>
      </c>
      <c r="W30" s="1">
        <v>0</v>
      </c>
      <c r="X30" s="1">
        <v>0</v>
      </c>
      <c r="Y30" s="1">
        <v>3000</v>
      </c>
      <c r="Z30" s="1">
        <v>0</v>
      </c>
      <c r="AA30" s="73">
        <v>0</v>
      </c>
      <c r="AB30" s="73">
        <v>0</v>
      </c>
      <c r="AC30" s="73">
        <v>0</v>
      </c>
      <c r="AD30" s="73">
        <v>11856.394999999997</v>
      </c>
      <c r="AE30" s="73">
        <v>0</v>
      </c>
      <c r="AF30" s="73">
        <v>0</v>
      </c>
      <c r="AG30" s="76">
        <v>0</v>
      </c>
      <c r="AH30" s="77">
        <v>0</v>
      </c>
      <c r="AI30" s="77">
        <v>0</v>
      </c>
      <c r="AJ30" s="74">
        <v>0</v>
      </c>
      <c r="AK30" s="13">
        <v>11856.394999999997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1:103" x14ac:dyDescent="0.25">
      <c r="A31" s="179" t="s">
        <v>67</v>
      </c>
      <c r="B31" s="95">
        <f>8000+8000</f>
        <v>16000</v>
      </c>
      <c r="C31" s="72">
        <f>8000-4293.94+8000-1226.84-153.36-153.36</f>
        <v>10172.5</v>
      </c>
      <c r="D31" s="73">
        <v>0</v>
      </c>
      <c r="E31" s="73">
        <v>0</v>
      </c>
      <c r="F31" s="73">
        <v>0</v>
      </c>
      <c r="G31" s="88">
        <f>C31+E31+F31+D31</f>
        <v>10172.5</v>
      </c>
      <c r="H31" s="73">
        <v>720</v>
      </c>
      <c r="I31" s="74">
        <v>1520</v>
      </c>
      <c r="J31" s="73">
        <f t="shared" si="3"/>
        <v>2240</v>
      </c>
      <c r="K31" s="74">
        <v>30</v>
      </c>
      <c r="L31" s="73">
        <v>738.32</v>
      </c>
      <c r="M31" s="88">
        <v>0</v>
      </c>
      <c r="N31" s="73">
        <f t="shared" ref="N31:N37" si="8">B31*5%/2</f>
        <v>400</v>
      </c>
      <c r="O31" s="73">
        <f t="shared" ref="O31:O36" si="9">N31</f>
        <v>400</v>
      </c>
      <c r="P31" s="96">
        <f t="shared" ref="P31:P36" si="10">N31+O31</f>
        <v>800</v>
      </c>
      <c r="Q31" s="9"/>
      <c r="R31" s="9"/>
      <c r="S31" s="9"/>
      <c r="T31" s="9">
        <v>0</v>
      </c>
      <c r="U31" s="73">
        <v>200</v>
      </c>
      <c r="V31" s="88">
        <f t="shared" si="2"/>
        <v>200</v>
      </c>
      <c r="W31" s="8">
        <v>0</v>
      </c>
      <c r="X31" s="9">
        <v>0</v>
      </c>
      <c r="Y31" s="9">
        <v>0</v>
      </c>
      <c r="Z31" s="9">
        <v>0</v>
      </c>
      <c r="AA31" s="73">
        <v>0</v>
      </c>
      <c r="AB31" s="73">
        <v>0</v>
      </c>
      <c r="AC31" s="73">
        <v>0</v>
      </c>
      <c r="AD31" s="73">
        <v>8114.18</v>
      </c>
      <c r="AE31" s="73">
        <v>0</v>
      </c>
      <c r="AF31" s="73">
        <v>0</v>
      </c>
      <c r="AG31" s="76">
        <v>0</v>
      </c>
      <c r="AH31" s="77">
        <v>0</v>
      </c>
      <c r="AI31" s="77">
        <v>0</v>
      </c>
      <c r="AJ31" s="74">
        <v>0</v>
      </c>
      <c r="AK31" s="13">
        <v>8114.18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1:103" x14ac:dyDescent="0.25">
      <c r="A32" s="179" t="s">
        <v>69</v>
      </c>
      <c r="B32" s="64">
        <f>15000+15000</f>
        <v>30000</v>
      </c>
      <c r="C32" s="72">
        <f>15000-93.45-1150.16-287.54+15000-55.11</f>
        <v>28413.739999999998</v>
      </c>
      <c r="D32" s="73">
        <v>0</v>
      </c>
      <c r="E32" s="73">
        <v>0</v>
      </c>
      <c r="F32" s="73">
        <v>179.71</v>
      </c>
      <c r="G32" s="73">
        <f t="shared" ref="G32:G37" si="11">C32+D32+E32+F32</f>
        <v>28593.449999999997</v>
      </c>
      <c r="H32" s="88">
        <v>1350</v>
      </c>
      <c r="I32" s="88">
        <v>2850</v>
      </c>
      <c r="J32" s="73">
        <f t="shared" si="3"/>
        <v>4200</v>
      </c>
      <c r="K32" s="88">
        <v>30</v>
      </c>
      <c r="L32" s="88">
        <v>1523.08</v>
      </c>
      <c r="M32" s="88">
        <v>0</v>
      </c>
      <c r="N32" s="73">
        <f t="shared" si="8"/>
        <v>750</v>
      </c>
      <c r="O32" s="88">
        <f t="shared" si="9"/>
        <v>750</v>
      </c>
      <c r="P32" s="96">
        <f t="shared" si="10"/>
        <v>1500</v>
      </c>
      <c r="Q32" s="9"/>
      <c r="R32" s="9"/>
      <c r="S32" s="9"/>
      <c r="T32" s="9">
        <v>819.06749999999954</v>
      </c>
      <c r="U32" s="73">
        <v>200</v>
      </c>
      <c r="V32" s="88">
        <f t="shared" si="2"/>
        <v>200</v>
      </c>
      <c r="W32" s="8">
        <v>0</v>
      </c>
      <c r="X32" s="9">
        <v>0</v>
      </c>
      <c r="Y32" s="9">
        <v>2000</v>
      </c>
      <c r="Z32" s="9">
        <v>0</v>
      </c>
      <c r="AA32" s="73">
        <v>0</v>
      </c>
      <c r="AB32" s="73">
        <v>0</v>
      </c>
      <c r="AC32" s="73">
        <v>0</v>
      </c>
      <c r="AD32" s="73">
        <v>21951.302499999994</v>
      </c>
      <c r="AE32" s="73">
        <v>0</v>
      </c>
      <c r="AF32" s="73">
        <v>0</v>
      </c>
      <c r="AG32" s="76">
        <v>0</v>
      </c>
      <c r="AH32" s="88">
        <v>0</v>
      </c>
      <c r="AI32" s="88">
        <v>0</v>
      </c>
      <c r="AJ32" s="74">
        <v>0</v>
      </c>
      <c r="AK32" s="13">
        <v>21951.302499999994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1:103" x14ac:dyDescent="0.25">
      <c r="A33" s="179" t="s">
        <v>70</v>
      </c>
      <c r="B33" s="64">
        <f>7196+7196</f>
        <v>14392</v>
      </c>
      <c r="C33" s="72">
        <f>7196-198.86-551.77+7196-6.9</f>
        <v>13634.470000000001</v>
      </c>
      <c r="D33" s="73">
        <v>0</v>
      </c>
      <c r="E33" s="73">
        <v>0</v>
      </c>
      <c r="F33" s="73">
        <v>0</v>
      </c>
      <c r="G33" s="73">
        <f t="shared" si="11"/>
        <v>13634.470000000001</v>
      </c>
      <c r="H33" s="73">
        <v>652.5</v>
      </c>
      <c r="I33" s="74">
        <v>1377.5</v>
      </c>
      <c r="J33" s="73">
        <f t="shared" si="3"/>
        <v>2030</v>
      </c>
      <c r="K33" s="74">
        <v>10</v>
      </c>
      <c r="L33" s="73">
        <v>1338.2</v>
      </c>
      <c r="M33" s="74">
        <v>0</v>
      </c>
      <c r="N33" s="73">
        <f t="shared" si="8"/>
        <v>359.8</v>
      </c>
      <c r="O33" s="73">
        <f t="shared" si="9"/>
        <v>359.8</v>
      </c>
      <c r="P33" s="74">
        <f t="shared" si="10"/>
        <v>719.6</v>
      </c>
      <c r="Q33" s="9"/>
      <c r="R33" s="9"/>
      <c r="S33" s="9"/>
      <c r="T33" s="9">
        <v>0</v>
      </c>
      <c r="U33" s="73">
        <v>200</v>
      </c>
      <c r="V33" s="73">
        <f t="shared" si="2"/>
        <v>200</v>
      </c>
      <c r="W33" s="8">
        <v>0</v>
      </c>
      <c r="X33" s="9">
        <v>0</v>
      </c>
      <c r="Y33" s="9">
        <v>0</v>
      </c>
      <c r="Z33" s="9">
        <v>0</v>
      </c>
      <c r="AA33" s="73">
        <v>0</v>
      </c>
      <c r="AB33" s="73">
        <v>0</v>
      </c>
      <c r="AC33" s="73">
        <v>0</v>
      </c>
      <c r="AD33" s="73">
        <v>11083.970000000001</v>
      </c>
      <c r="AE33" s="73">
        <v>0</v>
      </c>
      <c r="AF33" s="73">
        <v>0</v>
      </c>
      <c r="AG33" s="76">
        <v>0</v>
      </c>
      <c r="AH33" s="77">
        <v>0</v>
      </c>
      <c r="AI33" s="64">
        <v>0</v>
      </c>
      <c r="AJ33" s="74">
        <v>0</v>
      </c>
      <c r="AK33" s="13">
        <v>11083.970000000001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1:103" x14ac:dyDescent="0.25">
      <c r="A34" s="179" t="s">
        <v>72</v>
      </c>
      <c r="B34" s="64">
        <f>11570+11570</f>
        <v>23140</v>
      </c>
      <c r="C34" s="72">
        <f>11570-121.98+11570-110.89</f>
        <v>22907.13</v>
      </c>
      <c r="D34" s="73">
        <v>0</v>
      </c>
      <c r="E34" s="73">
        <v>0</v>
      </c>
      <c r="F34" s="73">
        <f>693.06+277.22</f>
        <v>970.28</v>
      </c>
      <c r="G34" s="73">
        <f t="shared" si="11"/>
        <v>23877.41</v>
      </c>
      <c r="H34" s="73">
        <f>900+135</f>
        <v>1035</v>
      </c>
      <c r="I34" s="74">
        <f>1900+285</f>
        <v>2185</v>
      </c>
      <c r="J34" s="73">
        <f t="shared" si="3"/>
        <v>3220</v>
      </c>
      <c r="K34" s="74">
        <v>30</v>
      </c>
      <c r="L34" s="73">
        <v>0</v>
      </c>
      <c r="M34" s="73">
        <v>0</v>
      </c>
      <c r="N34" s="73">
        <f t="shared" si="8"/>
        <v>578.5</v>
      </c>
      <c r="O34" s="73">
        <f t="shared" si="9"/>
        <v>578.5</v>
      </c>
      <c r="P34" s="74">
        <f t="shared" si="10"/>
        <v>1157</v>
      </c>
      <c r="Q34" s="9"/>
      <c r="R34" s="9"/>
      <c r="S34" s="9"/>
      <c r="T34" s="9">
        <v>184.63649999999998</v>
      </c>
      <c r="U34" s="73">
        <v>200</v>
      </c>
      <c r="V34" s="73">
        <f t="shared" si="2"/>
        <v>200</v>
      </c>
      <c r="W34" s="8">
        <v>309.3</v>
      </c>
      <c r="X34" s="9">
        <v>0</v>
      </c>
      <c r="Y34" s="9">
        <v>0</v>
      </c>
      <c r="Z34" s="9">
        <v>0</v>
      </c>
      <c r="AA34" s="73">
        <v>0</v>
      </c>
      <c r="AB34" s="73">
        <v>0</v>
      </c>
      <c r="AC34" s="73">
        <v>0</v>
      </c>
      <c r="AD34" s="73">
        <v>21569.9735</v>
      </c>
      <c r="AE34" s="73">
        <f>500+500</f>
        <v>1000</v>
      </c>
      <c r="AF34" s="73">
        <v>0</v>
      </c>
      <c r="AG34" s="76">
        <v>0</v>
      </c>
      <c r="AH34" s="77">
        <f>500+500</f>
        <v>1000</v>
      </c>
      <c r="AI34" s="77">
        <v>0</v>
      </c>
      <c r="AJ34" s="74">
        <v>0</v>
      </c>
      <c r="AK34" s="13">
        <v>23569.9735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1:103" x14ac:dyDescent="0.25">
      <c r="A35" s="179" t="s">
        <v>73</v>
      </c>
      <c r="B35" s="64">
        <f>7500+7500</f>
        <v>15000</v>
      </c>
      <c r="C35" s="72">
        <f>7500+7500</f>
        <v>15000</v>
      </c>
      <c r="D35" s="73">
        <v>0</v>
      </c>
      <c r="E35" s="73">
        <v>0</v>
      </c>
      <c r="F35" s="73">
        <f>2021.62+853.58</f>
        <v>2875.2</v>
      </c>
      <c r="G35" s="73">
        <f t="shared" si="11"/>
        <v>17875.2</v>
      </c>
      <c r="H35" s="73">
        <v>675</v>
      </c>
      <c r="I35" s="74">
        <v>1425</v>
      </c>
      <c r="J35" s="73">
        <f t="shared" si="3"/>
        <v>2100</v>
      </c>
      <c r="K35" s="74">
        <v>30</v>
      </c>
      <c r="L35" s="73">
        <v>1845.8</v>
      </c>
      <c r="M35" s="73">
        <v>0</v>
      </c>
      <c r="N35" s="73">
        <f t="shared" si="8"/>
        <v>375</v>
      </c>
      <c r="O35" s="73">
        <f t="shared" si="9"/>
        <v>375</v>
      </c>
      <c r="P35" s="74">
        <f t="shared" si="10"/>
        <v>750</v>
      </c>
      <c r="Q35" s="9"/>
      <c r="R35" s="9"/>
      <c r="S35" s="9"/>
      <c r="T35" s="9">
        <v>0</v>
      </c>
      <c r="U35" s="73">
        <v>200</v>
      </c>
      <c r="V35" s="73">
        <f t="shared" si="2"/>
        <v>200</v>
      </c>
      <c r="W35" s="8">
        <v>318.44</v>
      </c>
      <c r="X35" s="9">
        <v>0</v>
      </c>
      <c r="Y35" s="9">
        <v>0</v>
      </c>
      <c r="Z35" s="9">
        <v>0</v>
      </c>
      <c r="AA35" s="73">
        <v>0</v>
      </c>
      <c r="AB35" s="73">
        <v>0</v>
      </c>
      <c r="AC35" s="73">
        <v>0</v>
      </c>
      <c r="AD35" s="73">
        <v>14460.960000000001</v>
      </c>
      <c r="AE35" s="73"/>
      <c r="AF35" s="73"/>
      <c r="AG35" s="76"/>
      <c r="AH35" s="77"/>
      <c r="AI35" s="77"/>
      <c r="AJ35" s="74"/>
      <c r="AK35" s="13">
        <v>14460.960000000001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1:103" x14ac:dyDescent="0.25">
      <c r="A36" s="179" t="s">
        <v>74</v>
      </c>
      <c r="B36" s="64">
        <f>11880+11880</f>
        <v>23760</v>
      </c>
      <c r="C36" s="72">
        <f>11880-55.04+11880-28.47</f>
        <v>23676.489999999998</v>
      </c>
      <c r="D36" s="73">
        <v>0</v>
      </c>
      <c r="E36" s="73">
        <v>0</v>
      </c>
      <c r="F36" s="73">
        <v>0</v>
      </c>
      <c r="G36" s="73">
        <f t="shared" si="11"/>
        <v>23676.489999999998</v>
      </c>
      <c r="H36" s="73">
        <v>1080</v>
      </c>
      <c r="I36" s="74">
        <f>1900+380</f>
        <v>2280</v>
      </c>
      <c r="J36" s="73">
        <f t="shared" si="3"/>
        <v>3360</v>
      </c>
      <c r="K36" s="74">
        <v>30</v>
      </c>
      <c r="L36" s="73">
        <v>1845.8</v>
      </c>
      <c r="M36" s="73">
        <v>0</v>
      </c>
      <c r="N36" s="73">
        <f t="shared" si="8"/>
        <v>594</v>
      </c>
      <c r="O36" s="73">
        <f t="shared" si="9"/>
        <v>594</v>
      </c>
      <c r="P36" s="74">
        <f t="shared" si="10"/>
        <v>1188</v>
      </c>
      <c r="Q36" s="10"/>
      <c r="R36" s="10"/>
      <c r="S36" s="9"/>
      <c r="T36" s="9">
        <v>145.42349999999968</v>
      </c>
      <c r="U36" s="73">
        <v>200</v>
      </c>
      <c r="V36" s="73">
        <f t="shared" si="2"/>
        <v>200</v>
      </c>
      <c r="W36" s="7">
        <v>960.85</v>
      </c>
      <c r="X36" s="10">
        <v>0</v>
      </c>
      <c r="Y36" s="10">
        <v>3000</v>
      </c>
      <c r="Z36" s="12">
        <v>0</v>
      </c>
      <c r="AA36" s="73">
        <v>0</v>
      </c>
      <c r="AB36" s="73">
        <v>0</v>
      </c>
      <c r="AC36" s="73">
        <v>0</v>
      </c>
      <c r="AD36" s="73">
        <v>15850.416500000001</v>
      </c>
      <c r="AE36" s="73">
        <v>0</v>
      </c>
      <c r="AF36" s="73">
        <v>0</v>
      </c>
      <c r="AG36" s="76">
        <v>0</v>
      </c>
      <c r="AH36" s="77">
        <v>0</v>
      </c>
      <c r="AI36" s="77">
        <v>0</v>
      </c>
      <c r="AJ36" s="64">
        <v>0</v>
      </c>
      <c r="AK36" s="7">
        <v>15850.416500000001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1:103" x14ac:dyDescent="0.25">
      <c r="A37" s="179" t="s">
        <v>75</v>
      </c>
      <c r="B37" s="64">
        <f>12568.5+12568.5</f>
        <v>25137</v>
      </c>
      <c r="C37" s="72">
        <f>12568.5-333.27-481.86+12568.5-126.48</f>
        <v>24195.39</v>
      </c>
      <c r="D37" s="73">
        <v>0</v>
      </c>
      <c r="E37" s="73">
        <v>0</v>
      </c>
      <c r="F37" s="73">
        <v>0</v>
      </c>
      <c r="G37" s="73">
        <f t="shared" si="11"/>
        <v>24195.39</v>
      </c>
      <c r="H37" s="73">
        <v>1125</v>
      </c>
      <c r="I37" s="74">
        <f>1900+475</f>
        <v>2375</v>
      </c>
      <c r="J37" s="73">
        <f t="shared" si="3"/>
        <v>3500</v>
      </c>
      <c r="K37" s="74">
        <v>30</v>
      </c>
      <c r="L37" s="73">
        <v>1845.8</v>
      </c>
      <c r="M37" s="73">
        <v>0</v>
      </c>
      <c r="N37" s="73">
        <f t="shared" si="8"/>
        <v>628.42500000000007</v>
      </c>
      <c r="O37" s="73">
        <f>N37</f>
        <v>628.42500000000007</v>
      </c>
      <c r="P37" s="74">
        <f>N37+O37</f>
        <v>1256.8500000000001</v>
      </c>
      <c r="Q37" s="10"/>
      <c r="R37" s="10"/>
      <c r="S37" s="9"/>
      <c r="T37" s="9">
        <v>211.34475</v>
      </c>
      <c r="U37" s="73">
        <v>200</v>
      </c>
      <c r="V37" s="73">
        <f t="shared" si="2"/>
        <v>200</v>
      </c>
      <c r="W37" s="10">
        <v>920.61</v>
      </c>
      <c r="X37" s="18">
        <v>0</v>
      </c>
      <c r="Y37" s="10">
        <v>0</v>
      </c>
      <c r="Z37" s="12">
        <v>0</v>
      </c>
      <c r="AA37" s="73">
        <v>0</v>
      </c>
      <c r="AB37" s="73">
        <v>0</v>
      </c>
      <c r="AC37" s="73">
        <v>0</v>
      </c>
      <c r="AD37" s="73">
        <v>19264.21025</v>
      </c>
      <c r="AE37" s="73">
        <v>0</v>
      </c>
      <c r="AF37" s="73">
        <v>0</v>
      </c>
      <c r="AG37" s="76">
        <v>0</v>
      </c>
      <c r="AH37" s="77">
        <v>0</v>
      </c>
      <c r="AI37" s="77">
        <v>0</v>
      </c>
      <c r="AJ37" s="74">
        <v>0</v>
      </c>
      <c r="AK37" s="7">
        <v>19264.21025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5">
      <c r="A38" s="183" t="s">
        <v>155</v>
      </c>
      <c r="B38" s="7">
        <v>17786</v>
      </c>
      <c r="C38" s="7">
        <v>17104.11</v>
      </c>
      <c r="D38" s="7">
        <v>0</v>
      </c>
      <c r="E38" s="7">
        <v>681.89</v>
      </c>
      <c r="F38" s="7">
        <v>0</v>
      </c>
      <c r="G38" s="9">
        <v>17786</v>
      </c>
      <c r="H38" s="9">
        <v>810</v>
      </c>
      <c r="I38" s="9">
        <v>1710</v>
      </c>
      <c r="J38" s="9">
        <v>2520</v>
      </c>
      <c r="K38" s="9">
        <v>30</v>
      </c>
      <c r="L38" s="9">
        <v>0</v>
      </c>
      <c r="M38" s="9">
        <v>0</v>
      </c>
      <c r="N38" s="9">
        <v>444.65000000000003</v>
      </c>
      <c r="O38" s="9">
        <v>444.65000000000003</v>
      </c>
      <c r="P38" s="10">
        <v>889.30000000000007</v>
      </c>
      <c r="Q38" s="10"/>
      <c r="R38" s="10"/>
      <c r="S38" s="9"/>
      <c r="T38" s="9">
        <v>0</v>
      </c>
      <c r="U38" s="10">
        <v>200</v>
      </c>
      <c r="V38" s="10">
        <v>200</v>
      </c>
      <c r="W38" s="10">
        <v>941.46</v>
      </c>
      <c r="X38" s="18">
        <v>0</v>
      </c>
      <c r="Y38" s="10">
        <v>0</v>
      </c>
      <c r="Z38" s="12">
        <v>0</v>
      </c>
      <c r="AA38" s="9">
        <v>0</v>
      </c>
      <c r="AB38" s="9"/>
      <c r="AC38" s="9"/>
      <c r="AD38" s="9">
        <v>15389.890000000001</v>
      </c>
      <c r="AE38" s="9">
        <v>0</v>
      </c>
      <c r="AF38" s="9">
        <v>0</v>
      </c>
      <c r="AG38" s="9">
        <v>0</v>
      </c>
      <c r="AH38" s="10">
        <v>0</v>
      </c>
      <c r="AI38" s="9">
        <v>0</v>
      </c>
      <c r="AJ38" s="9">
        <v>0</v>
      </c>
      <c r="AK38" s="7">
        <v>15389.890000000001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1:103" x14ac:dyDescent="0.25">
      <c r="A39" s="183" t="s">
        <v>156</v>
      </c>
      <c r="B39" s="7">
        <v>18000</v>
      </c>
      <c r="C39" s="7">
        <v>18000</v>
      </c>
      <c r="D39" s="7">
        <v>0</v>
      </c>
      <c r="E39" s="7">
        <v>0</v>
      </c>
      <c r="F39" s="7">
        <v>0</v>
      </c>
      <c r="G39" s="9">
        <v>18000</v>
      </c>
      <c r="H39" s="9">
        <v>810</v>
      </c>
      <c r="I39" s="9">
        <v>1710</v>
      </c>
      <c r="J39" s="9">
        <v>2520</v>
      </c>
      <c r="K39" s="9">
        <v>30</v>
      </c>
      <c r="L39" s="9">
        <v>1661.22</v>
      </c>
      <c r="M39" s="9">
        <v>0</v>
      </c>
      <c r="N39" s="9">
        <v>450</v>
      </c>
      <c r="O39" s="9">
        <v>450</v>
      </c>
      <c r="P39" s="10">
        <v>900</v>
      </c>
      <c r="Q39" s="10"/>
      <c r="R39" s="10"/>
      <c r="S39" s="9"/>
      <c r="T39" s="10">
        <v>0</v>
      </c>
      <c r="U39" s="10">
        <v>200</v>
      </c>
      <c r="V39" s="10">
        <v>200</v>
      </c>
      <c r="W39" s="7">
        <v>0</v>
      </c>
      <c r="X39" s="10">
        <v>0</v>
      </c>
      <c r="Y39" s="10">
        <v>0</v>
      </c>
      <c r="Z39" s="12">
        <v>0</v>
      </c>
      <c r="AA39" s="9">
        <v>0</v>
      </c>
      <c r="AB39" s="9"/>
      <c r="AC39" s="9"/>
      <c r="AD39" s="9">
        <v>14878.78</v>
      </c>
      <c r="AE39" s="9">
        <v>0</v>
      </c>
      <c r="AF39" s="9">
        <v>0</v>
      </c>
      <c r="AG39" s="9">
        <v>0</v>
      </c>
      <c r="AH39" s="10">
        <v>0</v>
      </c>
      <c r="AI39" s="9">
        <v>0</v>
      </c>
      <c r="AJ39" s="9">
        <v>0</v>
      </c>
      <c r="AK39" s="7">
        <v>14878.78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</row>
    <row r="40" spans="1:103" x14ac:dyDescent="0.25">
      <c r="A40" s="183" t="s">
        <v>172</v>
      </c>
      <c r="B40" s="7">
        <v>14000</v>
      </c>
      <c r="C40" s="7">
        <v>9146.9599999999991</v>
      </c>
      <c r="D40" s="7">
        <v>0</v>
      </c>
      <c r="E40" s="7">
        <v>0</v>
      </c>
      <c r="F40" s="7">
        <v>0</v>
      </c>
      <c r="G40" s="9">
        <v>9146.9599999999991</v>
      </c>
      <c r="H40" s="9">
        <v>630</v>
      </c>
      <c r="I40" s="10">
        <v>1330</v>
      </c>
      <c r="J40" s="9">
        <v>1960</v>
      </c>
      <c r="K40" s="10">
        <v>10</v>
      </c>
      <c r="L40" s="9">
        <v>0</v>
      </c>
      <c r="M40" s="9">
        <v>0</v>
      </c>
      <c r="N40" s="9">
        <v>350</v>
      </c>
      <c r="O40" s="9">
        <v>350</v>
      </c>
      <c r="P40" s="10">
        <v>700</v>
      </c>
      <c r="Q40" s="10"/>
      <c r="R40" s="10"/>
      <c r="S40" s="9"/>
      <c r="T40" s="10">
        <v>0</v>
      </c>
      <c r="U40" s="10">
        <v>200</v>
      </c>
      <c r="V40" s="10">
        <v>200</v>
      </c>
      <c r="W40" s="7">
        <v>0</v>
      </c>
      <c r="X40" s="10">
        <v>0</v>
      </c>
      <c r="Y40" s="10">
        <v>0</v>
      </c>
      <c r="Z40" s="12">
        <v>0</v>
      </c>
      <c r="AA40" s="9">
        <v>0</v>
      </c>
      <c r="AB40" s="9"/>
      <c r="AC40" s="9"/>
      <c r="AD40" s="9">
        <v>7966.9599999999991</v>
      </c>
      <c r="AE40" s="9">
        <v>0</v>
      </c>
      <c r="AF40" s="9">
        <v>0</v>
      </c>
      <c r="AG40" s="9">
        <v>0</v>
      </c>
      <c r="AH40" s="10">
        <v>0</v>
      </c>
      <c r="AI40" s="9">
        <v>0</v>
      </c>
      <c r="AJ40" s="9">
        <v>0</v>
      </c>
      <c r="AK40" s="7">
        <v>7966.9599999999991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</row>
    <row r="41" spans="1:103" x14ac:dyDescent="0.25">
      <c r="A41" s="183" t="s">
        <v>158</v>
      </c>
      <c r="B41" s="7">
        <v>28000</v>
      </c>
      <c r="C41" s="7">
        <v>27995.53</v>
      </c>
      <c r="D41" s="7">
        <v>0</v>
      </c>
      <c r="E41" s="7">
        <v>0</v>
      </c>
      <c r="F41" s="7">
        <v>0</v>
      </c>
      <c r="G41" s="9">
        <v>27995.53</v>
      </c>
      <c r="H41" s="9">
        <v>1260</v>
      </c>
      <c r="I41" s="10">
        <v>2660</v>
      </c>
      <c r="J41" s="9">
        <v>3920</v>
      </c>
      <c r="K41" s="10">
        <v>30</v>
      </c>
      <c r="L41" s="9">
        <v>0</v>
      </c>
      <c r="M41" s="9">
        <v>0</v>
      </c>
      <c r="N41" s="9">
        <v>700</v>
      </c>
      <c r="O41" s="9">
        <v>700</v>
      </c>
      <c r="P41" s="10">
        <v>1400</v>
      </c>
      <c r="Q41" s="10"/>
      <c r="R41" s="10"/>
      <c r="S41" s="9"/>
      <c r="T41" s="9">
        <v>750.37949999999978</v>
      </c>
      <c r="U41" s="10">
        <v>200</v>
      </c>
      <c r="V41" s="10">
        <v>200</v>
      </c>
      <c r="W41" s="7">
        <v>0</v>
      </c>
      <c r="X41" s="10">
        <v>0</v>
      </c>
      <c r="Y41" s="10">
        <v>0</v>
      </c>
      <c r="Z41" s="12">
        <v>0</v>
      </c>
      <c r="AA41" s="9">
        <v>0</v>
      </c>
      <c r="AB41" s="9"/>
      <c r="AC41" s="9"/>
      <c r="AD41" s="9">
        <v>25085.1505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7">
        <v>25085.1505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</row>
    <row r="42" spans="1:103" x14ac:dyDescent="0.25">
      <c r="A42" s="183" t="s">
        <v>159</v>
      </c>
      <c r="B42" s="7">
        <v>25000</v>
      </c>
      <c r="C42" s="7">
        <v>25000</v>
      </c>
      <c r="D42" s="7">
        <v>0</v>
      </c>
      <c r="E42" s="7">
        <v>0</v>
      </c>
      <c r="F42" s="7">
        <v>0</v>
      </c>
      <c r="G42" s="9">
        <v>25000</v>
      </c>
      <c r="H42" s="11">
        <v>1125</v>
      </c>
      <c r="I42" s="11">
        <v>2375</v>
      </c>
      <c r="J42" s="11">
        <v>3500</v>
      </c>
      <c r="K42" s="11">
        <v>30</v>
      </c>
      <c r="L42" s="19">
        <v>0</v>
      </c>
      <c r="M42" s="19">
        <v>0</v>
      </c>
      <c r="N42" s="11">
        <v>625</v>
      </c>
      <c r="O42" s="11">
        <v>625</v>
      </c>
      <c r="P42" s="184">
        <v>1250</v>
      </c>
      <c r="Q42" s="184"/>
      <c r="R42" s="184"/>
      <c r="S42" s="11"/>
      <c r="T42" s="185">
        <v>332.55</v>
      </c>
      <c r="U42" s="184">
        <v>200</v>
      </c>
      <c r="V42" s="184">
        <v>200</v>
      </c>
      <c r="W42" s="184">
        <v>0</v>
      </c>
      <c r="X42" s="18">
        <v>0</v>
      </c>
      <c r="Y42" s="12">
        <v>0</v>
      </c>
      <c r="Z42" s="12">
        <v>0</v>
      </c>
      <c r="AA42" s="9">
        <v>0</v>
      </c>
      <c r="AB42" s="9"/>
      <c r="AC42" s="9"/>
      <c r="AD42" s="9">
        <v>22717.45</v>
      </c>
      <c r="AE42" s="9">
        <v>0</v>
      </c>
      <c r="AF42" s="9">
        <v>0</v>
      </c>
      <c r="AG42" s="9">
        <v>0</v>
      </c>
      <c r="AH42" s="10">
        <v>0</v>
      </c>
      <c r="AI42" s="9">
        <v>0</v>
      </c>
      <c r="AJ42" s="9">
        <v>0</v>
      </c>
      <c r="AK42" s="7">
        <v>22717.45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</row>
    <row r="43" spans="1:103" x14ac:dyDescent="0.25">
      <c r="A43" s="183" t="s">
        <v>160</v>
      </c>
      <c r="B43" s="7">
        <v>16108</v>
      </c>
      <c r="C43" s="7">
        <v>15947.19</v>
      </c>
      <c r="D43" s="7">
        <v>0</v>
      </c>
      <c r="E43" s="7">
        <v>0</v>
      </c>
      <c r="F43" s="7">
        <v>0</v>
      </c>
      <c r="G43" s="9">
        <v>15947.19</v>
      </c>
      <c r="H43" s="9">
        <v>720</v>
      </c>
      <c r="I43" s="9">
        <v>1520</v>
      </c>
      <c r="J43" s="9">
        <v>2240</v>
      </c>
      <c r="K43" s="9">
        <v>30</v>
      </c>
      <c r="L43" s="9">
        <v>0</v>
      </c>
      <c r="M43" s="9">
        <v>0</v>
      </c>
      <c r="N43" s="9">
        <v>402.70000000000005</v>
      </c>
      <c r="O43" s="9">
        <v>402.70000000000005</v>
      </c>
      <c r="P43" s="9">
        <v>805.40000000000009</v>
      </c>
      <c r="Q43" s="9"/>
      <c r="R43" s="10"/>
      <c r="S43" s="9"/>
      <c r="T43" s="9">
        <v>0</v>
      </c>
      <c r="U43" s="9">
        <v>200</v>
      </c>
      <c r="V43" s="9">
        <v>200</v>
      </c>
      <c r="W43" s="7">
        <v>0</v>
      </c>
      <c r="X43" s="10">
        <v>0</v>
      </c>
      <c r="Y43" s="10">
        <v>0</v>
      </c>
      <c r="Z43" s="12">
        <v>0</v>
      </c>
      <c r="AA43" s="9">
        <v>0</v>
      </c>
      <c r="AB43" s="9"/>
      <c r="AC43" s="9"/>
      <c r="AD43" s="9">
        <v>14624.49</v>
      </c>
      <c r="AE43" s="9">
        <v>0</v>
      </c>
      <c r="AF43" s="9"/>
      <c r="AG43" s="9">
        <v>0</v>
      </c>
      <c r="AH43" s="10">
        <v>0</v>
      </c>
      <c r="AI43" s="9">
        <v>0</v>
      </c>
      <c r="AJ43" s="9">
        <v>0</v>
      </c>
      <c r="AK43" s="7">
        <v>14624.49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</row>
    <row r="44" spans="1:103" s="20" customFormat="1" ht="12.75" customHeight="1" x14ac:dyDescent="0.2">
      <c r="A44" s="183" t="s">
        <v>161</v>
      </c>
      <c r="B44" s="8">
        <v>29600</v>
      </c>
      <c r="C44" s="7">
        <v>29477.059999999998</v>
      </c>
      <c r="D44" s="7">
        <v>0</v>
      </c>
      <c r="E44" s="7">
        <v>0</v>
      </c>
      <c r="F44" s="7">
        <v>0</v>
      </c>
      <c r="G44" s="9">
        <v>29477.059999999998</v>
      </c>
      <c r="H44" s="9">
        <v>1327.5</v>
      </c>
      <c r="I44" s="9">
        <v>2802.5</v>
      </c>
      <c r="J44" s="9">
        <v>4130</v>
      </c>
      <c r="K44" s="9">
        <v>30</v>
      </c>
      <c r="L44" s="9">
        <v>0</v>
      </c>
      <c r="M44" s="9">
        <v>0</v>
      </c>
      <c r="N44" s="9">
        <v>740</v>
      </c>
      <c r="O44" s="9">
        <v>740</v>
      </c>
      <c r="P44" s="9">
        <v>1480</v>
      </c>
      <c r="Q44" s="9"/>
      <c r="R44" s="9"/>
      <c r="S44" s="9"/>
      <c r="T44" s="9">
        <v>956.48399999999958</v>
      </c>
      <c r="U44" s="10">
        <v>200</v>
      </c>
      <c r="V44" s="10">
        <v>200</v>
      </c>
      <c r="W44" s="8">
        <v>0</v>
      </c>
      <c r="X44" s="9">
        <v>0</v>
      </c>
      <c r="Y44" s="9">
        <v>0</v>
      </c>
      <c r="Z44" s="9">
        <v>0</v>
      </c>
      <c r="AA44" s="9">
        <v>0</v>
      </c>
      <c r="AB44" s="9"/>
      <c r="AC44" s="9"/>
      <c r="AD44" s="9">
        <v>26253.075999999997</v>
      </c>
      <c r="AE44" s="9">
        <v>14400</v>
      </c>
      <c r="AF44" s="9">
        <v>0</v>
      </c>
      <c r="AG44" s="9">
        <v>0</v>
      </c>
      <c r="AH44" s="10">
        <v>0</v>
      </c>
      <c r="AI44" s="9">
        <v>0</v>
      </c>
      <c r="AJ44" s="9">
        <v>0</v>
      </c>
      <c r="AK44" s="7">
        <v>40653.076000000001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</row>
    <row r="45" spans="1:103" s="20" customFormat="1" ht="12.75" customHeight="1" x14ac:dyDescent="0.2">
      <c r="A45" s="183" t="s">
        <v>162</v>
      </c>
      <c r="B45" s="8">
        <v>14000</v>
      </c>
      <c r="C45" s="7">
        <v>13334.68</v>
      </c>
      <c r="D45" s="7">
        <v>0</v>
      </c>
      <c r="E45" s="7">
        <v>0</v>
      </c>
      <c r="F45" s="7">
        <v>0</v>
      </c>
      <c r="G45" s="9">
        <v>13334.68</v>
      </c>
      <c r="H45" s="9">
        <v>630</v>
      </c>
      <c r="I45" s="9">
        <v>1330</v>
      </c>
      <c r="J45" s="9">
        <v>1960</v>
      </c>
      <c r="K45" s="9">
        <v>10</v>
      </c>
      <c r="L45" s="9">
        <v>392.23</v>
      </c>
      <c r="M45" s="9"/>
      <c r="N45" s="9">
        <v>350</v>
      </c>
      <c r="O45" s="9">
        <v>350</v>
      </c>
      <c r="P45" s="9">
        <v>700</v>
      </c>
      <c r="Q45" s="10"/>
      <c r="R45" s="10"/>
      <c r="S45" s="9"/>
      <c r="T45" s="10"/>
      <c r="U45" s="10">
        <v>200</v>
      </c>
      <c r="V45" s="10">
        <v>200</v>
      </c>
      <c r="W45" s="7"/>
      <c r="X45" s="9"/>
      <c r="Y45" s="9"/>
      <c r="Z45" s="9"/>
      <c r="AA45" s="9">
        <v>0</v>
      </c>
      <c r="AB45" s="9"/>
      <c r="AC45" s="9"/>
      <c r="AD45" s="9">
        <v>11762.45</v>
      </c>
      <c r="AE45" s="9">
        <v>0</v>
      </c>
      <c r="AF45" s="9">
        <v>0</v>
      </c>
      <c r="AG45" s="9">
        <v>0</v>
      </c>
      <c r="AH45" s="10">
        <v>0</v>
      </c>
      <c r="AI45" s="9">
        <v>0</v>
      </c>
      <c r="AJ45" s="9">
        <v>0</v>
      </c>
      <c r="AK45" s="7">
        <v>11762.45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</row>
    <row r="46" spans="1:103" x14ac:dyDescent="0.25">
      <c r="A46" s="181" t="s">
        <v>173</v>
      </c>
      <c r="B46" s="7">
        <v>15000</v>
      </c>
      <c r="C46" s="7">
        <v>14823.89</v>
      </c>
      <c r="D46" s="7">
        <v>0</v>
      </c>
      <c r="E46" s="7"/>
      <c r="F46" s="7"/>
      <c r="G46" s="9">
        <v>14823.89</v>
      </c>
      <c r="H46" s="9">
        <v>675</v>
      </c>
      <c r="I46" s="9">
        <v>1425</v>
      </c>
      <c r="J46" s="9">
        <v>2100</v>
      </c>
      <c r="K46" s="9">
        <v>30</v>
      </c>
      <c r="L46" s="9">
        <v>1568.93</v>
      </c>
      <c r="M46" s="9">
        <v>0</v>
      </c>
      <c r="N46" s="9">
        <v>375</v>
      </c>
      <c r="O46" s="9">
        <v>375</v>
      </c>
      <c r="P46" s="10">
        <v>750</v>
      </c>
      <c r="Q46" s="10"/>
      <c r="R46" s="10"/>
      <c r="S46" s="9"/>
      <c r="T46" s="9">
        <v>0</v>
      </c>
      <c r="U46" s="10">
        <v>200</v>
      </c>
      <c r="V46" s="9">
        <v>200</v>
      </c>
      <c r="W46" s="8">
        <v>1348.39</v>
      </c>
      <c r="X46" s="9">
        <v>0</v>
      </c>
      <c r="Y46" s="9">
        <v>0</v>
      </c>
      <c r="Z46" s="9">
        <v>0</v>
      </c>
      <c r="AA46" s="9">
        <v>0</v>
      </c>
      <c r="AB46" s="9"/>
      <c r="AC46" s="9"/>
      <c r="AD46" s="9">
        <v>10656.57</v>
      </c>
      <c r="AE46" s="9">
        <v>0</v>
      </c>
      <c r="AF46" s="9">
        <v>0</v>
      </c>
      <c r="AG46" s="9">
        <v>0</v>
      </c>
      <c r="AH46" s="10">
        <v>0</v>
      </c>
      <c r="AI46" s="9">
        <v>0</v>
      </c>
      <c r="AJ46" s="9">
        <v>0</v>
      </c>
      <c r="AK46" s="13">
        <v>10656.57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</row>
    <row r="47" spans="1:103" x14ac:dyDescent="0.25">
      <c r="A47" s="181" t="s">
        <v>163</v>
      </c>
      <c r="B47" s="7">
        <v>14000</v>
      </c>
      <c r="C47" s="7">
        <v>14000</v>
      </c>
      <c r="D47" s="7">
        <v>0</v>
      </c>
      <c r="E47" s="7">
        <v>536.74</v>
      </c>
      <c r="F47" s="10">
        <v>0</v>
      </c>
      <c r="G47" s="9">
        <v>14536.74</v>
      </c>
      <c r="H47" s="9">
        <v>630</v>
      </c>
      <c r="I47" s="9">
        <v>1330</v>
      </c>
      <c r="J47" s="9">
        <v>1960</v>
      </c>
      <c r="K47" s="9">
        <v>10</v>
      </c>
      <c r="L47" s="9">
        <v>0</v>
      </c>
      <c r="M47" s="9">
        <v>0</v>
      </c>
      <c r="N47" s="9">
        <v>350</v>
      </c>
      <c r="O47" s="9">
        <v>350</v>
      </c>
      <c r="P47" s="9">
        <v>700</v>
      </c>
      <c r="Q47" s="9"/>
      <c r="R47" s="9"/>
      <c r="S47" s="9"/>
      <c r="T47" s="9">
        <v>0</v>
      </c>
      <c r="U47" s="10">
        <v>200</v>
      </c>
      <c r="V47" s="10">
        <v>200</v>
      </c>
      <c r="W47" s="12">
        <v>0</v>
      </c>
      <c r="X47" s="12">
        <v>0</v>
      </c>
      <c r="Y47" s="12">
        <v>0</v>
      </c>
      <c r="Z47" s="12">
        <v>0</v>
      </c>
      <c r="AA47" s="9">
        <v>0</v>
      </c>
      <c r="AB47" s="9"/>
      <c r="AC47" s="9"/>
      <c r="AD47" s="9">
        <v>13356.74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7">
        <v>13356.74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</row>
    <row r="48" spans="1:103" x14ac:dyDescent="0.25">
      <c r="A48" s="181" t="s">
        <v>164</v>
      </c>
      <c r="B48" s="7">
        <v>19000</v>
      </c>
      <c r="C48" s="7">
        <v>19000</v>
      </c>
      <c r="D48" s="7">
        <v>0</v>
      </c>
      <c r="E48" s="7">
        <v>0</v>
      </c>
      <c r="F48" s="10">
        <v>6400.82</v>
      </c>
      <c r="G48" s="9">
        <v>25400.82</v>
      </c>
      <c r="H48" s="9">
        <v>855</v>
      </c>
      <c r="I48" s="9">
        <v>1805</v>
      </c>
      <c r="J48" s="9">
        <v>2660</v>
      </c>
      <c r="K48" s="9">
        <v>30</v>
      </c>
      <c r="L48" s="9">
        <v>0</v>
      </c>
      <c r="M48" s="9">
        <v>0</v>
      </c>
      <c r="N48" s="9">
        <v>475</v>
      </c>
      <c r="O48" s="9">
        <v>475</v>
      </c>
      <c r="P48" s="9">
        <v>950</v>
      </c>
      <c r="Q48" s="9"/>
      <c r="R48" s="9"/>
      <c r="S48" s="9"/>
      <c r="T48" s="9">
        <v>455.67299999999994</v>
      </c>
      <c r="U48" s="9">
        <v>200</v>
      </c>
      <c r="V48" s="9">
        <v>200</v>
      </c>
      <c r="W48" s="21">
        <v>0</v>
      </c>
      <c r="X48" s="12">
        <v>0</v>
      </c>
      <c r="Y48" s="12">
        <v>3000</v>
      </c>
      <c r="Z48" s="12">
        <v>0</v>
      </c>
      <c r="AA48" s="10">
        <v>0</v>
      </c>
      <c r="AB48" s="9">
        <v>0</v>
      </c>
      <c r="AC48" s="9">
        <v>0</v>
      </c>
      <c r="AD48" s="9">
        <v>20415.147000000001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7">
        <v>20415.147000000001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</row>
    <row r="49" spans="1:103" x14ac:dyDescent="0.25">
      <c r="A49" s="181" t="s">
        <v>165</v>
      </c>
      <c r="B49" s="7">
        <v>27300</v>
      </c>
      <c r="C49" s="7">
        <v>27300</v>
      </c>
      <c r="D49" s="7">
        <v>0</v>
      </c>
      <c r="E49" s="10">
        <v>0</v>
      </c>
      <c r="F49" s="10">
        <v>0</v>
      </c>
      <c r="G49" s="9">
        <v>27300</v>
      </c>
      <c r="H49" s="11">
        <v>1237.5</v>
      </c>
      <c r="I49" s="184">
        <v>2612.5</v>
      </c>
      <c r="J49" s="11">
        <v>3850</v>
      </c>
      <c r="K49" s="11">
        <v>30</v>
      </c>
      <c r="L49" s="11">
        <v>0</v>
      </c>
      <c r="M49" s="11">
        <v>0</v>
      </c>
      <c r="N49" s="11">
        <v>682.5</v>
      </c>
      <c r="O49" s="11">
        <v>682.5</v>
      </c>
      <c r="P49" s="184">
        <v>1365</v>
      </c>
      <c r="Q49" s="184"/>
      <c r="R49" s="184"/>
      <c r="S49" s="184"/>
      <c r="T49" s="184">
        <v>652.04999999999995</v>
      </c>
      <c r="U49" s="184">
        <v>200</v>
      </c>
      <c r="V49" s="184">
        <v>200</v>
      </c>
      <c r="W49" s="186">
        <v>0</v>
      </c>
      <c r="X49" s="184">
        <v>0</v>
      </c>
      <c r="Y49" s="184">
        <v>0</v>
      </c>
      <c r="Z49" s="184">
        <v>0</v>
      </c>
      <c r="AA49" s="184">
        <v>0</v>
      </c>
      <c r="AB49" s="11">
        <v>0</v>
      </c>
      <c r="AC49" s="11">
        <v>0</v>
      </c>
      <c r="AD49" s="11">
        <v>24527.95</v>
      </c>
      <c r="AE49" s="184">
        <v>6100</v>
      </c>
      <c r="AF49" s="184">
        <v>0</v>
      </c>
      <c r="AG49" s="184">
        <v>0</v>
      </c>
      <c r="AH49" s="184">
        <v>0</v>
      </c>
      <c r="AI49" s="184">
        <v>0</v>
      </c>
      <c r="AJ49" s="184">
        <v>0</v>
      </c>
      <c r="AK49" s="186">
        <v>30627.95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</row>
    <row r="50" spans="1:103" x14ac:dyDescent="0.25">
      <c r="A50" s="181" t="s">
        <v>166</v>
      </c>
      <c r="B50" s="7">
        <v>13650</v>
      </c>
      <c r="C50" s="7">
        <v>13650</v>
      </c>
      <c r="D50" s="7">
        <v>0</v>
      </c>
      <c r="E50" s="10">
        <v>0</v>
      </c>
      <c r="F50" s="10">
        <v>0</v>
      </c>
      <c r="G50" s="9">
        <v>13650</v>
      </c>
      <c r="H50" s="9">
        <v>607.5</v>
      </c>
      <c r="I50" s="10">
        <v>1282.5</v>
      </c>
      <c r="J50" s="9">
        <v>1890</v>
      </c>
      <c r="K50" s="9">
        <v>10</v>
      </c>
      <c r="L50" s="9">
        <v>0</v>
      </c>
      <c r="M50" s="9">
        <v>0</v>
      </c>
      <c r="N50" s="9">
        <v>341.25</v>
      </c>
      <c r="O50" s="9">
        <v>341.25</v>
      </c>
      <c r="P50" s="10">
        <v>682.5</v>
      </c>
      <c r="Q50" s="10"/>
      <c r="R50" s="10"/>
      <c r="S50" s="10"/>
      <c r="T50" s="10">
        <v>0</v>
      </c>
      <c r="U50" s="10">
        <v>200</v>
      </c>
      <c r="V50" s="10">
        <v>200</v>
      </c>
      <c r="W50" s="7">
        <v>0</v>
      </c>
      <c r="X50" s="10">
        <v>0</v>
      </c>
      <c r="Y50" s="10">
        <v>0</v>
      </c>
      <c r="Z50" s="10">
        <v>0</v>
      </c>
      <c r="AA50" s="10">
        <v>0</v>
      </c>
      <c r="AB50" s="9">
        <v>0</v>
      </c>
      <c r="AC50" s="9">
        <v>0</v>
      </c>
      <c r="AD50" s="9">
        <v>12501.25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7">
        <v>12501.25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</row>
    <row r="51" spans="1:103" x14ac:dyDescent="0.25">
      <c r="A51" s="181" t="s">
        <v>167</v>
      </c>
      <c r="B51" s="7">
        <v>13650</v>
      </c>
      <c r="C51" s="7">
        <v>13650</v>
      </c>
      <c r="D51" s="7">
        <v>0</v>
      </c>
      <c r="E51" s="10">
        <v>0</v>
      </c>
      <c r="F51" s="10">
        <v>0</v>
      </c>
      <c r="G51" s="9">
        <v>13650</v>
      </c>
      <c r="H51" s="10">
        <v>607.5</v>
      </c>
      <c r="I51" s="10">
        <v>1282.5</v>
      </c>
      <c r="J51" s="9">
        <v>1890</v>
      </c>
      <c r="K51" s="10">
        <v>10</v>
      </c>
      <c r="L51" s="9">
        <v>0</v>
      </c>
      <c r="M51" s="9">
        <v>0</v>
      </c>
      <c r="N51" s="9">
        <v>341.25</v>
      </c>
      <c r="O51" s="10">
        <v>341.25</v>
      </c>
      <c r="P51" s="10">
        <v>682.5</v>
      </c>
      <c r="Q51" s="10"/>
      <c r="R51" s="10"/>
      <c r="S51" s="10"/>
      <c r="T51" s="10">
        <v>0</v>
      </c>
      <c r="U51" s="10">
        <v>200</v>
      </c>
      <c r="V51" s="10">
        <v>200</v>
      </c>
      <c r="W51" s="8">
        <v>0</v>
      </c>
      <c r="X51" s="9">
        <v>0</v>
      </c>
      <c r="Y51" s="9">
        <v>2000</v>
      </c>
      <c r="Z51" s="9">
        <v>0</v>
      </c>
      <c r="AA51" s="9">
        <v>0</v>
      </c>
      <c r="AB51" s="9">
        <v>0</v>
      </c>
      <c r="AC51" s="9">
        <v>0</v>
      </c>
      <c r="AD51" s="9">
        <v>10501.25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7">
        <v>10501.25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</row>
    <row r="52" spans="1:103" ht="14.25" customHeight="1" x14ac:dyDescent="0.25">
      <c r="A52" s="181" t="s">
        <v>168</v>
      </c>
      <c r="B52" s="7">
        <v>13564</v>
      </c>
      <c r="C52" s="7">
        <v>13564</v>
      </c>
      <c r="D52" s="7">
        <v>0</v>
      </c>
      <c r="E52" s="10">
        <v>0</v>
      </c>
      <c r="F52" s="10">
        <v>591.5</v>
      </c>
      <c r="G52" s="9">
        <v>14155.5</v>
      </c>
      <c r="H52" s="10">
        <v>607.5</v>
      </c>
      <c r="I52" s="10">
        <v>1282.5</v>
      </c>
      <c r="J52" s="9">
        <v>1890</v>
      </c>
      <c r="K52" s="10">
        <v>10</v>
      </c>
      <c r="L52" s="9">
        <v>0</v>
      </c>
      <c r="M52" s="9">
        <v>0</v>
      </c>
      <c r="N52" s="9">
        <v>339.1</v>
      </c>
      <c r="O52" s="10">
        <v>339.1</v>
      </c>
      <c r="P52" s="10">
        <v>678.2</v>
      </c>
      <c r="Q52" s="10"/>
      <c r="R52" s="10"/>
      <c r="S52" s="10"/>
      <c r="T52" s="10">
        <v>0</v>
      </c>
      <c r="U52" s="10">
        <v>200</v>
      </c>
      <c r="V52" s="10">
        <v>200</v>
      </c>
      <c r="W52" s="8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13008.9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7">
        <v>13008.9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</row>
    <row r="53" spans="1:103" ht="14.25" customHeight="1" x14ac:dyDescent="0.25">
      <c r="A53" s="181"/>
      <c r="B53" s="7"/>
      <c r="C53" s="7"/>
      <c r="D53" s="7"/>
      <c r="E53" s="10"/>
      <c r="F53" s="10"/>
      <c r="G53" s="9"/>
      <c r="H53" s="10"/>
      <c r="I53" s="10"/>
      <c r="J53" s="9"/>
      <c r="K53" s="10"/>
      <c r="L53" s="9"/>
      <c r="M53" s="9"/>
      <c r="N53" s="9"/>
      <c r="O53" s="9"/>
      <c r="P53" s="10"/>
      <c r="Q53" s="10"/>
      <c r="R53" s="10"/>
      <c r="S53" s="10"/>
      <c r="T53" s="9"/>
      <c r="U53" s="9"/>
      <c r="V53" s="9"/>
      <c r="W53" s="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</row>
    <row r="54" spans="1:103" x14ac:dyDescent="0.25">
      <c r="A54" s="181"/>
      <c r="B54" s="7"/>
      <c r="C54" s="7"/>
      <c r="D54" s="7"/>
      <c r="E54" s="10"/>
      <c r="F54" s="10"/>
      <c r="G54" s="9"/>
      <c r="H54" s="10"/>
      <c r="I54" s="10"/>
      <c r="J54" s="9"/>
      <c r="K54" s="10"/>
      <c r="L54" s="9"/>
      <c r="M54" s="9"/>
      <c r="N54" s="9"/>
      <c r="O54" s="9"/>
      <c r="P54" s="10"/>
      <c r="Q54" s="10"/>
      <c r="R54" s="10"/>
      <c r="S54" s="10"/>
      <c r="T54" s="9"/>
      <c r="U54" s="9"/>
      <c r="V54" s="9"/>
      <c r="W54" s="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</row>
    <row r="55" spans="1:103" s="5" customFormat="1" ht="12" x14ac:dyDescent="0.2">
      <c r="A55" s="181"/>
      <c r="B55" s="7"/>
      <c r="C55" s="7"/>
      <c r="D55" s="7"/>
      <c r="E55" s="10"/>
      <c r="F55" s="10"/>
      <c r="G55" s="9"/>
      <c r="H55" s="10"/>
      <c r="I55" s="10"/>
      <c r="J55" s="9"/>
      <c r="K55" s="10"/>
      <c r="L55" s="9"/>
      <c r="M55" s="9"/>
      <c r="N55" s="9"/>
      <c r="O55" s="9"/>
      <c r="P55" s="10"/>
      <c r="Q55" s="10"/>
      <c r="R55" s="10"/>
      <c r="S55" s="10"/>
      <c r="T55" s="9"/>
      <c r="U55" s="9"/>
      <c r="V55" s="9"/>
      <c r="W55" s="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</row>
    <row r="56" spans="1:103" x14ac:dyDescent="0.25">
      <c r="A56" s="182"/>
      <c r="B56" s="7"/>
      <c r="C56" s="7"/>
      <c r="D56" s="7"/>
      <c r="E56" s="7"/>
      <c r="F56" s="10"/>
      <c r="G56" s="9"/>
      <c r="H56" s="9"/>
      <c r="I56" s="10"/>
      <c r="J56" s="9"/>
      <c r="K56" s="10"/>
      <c r="L56" s="9"/>
      <c r="M56" s="9"/>
      <c r="N56" s="9"/>
      <c r="O56" s="9"/>
      <c r="P56" s="10"/>
      <c r="Q56" s="9"/>
      <c r="R56" s="9"/>
      <c r="S56" s="9"/>
      <c r="T56" s="9"/>
      <c r="U56" s="10"/>
      <c r="V56" s="10"/>
      <c r="W56" s="12"/>
      <c r="X56" s="12"/>
      <c r="Y56" s="12"/>
      <c r="Z56" s="12"/>
      <c r="AA56" s="9"/>
      <c r="AB56" s="9"/>
      <c r="AC56" s="9"/>
      <c r="AD56" s="9"/>
      <c r="AE56" s="10"/>
      <c r="AF56" s="10"/>
      <c r="AG56" s="10"/>
      <c r="AH56" s="10"/>
      <c r="AI56" s="10"/>
      <c r="AJ56" s="10"/>
      <c r="AK56" s="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2024-04-03T06:53:41Z</dcterms:modified>
  <dc:language>en-US</dc:language>
</cp:coreProperties>
</file>