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ye\OneDrive\Documents\Fun\Fifa 14 Fussball Statistiken\"/>
    </mc:Choice>
  </mc:AlternateContent>
  <xr:revisionPtr revIDLastSave="0" documentId="13_ncr:1_{5C641AE5-8E44-468E-9332-00CBB4AA902F}" xr6:coauthVersionLast="46" xr6:coauthVersionMax="46" xr10:uidLastSave="{00000000-0000-0000-0000-000000000000}"/>
  <bookViews>
    <workbookView xWindow="-120" yWindow="-120" windowWidth="20730" windowHeight="11160" xr2:uid="{859ABA21-5CFF-451A-979B-2626174C0FDB}"/>
  </bookViews>
  <sheets>
    <sheet name="Spieler" sheetId="1" r:id="rId1"/>
    <sheet name="Tore &amp; Assists" sheetId="3" r:id="rId2"/>
    <sheet name="Meister" sheetId="4" r:id="rId3"/>
    <sheet name="WM Ligue 1" sheetId="2" r:id="rId4"/>
    <sheet name="Mercato" sheetId="5" r:id="rId5"/>
  </sheets>
  <definedNames>
    <definedName name="_xlnm._FilterDatabase" localSheetId="0" hidden="1">Spieler!$C$220:$X$267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98" i="1" l="1"/>
  <c r="V298" i="1"/>
  <c r="T298" i="1"/>
  <c r="AO292" i="1"/>
  <c r="G653" i="1"/>
  <c r="G652" i="1"/>
  <c r="G651" i="1"/>
  <c r="G650" i="1"/>
  <c r="G649" i="1"/>
  <c r="G648" i="1"/>
  <c r="T47" i="1"/>
  <c r="S47" i="1"/>
  <c r="O47" i="1"/>
  <c r="J47" i="1"/>
  <c r="I47" i="1"/>
  <c r="H47" i="1"/>
  <c r="G47" i="1"/>
  <c r="D47" i="1"/>
  <c r="T55" i="1"/>
  <c r="S55" i="1"/>
  <c r="O55" i="1"/>
  <c r="J55" i="1"/>
  <c r="I55" i="1"/>
  <c r="H55" i="1"/>
  <c r="G55" i="1"/>
  <c r="D55" i="1"/>
  <c r="G647" i="1"/>
  <c r="U265" i="1"/>
  <c r="T265" i="1"/>
  <c r="S265" i="1"/>
  <c r="R265" i="1"/>
  <c r="Q265" i="1"/>
  <c r="P265" i="1"/>
  <c r="O265" i="1"/>
  <c r="I265" i="1"/>
  <c r="H265" i="1"/>
  <c r="G265" i="1"/>
  <c r="D265" i="1"/>
  <c r="U252" i="1"/>
  <c r="T252" i="1"/>
  <c r="S252" i="1"/>
  <c r="R252" i="1"/>
  <c r="Q252" i="1"/>
  <c r="P252" i="1"/>
  <c r="O252" i="1"/>
  <c r="J252" i="1"/>
  <c r="I252" i="1"/>
  <c r="H252" i="1"/>
  <c r="G252" i="1"/>
  <c r="D252" i="1"/>
  <c r="U238" i="1"/>
  <c r="T238" i="1"/>
  <c r="S238" i="1"/>
  <c r="R238" i="1"/>
  <c r="Q238" i="1"/>
  <c r="P238" i="1"/>
  <c r="O238" i="1"/>
  <c r="J238" i="1"/>
  <c r="I238" i="1"/>
  <c r="H238" i="1"/>
  <c r="G238" i="1"/>
  <c r="D238" i="1"/>
  <c r="U228" i="1"/>
  <c r="T228" i="1"/>
  <c r="S228" i="1"/>
  <c r="R228" i="1"/>
  <c r="Q228" i="1"/>
  <c r="P228" i="1"/>
  <c r="O228" i="1"/>
  <c r="J228" i="1"/>
  <c r="I228" i="1"/>
  <c r="H228" i="1"/>
  <c r="G228" i="1"/>
  <c r="D228" i="1"/>
  <c r="U245" i="1"/>
  <c r="T245" i="1"/>
  <c r="S245" i="1"/>
  <c r="R245" i="1"/>
  <c r="Q245" i="1"/>
  <c r="P245" i="1"/>
  <c r="O245" i="1"/>
  <c r="J245" i="1"/>
  <c r="I245" i="1"/>
  <c r="H245" i="1"/>
  <c r="G245" i="1"/>
  <c r="D245" i="1"/>
  <c r="U135" i="1"/>
  <c r="T135" i="1"/>
  <c r="S135" i="1"/>
  <c r="Q135" i="1"/>
  <c r="R135" i="1"/>
  <c r="P135" i="1"/>
  <c r="O135" i="1"/>
  <c r="J135" i="1"/>
  <c r="I135" i="1"/>
  <c r="H135" i="1"/>
  <c r="G135" i="1"/>
  <c r="D135" i="1"/>
  <c r="U137" i="1"/>
  <c r="T137" i="1"/>
  <c r="S137" i="1"/>
  <c r="R137" i="1"/>
  <c r="Q137" i="1"/>
  <c r="P137" i="1"/>
  <c r="O137" i="1"/>
  <c r="J137" i="1"/>
  <c r="I137" i="1"/>
  <c r="H137" i="1"/>
  <c r="G137" i="1"/>
  <c r="D137" i="1"/>
  <c r="U105" i="1"/>
  <c r="T105" i="1"/>
  <c r="S105" i="1"/>
  <c r="R105" i="1"/>
  <c r="Q105" i="1"/>
  <c r="P105" i="1"/>
  <c r="O105" i="1"/>
  <c r="J105" i="1"/>
  <c r="I105" i="1"/>
  <c r="H105" i="1"/>
  <c r="G105" i="1"/>
  <c r="D105" i="1"/>
  <c r="U132" i="1"/>
  <c r="T132" i="1"/>
  <c r="S132" i="1"/>
  <c r="R132" i="1"/>
  <c r="Q132" i="1"/>
  <c r="P132" i="1"/>
  <c r="O132" i="1"/>
  <c r="J132" i="1"/>
  <c r="I132" i="1"/>
  <c r="H132" i="1"/>
  <c r="G132" i="1"/>
  <c r="D132" i="1"/>
  <c r="U117" i="1"/>
  <c r="T117" i="1"/>
  <c r="S117" i="1"/>
  <c r="Q117" i="1"/>
  <c r="R117" i="1"/>
  <c r="P117" i="1"/>
  <c r="O117" i="1"/>
  <c r="J117" i="1"/>
  <c r="I117" i="1"/>
  <c r="H117" i="1"/>
  <c r="G117" i="1"/>
  <c r="D117" i="1"/>
  <c r="U142" i="1"/>
  <c r="T142" i="1"/>
  <c r="S142" i="1"/>
  <c r="R142" i="1"/>
  <c r="Q142" i="1"/>
  <c r="P142" i="1"/>
  <c r="O142" i="1"/>
  <c r="J142" i="1"/>
  <c r="I142" i="1"/>
  <c r="H142" i="1"/>
  <c r="G142" i="1"/>
  <c r="D142" i="1"/>
  <c r="U129" i="1"/>
  <c r="T129" i="1"/>
  <c r="S129" i="1"/>
  <c r="R129" i="1"/>
  <c r="Q129" i="1"/>
  <c r="P129" i="1"/>
  <c r="O129" i="1"/>
  <c r="J129" i="1"/>
  <c r="I129" i="1"/>
  <c r="H129" i="1"/>
  <c r="G129" i="1"/>
  <c r="D129" i="1"/>
  <c r="U145" i="1"/>
  <c r="T145" i="1"/>
  <c r="S145" i="1"/>
  <c r="R145" i="1"/>
  <c r="Q145" i="1"/>
  <c r="P145" i="1"/>
  <c r="O145" i="1"/>
  <c r="J145" i="1"/>
  <c r="I145" i="1"/>
  <c r="H145" i="1"/>
  <c r="G145" i="1"/>
  <c r="D145" i="1"/>
  <c r="U73" i="1"/>
  <c r="T73" i="1"/>
  <c r="S73" i="1"/>
  <c r="R73" i="1"/>
  <c r="Q73" i="1"/>
  <c r="P73" i="1"/>
  <c r="O73" i="1"/>
  <c r="J73" i="1"/>
  <c r="I73" i="1"/>
  <c r="H73" i="1"/>
  <c r="G73" i="1"/>
  <c r="D73" i="1"/>
  <c r="U41" i="1"/>
  <c r="T41" i="1"/>
  <c r="S41" i="1"/>
  <c r="R41" i="1"/>
  <c r="Q41" i="1"/>
  <c r="P41" i="1"/>
  <c r="O41" i="1"/>
  <c r="J41" i="1"/>
  <c r="I41" i="1"/>
  <c r="H41" i="1"/>
  <c r="G41" i="1"/>
  <c r="D41" i="1"/>
  <c r="U77" i="1"/>
  <c r="T77" i="1"/>
  <c r="S77" i="1"/>
  <c r="R77" i="1"/>
  <c r="Q77" i="1"/>
  <c r="P77" i="1"/>
  <c r="O77" i="1"/>
  <c r="J77" i="1"/>
  <c r="I77" i="1"/>
  <c r="H77" i="1"/>
  <c r="G77" i="1"/>
  <c r="D77" i="1"/>
  <c r="V90" i="1"/>
  <c r="U90" i="1"/>
  <c r="T90" i="1"/>
  <c r="S90" i="1"/>
  <c r="R90" i="1"/>
  <c r="Q90" i="1"/>
  <c r="P90" i="1"/>
  <c r="O90" i="1"/>
  <c r="J90" i="1"/>
  <c r="I90" i="1"/>
  <c r="H90" i="1"/>
  <c r="G90" i="1"/>
  <c r="D90" i="1"/>
  <c r="U51" i="1"/>
  <c r="T51" i="1"/>
  <c r="S51" i="1"/>
  <c r="R51" i="1"/>
  <c r="Q51" i="1"/>
  <c r="P51" i="1"/>
  <c r="O51" i="1"/>
  <c r="J51" i="1"/>
  <c r="I51" i="1"/>
  <c r="H51" i="1"/>
  <c r="G51" i="1"/>
  <c r="D51" i="1"/>
  <c r="U44" i="1"/>
  <c r="T44" i="1"/>
  <c r="S44" i="1"/>
  <c r="R44" i="1"/>
  <c r="Q44" i="1"/>
  <c r="P44" i="1"/>
  <c r="O44" i="1"/>
  <c r="J44" i="1"/>
  <c r="I44" i="1"/>
  <c r="H44" i="1"/>
  <c r="G44" i="1"/>
  <c r="D44" i="1"/>
  <c r="V91" i="1"/>
  <c r="U91" i="1"/>
  <c r="T91" i="1"/>
  <c r="S91" i="1"/>
  <c r="R91" i="1"/>
  <c r="Q91" i="1"/>
  <c r="P91" i="1"/>
  <c r="O91" i="1"/>
  <c r="I91" i="1"/>
  <c r="H91" i="1"/>
  <c r="G91" i="1"/>
  <c r="J91" i="1"/>
  <c r="D91" i="1"/>
  <c r="V68" i="1"/>
  <c r="U68" i="1"/>
  <c r="T68" i="1"/>
  <c r="S68" i="1"/>
  <c r="R68" i="1"/>
  <c r="Q68" i="1"/>
  <c r="P68" i="1"/>
  <c r="O68" i="1"/>
  <c r="J68" i="1"/>
  <c r="I68" i="1"/>
  <c r="H68" i="1"/>
  <c r="G68" i="1"/>
  <c r="D68" i="1"/>
  <c r="U14" i="1"/>
  <c r="T14" i="1"/>
  <c r="S14" i="1"/>
  <c r="R14" i="1"/>
  <c r="Q14" i="1"/>
  <c r="P14" i="1"/>
  <c r="O14" i="1"/>
  <c r="J14" i="1"/>
  <c r="I14" i="1"/>
  <c r="D14" i="1"/>
  <c r="U7" i="1"/>
  <c r="T7" i="1"/>
  <c r="S7" i="1"/>
  <c r="R7" i="1"/>
  <c r="Q7" i="1"/>
  <c r="P7" i="1"/>
  <c r="O7" i="1"/>
  <c r="J7" i="1"/>
  <c r="I7" i="1"/>
  <c r="D7" i="1"/>
  <c r="W68" i="1" l="1"/>
  <c r="W90" i="1"/>
  <c r="W91" i="1"/>
  <c r="AO295" i="1"/>
  <c r="AP295" i="1" s="1"/>
  <c r="AO296" i="1"/>
  <c r="AP296" i="1" s="1"/>
  <c r="AO297" i="1"/>
  <c r="AP297" i="1" s="1"/>
  <c r="AO298" i="1"/>
  <c r="AP298" i="1" s="1"/>
  <c r="G374" i="1"/>
  <c r="G432" i="1"/>
  <c r="G533" i="1"/>
  <c r="G399" i="1"/>
  <c r="G500" i="1"/>
  <c r="G462" i="1"/>
  <c r="G633" i="1"/>
  <c r="G396" i="1"/>
  <c r="G525" i="1"/>
  <c r="V244" i="1"/>
  <c r="U244" i="1"/>
  <c r="T244" i="1"/>
  <c r="S244" i="1"/>
  <c r="R244" i="1"/>
  <c r="Q244" i="1"/>
  <c r="P244" i="1"/>
  <c r="O244" i="1"/>
  <c r="J244" i="1"/>
  <c r="I244" i="1"/>
  <c r="H244" i="1"/>
  <c r="G244" i="1"/>
  <c r="D244" i="1"/>
  <c r="O229" i="1"/>
  <c r="J229" i="1"/>
  <c r="I229" i="1"/>
  <c r="H229" i="1"/>
  <c r="G229" i="1"/>
  <c r="D229" i="1"/>
  <c r="O140" i="1"/>
  <c r="J140" i="1"/>
  <c r="I140" i="1"/>
  <c r="H140" i="1"/>
  <c r="G140" i="1"/>
  <c r="D140" i="1"/>
  <c r="O124" i="1"/>
  <c r="J124" i="1"/>
  <c r="I124" i="1"/>
  <c r="H124" i="1"/>
  <c r="G124" i="1"/>
  <c r="D124" i="1"/>
  <c r="V73" i="1"/>
  <c r="V77" i="1"/>
  <c r="N68" i="1"/>
  <c r="N91" i="1"/>
  <c r="N90" i="1"/>
  <c r="N94" i="1"/>
  <c r="N95" i="1"/>
  <c r="N96" i="1"/>
  <c r="N97" i="1"/>
  <c r="M97" i="1"/>
  <c r="M73" i="1"/>
  <c r="M68" i="1"/>
  <c r="M91" i="1"/>
  <c r="M90" i="1"/>
  <c r="M94" i="1"/>
  <c r="M95" i="1"/>
  <c r="M96" i="1"/>
  <c r="L68" i="1"/>
  <c r="L91" i="1"/>
  <c r="L90" i="1"/>
  <c r="L94" i="1"/>
  <c r="L95" i="1"/>
  <c r="L96" i="1"/>
  <c r="L97" i="1"/>
  <c r="K68" i="1"/>
  <c r="K91" i="1"/>
  <c r="K90" i="1"/>
  <c r="K94" i="1"/>
  <c r="K95" i="1"/>
  <c r="K96" i="1"/>
  <c r="K97" i="1"/>
  <c r="U55" i="1"/>
  <c r="R55" i="1"/>
  <c r="Q55" i="1"/>
  <c r="P55" i="1"/>
  <c r="U47" i="1"/>
  <c r="R47" i="1"/>
  <c r="Q47" i="1"/>
  <c r="P47" i="1"/>
  <c r="T124" i="1"/>
  <c r="S124" i="1"/>
  <c r="T140" i="1"/>
  <c r="S140" i="1"/>
  <c r="T229" i="1"/>
  <c r="S229" i="1"/>
  <c r="S45" i="1"/>
  <c r="U31" i="1"/>
  <c r="T31" i="1"/>
  <c r="S31" i="1"/>
  <c r="R31" i="1"/>
  <c r="Q31" i="1"/>
  <c r="P31" i="1"/>
  <c r="O31" i="1"/>
  <c r="J31" i="1"/>
  <c r="I31" i="1"/>
  <c r="H31" i="1"/>
  <c r="G31" i="1"/>
  <c r="D31" i="1"/>
  <c r="G14" i="1"/>
  <c r="U18" i="1"/>
  <c r="T18" i="1"/>
  <c r="S18" i="1"/>
  <c r="R18" i="1"/>
  <c r="Q18" i="1"/>
  <c r="P18" i="1"/>
  <c r="O18" i="1"/>
  <c r="J18" i="1"/>
  <c r="I18" i="1"/>
  <c r="D18" i="1"/>
  <c r="K77" i="1" l="1"/>
  <c r="N73" i="1"/>
  <c r="W73" i="1"/>
  <c r="M77" i="1"/>
  <c r="N77" i="1"/>
  <c r="L73" i="1"/>
  <c r="W77" i="1"/>
  <c r="K73" i="1"/>
  <c r="L77" i="1"/>
  <c r="AN294" i="1"/>
  <c r="AM294" i="1"/>
  <c r="AL294" i="1"/>
  <c r="AK294" i="1"/>
  <c r="AN293" i="1"/>
  <c r="AM293" i="1"/>
  <c r="AL293" i="1"/>
  <c r="AK293" i="1"/>
  <c r="AO299" i="1"/>
  <c r="AP299" i="1" s="1"/>
  <c r="AO300" i="1"/>
  <c r="AP300" i="1" s="1"/>
  <c r="AO301" i="1"/>
  <c r="AP301" i="1" s="1"/>
  <c r="AO302" i="1"/>
  <c r="AP302" i="1" s="1"/>
  <c r="AO303" i="1"/>
  <c r="AP303" i="1" s="1"/>
  <c r="AO304" i="1"/>
  <c r="AP304" i="1" s="1"/>
  <c r="V245" i="1"/>
  <c r="U124" i="1"/>
  <c r="R124" i="1"/>
  <c r="Q124" i="1"/>
  <c r="P124" i="1"/>
  <c r="U140" i="1"/>
  <c r="R140" i="1"/>
  <c r="Q140" i="1"/>
  <c r="P140" i="1"/>
  <c r="U229" i="1"/>
  <c r="R229" i="1"/>
  <c r="Q229" i="1"/>
  <c r="P229" i="1"/>
  <c r="U166" i="1"/>
  <c r="T166" i="1"/>
  <c r="S166" i="1"/>
  <c r="R166" i="1"/>
  <c r="Q166" i="1"/>
  <c r="P166" i="1"/>
  <c r="O166" i="1"/>
  <c r="J166" i="1"/>
  <c r="I166" i="1"/>
  <c r="H166" i="1"/>
  <c r="G166" i="1"/>
  <c r="D166" i="1"/>
  <c r="T120" i="1"/>
  <c r="S120" i="1"/>
  <c r="O120" i="1"/>
  <c r="J120" i="1"/>
  <c r="I120" i="1"/>
  <c r="H120" i="1"/>
  <c r="G120" i="1"/>
  <c r="D120" i="1"/>
  <c r="T119" i="1"/>
  <c r="S119" i="1"/>
  <c r="O119" i="1"/>
  <c r="J119" i="1"/>
  <c r="I119" i="1"/>
  <c r="H119" i="1"/>
  <c r="G119" i="1"/>
  <c r="D119" i="1"/>
  <c r="T178" i="1"/>
  <c r="S178" i="1"/>
  <c r="O178" i="1"/>
  <c r="I178" i="1"/>
  <c r="H178" i="1"/>
  <c r="G178" i="1"/>
  <c r="D178" i="1"/>
  <c r="U45" i="1"/>
  <c r="T45" i="1"/>
  <c r="R45" i="1"/>
  <c r="Q45" i="1"/>
  <c r="P45" i="1"/>
  <c r="O45" i="1"/>
  <c r="J45" i="1"/>
  <c r="I45" i="1"/>
  <c r="H45" i="1"/>
  <c r="G45" i="1"/>
  <c r="D45" i="1"/>
  <c r="U56" i="1"/>
  <c r="T56" i="1"/>
  <c r="S56" i="1"/>
  <c r="R56" i="1"/>
  <c r="Q56" i="1"/>
  <c r="P56" i="1"/>
  <c r="O56" i="1"/>
  <c r="J56" i="1"/>
  <c r="I56" i="1"/>
  <c r="H56" i="1"/>
  <c r="G56" i="1"/>
  <c r="D56" i="1"/>
  <c r="V31" i="1"/>
  <c r="V14" i="1"/>
  <c r="AO293" i="1" l="1"/>
  <c r="AO294" i="1"/>
  <c r="AP294" i="1" s="1"/>
  <c r="AP293" i="1"/>
  <c r="G434" i="1"/>
  <c r="G426" i="1"/>
  <c r="G486" i="1"/>
  <c r="G541" i="1"/>
  <c r="G416" i="1"/>
  <c r="U221" i="1"/>
  <c r="T221" i="1"/>
  <c r="S221" i="1"/>
  <c r="R221" i="1"/>
  <c r="Q221" i="1"/>
  <c r="P221" i="1"/>
  <c r="O221" i="1"/>
  <c r="J221" i="1"/>
  <c r="I221" i="1"/>
  <c r="H221" i="1"/>
  <c r="G221" i="1"/>
  <c r="D221" i="1"/>
  <c r="U120" i="1"/>
  <c r="R120" i="1"/>
  <c r="Q120" i="1"/>
  <c r="P120" i="1"/>
  <c r="D186" i="1"/>
  <c r="U178" i="1"/>
  <c r="R178" i="1"/>
  <c r="Q178" i="1"/>
  <c r="P178" i="1"/>
  <c r="J178" i="1"/>
  <c r="U151" i="1"/>
  <c r="T151" i="1"/>
  <c r="S151" i="1"/>
  <c r="R151" i="1"/>
  <c r="Q151" i="1"/>
  <c r="P151" i="1"/>
  <c r="O151" i="1"/>
  <c r="J151" i="1"/>
  <c r="I151" i="1"/>
  <c r="H151" i="1"/>
  <c r="G151" i="1"/>
  <c r="D151" i="1"/>
  <c r="U119" i="1"/>
  <c r="R119" i="1"/>
  <c r="Q119" i="1"/>
  <c r="P119" i="1"/>
  <c r="U46" i="1"/>
  <c r="T46" i="1"/>
  <c r="S46" i="1"/>
  <c r="R46" i="1"/>
  <c r="Q46" i="1"/>
  <c r="P46" i="1"/>
  <c r="O46" i="1"/>
  <c r="J46" i="1"/>
  <c r="I46" i="1"/>
  <c r="H46" i="1"/>
  <c r="G46" i="1"/>
  <c r="D46" i="1"/>
  <c r="G540" i="1" l="1"/>
  <c r="G423" i="1"/>
  <c r="G373" i="1"/>
  <c r="T226" i="1"/>
  <c r="S226" i="1"/>
  <c r="P226" i="1"/>
  <c r="O226" i="1"/>
  <c r="J226" i="1"/>
  <c r="I226" i="1"/>
  <c r="H226" i="1"/>
  <c r="G226" i="1"/>
  <c r="D226" i="1"/>
  <c r="U260" i="1"/>
  <c r="T260" i="1"/>
  <c r="S260" i="1"/>
  <c r="R260" i="1"/>
  <c r="Q260" i="1"/>
  <c r="P260" i="1"/>
  <c r="O260" i="1"/>
  <c r="J260" i="1"/>
  <c r="I260" i="1"/>
  <c r="H260" i="1"/>
  <c r="G260" i="1"/>
  <c r="D260" i="1"/>
  <c r="V142" i="1" l="1"/>
  <c r="U133" i="1"/>
  <c r="T133" i="1"/>
  <c r="S133" i="1"/>
  <c r="R133" i="1"/>
  <c r="Q133" i="1"/>
  <c r="P133" i="1"/>
  <c r="O133" i="1"/>
  <c r="J133" i="1"/>
  <c r="I133" i="1"/>
  <c r="H133" i="1"/>
  <c r="G133" i="1"/>
  <c r="D133" i="1"/>
  <c r="V45" i="1"/>
  <c r="U89" i="1"/>
  <c r="T89" i="1"/>
  <c r="S89" i="1"/>
  <c r="R89" i="1"/>
  <c r="Q89" i="1"/>
  <c r="P89" i="1"/>
  <c r="O89" i="1"/>
  <c r="J89" i="1"/>
  <c r="I89" i="1"/>
  <c r="H89" i="1"/>
  <c r="G89" i="1"/>
  <c r="D89" i="1"/>
  <c r="W142" i="1" l="1"/>
  <c r="G401" i="1"/>
  <c r="AN292" i="1"/>
  <c r="AM292" i="1"/>
  <c r="AL292" i="1"/>
  <c r="AK292" i="1"/>
  <c r="G383" i="1"/>
  <c r="G526" i="1"/>
  <c r="G438" i="1"/>
  <c r="G518" i="1"/>
  <c r="G598" i="1"/>
  <c r="G606" i="1"/>
  <c r="G489" i="1"/>
  <c r="G558" i="1"/>
  <c r="G567" i="1"/>
  <c r="G505" i="1"/>
  <c r="S240" i="1"/>
  <c r="P240" i="1"/>
  <c r="O240" i="1"/>
  <c r="I240" i="1"/>
  <c r="H240" i="1"/>
  <c r="G240" i="1"/>
  <c r="D240" i="1"/>
  <c r="U226" i="1"/>
  <c r="R226" i="1"/>
  <c r="Q226" i="1"/>
  <c r="U186" i="1"/>
  <c r="T186" i="1"/>
  <c r="S186" i="1"/>
  <c r="R186" i="1"/>
  <c r="Q186" i="1"/>
  <c r="P186" i="1"/>
  <c r="O186" i="1"/>
  <c r="J186" i="1"/>
  <c r="I186" i="1"/>
  <c r="H186" i="1"/>
  <c r="G186" i="1"/>
  <c r="V132" i="1"/>
  <c r="V186" i="1"/>
  <c r="V140" i="1"/>
  <c r="W140" i="1" s="1"/>
  <c r="V145" i="1"/>
  <c r="W145" i="1" s="1"/>
  <c r="V209" i="1"/>
  <c r="W209" i="1" s="1"/>
  <c r="V210" i="1"/>
  <c r="W210" i="1" s="1"/>
  <c r="N140" i="1"/>
  <c r="N145" i="1"/>
  <c r="N209" i="1"/>
  <c r="N210" i="1"/>
  <c r="N211" i="1"/>
  <c r="M140" i="1"/>
  <c r="M145" i="1"/>
  <c r="M209" i="1"/>
  <c r="M210" i="1"/>
  <c r="L140" i="1"/>
  <c r="L145" i="1"/>
  <c r="L209" i="1"/>
  <c r="L210" i="1"/>
  <c r="K140" i="1"/>
  <c r="K145" i="1"/>
  <c r="K209" i="1"/>
  <c r="K210" i="1"/>
  <c r="K211" i="1"/>
  <c r="K212" i="1"/>
  <c r="U115" i="1"/>
  <c r="T115" i="1"/>
  <c r="S115" i="1"/>
  <c r="R115" i="1"/>
  <c r="Q115" i="1"/>
  <c r="P115" i="1"/>
  <c r="O115" i="1"/>
  <c r="J115" i="1"/>
  <c r="I115" i="1"/>
  <c r="H115" i="1"/>
  <c r="G115" i="1"/>
  <c r="D115" i="1"/>
  <c r="V119" i="1"/>
  <c r="U39" i="1"/>
  <c r="T39" i="1"/>
  <c r="S39" i="1"/>
  <c r="R39" i="1"/>
  <c r="Q39" i="1"/>
  <c r="P39" i="1"/>
  <c r="O39" i="1"/>
  <c r="J39" i="1"/>
  <c r="I39" i="1"/>
  <c r="H39" i="1"/>
  <c r="G39" i="1"/>
  <c r="D39" i="1"/>
  <c r="U61" i="1"/>
  <c r="T61" i="1"/>
  <c r="S61" i="1"/>
  <c r="R61" i="1"/>
  <c r="Q61" i="1"/>
  <c r="P61" i="1"/>
  <c r="O61" i="1"/>
  <c r="J61" i="1"/>
  <c r="I61" i="1"/>
  <c r="H61" i="1"/>
  <c r="G61" i="1"/>
  <c r="D61" i="1"/>
  <c r="V55" i="1"/>
  <c r="V51" i="1"/>
  <c r="V44" i="1"/>
  <c r="K186" i="1" l="1"/>
  <c r="AP292" i="1"/>
  <c r="N44" i="1"/>
  <c r="W55" i="1"/>
  <c r="W44" i="1"/>
  <c r="M44" i="1"/>
  <c r="L142" i="1"/>
  <c r="M132" i="1"/>
  <c r="L186" i="1"/>
  <c r="M186" i="1"/>
  <c r="N132" i="1"/>
  <c r="W186" i="1"/>
  <c r="L44" i="1"/>
  <c r="N55" i="1"/>
  <c r="W132" i="1"/>
  <c r="K44" i="1"/>
  <c r="K132" i="1"/>
  <c r="L132" i="1"/>
  <c r="N186" i="1"/>
  <c r="K142" i="1"/>
  <c r="M142" i="1"/>
  <c r="N142" i="1"/>
  <c r="K55" i="1"/>
  <c r="L55" i="1"/>
  <c r="M55" i="1"/>
  <c r="W51" i="1"/>
  <c r="N51" i="1"/>
  <c r="K51" i="1"/>
  <c r="M51" i="1"/>
  <c r="L51" i="1"/>
  <c r="U240" i="1"/>
  <c r="T240" i="1"/>
  <c r="R240" i="1"/>
  <c r="Q240" i="1"/>
  <c r="J240" i="1"/>
  <c r="U223" i="1"/>
  <c r="T223" i="1"/>
  <c r="S223" i="1"/>
  <c r="R223" i="1"/>
  <c r="Q223" i="1"/>
  <c r="P223" i="1"/>
  <c r="O223" i="1"/>
  <c r="J223" i="1"/>
  <c r="I223" i="1"/>
  <c r="H223" i="1"/>
  <c r="D223" i="1"/>
  <c r="G223" i="1"/>
  <c r="U172" i="1"/>
  <c r="T172" i="1"/>
  <c r="S172" i="1"/>
  <c r="R172" i="1"/>
  <c r="Q172" i="1"/>
  <c r="P172" i="1"/>
  <c r="O172" i="1"/>
  <c r="J172" i="1"/>
  <c r="I172" i="1"/>
  <c r="H172" i="1"/>
  <c r="G172" i="1"/>
  <c r="D172" i="1"/>
  <c r="U106" i="1"/>
  <c r="T106" i="1"/>
  <c r="S106" i="1"/>
  <c r="R106" i="1"/>
  <c r="Q106" i="1"/>
  <c r="P106" i="1"/>
  <c r="O106" i="1"/>
  <c r="J106" i="1"/>
  <c r="I106" i="1"/>
  <c r="H106" i="1"/>
  <c r="G106" i="1"/>
  <c r="D106" i="1"/>
  <c r="U170" i="1"/>
  <c r="T170" i="1"/>
  <c r="S170" i="1"/>
  <c r="R170" i="1"/>
  <c r="Q170" i="1"/>
  <c r="P170" i="1"/>
  <c r="O170" i="1"/>
  <c r="J170" i="1"/>
  <c r="I170" i="1"/>
  <c r="H170" i="1"/>
  <c r="G170" i="1"/>
  <c r="D170" i="1"/>
  <c r="U87" i="1"/>
  <c r="T87" i="1"/>
  <c r="S87" i="1"/>
  <c r="R87" i="1"/>
  <c r="Q87" i="1"/>
  <c r="P87" i="1"/>
  <c r="O87" i="1"/>
  <c r="J87" i="1"/>
  <c r="I87" i="1"/>
  <c r="H87" i="1"/>
  <c r="G87" i="1"/>
  <c r="D87" i="1"/>
  <c r="U54" i="1"/>
  <c r="T54" i="1"/>
  <c r="S54" i="1"/>
  <c r="R54" i="1"/>
  <c r="Q54" i="1"/>
  <c r="P54" i="1"/>
  <c r="O54" i="1"/>
  <c r="J54" i="1"/>
  <c r="I54" i="1"/>
  <c r="H54" i="1"/>
  <c r="G54" i="1"/>
  <c r="D54" i="1"/>
  <c r="V18" i="1"/>
  <c r="H18" i="1"/>
  <c r="G18" i="1"/>
  <c r="G545" i="1"/>
  <c r="O37" i="1"/>
  <c r="J37" i="1"/>
  <c r="I37" i="1"/>
  <c r="H37" i="1"/>
  <c r="G37" i="1"/>
  <c r="D37" i="1"/>
  <c r="G412" i="1"/>
  <c r="V56" i="1" l="1"/>
  <c r="W56" i="1" s="1"/>
  <c r="V41" i="1"/>
  <c r="W41" i="1" s="1"/>
  <c r="V89" i="1"/>
  <c r="W89" i="1" s="1"/>
  <c r="V47" i="1"/>
  <c r="W47" i="1" s="1"/>
  <c r="N47" i="1"/>
  <c r="N56" i="1"/>
  <c r="N41" i="1"/>
  <c r="N45" i="1"/>
  <c r="N89" i="1"/>
  <c r="M56" i="1"/>
  <c r="M41" i="1"/>
  <c r="M45" i="1"/>
  <c r="M89" i="1"/>
  <c r="M47" i="1"/>
  <c r="L56" i="1"/>
  <c r="L41" i="1"/>
  <c r="L45" i="1"/>
  <c r="L89" i="1"/>
  <c r="L47" i="1"/>
  <c r="K56" i="1"/>
  <c r="K41" i="1"/>
  <c r="K45" i="1"/>
  <c r="K89" i="1"/>
  <c r="K47" i="1"/>
  <c r="V228" i="1"/>
  <c r="W228" i="1" s="1"/>
  <c r="W245" i="1"/>
  <c r="V252" i="1"/>
  <c r="W252" i="1" s="1"/>
  <c r="V260" i="1"/>
  <c r="W260" i="1" s="1"/>
  <c r="W244" i="1"/>
  <c r="V238" i="1"/>
  <c r="W238" i="1" s="1"/>
  <c r="V265" i="1"/>
  <c r="W265" i="1" s="1"/>
  <c r="V266" i="1"/>
  <c r="W266" i="1" s="1"/>
  <c r="V267" i="1"/>
  <c r="W267" i="1" s="1"/>
  <c r="N228" i="1"/>
  <c r="N245" i="1"/>
  <c r="N252" i="1"/>
  <c r="N260" i="1"/>
  <c r="N244" i="1"/>
  <c r="N238" i="1"/>
  <c r="N265" i="1"/>
  <c r="M228" i="1"/>
  <c r="M245" i="1"/>
  <c r="M252" i="1"/>
  <c r="M260" i="1"/>
  <c r="M244" i="1"/>
  <c r="M238" i="1"/>
  <c r="M265" i="1"/>
  <c r="L228" i="1"/>
  <c r="L245" i="1"/>
  <c r="L252" i="1"/>
  <c r="L260" i="1"/>
  <c r="L244" i="1"/>
  <c r="L238" i="1"/>
  <c r="L265" i="1"/>
  <c r="L266" i="1"/>
  <c r="L267" i="1"/>
  <c r="K228" i="1"/>
  <c r="K245" i="1"/>
  <c r="K252" i="1"/>
  <c r="K260" i="1"/>
  <c r="K244" i="1"/>
  <c r="K238" i="1"/>
  <c r="K265" i="1"/>
  <c r="K266" i="1"/>
  <c r="G602" i="1"/>
  <c r="S34" i="1"/>
  <c r="O34" i="1"/>
  <c r="J34" i="1"/>
  <c r="I34" i="1"/>
  <c r="H34" i="1"/>
  <c r="D34" i="1"/>
  <c r="G499" i="1"/>
  <c r="G376" i="1"/>
  <c r="G601" i="1"/>
  <c r="G592" i="1"/>
  <c r="G605" i="1"/>
  <c r="G613" i="1"/>
  <c r="G415" i="1"/>
  <c r="C237" i="3"/>
  <c r="M129" i="1"/>
  <c r="V178" i="1"/>
  <c r="V166" i="1"/>
  <c r="V129" i="1"/>
  <c r="V135" i="1"/>
  <c r="V151" i="1"/>
  <c r="V133" i="1"/>
  <c r="W133" i="1" s="1"/>
  <c r="V172" i="1"/>
  <c r="W172" i="1" s="1"/>
  <c r="V137" i="1"/>
  <c r="W137" i="1" s="1"/>
  <c r="V211" i="1"/>
  <c r="W211" i="1" s="1"/>
  <c r="V212" i="1"/>
  <c r="W212" i="1" s="1"/>
  <c r="V213" i="1"/>
  <c r="W213" i="1" s="1"/>
  <c r="V214" i="1"/>
  <c r="W214" i="1" s="1"/>
  <c r="N135" i="1"/>
  <c r="N133" i="1"/>
  <c r="N172" i="1"/>
  <c r="N137" i="1"/>
  <c r="N212" i="1"/>
  <c r="M135" i="1"/>
  <c r="M133" i="1"/>
  <c r="M172" i="1"/>
  <c r="M137" i="1"/>
  <c r="M211" i="1"/>
  <c r="M212" i="1"/>
  <c r="L135" i="1"/>
  <c r="L133" i="1"/>
  <c r="L172" i="1"/>
  <c r="L137" i="1"/>
  <c r="L211" i="1"/>
  <c r="L212" i="1"/>
  <c r="K135" i="1"/>
  <c r="K133" i="1"/>
  <c r="K172" i="1"/>
  <c r="K137" i="1"/>
  <c r="U34" i="1"/>
  <c r="T34" i="1"/>
  <c r="R34" i="1"/>
  <c r="Q34" i="1"/>
  <c r="P34" i="1"/>
  <c r="G34" i="1"/>
  <c r="U76" i="1"/>
  <c r="T76" i="1"/>
  <c r="S76" i="1"/>
  <c r="R76" i="1"/>
  <c r="Q76" i="1"/>
  <c r="P76" i="1"/>
  <c r="O76" i="1"/>
  <c r="J76" i="1"/>
  <c r="I76" i="1"/>
  <c r="H76" i="1"/>
  <c r="G76" i="1"/>
  <c r="D76" i="1"/>
  <c r="V46" i="1"/>
  <c r="W46" i="1" s="1"/>
  <c r="U37" i="1"/>
  <c r="T37" i="1"/>
  <c r="S37" i="1"/>
  <c r="R37" i="1"/>
  <c r="Q37" i="1"/>
  <c r="P37" i="1"/>
  <c r="V87" i="1"/>
  <c r="U30" i="1"/>
  <c r="T30" i="1"/>
  <c r="S30" i="1"/>
  <c r="R30" i="1"/>
  <c r="Q30" i="1"/>
  <c r="P30" i="1"/>
  <c r="O30" i="1"/>
  <c r="J30" i="1"/>
  <c r="I30" i="1"/>
  <c r="H30" i="1"/>
  <c r="G30" i="1"/>
  <c r="D30" i="1"/>
  <c r="G449" i="1"/>
  <c r="J34" i="3"/>
  <c r="C34" i="3"/>
  <c r="V124" i="1"/>
  <c r="W124" i="1" s="1"/>
  <c r="P208" i="1"/>
  <c r="Q208" i="1"/>
  <c r="R208" i="1"/>
  <c r="S208" i="1"/>
  <c r="T208" i="1"/>
  <c r="U208" i="1"/>
  <c r="V208" i="1"/>
  <c r="O208" i="1"/>
  <c r="I208" i="1"/>
  <c r="H208" i="1"/>
  <c r="G208" i="1"/>
  <c r="D208" i="1"/>
  <c r="V117" i="1"/>
  <c r="V170" i="1"/>
  <c r="U109" i="1"/>
  <c r="T109" i="1"/>
  <c r="S109" i="1"/>
  <c r="R109" i="1"/>
  <c r="Q109" i="1"/>
  <c r="P109" i="1"/>
  <c r="O109" i="1"/>
  <c r="J109" i="1"/>
  <c r="I109" i="1"/>
  <c r="H109" i="1"/>
  <c r="G109" i="1"/>
  <c r="D109" i="1"/>
  <c r="H14" i="1"/>
  <c r="G643" i="1"/>
  <c r="H27" i="1"/>
  <c r="H28" i="1"/>
  <c r="H29" i="1"/>
  <c r="H32" i="1"/>
  <c r="H33" i="1"/>
  <c r="H35" i="1"/>
  <c r="H36" i="1"/>
  <c r="H38" i="1"/>
  <c r="H40" i="1"/>
  <c r="H42" i="1"/>
  <c r="H43" i="1"/>
  <c r="H48" i="1"/>
  <c r="H49" i="1"/>
  <c r="H50" i="1"/>
  <c r="H52" i="1"/>
  <c r="H53" i="1"/>
  <c r="H57" i="1"/>
  <c r="H58" i="1"/>
  <c r="H59" i="1"/>
  <c r="H60" i="1"/>
  <c r="H62" i="1"/>
  <c r="H63" i="1"/>
  <c r="H64" i="1"/>
  <c r="H65" i="1"/>
  <c r="H66" i="1"/>
  <c r="H67" i="1"/>
  <c r="H69" i="1"/>
  <c r="H70" i="1"/>
  <c r="H71" i="1"/>
  <c r="H72" i="1"/>
  <c r="H75" i="1"/>
  <c r="H78" i="1"/>
  <c r="H79" i="1"/>
  <c r="H80" i="1"/>
  <c r="H81" i="1"/>
  <c r="H82" i="1"/>
  <c r="H83" i="1"/>
  <c r="H85" i="1"/>
  <c r="H92" i="1"/>
  <c r="H93" i="1"/>
  <c r="H107" i="1"/>
  <c r="H108" i="1"/>
  <c r="H110" i="1"/>
  <c r="H111" i="1"/>
  <c r="H112" i="1"/>
  <c r="H113" i="1"/>
  <c r="H114" i="1"/>
  <c r="H116" i="1"/>
  <c r="H118" i="1"/>
  <c r="H121" i="1"/>
  <c r="H122" i="1"/>
  <c r="H123" i="1"/>
  <c r="H125" i="1"/>
  <c r="H126" i="1"/>
  <c r="H127" i="1"/>
  <c r="H128" i="1"/>
  <c r="H130" i="1"/>
  <c r="H131" i="1"/>
  <c r="H134" i="1"/>
  <c r="H136" i="1"/>
  <c r="H138" i="1"/>
  <c r="H139" i="1"/>
  <c r="H141" i="1"/>
  <c r="H143" i="1"/>
  <c r="H144" i="1"/>
  <c r="H146" i="1"/>
  <c r="H147" i="1"/>
  <c r="H148" i="1"/>
  <c r="H149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7" i="1"/>
  <c r="H168" i="1"/>
  <c r="H169" i="1"/>
  <c r="H171" i="1"/>
  <c r="H174" i="1"/>
  <c r="H175" i="1"/>
  <c r="H176" i="1"/>
  <c r="H177" i="1"/>
  <c r="H179" i="1"/>
  <c r="H180" i="1"/>
  <c r="H181" i="1"/>
  <c r="H182" i="1"/>
  <c r="H183" i="1"/>
  <c r="H184" i="1"/>
  <c r="H185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7" i="1"/>
  <c r="H222" i="1"/>
  <c r="H224" i="1"/>
  <c r="H225" i="1"/>
  <c r="H227" i="1"/>
  <c r="H230" i="1"/>
  <c r="H231" i="1"/>
  <c r="H232" i="1"/>
  <c r="H233" i="1"/>
  <c r="H234" i="1"/>
  <c r="H235" i="1"/>
  <c r="H236" i="1"/>
  <c r="H237" i="1"/>
  <c r="H239" i="1"/>
  <c r="H241" i="1"/>
  <c r="H242" i="1"/>
  <c r="H243" i="1"/>
  <c r="H246" i="1"/>
  <c r="H247" i="1"/>
  <c r="H248" i="1"/>
  <c r="H249" i="1"/>
  <c r="H250" i="1"/>
  <c r="H251" i="1"/>
  <c r="H253" i="1"/>
  <c r="H254" i="1"/>
  <c r="H256" i="1"/>
  <c r="H255" i="1"/>
  <c r="H257" i="1"/>
  <c r="H258" i="1"/>
  <c r="H259" i="1"/>
  <c r="H261" i="1"/>
  <c r="H263" i="1"/>
  <c r="G27" i="1"/>
  <c r="G28" i="1"/>
  <c r="G29" i="1"/>
  <c r="G32" i="1"/>
  <c r="G33" i="1"/>
  <c r="G35" i="1"/>
  <c r="G36" i="1"/>
  <c r="G38" i="1"/>
  <c r="G40" i="1"/>
  <c r="G42" i="1"/>
  <c r="G43" i="1"/>
  <c r="G48" i="1"/>
  <c r="G49" i="1"/>
  <c r="G50" i="1"/>
  <c r="G52" i="1"/>
  <c r="G53" i="1"/>
  <c r="G57" i="1"/>
  <c r="G58" i="1"/>
  <c r="G59" i="1"/>
  <c r="G60" i="1"/>
  <c r="G62" i="1"/>
  <c r="G63" i="1"/>
  <c r="G64" i="1"/>
  <c r="G65" i="1"/>
  <c r="G66" i="1"/>
  <c r="G67" i="1"/>
  <c r="K67" i="1" s="1"/>
  <c r="G69" i="1"/>
  <c r="G70" i="1"/>
  <c r="G71" i="1"/>
  <c r="G72" i="1"/>
  <c r="G75" i="1"/>
  <c r="G78" i="1"/>
  <c r="G79" i="1"/>
  <c r="G80" i="1"/>
  <c r="G81" i="1"/>
  <c r="G82" i="1"/>
  <c r="G83" i="1"/>
  <c r="G85" i="1"/>
  <c r="G92" i="1"/>
  <c r="G93" i="1"/>
  <c r="G107" i="1"/>
  <c r="G108" i="1"/>
  <c r="G110" i="1"/>
  <c r="G111" i="1"/>
  <c r="G112" i="1"/>
  <c r="G113" i="1"/>
  <c r="G114" i="1"/>
  <c r="G116" i="1"/>
  <c r="G118" i="1"/>
  <c r="G121" i="1"/>
  <c r="G122" i="1"/>
  <c r="G123" i="1"/>
  <c r="G125" i="1"/>
  <c r="G126" i="1"/>
  <c r="G127" i="1"/>
  <c r="G128" i="1"/>
  <c r="G130" i="1"/>
  <c r="G131" i="1"/>
  <c r="G134" i="1"/>
  <c r="G136" i="1"/>
  <c r="G138" i="1"/>
  <c r="G139" i="1"/>
  <c r="G141" i="1"/>
  <c r="G143" i="1"/>
  <c r="G144" i="1"/>
  <c r="G146" i="1"/>
  <c r="G147" i="1"/>
  <c r="G148" i="1"/>
  <c r="G149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7" i="1"/>
  <c r="G168" i="1"/>
  <c r="G169" i="1"/>
  <c r="G171" i="1"/>
  <c r="G174" i="1"/>
  <c r="G175" i="1"/>
  <c r="G176" i="1"/>
  <c r="G177" i="1"/>
  <c r="G179" i="1"/>
  <c r="G180" i="1"/>
  <c r="G181" i="1"/>
  <c r="G182" i="1"/>
  <c r="G183" i="1"/>
  <c r="G184" i="1"/>
  <c r="G185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N206" i="1" s="1"/>
  <c r="G207" i="1"/>
  <c r="K207" i="1" s="1"/>
  <c r="G222" i="1"/>
  <c r="K222" i="1" s="1"/>
  <c r="G224" i="1"/>
  <c r="G225" i="1"/>
  <c r="G227" i="1"/>
  <c r="G230" i="1"/>
  <c r="G231" i="1"/>
  <c r="G232" i="1"/>
  <c r="K232" i="1" s="1"/>
  <c r="G233" i="1"/>
  <c r="K233" i="1" s="1"/>
  <c r="G234" i="1"/>
  <c r="G235" i="1"/>
  <c r="K235" i="1" s="1"/>
  <c r="G236" i="1"/>
  <c r="K236" i="1" s="1"/>
  <c r="G237" i="1"/>
  <c r="K237" i="1" s="1"/>
  <c r="G239" i="1"/>
  <c r="G241" i="1"/>
  <c r="K241" i="1" s="1"/>
  <c r="G242" i="1"/>
  <c r="K242" i="1" s="1"/>
  <c r="G243" i="1"/>
  <c r="G246" i="1"/>
  <c r="K246" i="1" s="1"/>
  <c r="G247" i="1"/>
  <c r="K247" i="1" s="1"/>
  <c r="G248" i="1"/>
  <c r="K248" i="1" s="1"/>
  <c r="G249" i="1"/>
  <c r="K249" i="1" s="1"/>
  <c r="G250" i="1"/>
  <c r="G251" i="1"/>
  <c r="K251" i="1" s="1"/>
  <c r="G253" i="1"/>
  <c r="K253" i="1" s="1"/>
  <c r="G254" i="1"/>
  <c r="K254" i="1" s="1"/>
  <c r="G256" i="1"/>
  <c r="K256" i="1" s="1"/>
  <c r="G255" i="1"/>
  <c r="K255" i="1" s="1"/>
  <c r="G257" i="1"/>
  <c r="K257" i="1" s="1"/>
  <c r="G258" i="1"/>
  <c r="K258" i="1" s="1"/>
  <c r="G259" i="1"/>
  <c r="G261" i="1"/>
  <c r="K261" i="1" s="1"/>
  <c r="G263" i="1"/>
  <c r="G646" i="1"/>
  <c r="V120" i="1"/>
  <c r="W120" i="1" s="1"/>
  <c r="U141" i="1"/>
  <c r="T141" i="1"/>
  <c r="S141" i="1"/>
  <c r="R141" i="1"/>
  <c r="Q141" i="1"/>
  <c r="P141" i="1"/>
  <c r="O141" i="1"/>
  <c r="J141" i="1"/>
  <c r="I141" i="1"/>
  <c r="D141" i="1"/>
  <c r="V61" i="1"/>
  <c r="W61" i="1" s="1"/>
  <c r="V76" i="1"/>
  <c r="V98" i="1"/>
  <c r="W98" i="1" s="1"/>
  <c r="W14" i="1"/>
  <c r="W18" i="1"/>
  <c r="W21" i="1"/>
  <c r="W22" i="1"/>
  <c r="W23" i="1"/>
  <c r="J127" i="3"/>
  <c r="G517" i="1"/>
  <c r="G385" i="1"/>
  <c r="G371" i="1"/>
  <c r="G574" i="1"/>
  <c r="G410" i="1"/>
  <c r="G618" i="1"/>
  <c r="G623" i="1"/>
  <c r="G532" i="1"/>
  <c r="G554" i="1"/>
  <c r="O122" i="1"/>
  <c r="J122" i="1"/>
  <c r="D122" i="1"/>
  <c r="I122" i="1"/>
  <c r="U231" i="1"/>
  <c r="T231" i="1"/>
  <c r="S231" i="1"/>
  <c r="R231" i="1"/>
  <c r="Q231" i="1"/>
  <c r="P231" i="1"/>
  <c r="O231" i="1"/>
  <c r="J231" i="1"/>
  <c r="I231" i="1"/>
  <c r="D231" i="1"/>
  <c r="U82" i="1"/>
  <c r="T82" i="1"/>
  <c r="S82" i="1"/>
  <c r="R82" i="1"/>
  <c r="Q82" i="1"/>
  <c r="P82" i="1"/>
  <c r="O82" i="1"/>
  <c r="J82" i="1"/>
  <c r="I82" i="1"/>
  <c r="D82" i="1"/>
  <c r="U60" i="1"/>
  <c r="T60" i="1"/>
  <c r="S60" i="1"/>
  <c r="R60" i="1"/>
  <c r="Q60" i="1"/>
  <c r="P60" i="1"/>
  <c r="O60" i="1"/>
  <c r="J60" i="1"/>
  <c r="I60" i="1"/>
  <c r="D60" i="1"/>
  <c r="U50" i="1"/>
  <c r="T50" i="1"/>
  <c r="S50" i="1"/>
  <c r="R50" i="1"/>
  <c r="Q50" i="1"/>
  <c r="P50" i="1"/>
  <c r="O50" i="1"/>
  <c r="J50" i="1"/>
  <c r="I50" i="1"/>
  <c r="D50" i="1"/>
  <c r="U16" i="1"/>
  <c r="T16" i="1"/>
  <c r="S16" i="1"/>
  <c r="R16" i="1"/>
  <c r="Q16" i="1"/>
  <c r="P16" i="1"/>
  <c r="O16" i="1"/>
  <c r="J16" i="1"/>
  <c r="I16" i="1"/>
  <c r="L16" i="1" s="1"/>
  <c r="D16" i="1"/>
  <c r="V240" i="1"/>
  <c r="W240" i="1" s="1"/>
  <c r="N266" i="1"/>
  <c r="N240" i="1"/>
  <c r="M240" i="1"/>
  <c r="M266" i="1"/>
  <c r="L240" i="1"/>
  <c r="K240" i="1"/>
  <c r="P239" i="1"/>
  <c r="Q239" i="1"/>
  <c r="R239" i="1"/>
  <c r="S239" i="1"/>
  <c r="T239" i="1"/>
  <c r="U239" i="1"/>
  <c r="V239" i="1"/>
  <c r="O239" i="1"/>
  <c r="I239" i="1"/>
  <c r="D239" i="1"/>
  <c r="J239" i="1"/>
  <c r="P230" i="1"/>
  <c r="Q230" i="1"/>
  <c r="R230" i="1"/>
  <c r="S230" i="1"/>
  <c r="T230" i="1"/>
  <c r="U230" i="1"/>
  <c r="V230" i="1"/>
  <c r="O230" i="1"/>
  <c r="I230" i="1"/>
  <c r="D230" i="1"/>
  <c r="J230" i="1"/>
  <c r="P227" i="1"/>
  <c r="Q227" i="1"/>
  <c r="R227" i="1"/>
  <c r="S227" i="1"/>
  <c r="T227" i="1"/>
  <c r="U227" i="1"/>
  <c r="V227" i="1"/>
  <c r="O227" i="1"/>
  <c r="I227" i="1"/>
  <c r="D227" i="1"/>
  <c r="J227" i="1"/>
  <c r="P225" i="1"/>
  <c r="Q225" i="1"/>
  <c r="R225" i="1"/>
  <c r="S225" i="1"/>
  <c r="T225" i="1"/>
  <c r="U225" i="1"/>
  <c r="V225" i="1"/>
  <c r="O225" i="1"/>
  <c r="I225" i="1"/>
  <c r="D225" i="1"/>
  <c r="J225" i="1"/>
  <c r="G437" i="1"/>
  <c r="G535" i="1"/>
  <c r="G642" i="1"/>
  <c r="G622" i="1"/>
  <c r="G565" i="1"/>
  <c r="G522" i="1"/>
  <c r="O107" i="1"/>
  <c r="J107" i="1"/>
  <c r="I107" i="1"/>
  <c r="D107" i="1"/>
  <c r="O9" i="1"/>
  <c r="I9" i="1"/>
  <c r="L9" i="1" s="1"/>
  <c r="D9" i="1"/>
  <c r="O127" i="1"/>
  <c r="D127" i="1"/>
  <c r="O43" i="1"/>
  <c r="D43" i="1"/>
  <c r="G465" i="1"/>
  <c r="G544" i="1"/>
  <c r="U259" i="1"/>
  <c r="T259" i="1"/>
  <c r="S259" i="1"/>
  <c r="R259" i="1"/>
  <c r="Q259" i="1"/>
  <c r="P259" i="1"/>
  <c r="O259" i="1"/>
  <c r="J259" i="1"/>
  <c r="I259" i="1"/>
  <c r="D259" i="1"/>
  <c r="V229" i="1"/>
  <c r="W229" i="1" s="1"/>
  <c r="N229" i="1"/>
  <c r="V141" i="1"/>
  <c r="N120" i="1"/>
  <c r="N170" i="1"/>
  <c r="N117" i="1"/>
  <c r="N124" i="1"/>
  <c r="N213" i="1"/>
  <c r="N214" i="1"/>
  <c r="M120" i="1"/>
  <c r="M170" i="1"/>
  <c r="M117" i="1"/>
  <c r="M124" i="1"/>
  <c r="M213" i="1"/>
  <c r="M214" i="1"/>
  <c r="L229" i="1"/>
  <c r="L120" i="1"/>
  <c r="L170" i="1"/>
  <c r="L117" i="1"/>
  <c r="L124" i="1"/>
  <c r="L213" i="1"/>
  <c r="L214" i="1"/>
  <c r="K229" i="1"/>
  <c r="K120" i="1"/>
  <c r="K170" i="1"/>
  <c r="K117" i="1"/>
  <c r="K124" i="1"/>
  <c r="K213" i="1"/>
  <c r="K214" i="1"/>
  <c r="U122" i="1"/>
  <c r="T122" i="1"/>
  <c r="S122" i="1"/>
  <c r="R122" i="1"/>
  <c r="Q122" i="1"/>
  <c r="P122" i="1"/>
  <c r="U182" i="1"/>
  <c r="T182" i="1"/>
  <c r="S182" i="1"/>
  <c r="R182" i="1"/>
  <c r="Q182" i="1"/>
  <c r="P182" i="1"/>
  <c r="O182" i="1"/>
  <c r="J182" i="1"/>
  <c r="I182" i="1"/>
  <c r="D182" i="1"/>
  <c r="V39" i="1"/>
  <c r="W39" i="1" s="1"/>
  <c r="N61" i="1"/>
  <c r="M61" i="1"/>
  <c r="L61" i="1"/>
  <c r="K61" i="1"/>
  <c r="V37" i="1"/>
  <c r="V16" i="1"/>
  <c r="N14" i="1"/>
  <c r="N18" i="1"/>
  <c r="M18" i="1"/>
  <c r="L14" i="1"/>
  <c r="L18" i="1"/>
  <c r="K18" i="1"/>
  <c r="H16" i="1"/>
  <c r="G16" i="1"/>
  <c r="M229" i="1"/>
  <c r="L39" i="1"/>
  <c r="N39" i="1"/>
  <c r="M39" i="1"/>
  <c r="K39" i="1"/>
  <c r="G464" i="1"/>
  <c r="G576" i="1"/>
  <c r="G587" i="1"/>
  <c r="G496" i="1"/>
  <c r="G578" i="1"/>
  <c r="V259" i="1"/>
  <c r="U107" i="1"/>
  <c r="T107" i="1"/>
  <c r="S107" i="1"/>
  <c r="R107" i="1"/>
  <c r="Q107" i="1"/>
  <c r="P107" i="1"/>
  <c r="U127" i="1"/>
  <c r="T127" i="1"/>
  <c r="S127" i="1"/>
  <c r="R127" i="1"/>
  <c r="Q127" i="1"/>
  <c r="P127" i="1"/>
  <c r="J127" i="1"/>
  <c r="I127" i="1"/>
  <c r="D131" i="1"/>
  <c r="V115" i="1"/>
  <c r="W115" i="1" s="1"/>
  <c r="V182" i="1"/>
  <c r="W119" i="1"/>
  <c r="V82" i="1"/>
  <c r="U43" i="1"/>
  <c r="T43" i="1"/>
  <c r="S43" i="1"/>
  <c r="R43" i="1"/>
  <c r="Q43" i="1"/>
  <c r="P43" i="1"/>
  <c r="J43" i="1"/>
  <c r="I43" i="1"/>
  <c r="U9" i="1"/>
  <c r="T9" i="1"/>
  <c r="S9" i="1"/>
  <c r="R9" i="1"/>
  <c r="Q9" i="1"/>
  <c r="P9" i="1"/>
  <c r="J9" i="1"/>
  <c r="H9" i="1"/>
  <c r="G427" i="1"/>
  <c r="C29" i="3"/>
  <c r="U113" i="1"/>
  <c r="T113" i="1"/>
  <c r="S113" i="1"/>
  <c r="R113" i="1"/>
  <c r="Q113" i="1"/>
  <c r="P113" i="1"/>
  <c r="O113" i="1"/>
  <c r="J113" i="1"/>
  <c r="I113" i="1"/>
  <c r="D113" i="1"/>
  <c r="U125" i="1"/>
  <c r="T125" i="1"/>
  <c r="S125" i="1"/>
  <c r="R125" i="1"/>
  <c r="Q125" i="1"/>
  <c r="P125" i="1"/>
  <c r="O125" i="1"/>
  <c r="J125" i="1"/>
  <c r="I125" i="1"/>
  <c r="D125" i="1"/>
  <c r="V105" i="1"/>
  <c r="W105" i="1" s="1"/>
  <c r="U164" i="1"/>
  <c r="T164" i="1"/>
  <c r="S164" i="1"/>
  <c r="R164" i="1"/>
  <c r="Q164" i="1"/>
  <c r="P164" i="1"/>
  <c r="O164" i="1"/>
  <c r="J164" i="1"/>
  <c r="I164" i="1"/>
  <c r="D164" i="1"/>
  <c r="V34" i="1"/>
  <c r="U40" i="1"/>
  <c r="T40" i="1"/>
  <c r="S40" i="1"/>
  <c r="R40" i="1"/>
  <c r="Q40" i="1"/>
  <c r="P40" i="1"/>
  <c r="O40" i="1"/>
  <c r="J40" i="1"/>
  <c r="I40" i="1"/>
  <c r="D40" i="1"/>
  <c r="U49" i="1"/>
  <c r="T49" i="1"/>
  <c r="S49" i="1"/>
  <c r="R49" i="1"/>
  <c r="Q49" i="1"/>
  <c r="P49" i="1"/>
  <c r="O49" i="1"/>
  <c r="J49" i="1"/>
  <c r="I49" i="1"/>
  <c r="D49" i="1"/>
  <c r="G575" i="1"/>
  <c r="G557" i="1"/>
  <c r="G375" i="1"/>
  <c r="G417" i="1"/>
  <c r="G387" i="1"/>
  <c r="G422" i="1"/>
  <c r="G446" i="1"/>
  <c r="G406" i="1"/>
  <c r="G512" i="1"/>
  <c r="G573" i="1"/>
  <c r="G566" i="1"/>
  <c r="G548" i="1"/>
  <c r="G378" i="1"/>
  <c r="U243" i="1"/>
  <c r="T243" i="1"/>
  <c r="S243" i="1"/>
  <c r="R243" i="1"/>
  <c r="Q243" i="1"/>
  <c r="P243" i="1"/>
  <c r="O243" i="1"/>
  <c r="J243" i="1"/>
  <c r="I243" i="1"/>
  <c r="D243" i="1"/>
  <c r="V106" i="1"/>
  <c r="W106" i="1" s="1"/>
  <c r="N105" i="1"/>
  <c r="N119" i="1"/>
  <c r="M105" i="1"/>
  <c r="M119" i="1"/>
  <c r="L105" i="1"/>
  <c r="L119" i="1"/>
  <c r="K105" i="1"/>
  <c r="K119" i="1"/>
  <c r="N106" i="1"/>
  <c r="M106" i="1"/>
  <c r="U174" i="1"/>
  <c r="T174" i="1"/>
  <c r="S174" i="1"/>
  <c r="R174" i="1"/>
  <c r="Q174" i="1"/>
  <c r="P174" i="1"/>
  <c r="O174" i="1"/>
  <c r="J174" i="1"/>
  <c r="I174" i="1"/>
  <c r="D174" i="1"/>
  <c r="V203" i="1"/>
  <c r="U203" i="1"/>
  <c r="T203" i="1"/>
  <c r="S203" i="1"/>
  <c r="R203" i="1"/>
  <c r="Q203" i="1"/>
  <c r="P203" i="1"/>
  <c r="O203" i="1"/>
  <c r="J203" i="1"/>
  <c r="I203" i="1"/>
  <c r="D203" i="1"/>
  <c r="U162" i="1"/>
  <c r="T162" i="1"/>
  <c r="S162" i="1"/>
  <c r="R162" i="1"/>
  <c r="Q162" i="1"/>
  <c r="P162" i="1"/>
  <c r="O162" i="1"/>
  <c r="J162" i="1"/>
  <c r="I162" i="1"/>
  <c r="D162" i="1"/>
  <c r="T72" i="1"/>
  <c r="S72" i="1"/>
  <c r="O72" i="1"/>
  <c r="J72" i="1"/>
  <c r="I72" i="1"/>
  <c r="D72" i="1"/>
  <c r="V60" i="1"/>
  <c r="N46" i="1"/>
  <c r="N37" i="1"/>
  <c r="M46" i="1"/>
  <c r="M37" i="1"/>
  <c r="L46" i="1"/>
  <c r="L37" i="1"/>
  <c r="K46" i="1"/>
  <c r="K37" i="1"/>
  <c r="V54" i="1"/>
  <c r="V9" i="1"/>
  <c r="K106" i="1"/>
  <c r="L106" i="1"/>
  <c r="B3" i="4"/>
  <c r="B4" i="4"/>
  <c r="B5" i="4" s="1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G586" i="1"/>
  <c r="G645" i="1"/>
  <c r="G553" i="1"/>
  <c r="G369" i="1"/>
  <c r="G498" i="1"/>
  <c r="O36" i="1"/>
  <c r="T147" i="1"/>
  <c r="S147" i="1"/>
  <c r="P147" i="1"/>
  <c r="O147" i="1"/>
  <c r="J147" i="1"/>
  <c r="I147" i="1"/>
  <c r="D147" i="1"/>
  <c r="T36" i="1"/>
  <c r="S36" i="1"/>
  <c r="P36" i="1"/>
  <c r="J36" i="1"/>
  <c r="I36" i="1"/>
  <c r="D36" i="1"/>
  <c r="U234" i="1"/>
  <c r="T234" i="1"/>
  <c r="S234" i="1"/>
  <c r="Q234" i="1"/>
  <c r="R234" i="1"/>
  <c r="P234" i="1"/>
  <c r="O234" i="1"/>
  <c r="J234" i="1"/>
  <c r="I234" i="1"/>
  <c r="D234" i="1"/>
  <c r="V122" i="1"/>
  <c r="V164" i="1"/>
  <c r="V50" i="1"/>
  <c r="L54" i="1"/>
  <c r="L98" i="1"/>
  <c r="K54" i="1"/>
  <c r="U72" i="1"/>
  <c r="R72" i="1"/>
  <c r="Q72" i="1"/>
  <c r="P72" i="1"/>
  <c r="G594" i="1"/>
  <c r="G430" i="1"/>
  <c r="AM291" i="1"/>
  <c r="AL291" i="1"/>
  <c r="AK291" i="1"/>
  <c r="T71" i="1"/>
  <c r="S71" i="1"/>
  <c r="O71" i="1"/>
  <c r="J71" i="1"/>
  <c r="I71" i="1"/>
  <c r="D71" i="1"/>
  <c r="G377" i="1"/>
  <c r="G607" i="1"/>
  <c r="G495" i="1"/>
  <c r="G448" i="1"/>
  <c r="U205" i="1"/>
  <c r="T205" i="1"/>
  <c r="S205" i="1"/>
  <c r="R205" i="1"/>
  <c r="Q205" i="1"/>
  <c r="P205" i="1"/>
  <c r="O205" i="1"/>
  <c r="J205" i="1"/>
  <c r="I205" i="1"/>
  <c r="D205" i="1"/>
  <c r="V174" i="1"/>
  <c r="U147" i="1"/>
  <c r="R147" i="1"/>
  <c r="Q147" i="1"/>
  <c r="U144" i="1"/>
  <c r="T144" i="1"/>
  <c r="S144" i="1"/>
  <c r="R144" i="1"/>
  <c r="Q144" i="1"/>
  <c r="P144" i="1"/>
  <c r="O144" i="1"/>
  <c r="J144" i="1"/>
  <c r="I144" i="1"/>
  <c r="D144" i="1"/>
  <c r="V109" i="1"/>
  <c r="N115" i="1"/>
  <c r="M115" i="1"/>
  <c r="L115" i="1"/>
  <c r="K115" i="1"/>
  <c r="U181" i="1"/>
  <c r="T181" i="1"/>
  <c r="S181" i="1"/>
  <c r="R181" i="1"/>
  <c r="Q181" i="1"/>
  <c r="P181" i="1"/>
  <c r="O181" i="1"/>
  <c r="J181" i="1"/>
  <c r="I181" i="1"/>
  <c r="D181" i="1"/>
  <c r="U36" i="1"/>
  <c r="R36" i="1"/>
  <c r="Q36" i="1"/>
  <c r="V7" i="1"/>
  <c r="W7" i="1" s="1"/>
  <c r="N21" i="1"/>
  <c r="N22" i="1"/>
  <c r="N23" i="1"/>
  <c r="M21" i="1"/>
  <c r="M22" i="1"/>
  <c r="M23" i="1"/>
  <c r="L21" i="1"/>
  <c r="L22" i="1"/>
  <c r="L23" i="1"/>
  <c r="K21" i="1"/>
  <c r="K22" i="1"/>
  <c r="K23" i="1"/>
  <c r="L7" i="1"/>
  <c r="H7" i="1"/>
  <c r="G7" i="1"/>
  <c r="N7" i="1"/>
  <c r="U161" i="1"/>
  <c r="T161" i="1"/>
  <c r="S161" i="1"/>
  <c r="R161" i="1"/>
  <c r="Q161" i="1"/>
  <c r="P161" i="1"/>
  <c r="O161" i="1"/>
  <c r="J161" i="1"/>
  <c r="I161" i="1"/>
  <c r="D161" i="1"/>
  <c r="V181" i="1"/>
  <c r="U110" i="1"/>
  <c r="T110" i="1"/>
  <c r="S110" i="1"/>
  <c r="R110" i="1"/>
  <c r="Q110" i="1"/>
  <c r="P110" i="1"/>
  <c r="O110" i="1"/>
  <c r="J110" i="1"/>
  <c r="I110" i="1"/>
  <c r="D110" i="1"/>
  <c r="V49" i="1"/>
  <c r="W31" i="1"/>
  <c r="V43" i="1"/>
  <c r="N31" i="1"/>
  <c r="M31" i="1"/>
  <c r="L31" i="1"/>
  <c r="K31" i="1"/>
  <c r="U53" i="1"/>
  <c r="T53" i="1"/>
  <c r="S53" i="1"/>
  <c r="R53" i="1"/>
  <c r="Q53" i="1"/>
  <c r="P53" i="1"/>
  <c r="O53" i="1"/>
  <c r="J53" i="1"/>
  <c r="I53" i="1"/>
  <c r="D53" i="1"/>
  <c r="U71" i="1"/>
  <c r="R71" i="1"/>
  <c r="Q71" i="1"/>
  <c r="P71" i="1"/>
  <c r="U42" i="1"/>
  <c r="T42" i="1"/>
  <c r="S42" i="1"/>
  <c r="R42" i="1"/>
  <c r="Q42" i="1"/>
  <c r="P42" i="1"/>
  <c r="O42" i="1"/>
  <c r="J42" i="1"/>
  <c r="I42" i="1"/>
  <c r="D42" i="1"/>
  <c r="U13" i="1"/>
  <c r="T13" i="1"/>
  <c r="S13" i="1"/>
  <c r="R13" i="1"/>
  <c r="Q13" i="1"/>
  <c r="P13" i="1"/>
  <c r="O13" i="1"/>
  <c r="J13" i="1"/>
  <c r="I13" i="1"/>
  <c r="L13" i="1" s="1"/>
  <c r="D13" i="1"/>
  <c r="G504" i="1"/>
  <c r="M316" i="1"/>
  <c r="G593" i="1"/>
  <c r="G395" i="1"/>
  <c r="V187" i="1"/>
  <c r="U187" i="1"/>
  <c r="T187" i="1"/>
  <c r="S187" i="1"/>
  <c r="R187" i="1"/>
  <c r="Q187" i="1"/>
  <c r="P187" i="1"/>
  <c r="O187" i="1"/>
  <c r="J187" i="1"/>
  <c r="I187" i="1"/>
  <c r="D187" i="1"/>
  <c r="U38" i="1"/>
  <c r="T38" i="1"/>
  <c r="S38" i="1"/>
  <c r="R38" i="1"/>
  <c r="Q38" i="1"/>
  <c r="P38" i="1"/>
  <c r="O38" i="1"/>
  <c r="J38" i="1"/>
  <c r="I38" i="1"/>
  <c r="D38" i="1"/>
  <c r="U81" i="1"/>
  <c r="T81" i="1"/>
  <c r="S81" i="1"/>
  <c r="R81" i="1"/>
  <c r="Q81" i="1"/>
  <c r="P81" i="1"/>
  <c r="O81" i="1"/>
  <c r="J81" i="1"/>
  <c r="I81" i="1"/>
  <c r="D81" i="1"/>
  <c r="S12" i="1"/>
  <c r="G481" i="1"/>
  <c r="G520" i="1"/>
  <c r="G503" i="1"/>
  <c r="G555" i="1"/>
  <c r="G631" i="1"/>
  <c r="T222" i="1"/>
  <c r="S222" i="1"/>
  <c r="O222" i="1"/>
  <c r="J222" i="1"/>
  <c r="I222" i="1"/>
  <c r="D222" i="1"/>
  <c r="G523" i="1"/>
  <c r="Y62" i="2"/>
  <c r="Y63" i="2" s="1"/>
  <c r="Y64" i="2" s="1"/>
  <c r="Y65" i="2" s="1"/>
  <c r="X62" i="2"/>
  <c r="X63" i="2" s="1"/>
  <c r="X64" i="2" s="1"/>
  <c r="X65" i="2" s="1"/>
  <c r="U222" i="1"/>
  <c r="R222" i="1"/>
  <c r="Q222" i="1"/>
  <c r="P222" i="1"/>
  <c r="V113" i="1"/>
  <c r="U189" i="1"/>
  <c r="T189" i="1"/>
  <c r="S189" i="1"/>
  <c r="R189" i="1"/>
  <c r="Q189" i="1"/>
  <c r="P189" i="1"/>
  <c r="O189" i="1"/>
  <c r="J189" i="1"/>
  <c r="I189" i="1"/>
  <c r="D189" i="1"/>
  <c r="V161" i="1"/>
  <c r="V144" i="1"/>
  <c r="U200" i="1"/>
  <c r="T200" i="1"/>
  <c r="S200" i="1"/>
  <c r="R200" i="1"/>
  <c r="Q200" i="1"/>
  <c r="P200" i="1"/>
  <c r="O200" i="1"/>
  <c r="J200" i="1"/>
  <c r="I200" i="1"/>
  <c r="D200" i="1"/>
  <c r="U27" i="1"/>
  <c r="T27" i="1"/>
  <c r="S27" i="1"/>
  <c r="R27" i="1"/>
  <c r="Q27" i="1"/>
  <c r="P27" i="1"/>
  <c r="O27" i="1"/>
  <c r="J27" i="1"/>
  <c r="I27" i="1"/>
  <c r="D27" i="1"/>
  <c r="D28" i="1"/>
  <c r="U33" i="1"/>
  <c r="T33" i="1"/>
  <c r="S33" i="1"/>
  <c r="R33" i="1"/>
  <c r="Q33" i="1"/>
  <c r="P33" i="1"/>
  <c r="O33" i="1"/>
  <c r="J33" i="1"/>
  <c r="I33" i="1"/>
  <c r="D33" i="1"/>
  <c r="U29" i="1"/>
  <c r="T29" i="1"/>
  <c r="S29" i="1"/>
  <c r="R29" i="1"/>
  <c r="Q29" i="1"/>
  <c r="P29" i="1"/>
  <c r="O29" i="1"/>
  <c r="J29" i="1"/>
  <c r="I29" i="1"/>
  <c r="D29" i="1"/>
  <c r="U79" i="1"/>
  <c r="T79" i="1"/>
  <c r="S79" i="1"/>
  <c r="R79" i="1"/>
  <c r="Q79" i="1"/>
  <c r="P79" i="1"/>
  <c r="O79" i="1"/>
  <c r="J79" i="1"/>
  <c r="I79" i="1"/>
  <c r="D79" i="1"/>
  <c r="U12" i="1"/>
  <c r="T12" i="1"/>
  <c r="R12" i="1"/>
  <c r="Q12" i="1"/>
  <c r="P12" i="1"/>
  <c r="O12" i="1"/>
  <c r="J12" i="1"/>
  <c r="I12" i="1"/>
  <c r="L12" i="1" s="1"/>
  <c r="D12" i="1"/>
  <c r="G379" i="1"/>
  <c r="G590" i="1"/>
  <c r="S118" i="1"/>
  <c r="O118" i="1"/>
  <c r="P118" i="1"/>
  <c r="J118" i="1"/>
  <c r="I118" i="1"/>
  <c r="D118" i="1"/>
  <c r="G477" i="1"/>
  <c r="V223" i="1"/>
  <c r="W223" i="1" s="1"/>
  <c r="U196" i="1"/>
  <c r="T196" i="1"/>
  <c r="S196" i="1"/>
  <c r="R196" i="1"/>
  <c r="Q196" i="1"/>
  <c r="P196" i="1"/>
  <c r="O196" i="1"/>
  <c r="J196" i="1"/>
  <c r="I196" i="1"/>
  <c r="D196" i="1"/>
  <c r="U112" i="1"/>
  <c r="T112" i="1"/>
  <c r="S112" i="1"/>
  <c r="R112" i="1"/>
  <c r="Q112" i="1"/>
  <c r="P112" i="1"/>
  <c r="O112" i="1"/>
  <c r="J112" i="1"/>
  <c r="I112" i="1"/>
  <c r="D112" i="1"/>
  <c r="U160" i="1"/>
  <c r="T160" i="1"/>
  <c r="S160" i="1"/>
  <c r="R160" i="1"/>
  <c r="Q160" i="1"/>
  <c r="P160" i="1"/>
  <c r="O160" i="1"/>
  <c r="J160" i="1"/>
  <c r="I160" i="1"/>
  <c r="D160" i="1"/>
  <c r="U148" i="1"/>
  <c r="T148" i="1"/>
  <c r="S148" i="1"/>
  <c r="R148" i="1"/>
  <c r="Q148" i="1"/>
  <c r="P148" i="1"/>
  <c r="O148" i="1"/>
  <c r="J148" i="1"/>
  <c r="I148" i="1"/>
  <c r="D148" i="1"/>
  <c r="G637" i="1"/>
  <c r="G461" i="1"/>
  <c r="G521" i="1"/>
  <c r="U237" i="1"/>
  <c r="T237" i="1"/>
  <c r="S237" i="1"/>
  <c r="R237" i="1"/>
  <c r="Q237" i="1"/>
  <c r="P237" i="1"/>
  <c r="O237" i="1"/>
  <c r="J237" i="1"/>
  <c r="I237" i="1"/>
  <c r="D237" i="1"/>
  <c r="U169" i="1"/>
  <c r="T169" i="1"/>
  <c r="S169" i="1"/>
  <c r="R169" i="1"/>
  <c r="Q169" i="1"/>
  <c r="P169" i="1"/>
  <c r="O169" i="1"/>
  <c r="J169" i="1"/>
  <c r="I169" i="1"/>
  <c r="D169" i="1"/>
  <c r="U199" i="1"/>
  <c r="T199" i="1"/>
  <c r="S199" i="1"/>
  <c r="R199" i="1"/>
  <c r="Q199" i="1"/>
  <c r="O199" i="1"/>
  <c r="P199" i="1"/>
  <c r="J199" i="1"/>
  <c r="I199" i="1"/>
  <c r="D199" i="1"/>
  <c r="N215" i="1"/>
  <c r="N216" i="1"/>
  <c r="N217" i="1"/>
  <c r="M215" i="1"/>
  <c r="M216" i="1"/>
  <c r="M217" i="1"/>
  <c r="L217" i="1"/>
  <c r="L215" i="1"/>
  <c r="L216" i="1"/>
  <c r="K217" i="1"/>
  <c r="K215" i="1"/>
  <c r="K216" i="1"/>
  <c r="V231" i="1"/>
  <c r="V226" i="1"/>
  <c r="W226" i="1" s="1"/>
  <c r="V199" i="1"/>
  <c r="V127" i="1"/>
  <c r="V196" i="1"/>
  <c r="V189" i="1"/>
  <c r="V147" i="1"/>
  <c r="V200" i="1"/>
  <c r="V162" i="1"/>
  <c r="V205" i="1"/>
  <c r="V215" i="1"/>
  <c r="W215" i="1" s="1"/>
  <c r="V216" i="1"/>
  <c r="W216" i="1" s="1"/>
  <c r="V217" i="1"/>
  <c r="W217" i="1" s="1"/>
  <c r="U118" i="1"/>
  <c r="T118" i="1"/>
  <c r="R118" i="1"/>
  <c r="Q118" i="1"/>
  <c r="V79" i="1"/>
  <c r="V71" i="1"/>
  <c r="V53" i="1"/>
  <c r="V81" i="1"/>
  <c r="V30" i="1"/>
  <c r="V40" i="1"/>
  <c r="V99" i="1"/>
  <c r="W99" i="1" s="1"/>
  <c r="V100" i="1"/>
  <c r="W100" i="1" s="1"/>
  <c r="V243" i="1"/>
  <c r="N223" i="1"/>
  <c r="N226" i="1"/>
  <c r="M223" i="1"/>
  <c r="M226" i="1"/>
  <c r="L223" i="1"/>
  <c r="L226" i="1"/>
  <c r="K223" i="1"/>
  <c r="K226" i="1"/>
  <c r="G420" i="1"/>
  <c r="S35" i="1"/>
  <c r="S28" i="1"/>
  <c r="G538" i="1"/>
  <c r="G559" i="1"/>
  <c r="O28" i="1"/>
  <c r="I28" i="1"/>
  <c r="O35" i="1"/>
  <c r="D35" i="1"/>
  <c r="G530" i="1"/>
  <c r="V160" i="1"/>
  <c r="V72" i="1"/>
  <c r="U35" i="1"/>
  <c r="T35" i="1"/>
  <c r="R35" i="1"/>
  <c r="Q35" i="1"/>
  <c r="P35" i="1"/>
  <c r="J35" i="1"/>
  <c r="I35" i="1"/>
  <c r="U28" i="1"/>
  <c r="T28" i="1"/>
  <c r="R28" i="1"/>
  <c r="Q28" i="1"/>
  <c r="P28" i="1"/>
  <c r="J28" i="1"/>
  <c r="G9" i="1"/>
  <c r="V12" i="1"/>
  <c r="H12" i="1"/>
  <c r="G12" i="1"/>
  <c r="T138" i="1"/>
  <c r="S138" i="1"/>
  <c r="O138" i="1"/>
  <c r="J138" i="1"/>
  <c r="I138" i="1"/>
  <c r="D138" i="1"/>
  <c r="T163" i="1"/>
  <c r="S163" i="1"/>
  <c r="O163" i="1"/>
  <c r="J163" i="1"/>
  <c r="I163" i="1"/>
  <c r="D163" i="1"/>
  <c r="T93" i="1"/>
  <c r="S93" i="1"/>
  <c r="O93" i="1"/>
  <c r="I93" i="1"/>
  <c r="D93" i="1"/>
  <c r="T123" i="1"/>
  <c r="S123" i="1"/>
  <c r="O123" i="1"/>
  <c r="J123" i="1"/>
  <c r="I123" i="1"/>
  <c r="D123" i="1"/>
  <c r="G411" i="1"/>
  <c r="G451" i="1"/>
  <c r="G560" i="1"/>
  <c r="G479" i="1"/>
  <c r="G418" i="1"/>
  <c r="G529" i="1"/>
  <c r="G615" i="1"/>
  <c r="G549" i="1"/>
  <c r="G381" i="1"/>
  <c r="G389" i="1"/>
  <c r="G428" i="1"/>
  <c r="G635" i="1"/>
  <c r="G372" i="1"/>
  <c r="G571" i="1"/>
  <c r="G501" i="1"/>
  <c r="G491" i="1"/>
  <c r="G444" i="1"/>
  <c r="G638" i="1"/>
  <c r="G459" i="1"/>
  <c r="G394" i="1"/>
  <c r="G474" i="1"/>
  <c r="G599" i="1"/>
  <c r="G469" i="1"/>
  <c r="G404" i="1"/>
  <c r="G457" i="1"/>
  <c r="G546" i="1"/>
  <c r="G493" i="1"/>
  <c r="G463" i="1"/>
  <c r="G424" i="1"/>
  <c r="G442" i="1"/>
  <c r="G485" i="1"/>
  <c r="G450" i="1"/>
  <c r="G620" i="1"/>
  <c r="G609" i="1"/>
  <c r="G561" i="1"/>
  <c r="G483" i="1"/>
  <c r="G407" i="1"/>
  <c r="G542" i="1"/>
  <c r="G452" i="1"/>
  <c r="G506" i="1"/>
  <c r="G440" i="1"/>
  <c r="G625" i="1"/>
  <c r="G583" i="1"/>
  <c r="G397" i="1"/>
  <c r="G402" i="1"/>
  <c r="G507" i="1"/>
  <c r="G472" i="1"/>
  <c r="G527" i="1"/>
  <c r="G534" i="1"/>
  <c r="G628" i="1"/>
  <c r="G537" i="1"/>
  <c r="G478" i="1"/>
  <c r="G588" i="1"/>
  <c r="G568" i="1"/>
  <c r="G384" i="1"/>
  <c r="G435" i="1"/>
  <c r="G388" i="1"/>
  <c r="G509" i="1"/>
  <c r="G627" i="1"/>
  <c r="G439" i="1"/>
  <c r="G455" i="1"/>
  <c r="G436" i="1"/>
  <c r="G370" i="1"/>
  <c r="G543" i="1"/>
  <c r="G536" i="1"/>
  <c r="G408" i="1"/>
  <c r="G591" i="1"/>
  <c r="G626" i="1"/>
  <c r="G476" i="1"/>
  <c r="G621" i="1"/>
  <c r="G569" i="1"/>
  <c r="G409" i="1"/>
  <c r="G551" i="1"/>
  <c r="G644" i="1"/>
  <c r="G564" i="1"/>
  <c r="G556" i="1"/>
  <c r="G516" i="1"/>
  <c r="G497" i="1"/>
  <c r="G405" i="1"/>
  <c r="G458" i="1"/>
  <c r="G577" i="1"/>
  <c r="G475" i="1"/>
  <c r="G624" i="1"/>
  <c r="G600" i="1"/>
  <c r="G400" i="1"/>
  <c r="G433" i="1"/>
  <c r="G473" i="1"/>
  <c r="G468" i="1"/>
  <c r="G403" i="1"/>
  <c r="G630" i="1"/>
  <c r="G640" i="1"/>
  <c r="G453" i="1"/>
  <c r="G510" i="1"/>
  <c r="G547" i="1"/>
  <c r="G443" i="1"/>
  <c r="G429" i="1"/>
  <c r="G632" i="1"/>
  <c r="G460" i="1"/>
  <c r="G572" i="1"/>
  <c r="G392" i="1"/>
  <c r="G584" i="1"/>
  <c r="G636" i="1"/>
  <c r="G494" i="1"/>
  <c r="G445" i="1"/>
  <c r="G490" i="1"/>
  <c r="G508" i="1"/>
  <c r="G581" i="1"/>
  <c r="G562" i="1"/>
  <c r="G398" i="1"/>
  <c r="G484" i="1"/>
  <c r="G519" i="1"/>
  <c r="G425" i="1"/>
  <c r="G393" i="1"/>
  <c r="G617" i="1"/>
  <c r="G603" i="1"/>
  <c r="G382" i="1"/>
  <c r="G570" i="1"/>
  <c r="G419" i="1"/>
  <c r="G639" i="1"/>
  <c r="G604" i="1"/>
  <c r="G480" i="1"/>
  <c r="P356" i="1"/>
  <c r="N356" i="1"/>
  <c r="M356" i="1"/>
  <c r="G502" i="1"/>
  <c r="P355" i="1"/>
  <c r="N355" i="1"/>
  <c r="G492" i="1"/>
  <c r="P354" i="1"/>
  <c r="N354" i="1"/>
  <c r="G589" i="1"/>
  <c r="P353" i="1"/>
  <c r="N353" i="1"/>
  <c r="G612" i="1"/>
  <c r="G616" i="1"/>
  <c r="P351" i="1"/>
  <c r="N351" i="1"/>
  <c r="G596" i="1"/>
  <c r="G550" i="1"/>
  <c r="P349" i="1"/>
  <c r="N349" i="1"/>
  <c r="P348" i="1"/>
  <c r="N348" i="1"/>
  <c r="P347" i="1"/>
  <c r="N347" i="1"/>
  <c r="P346" i="1"/>
  <c r="N346" i="1"/>
  <c r="P345" i="1"/>
  <c r="N345" i="1"/>
  <c r="P344" i="1"/>
  <c r="N344" i="1"/>
  <c r="P343" i="1"/>
  <c r="N343" i="1"/>
  <c r="P342" i="1"/>
  <c r="N342" i="1"/>
  <c r="P341" i="1"/>
  <c r="N341" i="1"/>
  <c r="P340" i="1"/>
  <c r="N340" i="1"/>
  <c r="P339" i="1"/>
  <c r="N339" i="1"/>
  <c r="P338" i="1"/>
  <c r="N338" i="1"/>
  <c r="P319" i="1"/>
  <c r="N319" i="1"/>
  <c r="P318" i="1"/>
  <c r="N318" i="1"/>
  <c r="P317" i="1"/>
  <c r="N317" i="1"/>
  <c r="P316" i="1"/>
  <c r="N316" i="1"/>
  <c r="P308" i="1"/>
  <c r="O308" i="1"/>
  <c r="P306" i="1"/>
  <c r="N306" i="1"/>
  <c r="P305" i="1"/>
  <c r="O305" i="1"/>
  <c r="N305" i="1"/>
  <c r="N267" i="1"/>
  <c r="M267" i="1"/>
  <c r="K267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U263" i="1"/>
  <c r="T263" i="1"/>
  <c r="S263" i="1"/>
  <c r="R263" i="1"/>
  <c r="Q263" i="1"/>
  <c r="P263" i="1"/>
  <c r="O263" i="1"/>
  <c r="J263" i="1"/>
  <c r="I263" i="1"/>
  <c r="D263" i="1"/>
  <c r="V221" i="1"/>
  <c r="W221" i="1" s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V261" i="1"/>
  <c r="U261" i="1"/>
  <c r="T261" i="1"/>
  <c r="S261" i="1"/>
  <c r="R261" i="1"/>
  <c r="Q261" i="1"/>
  <c r="P261" i="1"/>
  <c r="O261" i="1"/>
  <c r="J261" i="1"/>
  <c r="I261" i="1"/>
  <c r="D261" i="1"/>
  <c r="V234" i="1"/>
  <c r="V258" i="1"/>
  <c r="U258" i="1"/>
  <c r="T258" i="1"/>
  <c r="S258" i="1"/>
  <c r="R258" i="1"/>
  <c r="Q258" i="1"/>
  <c r="P258" i="1"/>
  <c r="O258" i="1"/>
  <c r="J258" i="1"/>
  <c r="I258" i="1"/>
  <c r="D258" i="1"/>
  <c r="V257" i="1"/>
  <c r="U257" i="1"/>
  <c r="T257" i="1"/>
  <c r="S257" i="1"/>
  <c r="R257" i="1"/>
  <c r="Q257" i="1"/>
  <c r="P257" i="1"/>
  <c r="O257" i="1"/>
  <c r="J257" i="1"/>
  <c r="I257" i="1"/>
  <c r="D257" i="1"/>
  <c r="V256" i="1"/>
  <c r="U256" i="1"/>
  <c r="T256" i="1"/>
  <c r="S256" i="1"/>
  <c r="R256" i="1"/>
  <c r="Q256" i="1"/>
  <c r="P256" i="1"/>
  <c r="O256" i="1"/>
  <c r="J256" i="1"/>
  <c r="I256" i="1"/>
  <c r="D256" i="1"/>
  <c r="V255" i="1"/>
  <c r="U255" i="1"/>
  <c r="T255" i="1"/>
  <c r="S255" i="1"/>
  <c r="R255" i="1"/>
  <c r="Q255" i="1"/>
  <c r="P255" i="1"/>
  <c r="O255" i="1"/>
  <c r="J255" i="1"/>
  <c r="I255" i="1"/>
  <c r="D255" i="1"/>
  <c r="M255" i="1" s="1"/>
  <c r="V254" i="1"/>
  <c r="U254" i="1"/>
  <c r="T254" i="1"/>
  <c r="S254" i="1"/>
  <c r="R254" i="1"/>
  <c r="Q254" i="1"/>
  <c r="P254" i="1"/>
  <c r="O254" i="1"/>
  <c r="J254" i="1"/>
  <c r="I254" i="1"/>
  <c r="L254" i="1" s="1"/>
  <c r="D254" i="1"/>
  <c r="V253" i="1"/>
  <c r="U253" i="1"/>
  <c r="T253" i="1"/>
  <c r="S253" i="1"/>
  <c r="R253" i="1"/>
  <c r="Q253" i="1"/>
  <c r="P253" i="1"/>
  <c r="O253" i="1"/>
  <c r="J253" i="1"/>
  <c r="I253" i="1"/>
  <c r="D253" i="1"/>
  <c r="V251" i="1"/>
  <c r="U251" i="1"/>
  <c r="T251" i="1"/>
  <c r="S251" i="1"/>
  <c r="R251" i="1"/>
  <c r="Q251" i="1"/>
  <c r="P251" i="1"/>
  <c r="O251" i="1"/>
  <c r="J251" i="1"/>
  <c r="I251" i="1"/>
  <c r="D251" i="1"/>
  <c r="V250" i="1"/>
  <c r="U250" i="1"/>
  <c r="T250" i="1"/>
  <c r="S250" i="1"/>
  <c r="R250" i="1"/>
  <c r="Q250" i="1"/>
  <c r="P250" i="1"/>
  <c r="O250" i="1"/>
  <c r="J250" i="1"/>
  <c r="I250" i="1"/>
  <c r="D250" i="1"/>
  <c r="V249" i="1"/>
  <c r="U249" i="1"/>
  <c r="T249" i="1"/>
  <c r="S249" i="1"/>
  <c r="R249" i="1"/>
  <c r="Q249" i="1"/>
  <c r="P249" i="1"/>
  <c r="O249" i="1"/>
  <c r="J249" i="1"/>
  <c r="I249" i="1"/>
  <c r="D249" i="1"/>
  <c r="V248" i="1"/>
  <c r="U248" i="1"/>
  <c r="T248" i="1"/>
  <c r="S248" i="1"/>
  <c r="R248" i="1"/>
  <c r="Q248" i="1"/>
  <c r="P248" i="1"/>
  <c r="O248" i="1"/>
  <c r="J248" i="1"/>
  <c r="I248" i="1"/>
  <c r="D248" i="1"/>
  <c r="V247" i="1"/>
  <c r="U247" i="1"/>
  <c r="T247" i="1"/>
  <c r="S247" i="1"/>
  <c r="R247" i="1"/>
  <c r="Q247" i="1"/>
  <c r="P247" i="1"/>
  <c r="O247" i="1"/>
  <c r="J247" i="1"/>
  <c r="I247" i="1"/>
  <c r="L247" i="1" s="1"/>
  <c r="D247" i="1"/>
  <c r="V246" i="1"/>
  <c r="U246" i="1"/>
  <c r="T246" i="1"/>
  <c r="S246" i="1"/>
  <c r="R246" i="1"/>
  <c r="Q246" i="1"/>
  <c r="P246" i="1"/>
  <c r="O246" i="1"/>
  <c r="J246" i="1"/>
  <c r="I246" i="1"/>
  <c r="D246" i="1"/>
  <c r="V242" i="1"/>
  <c r="U242" i="1"/>
  <c r="T242" i="1"/>
  <c r="S242" i="1"/>
  <c r="R242" i="1"/>
  <c r="Q242" i="1"/>
  <c r="P242" i="1"/>
  <c r="O242" i="1"/>
  <c r="J242" i="1"/>
  <c r="I242" i="1"/>
  <c r="D242" i="1"/>
  <c r="V241" i="1"/>
  <c r="U241" i="1"/>
  <c r="T241" i="1"/>
  <c r="S241" i="1"/>
  <c r="R241" i="1"/>
  <c r="Q241" i="1"/>
  <c r="P241" i="1"/>
  <c r="O241" i="1"/>
  <c r="J241" i="1"/>
  <c r="I241" i="1"/>
  <c r="D241" i="1"/>
  <c r="M241" i="1" s="1"/>
  <c r="V237" i="1"/>
  <c r="V236" i="1"/>
  <c r="U236" i="1"/>
  <c r="T236" i="1"/>
  <c r="S236" i="1"/>
  <c r="R236" i="1"/>
  <c r="Q236" i="1"/>
  <c r="P236" i="1"/>
  <c r="O236" i="1"/>
  <c r="J236" i="1"/>
  <c r="I236" i="1"/>
  <c r="D236" i="1"/>
  <c r="V235" i="1"/>
  <c r="U235" i="1"/>
  <c r="T235" i="1"/>
  <c r="S235" i="1"/>
  <c r="R235" i="1"/>
  <c r="Q235" i="1"/>
  <c r="P235" i="1"/>
  <c r="O235" i="1"/>
  <c r="J235" i="1"/>
  <c r="I235" i="1"/>
  <c r="L235" i="1" s="1"/>
  <c r="D235" i="1"/>
  <c r="V233" i="1"/>
  <c r="U233" i="1"/>
  <c r="T233" i="1"/>
  <c r="S233" i="1"/>
  <c r="R233" i="1"/>
  <c r="Q233" i="1"/>
  <c r="P233" i="1"/>
  <c r="O233" i="1"/>
  <c r="J233" i="1"/>
  <c r="I233" i="1"/>
  <c r="D233" i="1"/>
  <c r="M233" i="1" s="1"/>
  <c r="V232" i="1"/>
  <c r="U232" i="1"/>
  <c r="T232" i="1"/>
  <c r="S232" i="1"/>
  <c r="R232" i="1"/>
  <c r="Q232" i="1"/>
  <c r="P232" i="1"/>
  <c r="O232" i="1"/>
  <c r="J232" i="1"/>
  <c r="I232" i="1"/>
  <c r="D232" i="1"/>
  <c r="V222" i="1"/>
  <c r="V224" i="1"/>
  <c r="U224" i="1"/>
  <c r="T224" i="1"/>
  <c r="S224" i="1"/>
  <c r="R224" i="1"/>
  <c r="Q224" i="1"/>
  <c r="P224" i="1"/>
  <c r="O224" i="1"/>
  <c r="J224" i="1"/>
  <c r="I224" i="1"/>
  <c r="L224" i="1" s="1"/>
  <c r="D224" i="1"/>
  <c r="V207" i="1"/>
  <c r="U207" i="1"/>
  <c r="T207" i="1"/>
  <c r="S207" i="1"/>
  <c r="R207" i="1"/>
  <c r="Q207" i="1"/>
  <c r="P207" i="1"/>
  <c r="O207" i="1"/>
  <c r="I207" i="1"/>
  <c r="D207" i="1"/>
  <c r="V206" i="1"/>
  <c r="S206" i="1"/>
  <c r="V204" i="1"/>
  <c r="U204" i="1"/>
  <c r="T204" i="1"/>
  <c r="S204" i="1"/>
  <c r="R204" i="1"/>
  <c r="Q204" i="1"/>
  <c r="P204" i="1"/>
  <c r="O204" i="1"/>
  <c r="J204" i="1"/>
  <c r="I204" i="1"/>
  <c r="D204" i="1"/>
  <c r="V202" i="1"/>
  <c r="T202" i="1"/>
  <c r="S202" i="1"/>
  <c r="O202" i="1"/>
  <c r="J202" i="1"/>
  <c r="I202" i="1"/>
  <c r="D202" i="1"/>
  <c r="V201" i="1"/>
  <c r="U201" i="1"/>
  <c r="T201" i="1"/>
  <c r="S201" i="1"/>
  <c r="R201" i="1"/>
  <c r="Q201" i="1"/>
  <c r="P201" i="1"/>
  <c r="O201" i="1"/>
  <c r="J201" i="1"/>
  <c r="I201" i="1"/>
  <c r="D201" i="1"/>
  <c r="V125" i="1"/>
  <c r="V198" i="1"/>
  <c r="U198" i="1"/>
  <c r="T198" i="1"/>
  <c r="S198" i="1"/>
  <c r="R198" i="1"/>
  <c r="Q198" i="1"/>
  <c r="P198" i="1"/>
  <c r="O198" i="1"/>
  <c r="J198" i="1"/>
  <c r="I198" i="1"/>
  <c r="D198" i="1"/>
  <c r="V197" i="1"/>
  <c r="U197" i="1"/>
  <c r="T197" i="1"/>
  <c r="S197" i="1"/>
  <c r="R197" i="1"/>
  <c r="Q197" i="1"/>
  <c r="P197" i="1"/>
  <c r="O197" i="1"/>
  <c r="J197" i="1"/>
  <c r="I197" i="1"/>
  <c r="D197" i="1"/>
  <c r="V195" i="1"/>
  <c r="U195" i="1"/>
  <c r="T195" i="1"/>
  <c r="S195" i="1"/>
  <c r="R195" i="1"/>
  <c r="Q195" i="1"/>
  <c r="P195" i="1"/>
  <c r="O195" i="1"/>
  <c r="J195" i="1"/>
  <c r="I195" i="1"/>
  <c r="D195" i="1"/>
  <c r="V194" i="1"/>
  <c r="U194" i="1"/>
  <c r="T194" i="1"/>
  <c r="S194" i="1"/>
  <c r="R194" i="1"/>
  <c r="Q194" i="1"/>
  <c r="P194" i="1"/>
  <c r="O194" i="1"/>
  <c r="J194" i="1"/>
  <c r="I194" i="1"/>
  <c r="D194" i="1"/>
  <c r="V193" i="1"/>
  <c r="U193" i="1"/>
  <c r="T193" i="1"/>
  <c r="S193" i="1"/>
  <c r="R193" i="1"/>
  <c r="Q193" i="1"/>
  <c r="P193" i="1"/>
  <c r="O193" i="1"/>
  <c r="J193" i="1"/>
  <c r="I193" i="1"/>
  <c r="D193" i="1"/>
  <c r="V192" i="1"/>
  <c r="U192" i="1"/>
  <c r="T192" i="1"/>
  <c r="S192" i="1"/>
  <c r="R192" i="1"/>
  <c r="Q192" i="1"/>
  <c r="P192" i="1"/>
  <c r="O192" i="1"/>
  <c r="J192" i="1"/>
  <c r="I192" i="1"/>
  <c r="D192" i="1"/>
  <c r="V191" i="1"/>
  <c r="U191" i="1"/>
  <c r="T191" i="1"/>
  <c r="S191" i="1"/>
  <c r="R191" i="1"/>
  <c r="Q191" i="1"/>
  <c r="P191" i="1"/>
  <c r="O191" i="1"/>
  <c r="J191" i="1"/>
  <c r="I191" i="1"/>
  <c r="D191" i="1"/>
  <c r="V190" i="1"/>
  <c r="U190" i="1"/>
  <c r="T190" i="1"/>
  <c r="S190" i="1"/>
  <c r="R190" i="1"/>
  <c r="Q190" i="1"/>
  <c r="P190" i="1"/>
  <c r="O190" i="1"/>
  <c r="J190" i="1"/>
  <c r="I190" i="1"/>
  <c r="D190" i="1"/>
  <c r="V188" i="1"/>
  <c r="U188" i="1"/>
  <c r="T188" i="1"/>
  <c r="S188" i="1"/>
  <c r="Q188" i="1"/>
  <c r="P188" i="1"/>
  <c r="O188" i="1"/>
  <c r="J188" i="1"/>
  <c r="I188" i="1"/>
  <c r="D188" i="1"/>
  <c r="V169" i="1"/>
  <c r="V185" i="1"/>
  <c r="U185" i="1"/>
  <c r="T185" i="1"/>
  <c r="S185" i="1"/>
  <c r="R185" i="1"/>
  <c r="Q185" i="1"/>
  <c r="P185" i="1"/>
  <c r="O185" i="1"/>
  <c r="J185" i="1"/>
  <c r="I185" i="1"/>
  <c r="D185" i="1"/>
  <c r="V184" i="1"/>
  <c r="U184" i="1"/>
  <c r="T184" i="1"/>
  <c r="S184" i="1"/>
  <c r="R184" i="1"/>
  <c r="Q184" i="1"/>
  <c r="P184" i="1"/>
  <c r="O184" i="1"/>
  <c r="J184" i="1"/>
  <c r="I184" i="1"/>
  <c r="D184" i="1"/>
  <c r="V183" i="1"/>
  <c r="U183" i="1"/>
  <c r="T183" i="1"/>
  <c r="S183" i="1"/>
  <c r="R183" i="1"/>
  <c r="Q183" i="1"/>
  <c r="P183" i="1"/>
  <c r="O183" i="1"/>
  <c r="J183" i="1"/>
  <c r="I183" i="1"/>
  <c r="D183" i="1"/>
  <c r="V180" i="1"/>
  <c r="U180" i="1"/>
  <c r="T180" i="1"/>
  <c r="S180" i="1"/>
  <c r="R180" i="1"/>
  <c r="Q180" i="1"/>
  <c r="P180" i="1"/>
  <c r="O180" i="1"/>
  <c r="J180" i="1"/>
  <c r="I180" i="1"/>
  <c r="D180" i="1"/>
  <c r="V148" i="1"/>
  <c r="V179" i="1"/>
  <c r="U179" i="1"/>
  <c r="T179" i="1"/>
  <c r="S179" i="1"/>
  <c r="R179" i="1"/>
  <c r="Q179" i="1"/>
  <c r="P179" i="1"/>
  <c r="O179" i="1"/>
  <c r="J179" i="1"/>
  <c r="I179" i="1"/>
  <c r="D179" i="1"/>
  <c r="V177" i="1"/>
  <c r="U177" i="1"/>
  <c r="T177" i="1"/>
  <c r="S177" i="1"/>
  <c r="R177" i="1"/>
  <c r="Q177" i="1"/>
  <c r="P177" i="1"/>
  <c r="O177" i="1"/>
  <c r="J177" i="1"/>
  <c r="I177" i="1"/>
  <c r="D177" i="1"/>
  <c r="V176" i="1"/>
  <c r="U176" i="1"/>
  <c r="T176" i="1"/>
  <c r="S176" i="1"/>
  <c r="R176" i="1"/>
  <c r="Q176" i="1"/>
  <c r="P176" i="1"/>
  <c r="O176" i="1"/>
  <c r="J176" i="1"/>
  <c r="I176" i="1"/>
  <c r="D176" i="1"/>
  <c r="V175" i="1"/>
  <c r="U175" i="1"/>
  <c r="T175" i="1"/>
  <c r="S175" i="1"/>
  <c r="R175" i="1"/>
  <c r="Q175" i="1"/>
  <c r="P175" i="1"/>
  <c r="O175" i="1"/>
  <c r="J175" i="1"/>
  <c r="I175" i="1"/>
  <c r="D175" i="1"/>
  <c r="V107" i="1"/>
  <c r="V163" i="1"/>
  <c r="U163" i="1"/>
  <c r="R163" i="1"/>
  <c r="Q163" i="1"/>
  <c r="P16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V171" i="1"/>
  <c r="U171" i="1"/>
  <c r="T171" i="1"/>
  <c r="S171" i="1"/>
  <c r="R171" i="1"/>
  <c r="Q171" i="1"/>
  <c r="P171" i="1"/>
  <c r="O171" i="1"/>
  <c r="J171" i="1"/>
  <c r="I171" i="1"/>
  <c r="D171" i="1"/>
  <c r="V168" i="1"/>
  <c r="U168" i="1"/>
  <c r="T168" i="1"/>
  <c r="S168" i="1"/>
  <c r="R168" i="1"/>
  <c r="Q168" i="1"/>
  <c r="P168" i="1"/>
  <c r="O168" i="1"/>
  <c r="J168" i="1"/>
  <c r="I168" i="1"/>
  <c r="D168" i="1"/>
  <c r="V167" i="1"/>
  <c r="U167" i="1"/>
  <c r="T167" i="1"/>
  <c r="S167" i="1"/>
  <c r="R167" i="1"/>
  <c r="Q167" i="1"/>
  <c r="P167" i="1"/>
  <c r="O167" i="1"/>
  <c r="J167" i="1"/>
  <c r="I167" i="1"/>
  <c r="D167" i="1"/>
  <c r="V165" i="1"/>
  <c r="U165" i="1"/>
  <c r="T165" i="1"/>
  <c r="S165" i="1"/>
  <c r="R165" i="1"/>
  <c r="Q165" i="1"/>
  <c r="P165" i="1"/>
  <c r="O165" i="1"/>
  <c r="J165" i="1"/>
  <c r="I165" i="1"/>
  <c r="D165" i="1"/>
  <c r="V159" i="1"/>
  <c r="U159" i="1"/>
  <c r="T159" i="1"/>
  <c r="S159" i="1"/>
  <c r="R159" i="1"/>
  <c r="Q159" i="1"/>
  <c r="P159" i="1"/>
  <c r="O159" i="1"/>
  <c r="J159" i="1"/>
  <c r="I159" i="1"/>
  <c r="D159" i="1"/>
  <c r="V158" i="1"/>
  <c r="U158" i="1"/>
  <c r="T158" i="1"/>
  <c r="S158" i="1"/>
  <c r="R158" i="1"/>
  <c r="Q158" i="1"/>
  <c r="P158" i="1"/>
  <c r="O158" i="1"/>
  <c r="J158" i="1"/>
  <c r="I158" i="1"/>
  <c r="D158" i="1"/>
  <c r="V157" i="1"/>
  <c r="U157" i="1"/>
  <c r="T157" i="1"/>
  <c r="S157" i="1"/>
  <c r="R157" i="1"/>
  <c r="Q157" i="1"/>
  <c r="P157" i="1"/>
  <c r="O157" i="1"/>
  <c r="J157" i="1"/>
  <c r="I157" i="1"/>
  <c r="D157" i="1"/>
  <c r="V156" i="1"/>
  <c r="U156" i="1"/>
  <c r="T156" i="1"/>
  <c r="S156" i="1"/>
  <c r="R156" i="1"/>
  <c r="Q156" i="1"/>
  <c r="P156" i="1"/>
  <c r="O156" i="1"/>
  <c r="J156" i="1"/>
  <c r="I156" i="1"/>
  <c r="D156" i="1"/>
  <c r="V155" i="1"/>
  <c r="U155" i="1"/>
  <c r="T155" i="1"/>
  <c r="S155" i="1"/>
  <c r="R155" i="1"/>
  <c r="Q155" i="1"/>
  <c r="P155" i="1"/>
  <c r="O155" i="1"/>
  <c r="J155" i="1"/>
  <c r="I155" i="1"/>
  <c r="D155" i="1"/>
  <c r="V154" i="1"/>
  <c r="U154" i="1"/>
  <c r="T154" i="1"/>
  <c r="S154" i="1"/>
  <c r="R154" i="1"/>
  <c r="Q154" i="1"/>
  <c r="P154" i="1"/>
  <c r="O154" i="1"/>
  <c r="J154" i="1"/>
  <c r="I154" i="1"/>
  <c r="D154" i="1"/>
  <c r="V153" i="1"/>
  <c r="U153" i="1"/>
  <c r="T153" i="1"/>
  <c r="S153" i="1"/>
  <c r="R153" i="1"/>
  <c r="Q153" i="1"/>
  <c r="P153" i="1"/>
  <c r="O153" i="1"/>
  <c r="J153" i="1"/>
  <c r="I153" i="1"/>
  <c r="D153" i="1"/>
  <c r="V152" i="1"/>
  <c r="U152" i="1"/>
  <c r="T152" i="1"/>
  <c r="S152" i="1"/>
  <c r="R152" i="1"/>
  <c r="Q152" i="1"/>
  <c r="P152" i="1"/>
  <c r="O152" i="1"/>
  <c r="J152" i="1"/>
  <c r="I152" i="1"/>
  <c r="D152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V149" i="1"/>
  <c r="U149" i="1"/>
  <c r="T149" i="1"/>
  <c r="S149" i="1"/>
  <c r="R149" i="1"/>
  <c r="Q149" i="1"/>
  <c r="P149" i="1"/>
  <c r="O149" i="1"/>
  <c r="J149" i="1"/>
  <c r="I149" i="1"/>
  <c r="D149" i="1"/>
  <c r="V146" i="1"/>
  <c r="U146" i="1"/>
  <c r="T146" i="1"/>
  <c r="S146" i="1"/>
  <c r="R146" i="1"/>
  <c r="Q146" i="1"/>
  <c r="P146" i="1"/>
  <c r="O146" i="1"/>
  <c r="J146" i="1"/>
  <c r="I146" i="1"/>
  <c r="D146" i="1"/>
  <c r="V143" i="1"/>
  <c r="U143" i="1"/>
  <c r="T143" i="1"/>
  <c r="S143" i="1"/>
  <c r="R143" i="1"/>
  <c r="Q143" i="1"/>
  <c r="P143" i="1"/>
  <c r="O143" i="1"/>
  <c r="J143" i="1"/>
  <c r="I143" i="1"/>
  <c r="D143" i="1"/>
  <c r="V138" i="1"/>
  <c r="U138" i="1"/>
  <c r="R138" i="1"/>
  <c r="Q138" i="1"/>
  <c r="P138" i="1"/>
  <c r="V139" i="1"/>
  <c r="U139" i="1"/>
  <c r="T139" i="1"/>
  <c r="S139" i="1"/>
  <c r="R139" i="1"/>
  <c r="Q139" i="1"/>
  <c r="P139" i="1"/>
  <c r="O139" i="1"/>
  <c r="J139" i="1"/>
  <c r="I139" i="1"/>
  <c r="D139" i="1"/>
  <c r="V136" i="1"/>
  <c r="U136" i="1"/>
  <c r="T136" i="1"/>
  <c r="S136" i="1"/>
  <c r="R136" i="1"/>
  <c r="Q136" i="1"/>
  <c r="P136" i="1"/>
  <c r="O136" i="1"/>
  <c r="J136" i="1"/>
  <c r="I136" i="1"/>
  <c r="D136" i="1"/>
  <c r="V134" i="1"/>
  <c r="U134" i="1"/>
  <c r="T134" i="1"/>
  <c r="S134" i="1"/>
  <c r="R134" i="1"/>
  <c r="Q134" i="1"/>
  <c r="P134" i="1"/>
  <c r="O134" i="1"/>
  <c r="J134" i="1"/>
  <c r="I134" i="1"/>
  <c r="D134" i="1"/>
  <c r="V110" i="1"/>
  <c r="V118" i="1"/>
  <c r="V131" i="1"/>
  <c r="U131" i="1"/>
  <c r="T131" i="1"/>
  <c r="S131" i="1"/>
  <c r="R131" i="1"/>
  <c r="Q131" i="1"/>
  <c r="P131" i="1"/>
  <c r="O131" i="1"/>
  <c r="J131" i="1"/>
  <c r="I131" i="1"/>
  <c r="V130" i="1"/>
  <c r="U130" i="1"/>
  <c r="T130" i="1"/>
  <c r="S130" i="1"/>
  <c r="R130" i="1"/>
  <c r="Q130" i="1"/>
  <c r="P130" i="1"/>
  <c r="O130" i="1"/>
  <c r="J130" i="1"/>
  <c r="I130" i="1"/>
  <c r="D130" i="1"/>
  <c r="V128" i="1"/>
  <c r="U128" i="1"/>
  <c r="T128" i="1"/>
  <c r="S128" i="1"/>
  <c r="R128" i="1"/>
  <c r="Q128" i="1"/>
  <c r="P128" i="1"/>
  <c r="O128" i="1"/>
  <c r="J128" i="1"/>
  <c r="I128" i="1"/>
  <c r="D128" i="1"/>
  <c r="V123" i="1"/>
  <c r="U123" i="1"/>
  <c r="R123" i="1"/>
  <c r="Q123" i="1"/>
  <c r="P123" i="1"/>
  <c r="V126" i="1"/>
  <c r="U126" i="1"/>
  <c r="T126" i="1"/>
  <c r="S126" i="1"/>
  <c r="R126" i="1"/>
  <c r="Q126" i="1"/>
  <c r="P126" i="1"/>
  <c r="O126" i="1"/>
  <c r="J126" i="1"/>
  <c r="I126" i="1"/>
  <c r="D126" i="1"/>
  <c r="V121" i="1"/>
  <c r="U121" i="1"/>
  <c r="T121" i="1"/>
  <c r="S121" i="1"/>
  <c r="R121" i="1"/>
  <c r="Q121" i="1"/>
  <c r="P121" i="1"/>
  <c r="O121" i="1"/>
  <c r="J121" i="1"/>
  <c r="I121" i="1"/>
  <c r="D121" i="1"/>
  <c r="V112" i="1"/>
  <c r="V116" i="1"/>
  <c r="U116" i="1"/>
  <c r="T116" i="1"/>
  <c r="S116" i="1"/>
  <c r="R116" i="1"/>
  <c r="Q116" i="1"/>
  <c r="P116" i="1"/>
  <c r="O116" i="1"/>
  <c r="J116" i="1"/>
  <c r="I116" i="1"/>
  <c r="D116" i="1"/>
  <c r="V114" i="1"/>
  <c r="U114" i="1"/>
  <c r="T114" i="1"/>
  <c r="S114" i="1"/>
  <c r="R114" i="1"/>
  <c r="Q114" i="1"/>
  <c r="P114" i="1"/>
  <c r="O114" i="1"/>
  <c r="J114" i="1"/>
  <c r="I114" i="1"/>
  <c r="D114" i="1"/>
  <c r="V111" i="1"/>
  <c r="U111" i="1"/>
  <c r="T111" i="1"/>
  <c r="S111" i="1"/>
  <c r="R111" i="1"/>
  <c r="Q111" i="1"/>
  <c r="P111" i="1"/>
  <c r="O111" i="1"/>
  <c r="J111" i="1"/>
  <c r="I111" i="1"/>
  <c r="D111" i="1"/>
  <c r="V108" i="1"/>
  <c r="U108" i="1"/>
  <c r="T108" i="1"/>
  <c r="S108" i="1"/>
  <c r="R108" i="1"/>
  <c r="Q108" i="1"/>
  <c r="P108" i="1"/>
  <c r="O108" i="1"/>
  <c r="J108" i="1"/>
  <c r="I108" i="1"/>
  <c r="D108" i="1"/>
  <c r="N100" i="1"/>
  <c r="M100" i="1"/>
  <c r="L100" i="1"/>
  <c r="K100" i="1"/>
  <c r="N99" i="1"/>
  <c r="M99" i="1"/>
  <c r="L99" i="1"/>
  <c r="K99" i="1"/>
  <c r="N98" i="1"/>
  <c r="M98" i="1"/>
  <c r="K98" i="1"/>
  <c r="V93" i="1"/>
  <c r="U93" i="1"/>
  <c r="R93" i="1"/>
  <c r="Q93" i="1"/>
  <c r="P93" i="1"/>
  <c r="J93" i="1"/>
  <c r="V92" i="1"/>
  <c r="U92" i="1"/>
  <c r="T92" i="1"/>
  <c r="S92" i="1"/>
  <c r="R92" i="1"/>
  <c r="Q92" i="1"/>
  <c r="P92" i="1"/>
  <c r="O92" i="1"/>
  <c r="J92" i="1"/>
  <c r="I92" i="1"/>
  <c r="D92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V85" i="1"/>
  <c r="U85" i="1"/>
  <c r="T85" i="1"/>
  <c r="S85" i="1"/>
  <c r="R85" i="1"/>
  <c r="Q85" i="1"/>
  <c r="P85" i="1"/>
  <c r="O85" i="1"/>
  <c r="J85" i="1"/>
  <c r="I85" i="1"/>
  <c r="D85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V42" i="1"/>
  <c r="V83" i="1"/>
  <c r="U83" i="1"/>
  <c r="T83" i="1"/>
  <c r="S83" i="1"/>
  <c r="R83" i="1"/>
  <c r="Q83" i="1"/>
  <c r="P83" i="1"/>
  <c r="O83" i="1"/>
  <c r="J83" i="1"/>
  <c r="I83" i="1"/>
  <c r="D83" i="1"/>
  <c r="V36" i="1"/>
  <c r="V80" i="1"/>
  <c r="U80" i="1"/>
  <c r="T80" i="1"/>
  <c r="S80" i="1"/>
  <c r="R80" i="1"/>
  <c r="Q80" i="1"/>
  <c r="P80" i="1"/>
  <c r="O80" i="1"/>
  <c r="J80" i="1"/>
  <c r="I80" i="1"/>
  <c r="D80" i="1"/>
  <c r="V78" i="1"/>
  <c r="U78" i="1"/>
  <c r="T78" i="1"/>
  <c r="S78" i="1"/>
  <c r="R78" i="1"/>
  <c r="Q78" i="1"/>
  <c r="P78" i="1"/>
  <c r="O78" i="1"/>
  <c r="J78" i="1"/>
  <c r="I78" i="1"/>
  <c r="D78" i="1"/>
  <c r="V75" i="1"/>
  <c r="U75" i="1"/>
  <c r="T75" i="1"/>
  <c r="S75" i="1"/>
  <c r="R75" i="1"/>
  <c r="Q75" i="1"/>
  <c r="P75" i="1"/>
  <c r="O75" i="1"/>
  <c r="J75" i="1"/>
  <c r="I75" i="1"/>
  <c r="D75" i="1"/>
  <c r="V74" i="1"/>
  <c r="U74" i="1"/>
  <c r="T74" i="1"/>
  <c r="S74" i="1"/>
  <c r="R74" i="1"/>
  <c r="Q74" i="1"/>
  <c r="P74" i="1"/>
  <c r="O74" i="1"/>
  <c r="L74" i="1"/>
  <c r="K74" i="1"/>
  <c r="J74" i="1"/>
  <c r="D74" i="1"/>
  <c r="V70" i="1"/>
  <c r="U70" i="1"/>
  <c r="T70" i="1"/>
  <c r="S70" i="1"/>
  <c r="R70" i="1"/>
  <c r="Q70" i="1"/>
  <c r="P70" i="1"/>
  <c r="O70" i="1"/>
  <c r="J70" i="1"/>
  <c r="I70" i="1"/>
  <c r="D70" i="1"/>
  <c r="V69" i="1"/>
  <c r="U69" i="1"/>
  <c r="T69" i="1"/>
  <c r="S69" i="1"/>
  <c r="R69" i="1"/>
  <c r="Q69" i="1"/>
  <c r="P69" i="1"/>
  <c r="O69" i="1"/>
  <c r="J69" i="1"/>
  <c r="I69" i="1"/>
  <c r="D69" i="1"/>
  <c r="V67" i="1"/>
  <c r="U67" i="1"/>
  <c r="T67" i="1"/>
  <c r="S67" i="1"/>
  <c r="R67" i="1"/>
  <c r="Q67" i="1"/>
  <c r="P67" i="1"/>
  <c r="O67" i="1"/>
  <c r="J67" i="1"/>
  <c r="I67" i="1"/>
  <c r="D67" i="1"/>
  <c r="V38" i="1"/>
  <c r="V66" i="1"/>
  <c r="U66" i="1"/>
  <c r="T66" i="1"/>
  <c r="S66" i="1"/>
  <c r="R66" i="1"/>
  <c r="Q66" i="1"/>
  <c r="P66" i="1"/>
  <c r="O66" i="1"/>
  <c r="J66" i="1"/>
  <c r="I66" i="1"/>
  <c r="D66" i="1"/>
  <c r="V65" i="1"/>
  <c r="U65" i="1"/>
  <c r="T65" i="1"/>
  <c r="S65" i="1"/>
  <c r="R65" i="1"/>
  <c r="Q65" i="1"/>
  <c r="P65" i="1"/>
  <c r="O65" i="1"/>
  <c r="J65" i="1"/>
  <c r="I65" i="1"/>
  <c r="D65" i="1"/>
  <c r="V64" i="1"/>
  <c r="U64" i="1"/>
  <c r="T64" i="1"/>
  <c r="S64" i="1"/>
  <c r="R64" i="1"/>
  <c r="Q64" i="1"/>
  <c r="P64" i="1"/>
  <c r="O64" i="1"/>
  <c r="J64" i="1"/>
  <c r="I64" i="1"/>
  <c r="D64" i="1"/>
  <c r="V63" i="1"/>
  <c r="U63" i="1"/>
  <c r="T63" i="1"/>
  <c r="S63" i="1"/>
  <c r="R63" i="1"/>
  <c r="Q63" i="1"/>
  <c r="P63" i="1"/>
  <c r="O63" i="1"/>
  <c r="J63" i="1"/>
  <c r="I63" i="1"/>
  <c r="D63" i="1"/>
  <c r="V62" i="1"/>
  <c r="U62" i="1"/>
  <c r="T62" i="1"/>
  <c r="S62" i="1"/>
  <c r="R62" i="1"/>
  <c r="Q62" i="1"/>
  <c r="P62" i="1"/>
  <c r="O62" i="1"/>
  <c r="J62" i="1"/>
  <c r="I62" i="1"/>
  <c r="D62" i="1"/>
  <c r="V59" i="1"/>
  <c r="U59" i="1"/>
  <c r="T59" i="1"/>
  <c r="S59" i="1"/>
  <c r="R59" i="1"/>
  <c r="Q59" i="1"/>
  <c r="P59" i="1"/>
  <c r="O59" i="1"/>
  <c r="J59" i="1"/>
  <c r="I59" i="1"/>
  <c r="D59" i="1"/>
  <c r="V58" i="1"/>
  <c r="U58" i="1"/>
  <c r="T58" i="1"/>
  <c r="S58" i="1"/>
  <c r="R58" i="1"/>
  <c r="Q58" i="1"/>
  <c r="P58" i="1"/>
  <c r="O58" i="1"/>
  <c r="J58" i="1"/>
  <c r="I58" i="1"/>
  <c r="D58" i="1"/>
  <c r="V57" i="1"/>
  <c r="U57" i="1"/>
  <c r="T57" i="1"/>
  <c r="S57" i="1"/>
  <c r="R57" i="1"/>
  <c r="Q57" i="1"/>
  <c r="P57" i="1"/>
  <c r="O57" i="1"/>
  <c r="J57" i="1"/>
  <c r="I57" i="1"/>
  <c r="D57" i="1"/>
  <c r="V52" i="1"/>
  <c r="U52" i="1"/>
  <c r="T52" i="1"/>
  <c r="S52" i="1"/>
  <c r="R52" i="1"/>
  <c r="Q52" i="1"/>
  <c r="P52" i="1"/>
  <c r="O52" i="1"/>
  <c r="J52" i="1"/>
  <c r="I52" i="1"/>
  <c r="D52" i="1"/>
  <c r="V48" i="1"/>
  <c r="U48" i="1"/>
  <c r="T48" i="1"/>
  <c r="S48" i="1"/>
  <c r="R48" i="1"/>
  <c r="Q48" i="1"/>
  <c r="P48" i="1"/>
  <c r="O48" i="1"/>
  <c r="J48" i="1"/>
  <c r="I48" i="1"/>
  <c r="D48" i="1"/>
  <c r="V35" i="1"/>
  <c r="V29" i="1"/>
  <c r="V33" i="1"/>
  <c r="V32" i="1"/>
  <c r="U32" i="1"/>
  <c r="T32" i="1"/>
  <c r="S32" i="1"/>
  <c r="R32" i="1"/>
  <c r="Q32" i="1"/>
  <c r="P32" i="1"/>
  <c r="O32" i="1"/>
  <c r="J32" i="1"/>
  <c r="I32" i="1"/>
  <c r="D32" i="1"/>
  <c r="V28" i="1"/>
  <c r="V27" i="1"/>
  <c r="V13" i="1"/>
  <c r="H13" i="1"/>
  <c r="G13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V19" i="1"/>
  <c r="U19" i="1"/>
  <c r="T19" i="1"/>
  <c r="S19" i="1"/>
  <c r="R19" i="1"/>
  <c r="Q19" i="1"/>
  <c r="P19" i="1"/>
  <c r="O19" i="1"/>
  <c r="J19" i="1"/>
  <c r="I19" i="1"/>
  <c r="H19" i="1"/>
  <c r="G19" i="1"/>
  <c r="D19" i="1"/>
  <c r="V17" i="1"/>
  <c r="U17" i="1"/>
  <c r="T17" i="1"/>
  <c r="S17" i="1"/>
  <c r="R17" i="1"/>
  <c r="Q17" i="1"/>
  <c r="P17" i="1"/>
  <c r="O17" i="1"/>
  <c r="J17" i="1"/>
  <c r="I17" i="1"/>
  <c r="K17" i="1" s="1"/>
  <c r="D17" i="1"/>
  <c r="M17" i="1" s="1"/>
  <c r="V15" i="1"/>
  <c r="U15" i="1"/>
  <c r="T15" i="1"/>
  <c r="S15" i="1"/>
  <c r="R15" i="1"/>
  <c r="Q15" i="1"/>
  <c r="P15" i="1"/>
  <c r="O15" i="1"/>
  <c r="J15" i="1"/>
  <c r="I15" i="1"/>
  <c r="L15" i="1" s="1"/>
  <c r="H15" i="1"/>
  <c r="G15" i="1"/>
  <c r="D15" i="1"/>
  <c r="V11" i="1"/>
  <c r="U11" i="1"/>
  <c r="T11" i="1"/>
  <c r="S11" i="1"/>
  <c r="R11" i="1"/>
  <c r="Q11" i="1"/>
  <c r="P11" i="1"/>
  <c r="O11" i="1"/>
  <c r="J11" i="1"/>
  <c r="I11" i="1"/>
  <c r="L11" i="1" s="1"/>
  <c r="H11" i="1"/>
  <c r="G11" i="1"/>
  <c r="D11" i="1"/>
  <c r="V10" i="1"/>
  <c r="U10" i="1"/>
  <c r="T10" i="1"/>
  <c r="S10" i="1"/>
  <c r="R10" i="1"/>
  <c r="Q10" i="1"/>
  <c r="P10" i="1"/>
  <c r="O10" i="1"/>
  <c r="J10" i="1"/>
  <c r="I10" i="1"/>
  <c r="H10" i="1"/>
  <c r="G10" i="1"/>
  <c r="D10" i="1"/>
  <c r="V8" i="1"/>
  <c r="U8" i="1"/>
  <c r="T8" i="1"/>
  <c r="S8" i="1"/>
  <c r="R8" i="1"/>
  <c r="Q8" i="1"/>
  <c r="P8" i="1"/>
  <c r="O8" i="1"/>
  <c r="J8" i="1"/>
  <c r="I8" i="1"/>
  <c r="K8" i="1" s="1"/>
  <c r="D8" i="1"/>
  <c r="M8" i="1" s="1"/>
  <c r="L221" i="1"/>
  <c r="N221" i="1"/>
  <c r="M221" i="1"/>
  <c r="K221" i="1"/>
  <c r="M32" i="1" l="1"/>
  <c r="M48" i="1"/>
  <c r="L52" i="1"/>
  <c r="M59" i="1"/>
  <c r="M63" i="1"/>
  <c r="M65" i="1"/>
  <c r="L66" i="1"/>
  <c r="L70" i="1"/>
  <c r="L85" i="1"/>
  <c r="M108" i="1"/>
  <c r="L111" i="1"/>
  <c r="L130" i="1"/>
  <c r="M134" i="1"/>
  <c r="L153" i="1"/>
  <c r="K224" i="1"/>
  <c r="K148" i="1"/>
  <c r="L241" i="1"/>
  <c r="L93" i="1"/>
  <c r="K194" i="1"/>
  <c r="K154" i="1"/>
  <c r="L257" i="1"/>
  <c r="L253" i="1"/>
  <c r="L236" i="1"/>
  <c r="L131" i="1"/>
  <c r="M139" i="1"/>
  <c r="M152" i="1"/>
  <c r="M179" i="1"/>
  <c r="L194" i="1"/>
  <c r="L202" i="1"/>
  <c r="L222" i="1"/>
  <c r="K111" i="1"/>
  <c r="U303" i="1"/>
  <c r="T303" i="1" s="1"/>
  <c r="V303" i="1" s="1"/>
  <c r="W303" i="1" s="1"/>
  <c r="L168" i="1"/>
  <c r="K57" i="1"/>
  <c r="L234" i="1"/>
  <c r="K234" i="1"/>
  <c r="L206" i="1"/>
  <c r="K168" i="1"/>
  <c r="K206" i="1"/>
  <c r="L248" i="1"/>
  <c r="K197" i="1"/>
  <c r="K187" i="1"/>
  <c r="K177" i="1"/>
  <c r="K175" i="1"/>
  <c r="K165" i="1"/>
  <c r="K163" i="1"/>
  <c r="K138" i="1"/>
  <c r="K134" i="1"/>
  <c r="K125" i="1"/>
  <c r="K83" i="1"/>
  <c r="K66" i="1"/>
  <c r="K64" i="1"/>
  <c r="K62" i="1"/>
  <c r="G667" i="1"/>
  <c r="L184" i="1"/>
  <c r="K202" i="1"/>
  <c r="K192" i="1"/>
  <c r="K190" i="1"/>
  <c r="K188" i="1"/>
  <c r="K185" i="1"/>
  <c r="K183" i="1"/>
  <c r="K158" i="1"/>
  <c r="K156" i="1"/>
  <c r="K152" i="1"/>
  <c r="K146" i="1"/>
  <c r="M131" i="1"/>
  <c r="K123" i="1"/>
  <c r="K70" i="1"/>
  <c r="M110" i="1"/>
  <c r="M107" i="1"/>
  <c r="L29" i="1"/>
  <c r="U300" i="1"/>
  <c r="T300" i="1" s="1"/>
  <c r="L160" i="1"/>
  <c r="U315" i="1"/>
  <c r="T315" i="1" s="1"/>
  <c r="V315" i="1" s="1"/>
  <c r="W315" i="1" s="1"/>
  <c r="M27" i="1"/>
  <c r="L27" i="1"/>
  <c r="K29" i="1"/>
  <c r="L176" i="1"/>
  <c r="M224" i="1"/>
  <c r="L233" i="1"/>
  <c r="M235" i="1"/>
  <c r="M247" i="1"/>
  <c r="M249" i="1"/>
  <c r="M254" i="1"/>
  <c r="L255" i="1"/>
  <c r="M261" i="1"/>
  <c r="L237" i="1"/>
  <c r="V300" i="1"/>
  <c r="W300" i="1" s="1"/>
  <c r="M237" i="1"/>
  <c r="W109" i="1"/>
  <c r="L71" i="1"/>
  <c r="L36" i="1"/>
  <c r="L147" i="1"/>
  <c r="W9" i="1"/>
  <c r="W259" i="1"/>
  <c r="M43" i="1"/>
  <c r="K204" i="1"/>
  <c r="K200" i="1"/>
  <c r="K198" i="1"/>
  <c r="K196" i="1"/>
  <c r="K181" i="1"/>
  <c r="K179" i="1"/>
  <c r="K176" i="1"/>
  <c r="K174" i="1"/>
  <c r="K167" i="1"/>
  <c r="K162" i="1"/>
  <c r="K160" i="1"/>
  <c r="K143" i="1"/>
  <c r="K139" i="1"/>
  <c r="K136" i="1"/>
  <c r="K131" i="1"/>
  <c r="K128" i="1"/>
  <c r="K126" i="1"/>
  <c r="K121" i="1"/>
  <c r="K116" i="1"/>
  <c r="K108" i="1"/>
  <c r="K93" i="1"/>
  <c r="K85" i="1"/>
  <c r="K78" i="1"/>
  <c r="K72" i="1"/>
  <c r="K65" i="1"/>
  <c r="K63" i="1"/>
  <c r="K58" i="1"/>
  <c r="K53" i="1"/>
  <c r="K48" i="1"/>
  <c r="K42" i="1"/>
  <c r="K32" i="1"/>
  <c r="L109" i="1"/>
  <c r="L30" i="1"/>
  <c r="M76" i="1"/>
  <c r="K205" i="1"/>
  <c r="K201" i="1"/>
  <c r="K195" i="1"/>
  <c r="K193" i="1"/>
  <c r="K191" i="1"/>
  <c r="K184" i="1"/>
  <c r="N12" i="1"/>
  <c r="L263" i="1"/>
  <c r="L250" i="1"/>
  <c r="L246" i="1"/>
  <c r="M234" i="1"/>
  <c r="M359" i="1"/>
  <c r="L359" i="1" s="1"/>
  <c r="N359" i="1" s="1"/>
  <c r="M192" i="1"/>
  <c r="L169" i="1"/>
  <c r="L148" i="1"/>
  <c r="M360" i="1"/>
  <c r="L360" i="1" s="1"/>
  <c r="N360" i="1" s="1"/>
  <c r="K182" i="1"/>
  <c r="K180" i="1"/>
  <c r="K171" i="1"/>
  <c r="M163" i="1"/>
  <c r="K161" i="1"/>
  <c r="M159" i="1"/>
  <c r="K157" i="1"/>
  <c r="K155" i="1"/>
  <c r="K153" i="1"/>
  <c r="K149" i="1"/>
  <c r="M138" i="1"/>
  <c r="K130" i="1"/>
  <c r="L125" i="1"/>
  <c r="K118" i="1"/>
  <c r="K114" i="1"/>
  <c r="K110" i="1"/>
  <c r="L107" i="1"/>
  <c r="K92" i="1"/>
  <c r="K79" i="1"/>
  <c r="K75" i="1"/>
  <c r="K71" i="1"/>
  <c r="K69" i="1"/>
  <c r="L59" i="1"/>
  <c r="K52" i="1"/>
  <c r="K49" i="1"/>
  <c r="K43" i="1"/>
  <c r="K40" i="1"/>
  <c r="K36" i="1"/>
  <c r="M34" i="1"/>
  <c r="P360" i="1"/>
  <c r="M38" i="1"/>
  <c r="M35" i="1"/>
  <c r="K35" i="1"/>
  <c r="L28" i="1"/>
  <c r="M365" i="1"/>
  <c r="L365" i="1" s="1"/>
  <c r="P365" i="1" s="1"/>
  <c r="U304" i="1"/>
  <c r="T304" i="1" s="1"/>
  <c r="V304" i="1" s="1"/>
  <c r="W304" i="1" s="1"/>
  <c r="U307" i="1"/>
  <c r="T307" i="1" s="1"/>
  <c r="V307" i="1" s="1"/>
  <c r="W307" i="1" s="1"/>
  <c r="U302" i="1"/>
  <c r="T302" i="1" s="1"/>
  <c r="V302" i="1" s="1"/>
  <c r="W302" i="1" s="1"/>
  <c r="U299" i="1"/>
  <c r="T299" i="1" s="1"/>
  <c r="V299" i="1" s="1"/>
  <c r="W299" i="1" s="1"/>
  <c r="K28" i="1"/>
  <c r="M189" i="1"/>
  <c r="K189" i="1"/>
  <c r="N127" i="1"/>
  <c r="L112" i="1"/>
  <c r="K112" i="1"/>
  <c r="L33" i="1"/>
  <c r="K33" i="1"/>
  <c r="M366" i="1"/>
  <c r="L366" i="1" s="1"/>
  <c r="P366" i="1" s="1"/>
  <c r="U312" i="1"/>
  <c r="T312" i="1" s="1"/>
  <c r="V312" i="1" s="1"/>
  <c r="W312" i="1" s="1"/>
  <c r="U316" i="1"/>
  <c r="T316" i="1" s="1"/>
  <c r="V316" i="1" s="1"/>
  <c r="W316" i="1" s="1"/>
  <c r="K27" i="1"/>
  <c r="K263" i="1"/>
  <c r="K250" i="1"/>
  <c r="K169" i="1"/>
  <c r="K107" i="1"/>
  <c r="K159" i="1"/>
  <c r="M206" i="1"/>
  <c r="M136" i="1"/>
  <c r="M118" i="1"/>
  <c r="M130" i="1"/>
  <c r="K38" i="1"/>
  <c r="K59" i="1"/>
  <c r="U298" i="1"/>
  <c r="W298" i="1" s="1"/>
  <c r="U305" i="1"/>
  <c r="T305" i="1" s="1"/>
  <c r="V305" i="1" s="1"/>
  <c r="W305" i="1" s="1"/>
  <c r="U306" i="1"/>
  <c r="T306" i="1" s="1"/>
  <c r="V306" i="1" s="1"/>
  <c r="W306" i="1" s="1"/>
  <c r="N27" i="1"/>
  <c r="U318" i="1"/>
  <c r="T318" i="1" s="1"/>
  <c r="V318" i="1" s="1"/>
  <c r="W318" i="1" s="1"/>
  <c r="M40" i="1"/>
  <c r="L57" i="1"/>
  <c r="M62" i="1"/>
  <c r="N63" i="1"/>
  <c r="M64" i="1"/>
  <c r="L65" i="1"/>
  <c r="L69" i="1"/>
  <c r="L75" i="1"/>
  <c r="M78" i="1"/>
  <c r="L83" i="1"/>
  <c r="L92" i="1"/>
  <c r="L108" i="1"/>
  <c r="M111" i="1"/>
  <c r="L114" i="1"/>
  <c r="M116" i="1"/>
  <c r="M121" i="1"/>
  <c r="L126" i="1"/>
  <c r="L134" i="1"/>
  <c r="L139" i="1"/>
  <c r="L143" i="1"/>
  <c r="L149" i="1"/>
  <c r="L152" i="1"/>
  <c r="M153" i="1"/>
  <c r="L154" i="1"/>
  <c r="M155" i="1"/>
  <c r="L156" i="1"/>
  <c r="M157" i="1"/>
  <c r="L158" i="1"/>
  <c r="L165" i="1"/>
  <c r="M171" i="1"/>
  <c r="M175" i="1"/>
  <c r="M177" i="1"/>
  <c r="L179" i="1"/>
  <c r="L180" i="1"/>
  <c r="L191" i="1"/>
  <c r="L193" i="1"/>
  <c r="L195" i="1"/>
  <c r="M197" i="1"/>
  <c r="L198" i="1"/>
  <c r="L201" i="1"/>
  <c r="L204" i="1"/>
  <c r="L232" i="1"/>
  <c r="L242" i="1"/>
  <c r="M246" i="1"/>
  <c r="M253" i="1"/>
  <c r="L256" i="1"/>
  <c r="M9" i="1"/>
  <c r="U319" i="1"/>
  <c r="T319" i="1" s="1"/>
  <c r="V319" i="1" s="1"/>
  <c r="W319" i="1" s="1"/>
  <c r="M208" i="1"/>
  <c r="N30" i="1"/>
  <c r="N76" i="1"/>
  <c r="M28" i="1"/>
  <c r="L200" i="1"/>
  <c r="N53" i="1"/>
  <c r="L162" i="1"/>
  <c r="M49" i="1"/>
  <c r="M113" i="1"/>
  <c r="L127" i="1"/>
  <c r="M243" i="1"/>
  <c r="K199" i="1"/>
  <c r="M187" i="1"/>
  <c r="L161" i="1"/>
  <c r="K127" i="1"/>
  <c r="W27" i="1"/>
  <c r="W112" i="1"/>
  <c r="L157" i="1"/>
  <c r="M168" i="1"/>
  <c r="W107" i="1"/>
  <c r="L177" i="1"/>
  <c r="W169" i="1"/>
  <c r="M191" i="1"/>
  <c r="M195" i="1"/>
  <c r="M201" i="1"/>
  <c r="K30" i="1"/>
  <c r="W231" i="1"/>
  <c r="M79" i="1"/>
  <c r="N29" i="1"/>
  <c r="M33" i="1"/>
  <c r="N110" i="1"/>
  <c r="M71" i="1"/>
  <c r="M36" i="1"/>
  <c r="L40" i="1"/>
  <c r="K76" i="1"/>
  <c r="L76" i="1"/>
  <c r="K208" i="1"/>
  <c r="L208" i="1"/>
  <c r="N107" i="1"/>
  <c r="L231" i="1"/>
  <c r="W76" i="1"/>
  <c r="M141" i="1"/>
  <c r="L34" i="1"/>
  <c r="N199" i="1"/>
  <c r="W199" i="1"/>
  <c r="N118" i="1"/>
  <c r="N125" i="1"/>
  <c r="W125" i="1"/>
  <c r="L17" i="1"/>
  <c r="W42" i="1"/>
  <c r="W72" i="1"/>
  <c r="M256" i="1"/>
  <c r="M242" i="1"/>
  <c r="M232" i="1"/>
  <c r="M188" i="1"/>
  <c r="M185" i="1"/>
  <c r="M169" i="1"/>
  <c r="M162" i="1"/>
  <c r="L123" i="1"/>
  <c r="M85" i="1"/>
  <c r="L63" i="1"/>
  <c r="L32" i="1"/>
  <c r="M258" i="1"/>
  <c r="M251" i="1"/>
  <c r="N243" i="1"/>
  <c r="K231" i="1"/>
  <c r="M14" i="1"/>
  <c r="N109" i="1"/>
  <c r="N8" i="1"/>
  <c r="M29" i="1"/>
  <c r="W222" i="1"/>
  <c r="N169" i="1"/>
  <c r="N237" i="1"/>
  <c r="M160" i="1"/>
  <c r="M112" i="1"/>
  <c r="N112" i="1"/>
  <c r="K34" i="1"/>
  <c r="L64" i="1"/>
  <c r="N64" i="1"/>
  <c r="N122" i="1"/>
  <c r="M122" i="1"/>
  <c r="L259" i="1"/>
  <c r="M236" i="1"/>
  <c r="M222" i="1"/>
  <c r="K113" i="1"/>
  <c r="L113" i="1"/>
  <c r="N111" i="1"/>
  <c r="M362" i="1"/>
  <c r="L362" i="1" s="1"/>
  <c r="N362" i="1" s="1"/>
  <c r="L80" i="1"/>
  <c r="K80" i="1"/>
  <c r="M72" i="1"/>
  <c r="L72" i="1"/>
  <c r="K50" i="1"/>
  <c r="L50" i="1"/>
  <c r="M363" i="1"/>
  <c r="L363" i="1" s="1"/>
  <c r="N363" i="1" s="1"/>
  <c r="U321" i="1"/>
  <c r="T321" i="1" s="1"/>
  <c r="V321" i="1" s="1"/>
  <c r="W321" i="1" s="1"/>
  <c r="U314" i="1"/>
  <c r="T314" i="1" s="1"/>
  <c r="V314" i="1" s="1"/>
  <c r="W314" i="1" s="1"/>
  <c r="U320" i="1"/>
  <c r="T320" i="1" s="1"/>
  <c r="V320" i="1" s="1"/>
  <c r="W320" i="1" s="1"/>
  <c r="U317" i="1"/>
  <c r="T317" i="1" s="1"/>
  <c r="V317" i="1" s="1"/>
  <c r="W317" i="1" s="1"/>
  <c r="U313" i="1"/>
  <c r="T313" i="1" s="1"/>
  <c r="V313" i="1" s="1"/>
  <c r="M109" i="1"/>
  <c r="K109" i="1"/>
  <c r="N208" i="1"/>
  <c r="M30" i="1"/>
  <c r="N34" i="1"/>
  <c r="L48" i="1"/>
  <c r="W48" i="1"/>
  <c r="M58" i="1"/>
  <c r="W65" i="1"/>
  <c r="M67" i="1"/>
  <c r="M70" i="1"/>
  <c r="L128" i="1"/>
  <c r="M146" i="1"/>
  <c r="M167" i="1"/>
  <c r="M183" i="1"/>
  <c r="M190" i="1"/>
  <c r="M194" i="1"/>
  <c r="M202" i="1"/>
  <c r="L207" i="1"/>
  <c r="N28" i="1"/>
  <c r="W30" i="1"/>
  <c r="N222" i="1"/>
  <c r="M53" i="1"/>
  <c r="L181" i="1"/>
  <c r="L174" i="1"/>
  <c r="N113" i="1"/>
  <c r="W8" i="1"/>
  <c r="M368" i="1"/>
  <c r="L368" i="1" s="1"/>
  <c r="P368" i="1" s="1"/>
  <c r="K11" i="1"/>
  <c r="M15" i="1"/>
  <c r="K19" i="1"/>
  <c r="N19" i="1"/>
  <c r="W20" i="1"/>
  <c r="W32" i="1"/>
  <c r="N57" i="1"/>
  <c r="W58" i="1"/>
  <c r="W59" i="1"/>
  <c r="W62" i="1"/>
  <c r="N67" i="1"/>
  <c r="N69" i="1"/>
  <c r="W70" i="1"/>
  <c r="W74" i="1"/>
  <c r="W75" i="1"/>
  <c r="W78" i="1"/>
  <c r="W80" i="1"/>
  <c r="W83" i="1"/>
  <c r="W86" i="1"/>
  <c r="W88" i="1"/>
  <c r="N92" i="1"/>
  <c r="W93" i="1"/>
  <c r="W111" i="1"/>
  <c r="N114" i="1"/>
  <c r="W114" i="1"/>
  <c r="N116" i="1"/>
  <c r="N121" i="1"/>
  <c r="W121" i="1"/>
  <c r="N126" i="1"/>
  <c r="N128" i="1"/>
  <c r="W128" i="1"/>
  <c r="W130" i="1"/>
  <c r="W131" i="1"/>
  <c r="W134" i="1"/>
  <c r="W136" i="1"/>
  <c r="W139" i="1"/>
  <c r="W138" i="1"/>
  <c r="W143" i="1"/>
  <c r="N146" i="1"/>
  <c r="W146" i="1"/>
  <c r="W149" i="1"/>
  <c r="W150" i="1"/>
  <c r="W152" i="1"/>
  <c r="W153" i="1"/>
  <c r="W154" i="1"/>
  <c r="N155" i="1"/>
  <c r="W155" i="1"/>
  <c r="W156" i="1"/>
  <c r="W157" i="1"/>
  <c r="N158" i="1"/>
  <c r="W158" i="1"/>
  <c r="N159" i="1"/>
  <c r="W159" i="1"/>
  <c r="W165" i="1"/>
  <c r="N167" i="1"/>
  <c r="W167" i="1"/>
  <c r="W168" i="1"/>
  <c r="N171" i="1"/>
  <c r="W171" i="1"/>
  <c r="W173" i="1"/>
  <c r="W163" i="1"/>
  <c r="N175" i="1"/>
  <c r="W175" i="1"/>
  <c r="W176" i="1"/>
  <c r="W177" i="1"/>
  <c r="W179" i="1"/>
  <c r="W180" i="1"/>
  <c r="N183" i="1"/>
  <c r="N239" i="1"/>
  <c r="W178" i="1"/>
  <c r="W183" i="1"/>
  <c r="N184" i="1"/>
  <c r="W184" i="1"/>
  <c r="N185" i="1"/>
  <c r="W185" i="1"/>
  <c r="N188" i="1"/>
  <c r="W188" i="1"/>
  <c r="W190" i="1"/>
  <c r="W191" i="1"/>
  <c r="W192" i="1"/>
  <c r="W193" i="1"/>
  <c r="W194" i="1"/>
  <c r="W195" i="1"/>
  <c r="W197" i="1"/>
  <c r="W198" i="1"/>
  <c r="W201" i="1"/>
  <c r="W202" i="1"/>
  <c r="W204" i="1"/>
  <c r="W206" i="1"/>
  <c r="W207" i="1"/>
  <c r="W224" i="1"/>
  <c r="W232" i="1"/>
  <c r="M353" i="1"/>
  <c r="W233" i="1"/>
  <c r="W235" i="1"/>
  <c r="N236" i="1"/>
  <c r="W236" i="1"/>
  <c r="W241" i="1"/>
  <c r="W242" i="1"/>
  <c r="W247" i="1"/>
  <c r="W248" i="1"/>
  <c r="N249" i="1"/>
  <c r="W249" i="1"/>
  <c r="W250" i="1"/>
  <c r="N251" i="1"/>
  <c r="W251" i="1"/>
  <c r="W253" i="1"/>
  <c r="W254" i="1"/>
  <c r="W255" i="1"/>
  <c r="W256" i="1"/>
  <c r="N257" i="1"/>
  <c r="W257" i="1"/>
  <c r="W258" i="1"/>
  <c r="W262" i="1"/>
  <c r="W263" i="1"/>
  <c r="W264" i="1"/>
  <c r="M123" i="1"/>
  <c r="N163" i="1"/>
  <c r="W12" i="1"/>
  <c r="W28" i="1"/>
  <c r="N35" i="1"/>
  <c r="L118" i="1"/>
  <c r="L196" i="1"/>
  <c r="K259" i="1"/>
  <c r="M200" i="1"/>
  <c r="M181" i="1"/>
  <c r="W60" i="1"/>
  <c r="M174" i="1"/>
  <c r="W34" i="1"/>
  <c r="K14" i="1"/>
  <c r="W37" i="1"/>
  <c r="M225" i="1"/>
  <c r="M230" i="1"/>
  <c r="W239" i="1"/>
  <c r="K243" i="1"/>
  <c r="N166" i="1"/>
  <c r="L249" i="1"/>
  <c r="N246" i="1"/>
  <c r="N242" i="1"/>
  <c r="L188" i="1"/>
  <c r="L185" i="1"/>
  <c r="L183" i="1"/>
  <c r="L163" i="1"/>
  <c r="M128" i="1"/>
  <c r="N194" i="1"/>
  <c r="L251" i="1"/>
  <c r="N157" i="1"/>
  <c r="N32" i="1"/>
  <c r="N160" i="1"/>
  <c r="L199" i="1"/>
  <c r="W43" i="1"/>
  <c r="W182" i="1"/>
  <c r="W122" i="1"/>
  <c r="L60" i="1"/>
  <c r="K7" i="1"/>
  <c r="W181" i="1"/>
  <c r="N72" i="1"/>
  <c r="N162" i="1"/>
  <c r="W203" i="1"/>
  <c r="W174" i="1"/>
  <c r="W49" i="1"/>
  <c r="N227" i="1"/>
  <c r="L239" i="1"/>
  <c r="N16" i="1"/>
  <c r="W16" i="1"/>
  <c r="M50" i="1"/>
  <c r="N141" i="1"/>
  <c r="L227" i="1"/>
  <c r="M203" i="1"/>
  <c r="M147" i="1"/>
  <c r="L144" i="1"/>
  <c r="M127" i="1"/>
  <c r="M166" i="1"/>
  <c r="W261" i="1"/>
  <c r="W189" i="1"/>
  <c r="N200" i="1"/>
  <c r="W81" i="1"/>
  <c r="W187" i="1"/>
  <c r="N13" i="1"/>
  <c r="N42" i="1"/>
  <c r="W71" i="1"/>
  <c r="W53" i="1"/>
  <c r="W161" i="1"/>
  <c r="K203" i="1"/>
  <c r="N50" i="1"/>
  <c r="N234" i="1"/>
  <c r="N36" i="1"/>
  <c r="N147" i="1"/>
  <c r="K60" i="1"/>
  <c r="L243" i="1"/>
  <c r="N49" i="1"/>
  <c r="N259" i="1"/>
  <c r="N9" i="1"/>
  <c r="W208" i="1"/>
  <c r="L166" i="1"/>
  <c r="W246" i="1"/>
  <c r="N233" i="1"/>
  <c r="N232" i="1"/>
  <c r="L171" i="1"/>
  <c r="L167" i="1"/>
  <c r="L159" i="1"/>
  <c r="L155" i="1"/>
  <c r="N153" i="1"/>
  <c r="M126" i="1"/>
  <c r="M114" i="1"/>
  <c r="N108" i="1"/>
  <c r="L10" i="1"/>
  <c r="L35" i="1"/>
  <c r="N131" i="1"/>
  <c r="N130" i="1"/>
  <c r="N123" i="1"/>
  <c r="M92" i="1"/>
  <c r="L67" i="1"/>
  <c r="N256" i="1"/>
  <c r="N168" i="1"/>
  <c r="L121" i="1"/>
  <c r="L116" i="1"/>
  <c r="N10" i="1"/>
  <c r="N11" i="1"/>
  <c r="K15" i="1"/>
  <c r="W15" i="1"/>
  <c r="W237" i="1"/>
  <c r="W148" i="1"/>
  <c r="W160" i="1"/>
  <c r="W141" i="1"/>
  <c r="M231" i="1"/>
  <c r="M227" i="1"/>
  <c r="N205" i="1"/>
  <c r="M182" i="1"/>
  <c r="L141" i="1"/>
  <c r="M125" i="1"/>
  <c r="L122" i="1"/>
  <c r="L110" i="1"/>
  <c r="M81" i="1"/>
  <c r="L53" i="1"/>
  <c r="L42" i="1"/>
  <c r="W87" i="1"/>
  <c r="L58" i="1"/>
  <c r="N58" i="1"/>
  <c r="N62" i="1"/>
  <c r="L62" i="1"/>
  <c r="U333" i="1"/>
  <c r="T333" i="1" s="1"/>
  <c r="V333" i="1" s="1"/>
  <c r="W333" i="1" s="1"/>
  <c r="N165" i="1"/>
  <c r="M165" i="1"/>
  <c r="N180" i="1"/>
  <c r="M180" i="1"/>
  <c r="L192" i="1"/>
  <c r="N192" i="1"/>
  <c r="N204" i="1"/>
  <c r="M204" i="1"/>
  <c r="N207" i="1"/>
  <c r="M207" i="1"/>
  <c r="N248" i="1"/>
  <c r="M248" i="1"/>
  <c r="L258" i="1"/>
  <c r="N258" i="1"/>
  <c r="N261" i="1"/>
  <c r="L261" i="1"/>
  <c r="M263" i="1"/>
  <c r="N263" i="1"/>
  <c r="L19" i="1"/>
  <c r="U329" i="1"/>
  <c r="T329" i="1" s="1"/>
  <c r="V329" i="1" s="1"/>
  <c r="W329" i="1" s="1"/>
  <c r="N48" i="1"/>
  <c r="N195" i="1"/>
  <c r="N191" i="1"/>
  <c r="M69" i="1"/>
  <c r="N85" i="1"/>
  <c r="N17" i="1"/>
  <c r="M57" i="1"/>
  <c r="U335" i="1"/>
  <c r="T335" i="1" s="1"/>
  <c r="V335" i="1" s="1"/>
  <c r="W335" i="1" s="1"/>
  <c r="U327" i="1"/>
  <c r="T327" i="1" s="1"/>
  <c r="V327" i="1" s="1"/>
  <c r="W327" i="1" s="1"/>
  <c r="L8" i="1"/>
  <c r="K10" i="1"/>
  <c r="M10" i="1"/>
  <c r="W123" i="1"/>
  <c r="W38" i="1"/>
  <c r="W10" i="1"/>
  <c r="W11" i="1"/>
  <c r="N15" i="1"/>
  <c r="W17" i="1"/>
  <c r="W19" i="1"/>
  <c r="K13" i="1"/>
  <c r="W52" i="1"/>
  <c r="W57" i="1"/>
  <c r="N59" i="1"/>
  <c r="W63" i="1"/>
  <c r="W64" i="1"/>
  <c r="N65" i="1"/>
  <c r="W66" i="1"/>
  <c r="W67" i="1"/>
  <c r="W69" i="1"/>
  <c r="N70" i="1"/>
  <c r="W84" i="1"/>
  <c r="W85" i="1"/>
  <c r="W92" i="1"/>
  <c r="W108" i="1"/>
  <c r="W35" i="1"/>
  <c r="N189" i="1"/>
  <c r="N79" i="1"/>
  <c r="W116" i="1"/>
  <c r="W126" i="1"/>
  <c r="L79" i="1"/>
  <c r="M199" i="1"/>
  <c r="N231" i="1"/>
  <c r="M259" i="1"/>
  <c r="K81" i="1"/>
  <c r="N40" i="1"/>
  <c r="K147" i="1"/>
  <c r="L189" i="1"/>
  <c r="M205" i="1"/>
  <c r="K144" i="1"/>
  <c r="M144" i="1"/>
  <c r="N144" i="1"/>
  <c r="W29" i="1"/>
  <c r="N33" i="1"/>
  <c r="M7" i="1"/>
  <c r="W36" i="1"/>
  <c r="K122" i="1"/>
  <c r="W144" i="1"/>
  <c r="L205" i="1"/>
  <c r="N71" i="1"/>
  <c r="AO291" i="1"/>
  <c r="AP291" i="1" s="1"/>
  <c r="N164" i="1"/>
  <c r="W164" i="1"/>
  <c r="N43" i="1"/>
  <c r="K141" i="1"/>
  <c r="K227" i="1"/>
  <c r="N54" i="1"/>
  <c r="W54" i="1"/>
  <c r="M54" i="1"/>
  <c r="M87" i="1"/>
  <c r="N87" i="1"/>
  <c r="K166" i="1"/>
  <c r="W13" i="1"/>
  <c r="W110" i="1"/>
  <c r="W243" i="1"/>
  <c r="W40" i="1"/>
  <c r="W113" i="1"/>
  <c r="W170" i="1"/>
  <c r="W166" i="1"/>
  <c r="N129" i="1"/>
  <c r="W129" i="1"/>
  <c r="W117" i="1"/>
  <c r="N151" i="1"/>
  <c r="W151" i="1"/>
  <c r="W135" i="1"/>
  <c r="N178" i="1"/>
  <c r="W45" i="1"/>
  <c r="N74" i="1"/>
  <c r="M74" i="1"/>
  <c r="N75" i="1"/>
  <c r="M75" i="1"/>
  <c r="N80" i="1"/>
  <c r="M80" i="1"/>
  <c r="N83" i="1"/>
  <c r="M83" i="1"/>
  <c r="L136" i="1"/>
  <c r="M364" i="1"/>
  <c r="L364" i="1" s="1"/>
  <c r="M143" i="1"/>
  <c r="N143" i="1"/>
  <c r="N154" i="1"/>
  <c r="M154" i="1"/>
  <c r="M176" i="1"/>
  <c r="N176" i="1"/>
  <c r="N255" i="1"/>
  <c r="M257" i="1"/>
  <c r="N247" i="1"/>
  <c r="N241" i="1"/>
  <c r="N235" i="1"/>
  <c r="N224" i="1"/>
  <c r="L175" i="1"/>
  <c r="L146" i="1"/>
  <c r="M367" i="1"/>
  <c r="L367" i="1" s="1"/>
  <c r="M301" i="1"/>
  <c r="L301" i="1" s="1"/>
  <c r="U332" i="1"/>
  <c r="N139" i="1"/>
  <c r="N136" i="1"/>
  <c r="N134" i="1"/>
  <c r="N253" i="1"/>
  <c r="N201" i="1"/>
  <c r="N254" i="1"/>
  <c r="M361" i="1"/>
  <c r="L361" i="1" s="1"/>
  <c r="N202" i="1"/>
  <c r="M184" i="1"/>
  <c r="N177" i="1"/>
  <c r="M158" i="1"/>
  <c r="N152" i="1"/>
  <c r="N179" i="1"/>
  <c r="N78" i="1"/>
  <c r="L78" i="1"/>
  <c r="M149" i="1"/>
  <c r="N149" i="1"/>
  <c r="M156" i="1"/>
  <c r="N156" i="1"/>
  <c r="N190" i="1"/>
  <c r="L190" i="1"/>
  <c r="M193" i="1"/>
  <c r="N193" i="1"/>
  <c r="N197" i="1"/>
  <c r="L197" i="1"/>
  <c r="M198" i="1"/>
  <c r="N198" i="1"/>
  <c r="N250" i="1"/>
  <c r="M250" i="1"/>
  <c r="M319" i="1"/>
  <c r="M318" i="1"/>
  <c r="N93" i="1"/>
  <c r="M93" i="1"/>
  <c r="N138" i="1"/>
  <c r="L138" i="1"/>
  <c r="M12" i="1"/>
  <c r="K12" i="1"/>
  <c r="M300" i="1"/>
  <c r="L300" i="1" s="1"/>
  <c r="K9" i="1"/>
  <c r="M299" i="1"/>
  <c r="L299" i="1" s="1"/>
  <c r="L81" i="1"/>
  <c r="N81" i="1"/>
  <c r="N38" i="1"/>
  <c r="L38" i="1"/>
  <c r="U334" i="1"/>
  <c r="U331" i="1"/>
  <c r="U328" i="1"/>
  <c r="U330" i="1"/>
  <c r="U326" i="1"/>
  <c r="L187" i="1"/>
  <c r="N187" i="1"/>
  <c r="M302" i="1"/>
  <c r="L302" i="1" s="1"/>
  <c r="M354" i="1"/>
  <c r="M298" i="1"/>
  <c r="U339" i="1"/>
  <c r="T339" i="1" s="1"/>
  <c r="U343" i="1"/>
  <c r="T343" i="1" s="1"/>
  <c r="U344" i="1"/>
  <c r="T344" i="1" s="1"/>
  <c r="U345" i="1"/>
  <c r="T345" i="1" s="1"/>
  <c r="U346" i="1"/>
  <c r="T346" i="1" s="1"/>
  <c r="U347" i="1"/>
  <c r="T347" i="1" s="1"/>
  <c r="U348" i="1"/>
  <c r="T348" i="1" s="1"/>
  <c r="U340" i="1"/>
  <c r="T340" i="1" s="1"/>
  <c r="U341" i="1"/>
  <c r="T341" i="1" s="1"/>
  <c r="U342" i="1"/>
  <c r="T342" i="1" s="1"/>
  <c r="M42" i="1"/>
  <c r="M13" i="1"/>
  <c r="M11" i="1"/>
  <c r="M19" i="1"/>
  <c r="N52" i="1"/>
  <c r="M52" i="1"/>
  <c r="N66" i="1"/>
  <c r="M66" i="1"/>
  <c r="M148" i="1"/>
  <c r="N148" i="1"/>
  <c r="N196" i="1"/>
  <c r="M196" i="1"/>
  <c r="W196" i="1"/>
  <c r="W118" i="1"/>
  <c r="W79" i="1"/>
  <c r="W33" i="1"/>
  <c r="W200" i="1"/>
  <c r="W205" i="1"/>
  <c r="W234" i="1"/>
  <c r="W147" i="1"/>
  <c r="W127" i="1"/>
  <c r="N161" i="1"/>
  <c r="M161" i="1"/>
  <c r="W162" i="1"/>
  <c r="M16" i="1"/>
  <c r="K16" i="1"/>
  <c r="N182" i="1"/>
  <c r="L182" i="1"/>
  <c r="W50" i="1"/>
  <c r="M60" i="1"/>
  <c r="N60" i="1"/>
  <c r="W82" i="1"/>
  <c r="M239" i="1"/>
  <c r="K239" i="1"/>
  <c r="K230" i="1"/>
  <c r="N230" i="1"/>
  <c r="L230" i="1"/>
  <c r="K225" i="1"/>
  <c r="N225" i="1"/>
  <c r="L225" i="1"/>
  <c r="N181" i="1"/>
  <c r="N174" i="1"/>
  <c r="M164" i="1"/>
  <c r="L164" i="1"/>
  <c r="K164" i="1"/>
  <c r="N82" i="1"/>
  <c r="M82" i="1"/>
  <c r="L82" i="1"/>
  <c r="K82" i="1"/>
  <c r="L49" i="1"/>
  <c r="L43" i="1"/>
  <c r="U301" i="1"/>
  <c r="N203" i="1"/>
  <c r="L203" i="1"/>
  <c r="W225" i="1"/>
  <c r="W227" i="1"/>
  <c r="W230" i="1"/>
  <c r="K151" i="1"/>
  <c r="K129" i="1"/>
  <c r="K178" i="1"/>
  <c r="L151" i="1"/>
  <c r="L129" i="1"/>
  <c r="L178" i="1"/>
  <c r="M151" i="1"/>
  <c r="M178" i="1"/>
  <c r="K87" i="1"/>
  <c r="L87" i="1"/>
  <c r="P359" i="1" l="1"/>
  <c r="P363" i="1"/>
  <c r="P362" i="1"/>
  <c r="N366" i="1"/>
  <c r="W313" i="1"/>
  <c r="N365" i="1"/>
  <c r="N368" i="1"/>
  <c r="M314" i="1"/>
  <c r="L314" i="1" s="1"/>
  <c r="N314" i="1" s="1"/>
  <c r="M313" i="1"/>
  <c r="L313" i="1" s="1"/>
  <c r="M310" i="1"/>
  <c r="L310" i="1" s="1"/>
  <c r="N310" i="1" s="1"/>
  <c r="AA302" i="1"/>
  <c r="M309" i="1"/>
  <c r="L309" i="1" s="1"/>
  <c r="P309" i="1" s="1"/>
  <c r="Z302" i="1"/>
  <c r="P298" i="1"/>
  <c r="N298" i="1"/>
  <c r="N302" i="1"/>
  <c r="P302" i="1"/>
  <c r="T330" i="1"/>
  <c r="V330" i="1" s="1"/>
  <c r="W330" i="1" s="1"/>
  <c r="T331" i="1"/>
  <c r="V331" i="1" s="1"/>
  <c r="W331" i="1" s="1"/>
  <c r="AA338" i="1"/>
  <c r="AA351" i="1"/>
  <c r="AA324" i="1"/>
  <c r="AA318" i="1"/>
  <c r="AA354" i="1"/>
  <c r="AA346" i="1"/>
  <c r="AA342" i="1"/>
  <c r="AA332" i="1"/>
  <c r="AA326" i="1"/>
  <c r="AA335" i="1"/>
  <c r="AA317" i="1"/>
  <c r="AA311" i="1"/>
  <c r="N299" i="1"/>
  <c r="P299" i="1"/>
  <c r="N300" i="1"/>
  <c r="P300" i="1"/>
  <c r="M312" i="1"/>
  <c r="L312" i="1" s="1"/>
  <c r="AA296" i="1"/>
  <c r="AA300" i="1"/>
  <c r="N361" i="1"/>
  <c r="P361" i="1"/>
  <c r="N301" i="1"/>
  <c r="P301" i="1"/>
  <c r="AA316" i="1"/>
  <c r="AA310" i="1"/>
  <c r="AA313" i="1"/>
  <c r="AA323" i="1"/>
  <c r="AA330" i="1"/>
  <c r="AA349" i="1"/>
  <c r="AA357" i="1"/>
  <c r="AA331" i="1"/>
  <c r="AA336" i="1"/>
  <c r="Z336" i="1" s="1"/>
  <c r="AA341" i="1"/>
  <c r="AA345" i="1"/>
  <c r="AA352" i="1"/>
  <c r="AA359" i="1"/>
  <c r="AA350" i="1"/>
  <c r="Z350" i="1" s="1"/>
  <c r="AA340" i="1"/>
  <c r="AA329" i="1"/>
  <c r="AA347" i="1"/>
  <c r="AA321" i="1"/>
  <c r="AA322" i="1"/>
  <c r="N364" i="1"/>
  <c r="P364" i="1"/>
  <c r="AA358" i="1"/>
  <c r="AA304" i="1"/>
  <c r="AA303" i="1"/>
  <c r="AA297" i="1"/>
  <c r="M311" i="1"/>
  <c r="L311" i="1" s="1"/>
  <c r="T301" i="1"/>
  <c r="V301" i="1" s="1"/>
  <c r="W301" i="1" s="1"/>
  <c r="T326" i="1"/>
  <c r="V326" i="1" s="1"/>
  <c r="W326" i="1" s="1"/>
  <c r="T328" i="1"/>
  <c r="V328" i="1" s="1"/>
  <c r="W328" i="1" s="1"/>
  <c r="T334" i="1"/>
  <c r="V334" i="1" s="1"/>
  <c r="W334" i="1" s="1"/>
  <c r="AA298" i="1"/>
  <c r="AA305" i="1"/>
  <c r="T332" i="1"/>
  <c r="V332" i="1" s="1"/>
  <c r="W332" i="1" s="1"/>
  <c r="AA314" i="1"/>
  <c r="AA320" i="1"/>
  <c r="M315" i="1"/>
  <c r="L315" i="1" s="1"/>
  <c r="AA319" i="1"/>
  <c r="AA325" i="1"/>
  <c r="AA337" i="1"/>
  <c r="AA353" i="1"/>
  <c r="AA327" i="1"/>
  <c r="AA333" i="1"/>
  <c r="AA339" i="1"/>
  <c r="AA343" i="1"/>
  <c r="AA348" i="1"/>
  <c r="AA356" i="1"/>
  <c r="N367" i="1"/>
  <c r="P367" i="1"/>
  <c r="AA299" i="1"/>
  <c r="AA344" i="1"/>
  <c r="AA334" i="1"/>
  <c r="AA355" i="1"/>
  <c r="AA328" i="1"/>
  <c r="AA312" i="1"/>
  <c r="AA315" i="1"/>
  <c r="AA301" i="1"/>
  <c r="N309" i="1" l="1"/>
  <c r="P314" i="1"/>
  <c r="P310" i="1"/>
  <c r="N313" i="1"/>
  <c r="P313" i="1"/>
  <c r="Z312" i="1"/>
  <c r="Z355" i="1"/>
  <c r="Z356" i="1"/>
  <c r="Z333" i="1"/>
  <c r="Z325" i="1"/>
  <c r="P315" i="1"/>
  <c r="N315" i="1"/>
  <c r="Z314" i="1"/>
  <c r="Z298" i="1"/>
  <c r="Z304" i="1"/>
  <c r="Z347" i="1"/>
  <c r="Z359" i="1"/>
  <c r="Z330" i="1"/>
  <c r="Z296" i="1"/>
  <c r="Z335" i="1"/>
  <c r="Z332" i="1"/>
  <c r="Z346" i="1"/>
  <c r="Z318" i="1"/>
  <c r="Z351" i="1"/>
  <c r="AD302" i="1"/>
  <c r="AB302" i="1"/>
  <c r="AC302" i="1" s="1"/>
  <c r="Z301" i="1"/>
  <c r="Z344" i="1"/>
  <c r="Z343" i="1"/>
  <c r="Z353" i="1"/>
  <c r="Z297" i="1"/>
  <c r="Z322" i="1"/>
  <c r="Z340" i="1"/>
  <c r="Z345" i="1"/>
  <c r="Z357" i="1"/>
  <c r="Z313" i="1"/>
  <c r="Z316" i="1"/>
  <c r="Z311" i="1"/>
  <c r="Z315" i="1"/>
  <c r="Z328" i="1"/>
  <c r="Z334" i="1"/>
  <c r="Z299" i="1"/>
  <c r="Z348" i="1"/>
  <c r="Z339" i="1"/>
  <c r="Z327" i="1"/>
  <c r="Z337" i="1"/>
  <c r="Z319" i="1"/>
  <c r="Z320" i="1"/>
  <c r="Z305" i="1"/>
  <c r="N311" i="1"/>
  <c r="P311" i="1"/>
  <c r="Z303" i="1"/>
  <c r="Z358" i="1"/>
  <c r="Z321" i="1"/>
  <c r="Z329" i="1"/>
  <c r="Z352" i="1"/>
  <c r="Z341" i="1"/>
  <c r="Z331" i="1"/>
  <c r="Z349" i="1"/>
  <c r="Z323" i="1"/>
  <c r="Z310" i="1"/>
  <c r="Z300" i="1"/>
  <c r="N312" i="1"/>
  <c r="P312" i="1"/>
  <c r="Z317" i="1"/>
  <c r="Z326" i="1"/>
  <c r="Z342" i="1"/>
  <c r="Z354" i="1"/>
  <c r="Z324" i="1"/>
  <c r="Z338" i="1"/>
  <c r="AD324" i="1" l="1"/>
  <c r="AB324" i="1"/>
  <c r="AC324" i="1" s="1"/>
  <c r="AB317" i="1"/>
  <c r="AC317" i="1" s="1"/>
  <c r="AD317" i="1"/>
  <c r="AB310" i="1"/>
  <c r="AC310" i="1" s="1"/>
  <c r="AD310" i="1"/>
  <c r="AB349" i="1"/>
  <c r="AC349" i="1" s="1"/>
  <c r="AD349" i="1"/>
  <c r="AB341" i="1"/>
  <c r="AC341" i="1" s="1"/>
  <c r="AD341" i="1"/>
  <c r="AB350" i="1"/>
  <c r="AC350" i="1" s="1"/>
  <c r="AD350" i="1"/>
  <c r="AD329" i="1"/>
  <c r="AB329" i="1"/>
  <c r="AC329" i="1" s="1"/>
  <c r="AD321" i="1"/>
  <c r="AB321" i="1"/>
  <c r="AC321" i="1" s="1"/>
  <c r="AB358" i="1"/>
  <c r="AC358" i="1" s="1"/>
  <c r="AD358" i="1"/>
  <c r="AD305" i="1"/>
  <c r="AB305" i="1"/>
  <c r="AC305" i="1" s="1"/>
  <c r="AB348" i="1"/>
  <c r="AC348" i="1" s="1"/>
  <c r="AD348" i="1"/>
  <c r="AD354" i="1"/>
  <c r="AB354" i="1"/>
  <c r="AC354" i="1" s="1"/>
  <c r="AD342" i="1"/>
  <c r="AB342" i="1"/>
  <c r="AC342" i="1" s="1"/>
  <c r="AB300" i="1"/>
  <c r="AC300" i="1" s="1"/>
  <c r="AD300" i="1"/>
  <c r="AD303" i="1"/>
  <c r="AB303" i="1"/>
  <c r="AC303" i="1" s="1"/>
  <c r="AD319" i="1"/>
  <c r="AB319" i="1"/>
  <c r="AC319" i="1" s="1"/>
  <c r="AD337" i="1"/>
  <c r="AB337" i="1"/>
  <c r="AC337" i="1" s="1"/>
  <c r="AD327" i="1"/>
  <c r="AB327" i="1"/>
  <c r="AC327" i="1" s="1"/>
  <c r="AD339" i="1"/>
  <c r="AB339" i="1"/>
  <c r="AC339" i="1" s="1"/>
  <c r="AD315" i="1"/>
  <c r="AB315" i="1"/>
  <c r="AC315" i="1" s="1"/>
  <c r="AD322" i="1"/>
  <c r="AB322" i="1"/>
  <c r="AC322" i="1" s="1"/>
  <c r="AD297" i="1"/>
  <c r="AB297" i="1"/>
  <c r="AC297" i="1" s="1"/>
  <c r="AD343" i="1"/>
  <c r="AB343" i="1"/>
  <c r="AC343" i="1" s="1"/>
  <c r="AD346" i="1"/>
  <c r="AB346" i="1"/>
  <c r="AC346" i="1" s="1"/>
  <c r="AB332" i="1"/>
  <c r="AC332" i="1" s="1"/>
  <c r="AD332" i="1"/>
  <c r="AD333" i="1"/>
  <c r="AB333" i="1"/>
  <c r="AC333" i="1" s="1"/>
  <c r="AD356" i="1"/>
  <c r="AB356" i="1"/>
  <c r="AC356" i="1" s="1"/>
  <c r="AB338" i="1"/>
  <c r="AC338" i="1" s="1"/>
  <c r="AD338" i="1"/>
  <c r="AB326" i="1"/>
  <c r="AC326" i="1" s="1"/>
  <c r="AD326" i="1"/>
  <c r="AB323" i="1"/>
  <c r="AC323" i="1" s="1"/>
  <c r="AD323" i="1"/>
  <c r="AB331" i="1"/>
  <c r="AC331" i="1" s="1"/>
  <c r="AD331" i="1"/>
  <c r="AB352" i="1"/>
  <c r="AC352" i="1" s="1"/>
  <c r="AD352" i="1"/>
  <c r="AD320" i="1"/>
  <c r="AB320" i="1"/>
  <c r="AC320" i="1" s="1"/>
  <c r="AB299" i="1"/>
  <c r="AC299" i="1" s="1"/>
  <c r="AD299" i="1"/>
  <c r="AD334" i="1"/>
  <c r="AB334" i="1"/>
  <c r="AC334" i="1" s="1"/>
  <c r="AD328" i="1"/>
  <c r="AB328" i="1"/>
  <c r="AC328" i="1" s="1"/>
  <c r="AB311" i="1"/>
  <c r="AC311" i="1" s="1"/>
  <c r="AD311" i="1"/>
  <c r="AB316" i="1"/>
  <c r="AC316" i="1" s="1"/>
  <c r="AD316" i="1"/>
  <c r="AB313" i="1"/>
  <c r="AC313" i="1" s="1"/>
  <c r="AD313" i="1"/>
  <c r="AD357" i="1"/>
  <c r="AB357" i="1"/>
  <c r="AC357" i="1" s="1"/>
  <c r="AD345" i="1"/>
  <c r="AB345" i="1"/>
  <c r="AC345" i="1" s="1"/>
  <c r="AD340" i="1"/>
  <c r="AB340" i="1"/>
  <c r="AC340" i="1" s="1"/>
  <c r="AB353" i="1"/>
  <c r="AC353" i="1" s="1"/>
  <c r="AD353" i="1"/>
  <c r="AB344" i="1"/>
  <c r="AC344" i="1" s="1"/>
  <c r="AD344" i="1"/>
  <c r="AD301" i="1"/>
  <c r="AB301" i="1"/>
  <c r="AC301" i="1" s="1"/>
  <c r="AD351" i="1"/>
  <c r="AB351" i="1"/>
  <c r="AC351" i="1" s="1"/>
  <c r="AB318" i="1"/>
  <c r="AC318" i="1" s="1"/>
  <c r="AD318" i="1"/>
  <c r="AB335" i="1"/>
  <c r="AC335" i="1" s="1"/>
  <c r="AD335" i="1"/>
  <c r="AB296" i="1"/>
  <c r="AC296" i="1" s="1"/>
  <c r="AD296" i="1"/>
  <c r="AD330" i="1"/>
  <c r="AB330" i="1"/>
  <c r="AC330" i="1" s="1"/>
  <c r="AB336" i="1"/>
  <c r="AC336" i="1" s="1"/>
  <c r="AD336" i="1"/>
  <c r="AB359" i="1"/>
  <c r="AC359" i="1" s="1"/>
  <c r="AD359" i="1"/>
  <c r="AB347" i="1"/>
  <c r="AC347" i="1" s="1"/>
  <c r="AD347" i="1"/>
  <c r="AB304" i="1"/>
  <c r="AC304" i="1" s="1"/>
  <c r="AD304" i="1"/>
  <c r="AD298" i="1"/>
  <c r="AB298" i="1"/>
  <c r="AC298" i="1" s="1"/>
  <c r="AD314" i="1"/>
  <c r="AB314" i="1"/>
  <c r="AC314" i="1" s="1"/>
  <c r="AB325" i="1"/>
  <c r="AC325" i="1" s="1"/>
  <c r="AD325" i="1"/>
  <c r="AD355" i="1"/>
  <c r="AB355" i="1"/>
  <c r="AC355" i="1" s="1"/>
  <c r="AD312" i="1"/>
  <c r="AB312" i="1"/>
  <c r="AC3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joffrey mayer</author>
  </authors>
  <commentList>
    <comment ref="Q303" authorId="0" shapeId="0" xr:uid="{4A6E4674-D84D-4047-9D52-1ADD08FDE775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2016/2017
2032/2033</t>
        </r>
      </text>
    </comment>
    <comment ref="L338" authorId="0" shapeId="0" xr:uid="{A4F57C7A-9FF5-4602-9E51-335776EB2C5F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Vorher: Jesper Hallberg mit 60 Tore; Saison 2020/2021 (23J.)</t>
        </r>
      </text>
    </comment>
    <comment ref="M338" authorId="0" shapeId="0" xr:uid="{6154AE0E-743A-45B5-ADFB-B496245D1BF6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Hallberg zuvor mit 60 Toren</t>
        </r>
      </text>
    </comment>
    <comment ref="O338" authorId="0" shapeId="0" xr:uid="{57416A82-7172-4477-8485-15FB896CF0D5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Hallberg war  23 Jahre alt</t>
        </r>
      </text>
    </comment>
    <comment ref="L339" authorId="0" shapeId="0" xr:uid="{491DD695-028C-4CFC-87BE-34C424E7FA3E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Deulofeu mit 27 Vorlagen 2020/2021
Antonio Battocchio mit 27 Vorlagen 2022/2023
Antonio Battocchio mit 29 Vorlagen 2023/2024 (24J.)</t>
        </r>
      </text>
    </comment>
    <comment ref="M339" authorId="0" shapeId="0" xr:uid="{97FCCDCC-B1ED-4F8E-9339-2826483BF25B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Deulofeu zuvor mit 27 Vorlagen
Battocchio zuvor mit 29 Vorlagen
Battocchio zuvor mit 40 Vorlagen</t>
        </r>
      </text>
    </comment>
    <comment ref="O339" authorId="0" shapeId="0" xr:uid="{3CF2C68A-9B2F-4D1B-8250-481F9E90A3A3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Deulofeu war 27 Jahre alt</t>
        </r>
      </text>
    </comment>
    <comment ref="L340" authorId="0" shapeId="0" xr:uid="{22122E4C-C659-4B0A-BA1F-671BC65EC478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zuvor Miroslav Karahmet mit 35 CS 2016/2017</t>
        </r>
      </text>
    </comment>
    <comment ref="L343" authorId="0" shapeId="0" xr:uid="{302DD579-438C-42A0-9DB0-D6214204A707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Tiécoro Keita mit 21 Cleansheats 2014/2015 (18J.)</t>
        </r>
      </text>
    </comment>
    <comment ref="L345" authorId="0" shapeId="0" xr:uid="{84C10741-4263-4A21-B32D-309FF4D82B73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Vorher: Sébastien Gashi mit 26 Vorlagen (25J.) Saison 2022/2023</t>
        </r>
      </text>
    </comment>
    <comment ref="L347" authorId="0" shapeId="0" xr:uid="{8C8718F3-87AC-4276-9EAC-53753534CA65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Vorher: Kyun Won Hwang mit 6 Tore (18J.) Saison 2017/2018</t>
        </r>
      </text>
    </comment>
    <comment ref="O347" authorId="0" shapeId="0" xr:uid="{9A6E0B1C-67A0-4FC0-AC67-55302B0740CA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Hwang war 18 Jahre alt</t>
        </r>
      </text>
    </comment>
    <comment ref="L349" authorId="0" shapeId="0" xr:uid="{0EB81789-296A-4CF1-9CCE-7A40128BC794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zuvor Facundo Cardozo mit 27 CS in Saison 2020/2021</t>
        </r>
      </text>
    </comment>
    <comment ref="L350" authorId="0" shapeId="0" xr:uid="{210F738B-F9BC-4F14-BCF2-DA7116F9AFD5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zuvor Mohammed Holmedahl mit 24 CS in Saison 2041/2042</t>
        </r>
      </text>
    </comment>
    <comment ref="C366" authorId="0" shapeId="0" xr:uid="{8CD0CA39-C53E-4256-BD04-226DEB0D27D5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Tausch gegen Gino Peruzzi</t>
        </r>
      </text>
    </comment>
    <comment ref="C380" authorId="0" shapeId="0" xr:uid="{5810048D-AD13-4AC6-8D7C-7358B78B96EA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Tausch gegen George Cole</t>
        </r>
      </text>
    </comment>
    <comment ref="M382" authorId="0" shapeId="0" xr:uid="{168B7C77-D137-4AE0-9A54-19C6AF7FD30D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5 Tore &amp; höchster Sieg</t>
        </r>
      </text>
    </comment>
    <comment ref="C390" authorId="0" shapeId="0" xr:uid="{2F95E181-3696-40C7-B5FB-05CBEF0E8DFA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Tausch gegen Longas Ferrer</t>
        </r>
      </text>
    </comment>
    <comment ref="C391" authorId="0" shapeId="0" xr:uid="{37F31137-9DF5-47B8-BC40-349BA1E521D3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Tausch ggen Diego Hervias Rubio</t>
        </r>
      </text>
    </comment>
    <comment ref="M394" authorId="0" shapeId="0" xr:uid="{C071EBBD-8934-4E82-B0FB-CCBB0387728F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4 Tore</t>
        </r>
      </text>
    </comment>
    <comment ref="M396" authorId="0" shapeId="0" xr:uid="{E401969E-6335-4669-B36C-5AD39EE8B2D3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4 Tore</t>
        </r>
      </text>
    </comment>
    <comment ref="M399" authorId="0" shapeId="0" xr:uid="{A92949FE-FACB-412E-8994-30202C750993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4 Tore</t>
        </r>
      </text>
    </comment>
    <comment ref="M402" authorId="0" shapeId="0" xr:uid="{4B00D82E-E812-4E8B-A1CB-0F4C5ED8B9BF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4 Tore</t>
        </r>
      </text>
    </comment>
    <comment ref="M412" authorId="0" shapeId="0" xr:uid="{471EA78D-C8B5-41BD-A326-3DFD923799B6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4 Tore</t>
        </r>
      </text>
    </comment>
    <comment ref="C414" authorId="0" shapeId="0" xr:uid="{B3A370D3-D2D6-4B80-8726-0F48050190D9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Tausch gegen Mans Winkström</t>
        </r>
      </text>
    </comment>
    <comment ref="M415" authorId="0" shapeId="0" xr:uid="{D51FF90F-620A-4C9F-806C-135E62542B5A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Allererstes Spiel für EA Guingamp</t>
        </r>
      </text>
    </comment>
    <comment ref="M418" authorId="0" shapeId="0" xr:uid="{DA00454D-F285-46F1-9DD9-ACBC71EDD3A0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5 Tore für Hallberg</t>
        </r>
      </text>
    </comment>
    <comment ref="M420" authorId="0" shapeId="0" xr:uid="{C9E2E532-9954-471F-8643-767BFE08C31B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4 Tore</t>
        </r>
      </text>
    </comment>
    <comment ref="C421" authorId="0" shapeId="0" xr:uid="{91408A2A-932E-4E06-8E53-3B8CE8807E3C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Tausch gegen Severina</t>
        </r>
      </text>
    </comment>
    <comment ref="M422" authorId="0" shapeId="0" xr:uid="{9B4379AE-5306-4175-9DB2-48048EAAE499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4 Tore</t>
        </r>
      </text>
    </comment>
    <comment ref="M425" authorId="0" shapeId="0" xr:uid="{FC4CE20B-2C5B-4862-A14E-5AF29FE20563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4 Tore</t>
        </r>
      </text>
    </comment>
    <comment ref="C431" authorId="0" shapeId="0" xr:uid="{8F55FEEA-C05F-485F-8F9B-65AEB01B9A60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Tausch gegen Baptiste Mollo</t>
        </r>
      </text>
    </comment>
    <comment ref="M435" authorId="0" shapeId="0" xr:uid="{6C3722DB-6856-4D99-A725-CEBA9B2D8852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4 Tore</t>
        </r>
      </text>
    </comment>
    <comment ref="M436" authorId="0" shapeId="0" xr:uid="{1826297E-4BF9-475D-884D-97C303A8DD83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5 Tore</t>
        </r>
      </text>
    </comment>
    <comment ref="M439" authorId="0" shapeId="0" xr:uid="{8348E099-360D-4B6B-9CF4-9D1C1C0A2223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4 Tore</t>
        </r>
      </text>
    </comment>
    <comment ref="M441" authorId="0" shapeId="0" xr:uid="{C4CF2FF8-3461-4952-908A-FAF3BB33D6FF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4 Tore</t>
        </r>
      </text>
    </comment>
    <comment ref="C447" authorId="0" shapeId="0" xr:uid="{05FB1AAB-6C45-4870-A329-FDB88BE145C1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Tausch gegen Tobias Andersen</t>
        </r>
      </text>
    </comment>
    <comment ref="C454" authorId="0" shapeId="0" xr:uid="{2F30EF5F-4EF5-4C5B-B32A-89255548BD47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Tausch gegen Samuele Darmian</t>
        </r>
      </text>
    </comment>
    <comment ref="C456" authorId="0" shapeId="0" xr:uid="{20B8B811-9A72-47DF-AAF4-26EEA09E2FA8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Tausch gegen Rafael Viana Dos Santos</t>
        </r>
      </text>
    </comment>
    <comment ref="M458" authorId="0" shapeId="0" xr:uid="{D3FF9029-C295-4C99-92AE-972A9DC496E6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4 Tore</t>
        </r>
      </text>
    </comment>
    <comment ref="M464" authorId="0" shapeId="0" xr:uid="{7F6F48C2-99AF-4D95-9F21-A71A2FD5CC88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4 Tore</t>
        </r>
      </text>
    </comment>
    <comment ref="M465" authorId="0" shapeId="0" xr:uid="{302BE535-5423-4AED-B6EC-DC193E8BF709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6 Tore</t>
        </r>
      </text>
    </comment>
    <comment ref="C466" authorId="0" shapeId="0" xr:uid="{2AE25AAA-2A4A-4CCC-AA22-F7FEBDFF66F7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Tausch gegen Brosco</t>
        </r>
      </text>
    </comment>
    <comment ref="C470" authorId="0" shapeId="0" xr:uid="{4DDE6888-7026-4260-A030-4614C7A4663F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Tausch gegen O'Sullivan</t>
        </r>
      </text>
    </comment>
    <comment ref="M470" authorId="0" shapeId="0" xr:uid="{861D3039-AF45-4D40-8345-57047971792F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4 Tore</t>
        </r>
      </text>
    </comment>
    <comment ref="M473" authorId="0" shapeId="0" xr:uid="{9F8F81E6-EF37-4B61-8611-3A19CC6659BF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5 Tore</t>
        </r>
      </text>
    </comment>
    <comment ref="M474" authorId="0" shapeId="0" xr:uid="{CFD684A7-A09B-4E3B-A85E-95334B5FFD25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4 Tore</t>
        </r>
      </text>
    </comment>
    <comment ref="C482" authorId="0" shapeId="0" xr:uid="{1AF2271D-0BE8-462C-AC62-B0E583537B52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Tausch gegen Moravek</t>
        </r>
      </text>
    </comment>
    <comment ref="G482" authorId="0" shapeId="0" xr:uid="{D3FF9DCD-4CB1-4EDD-9C4C-802F5D794809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EA Guingamp</t>
        </r>
      </text>
    </comment>
    <comment ref="M505" authorId="0" shapeId="0" xr:uid="{5F623CAD-1EDE-4CF9-95AD-22888BD471C7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4 Tore</t>
        </r>
      </text>
    </comment>
    <comment ref="L506" authorId="0" shapeId="0" xr:uid="{30DB1EC6-5911-47D9-9ACA-88F66BBA6402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(18J.!!!!) als Auswechselspieler!</t>
        </r>
      </text>
    </comment>
    <comment ref="M509" authorId="0" shapeId="0" xr:uid="{DA5FC0F2-408F-45F9-86D5-127188FAE05E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4 Tore</t>
        </r>
      </text>
    </comment>
    <comment ref="M512" authorId="0" shapeId="0" xr:uid="{6F1758C2-60F6-4646-87B2-5AB83BB0DFD1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4 Tore</t>
        </r>
      </text>
    </comment>
    <comment ref="T512" authorId="0" shapeId="0" xr:uid="{8203DA25-B427-4079-A28A-D5EA6F893D97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davon 28 CS in Lugue 1 --&gt; Rekord!</t>
        </r>
      </text>
    </comment>
    <comment ref="C514" authorId="0" shapeId="0" xr:uid="{0AB7DEB3-C240-4E0E-85C7-5DD060BB6E1C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Tausch gegen Daniel Puncec</t>
        </r>
      </text>
    </comment>
    <comment ref="G514" authorId="0" shapeId="0" xr:uid="{301DD604-BF6B-4FC3-89C4-CCA30B138F62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US Crétail</t>
        </r>
      </text>
    </comment>
    <comment ref="L514" authorId="0" shapeId="0" xr:uid="{FBD40BE1-38AB-4CE6-B351-FBD6FE1FA097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4 Tore</t>
        </r>
      </text>
    </comment>
    <comment ref="L519" authorId="0" shapeId="0" xr:uid="{183302DF-EE00-4D0C-A07C-5FA6863C1081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5 Tore</t>
        </r>
      </text>
    </comment>
    <comment ref="L522" authorId="0" shapeId="0" xr:uid="{1EBC9699-F824-460A-A80D-37CD1588718A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mit 17 Jahren!!</t>
        </r>
      </text>
    </comment>
    <comment ref="C539" authorId="0" shapeId="0" xr:uid="{A54843ED-CB35-42A7-930B-85C5AD4F9D44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Tausch gegen Ji Nam Cho</t>
        </r>
      </text>
    </comment>
    <comment ref="M546" authorId="0" shapeId="0" xr:uid="{90D1BFD2-B74A-408F-8E3A-F94CF3EA1D1B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4 Tore</t>
        </r>
      </text>
    </comment>
    <comment ref="M547" authorId="0" shapeId="0" xr:uid="{EED85705-E9E6-407D-A59D-178E336122E9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4 Tore</t>
        </r>
      </text>
    </comment>
    <comment ref="C552" authorId="0" shapeId="0" xr:uid="{5E9AC063-1D3A-4417-877F-5560CF9C1230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Tausch gegen Daniel Erdmann</t>
        </r>
      </text>
    </comment>
    <comment ref="M561" authorId="0" shapeId="0" xr:uid="{351FC862-0003-4AB5-A5B4-EBEF7C84D7F1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4 Tore</t>
        </r>
      </text>
    </comment>
    <comment ref="M567" authorId="0" shapeId="0" xr:uid="{D8CA860B-D576-4556-B808-9C7323B28325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4 Tore</t>
        </r>
      </text>
    </comment>
    <comment ref="M569" authorId="0" shapeId="0" xr:uid="{1D20C497-E21A-45FB-A6F3-5A0BB7BA155A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6 Tore!!!</t>
        </r>
      </text>
    </comment>
    <comment ref="M580" authorId="0" shapeId="0" xr:uid="{C38CFEA2-C681-465C-92C5-E60B8AB3D1C0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4 Tore</t>
        </r>
      </text>
    </comment>
    <comment ref="C582" authorId="0" shapeId="0" xr:uid="{C417CC16-21A7-4A5C-8A5B-F240F4C3FCC5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Tausch gegen Khune</t>
        </r>
      </text>
    </comment>
    <comment ref="G582" authorId="0" shapeId="0" xr:uid="{EC05A531-BA58-4A57-AB67-C78064F2EC3F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Sevilla FC</t>
        </r>
      </text>
    </comment>
    <comment ref="C595" authorId="0" shapeId="0" xr:uid="{7A20C564-6BBF-4B35-B345-144BFFD4B748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Tausch gegen Thimothée Beauvue</t>
        </r>
      </text>
    </comment>
    <comment ref="M596" authorId="0" shapeId="0" xr:uid="{5AFF68E1-53E9-4E10-842E-10EA491D8B50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4 Tore</t>
        </r>
      </text>
    </comment>
    <comment ref="C608" authorId="0" shapeId="0" xr:uid="{D99FA3A6-D413-4AB3-AA2F-2D3887199FB8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Tausch gegen Erwan Pied</t>
        </r>
      </text>
    </comment>
    <comment ref="M609" authorId="0" shapeId="0" xr:uid="{A803140A-183C-410E-A653-115BE0AD3BB1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6 Tore!</t>
        </r>
      </text>
    </comment>
    <comment ref="C610" authorId="0" shapeId="0" xr:uid="{2F4C2ADE-47B5-4EEE-8BE3-57F5D5B90AAC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Tausch gegen Jesper Hallberg</t>
        </r>
      </text>
    </comment>
    <comment ref="M610" authorId="0" shapeId="0" xr:uid="{635BB6D7-3248-485A-903F-3AEF9683AE35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4 Tore</t>
        </r>
      </text>
    </comment>
    <comment ref="M611" authorId="0" shapeId="0" xr:uid="{530A8492-26F9-4305-A756-DBBA319070FC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5 Tore</t>
        </r>
      </text>
    </comment>
    <comment ref="C614" authorId="0" shapeId="0" xr:uid="{106D9537-30AA-4F6E-9EEC-5477E37507F3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Tausch gegen Puncec</t>
        </r>
      </text>
    </comment>
    <comment ref="M614" authorId="0" shapeId="0" xr:uid="{336389BF-59F2-4BDE-B762-41790998FC2D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5 Tore</t>
        </r>
      </text>
    </comment>
    <comment ref="M619" authorId="0" shapeId="0" xr:uid="{E21A1418-2902-4FA3-B487-42B752C324D5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4 Tore</t>
        </r>
      </text>
    </comment>
    <comment ref="C629" authorId="0" shapeId="0" xr:uid="{8B3FE3EF-5A83-4FBD-B888-7CCD12597909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Tausch gegen Brosco</t>
        </r>
      </text>
    </comment>
    <comment ref="M630" authorId="0" shapeId="0" xr:uid="{D56CD795-4E32-439F-A820-EEE74B58E4A8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4 Tore</t>
        </r>
      </text>
    </comment>
    <comment ref="L631" authorId="0" shapeId="0" xr:uid="{70F81831-F38C-45FD-ABAB-826328B66B77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mit 17 Jahren als ZOM!!</t>
        </r>
      </text>
    </comment>
    <comment ref="M631" authorId="0" shapeId="0" xr:uid="{22F6D858-F362-4C4D-883C-2141CC41CB41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4 Tore</t>
        </r>
      </text>
    </comment>
    <comment ref="M633" authorId="0" shapeId="0" xr:uid="{6656CFA2-8672-4499-93DF-AFE013248B0D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4 Tore</t>
        </r>
      </text>
    </comment>
    <comment ref="C634" authorId="0" shapeId="0" xr:uid="{C592DCD5-C0F5-4E38-8E00-B756DB0816FB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Tausch gegen Elton Lima Mendes</t>
        </r>
      </text>
    </comment>
    <comment ref="M634" authorId="0" shapeId="0" xr:uid="{1101E22A-F6B7-46B6-A067-46B032CB3FF6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5 Tore</t>
        </r>
      </text>
    </comment>
    <comment ref="M635" authorId="0" shapeId="0" xr:uid="{445F25B5-1D1A-4E83-B54C-46FE58963B1E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4 Tore</t>
        </r>
      </text>
    </comment>
    <comment ref="M654" authorId="0" shapeId="0" xr:uid="{CC5167AD-E477-420B-9776-8575BDFA4C5D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5 Tore</t>
        </r>
      </text>
    </comment>
    <comment ref="M675" authorId="0" shapeId="0" xr:uid="{6E1D91F0-646E-47D7-9011-9F23C28BFAE0}">
      <text>
        <r>
          <rPr>
            <b/>
            <sz val="9"/>
            <color indexed="81"/>
            <rFont val="Segoe UI"/>
            <charset val="1"/>
          </rPr>
          <t>joffrey mayer:</t>
        </r>
        <r>
          <rPr>
            <sz val="9"/>
            <color indexed="81"/>
            <rFont val="Segoe UI"/>
            <charset val="1"/>
          </rPr>
          <t xml:space="preserve">
4 Tore</t>
        </r>
      </text>
    </comment>
    <comment ref="M680" authorId="0" shapeId="0" xr:uid="{ABD13906-86BB-43B2-9829-B3303B57EF07}">
      <text>
        <r>
          <rPr>
            <b/>
            <sz val="9"/>
            <color indexed="81"/>
            <rFont val="Segoe UI"/>
            <charset val="1"/>
          </rPr>
          <t>joffrey mayer:</t>
        </r>
        <r>
          <rPr>
            <sz val="9"/>
            <color indexed="81"/>
            <rFont val="Segoe UI"/>
            <charset val="1"/>
          </rPr>
          <t xml:space="preserve">
4 Tore</t>
        </r>
      </text>
    </comment>
    <comment ref="M681" authorId="0" shapeId="0" xr:uid="{FA347BCE-D34B-484C-82EA-B781A146FCB4}">
      <text>
        <r>
          <rPr>
            <b/>
            <sz val="9"/>
            <color indexed="81"/>
            <rFont val="Segoe UI"/>
            <charset val="1"/>
          </rPr>
          <t>joffrey mayer:</t>
        </r>
        <r>
          <rPr>
            <sz val="9"/>
            <color indexed="81"/>
            <rFont val="Segoe UI"/>
            <charset val="1"/>
          </rPr>
          <t xml:space="preserve">
4 Tore</t>
        </r>
      </text>
    </comment>
    <comment ref="M686" authorId="0" shapeId="0" xr:uid="{A044FE1F-1208-4257-BF41-546521CC68A8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5 Tore</t>
        </r>
      </text>
    </comment>
    <comment ref="M691" authorId="0" shapeId="0" xr:uid="{D057C1D1-E34F-4B59-B4F9-F73A39099412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4 Tore</t>
        </r>
      </text>
    </comment>
    <comment ref="M697" authorId="0" shapeId="0" xr:uid="{E56B3259-E023-4E37-9DCC-4D6A1D53D427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4 Tore</t>
        </r>
      </text>
    </comment>
    <comment ref="M706" authorId="0" shapeId="0" xr:uid="{108D0D71-38D7-44F1-AD82-35D3AB0F4627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4 Tore</t>
        </r>
      </text>
    </comment>
    <comment ref="M723" authorId="0" shapeId="0" xr:uid="{45A8ACC0-2BF9-4A57-92EF-A52E4A872D1E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5 Tore</t>
        </r>
      </text>
    </comment>
    <comment ref="M729" authorId="0" shapeId="0" xr:uid="{AE30AB72-527D-4E83-A4D2-882B0BF5B225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4 Tore</t>
        </r>
      </text>
    </comment>
    <comment ref="M730" authorId="0" shapeId="0" xr:uid="{896369E3-6202-4AFA-90DE-109C3E1C9A7D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5 Tore</t>
        </r>
      </text>
    </comment>
    <comment ref="M734" authorId="0" shapeId="0" xr:uid="{EE2D3ED7-BDF1-4524-982E-C4853623BE78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4 Tore</t>
        </r>
      </text>
    </comment>
    <comment ref="M737" authorId="0" shapeId="0" xr:uid="{6D37F19F-0FC6-407E-BD3D-576D8FE9F3F4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4 Tore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joffrey mayer</author>
  </authors>
  <commentList>
    <comment ref="A1" authorId="0" shapeId="0" xr:uid="{FA2C8D63-6575-4D43-9815-21B350566CF2}">
      <text>
        <r>
          <rPr>
            <b/>
            <sz val="9"/>
            <color indexed="81"/>
            <rFont val="Segoe UI"/>
            <family val="2"/>
          </rPr>
          <t>joffrey mayer:</t>
        </r>
        <r>
          <rPr>
            <sz val="9"/>
            <color indexed="81"/>
            <rFont val="Segoe UI"/>
            <family val="2"/>
          </rPr>
          <t xml:space="preserve">
Ausser EA Guingamp</t>
        </r>
      </text>
    </comment>
  </commentList>
</comments>
</file>

<file path=xl/sharedStrings.xml><?xml version="1.0" encoding="utf-8"?>
<sst xmlns="http://schemas.openxmlformats.org/spreadsheetml/2006/main" count="9541" uniqueCount="1538">
  <si>
    <t>Statistiken Guingamp:</t>
  </si>
  <si>
    <t>Torwart</t>
  </si>
  <si>
    <t>Spieler</t>
  </si>
  <si>
    <t>Spiele</t>
  </si>
  <si>
    <t>Position</t>
  </si>
  <si>
    <t>Nationalität</t>
  </si>
  <si>
    <t xml:space="preserve">Tore </t>
  </si>
  <si>
    <t>Assist</t>
  </si>
  <si>
    <t>Cleansheats</t>
  </si>
  <si>
    <t>Bewertung</t>
  </si>
  <si>
    <t>Nombre de fois étant décisif (Cleansheats)</t>
  </si>
  <si>
    <t>Nombre de fois étant décisif (Tore + Vorlagen+Cleansheats)</t>
  </si>
  <si>
    <t>Tore-Assist-Ratio</t>
  </si>
  <si>
    <t>Performance-Ratio</t>
  </si>
  <si>
    <t>Gespielte Saisons</t>
  </si>
  <si>
    <t>Ligue 1</t>
  </si>
  <si>
    <t>Coupe de la Ligue</t>
  </si>
  <si>
    <t>Coupe de France</t>
  </si>
  <si>
    <t>Trophée des Champions</t>
  </si>
  <si>
    <t>Copa Europa</t>
  </si>
  <si>
    <t>Champions League</t>
  </si>
  <si>
    <t>Europa League</t>
  </si>
  <si>
    <t>Total</t>
  </si>
  <si>
    <t>Mamadou Samassa</t>
  </si>
  <si>
    <t>TW</t>
  </si>
  <si>
    <t>Mali</t>
  </si>
  <si>
    <t>Vicente Lavado</t>
  </si>
  <si>
    <t>Kolumbien</t>
  </si>
  <si>
    <t>Ondrej Morávek</t>
  </si>
  <si>
    <t>Tschechien</t>
  </si>
  <si>
    <t>Jonathan Diaby</t>
  </si>
  <si>
    <t>Frankreich</t>
  </si>
  <si>
    <t>Hugo Guichard</t>
  </si>
  <si>
    <t>Jan Oblak</t>
  </si>
  <si>
    <t>Slowenien</t>
  </si>
  <si>
    <t>Guy-Rolland Ndy Asseembe</t>
  </si>
  <si>
    <t>Gonçalvo Azevedo</t>
  </si>
  <si>
    <t>Brasilien</t>
  </si>
  <si>
    <t>Mohammed Holmedahl</t>
  </si>
  <si>
    <t>Norwegen</t>
  </si>
  <si>
    <t>Verteidigung</t>
  </si>
  <si>
    <t>Nombre de fois étant décisif (Tore + Vorlagen)</t>
  </si>
  <si>
    <t>Yong Tae Park</t>
  </si>
  <si>
    <t>LV</t>
  </si>
  <si>
    <t>Süd-Korea</t>
  </si>
  <si>
    <t>Michael Madl</t>
  </si>
  <si>
    <t>RV</t>
  </si>
  <si>
    <t>Österreich</t>
  </si>
  <si>
    <t>Facundo Cardozo</t>
  </si>
  <si>
    <t>IV</t>
  </si>
  <si>
    <t>Argentinien</t>
  </si>
  <si>
    <t>Kyun Won Hwang</t>
  </si>
  <si>
    <t>Marcus Porter</t>
  </si>
  <si>
    <t>Kanada</t>
  </si>
  <si>
    <t>Ladislav Zima</t>
  </si>
  <si>
    <t>Jordan Ikoko</t>
  </si>
  <si>
    <t>Eros Medaglia</t>
  </si>
  <si>
    <t>Rubin Burgstaller</t>
  </si>
  <si>
    <t>Jetro Willems</t>
  </si>
  <si>
    <t>Niederlande</t>
  </si>
  <si>
    <t>Nathan Pickford</t>
  </si>
  <si>
    <t>England</t>
  </si>
  <si>
    <t>Jonathan Martins Pereira</t>
  </si>
  <si>
    <t>Reynald Lemaître</t>
  </si>
  <si>
    <t>Nicolas Malouda</t>
  </si>
  <si>
    <t>Dario Del Fabro</t>
  </si>
  <si>
    <t>Italien</t>
  </si>
  <si>
    <t>Jérémy Sorbon</t>
  </si>
  <si>
    <t>Benjamin Mendy</t>
  </si>
  <si>
    <t>Drissa Diakité</t>
  </si>
  <si>
    <t>Lucas Niell</t>
  </si>
  <si>
    <t>Dorian Levêque</t>
  </si>
  <si>
    <t>Christophe Kerbrat</t>
  </si>
  <si>
    <t>Baïssama Sankoh</t>
  </si>
  <si>
    <t>Hitoshi Okuma</t>
  </si>
  <si>
    <t>Japan</t>
  </si>
  <si>
    <t>Vivian</t>
  </si>
  <si>
    <t>Jimmy Phojo</t>
  </si>
  <si>
    <t>Gayà</t>
  </si>
  <si>
    <t>Spanien</t>
  </si>
  <si>
    <t>Gino Peruzzi</t>
  </si>
  <si>
    <t>Grégory Cerdan</t>
  </si>
  <si>
    <t>Alex Grant</t>
  </si>
  <si>
    <t>Australien</t>
  </si>
  <si>
    <t>Paul Babiloni</t>
  </si>
  <si>
    <t>Thierry Argelier</t>
  </si>
  <si>
    <t>Arthur Delalande</t>
  </si>
  <si>
    <t>Mirko Krizanic</t>
  </si>
  <si>
    <t>Kroatien</t>
  </si>
  <si>
    <t>Mittelfeld</t>
  </si>
  <si>
    <t>Sébastien Gashi</t>
  </si>
  <si>
    <t>ZOM</t>
  </si>
  <si>
    <t>Schweiz</t>
  </si>
  <si>
    <t>Antonio Battocchio</t>
  </si>
  <si>
    <t>LM</t>
  </si>
  <si>
    <t>Aitor Ortiz Toribio</t>
  </si>
  <si>
    <t>ZDM</t>
  </si>
  <si>
    <t>Wellington Monteiro</t>
  </si>
  <si>
    <t>Javier Fernandez</t>
  </si>
  <si>
    <t>RM</t>
  </si>
  <si>
    <t>Uruguai</t>
  </si>
  <si>
    <t>César Fuentes</t>
  </si>
  <si>
    <t>ZM</t>
  </si>
  <si>
    <t>Chile</t>
  </si>
  <si>
    <t>Qui-Li Zheng</t>
  </si>
  <si>
    <t>China</t>
  </si>
  <si>
    <t>Javi Villar</t>
  </si>
  <si>
    <t>Venezuela</t>
  </si>
  <si>
    <t>Jacob Murphy</t>
  </si>
  <si>
    <t>Simon Simpson</t>
  </si>
  <si>
    <t>Idriss Bourillon</t>
  </si>
  <si>
    <t>Ikemoto Onishi</t>
  </si>
  <si>
    <t>Miroslav Karahmet</t>
  </si>
  <si>
    <t>Bosnien</t>
  </si>
  <si>
    <t>Younousse Sankharé</t>
  </si>
  <si>
    <t>Ho Peng</t>
  </si>
  <si>
    <t>Baptiste Griezmann</t>
  </si>
  <si>
    <t>Simon Andreas Utvik</t>
  </si>
  <si>
    <t>Joffrey Millieras</t>
  </si>
  <si>
    <t>Nana Roberts</t>
  </si>
  <si>
    <t>Christian Palomeque</t>
  </si>
  <si>
    <t>Fernando</t>
  </si>
  <si>
    <t>Mohamed El-Nenny</t>
  </si>
  <si>
    <t>Ägypten</t>
  </si>
  <si>
    <t>Abdullah Ataif</t>
  </si>
  <si>
    <t>Saudi-Arabien</t>
  </si>
  <si>
    <t>Claudio Beauvue</t>
  </si>
  <si>
    <t>Sung Hwan Oh</t>
  </si>
  <si>
    <t xml:space="preserve">Juan Pablo </t>
  </si>
  <si>
    <t>Caner Erkin</t>
  </si>
  <si>
    <t>Türkei</t>
  </si>
  <si>
    <t>Jérémy Mafoumbi</t>
  </si>
  <si>
    <t>Paul Diogo</t>
  </si>
  <si>
    <t>Lionel Mathis</t>
  </si>
  <si>
    <t>Yehia Ateen</t>
  </si>
  <si>
    <t>Shangyuan Wang</t>
  </si>
  <si>
    <t>Tarsi</t>
  </si>
  <si>
    <t>Ronald Robic</t>
  </si>
  <si>
    <t>Bejamin Landre</t>
  </si>
  <si>
    <t>Jorgé Calado</t>
  </si>
  <si>
    <t>Thibault Giresse</t>
  </si>
  <si>
    <t>Enzo Réale</t>
  </si>
  <si>
    <t>Layvin Martin</t>
  </si>
  <si>
    <t>Do Yeon Kim</t>
  </si>
  <si>
    <t>Lucas Silva</t>
  </si>
  <si>
    <t>Fatih Atik</t>
  </si>
  <si>
    <t>Abdulrahim Al Khaldy</t>
  </si>
  <si>
    <t>Thimothée Beauvue</t>
  </si>
  <si>
    <t>Brahim Blind</t>
  </si>
  <si>
    <t>Steeven Langil</t>
  </si>
  <si>
    <t>Grzegorz Krychowiak</t>
  </si>
  <si>
    <t>Polen</t>
  </si>
  <si>
    <t>Olivier Douna</t>
  </si>
  <si>
    <t>Elfenbeinküste</t>
  </si>
  <si>
    <t>Fran Martinez</t>
  </si>
  <si>
    <t>Peru</t>
  </si>
  <si>
    <t>Mustapha Diallo</t>
  </si>
  <si>
    <t>Toumani Diallo</t>
  </si>
  <si>
    <t>Marvin Ihssen</t>
  </si>
  <si>
    <t>Deutschland</t>
  </si>
  <si>
    <t>Laurent Dos Santos</t>
  </si>
  <si>
    <t>Léo Kanté</t>
  </si>
  <si>
    <t>Dominic Lambertz</t>
  </si>
  <si>
    <t>Diogo Alves</t>
  </si>
  <si>
    <t>Adam Novota</t>
  </si>
  <si>
    <t>Slowakei</t>
  </si>
  <si>
    <t>Thimothée Touré</t>
  </si>
  <si>
    <t>David Lopez</t>
  </si>
  <si>
    <t>Erwan Zeffane</t>
  </si>
  <si>
    <t>Martin Omoijuanfo</t>
  </si>
  <si>
    <t>Thanasi Korkizoglu</t>
  </si>
  <si>
    <t>Griechenland</t>
  </si>
  <si>
    <t>Thanasi Korkinoglu</t>
  </si>
  <si>
    <t>Grégory Lippini</t>
  </si>
  <si>
    <t>Kwang Min Cho</t>
  </si>
  <si>
    <t>Sturm</t>
  </si>
  <si>
    <t>Jesper Hallberg</t>
  </si>
  <si>
    <t>ST</t>
  </si>
  <si>
    <t>Schweden</t>
  </si>
  <si>
    <t>Thomas Bernard</t>
  </si>
  <si>
    <t>MS</t>
  </si>
  <si>
    <t>Malik Babiloni</t>
  </si>
  <si>
    <t>Rafi Al Dossari</t>
  </si>
  <si>
    <t>RF</t>
  </si>
  <si>
    <t>Algerien</t>
  </si>
  <si>
    <t>Daniele Nicolao</t>
  </si>
  <si>
    <t>Gérard Deulofeu</t>
  </si>
  <si>
    <t>Waseem Al-Sahhah</t>
  </si>
  <si>
    <t>Marokko</t>
  </si>
  <si>
    <t>Tiécoro Keita</t>
  </si>
  <si>
    <t>LF</t>
  </si>
  <si>
    <t>Gheorghe Grozav</t>
  </si>
  <si>
    <t>Rumänien</t>
  </si>
  <si>
    <t>Bas Bakker</t>
  </si>
  <si>
    <t>Boli Bolimgoli Mbombo</t>
  </si>
  <si>
    <t>Belgien</t>
  </si>
  <si>
    <t>Otavio</t>
  </si>
  <si>
    <t>Mustapha Yatabaré</t>
  </si>
  <si>
    <t>Rachid Alioui</t>
  </si>
  <si>
    <t>Richairo Zivkovic</t>
  </si>
  <si>
    <t>Stefano Sansone</t>
  </si>
  <si>
    <t>Ladislas Douniama</t>
  </si>
  <si>
    <t>Kongo</t>
  </si>
  <si>
    <t>Juan Adan Vallejo</t>
  </si>
  <si>
    <t>Ufuk Cigerci</t>
  </si>
  <si>
    <t>Christophe Mandanne</t>
  </si>
  <si>
    <t>Ebenezer Dauda</t>
  </si>
  <si>
    <t>Ghana</t>
  </si>
  <si>
    <t>Andre Paneira</t>
  </si>
  <si>
    <t>Portugal</t>
  </si>
  <si>
    <t>Eduardo Silva</t>
  </si>
  <si>
    <t>Paraguay</t>
  </si>
  <si>
    <t>Jimmy Briand</t>
  </si>
  <si>
    <t>Daniel Erdmann</t>
  </si>
  <si>
    <t>Sean Erwin</t>
  </si>
  <si>
    <t>Schottland</t>
  </si>
  <si>
    <t>Cédric Fauré</t>
  </si>
  <si>
    <t>Potential</t>
  </si>
  <si>
    <t>Saison</t>
  </si>
  <si>
    <t>86-92</t>
  </si>
  <si>
    <t>2014/2015</t>
  </si>
  <si>
    <t>80-86</t>
  </si>
  <si>
    <t>81-87</t>
  </si>
  <si>
    <t>2018/2019</t>
  </si>
  <si>
    <t>82-88</t>
  </si>
  <si>
    <t>89-94</t>
  </si>
  <si>
    <t>87-93</t>
  </si>
  <si>
    <t>85-91</t>
  </si>
  <si>
    <t>88-94</t>
  </si>
  <si>
    <t>83-89</t>
  </si>
  <si>
    <t>84-90</t>
  </si>
  <si>
    <t xml:space="preserve">Bejamin Landre </t>
  </si>
  <si>
    <t>2020/2021</t>
  </si>
  <si>
    <t>90-94</t>
  </si>
  <si>
    <t>86-94</t>
  </si>
  <si>
    <t>Transfers:</t>
  </si>
  <si>
    <t>2021/2022</t>
  </si>
  <si>
    <t xml:space="preserve">Österreich </t>
  </si>
  <si>
    <t>Olivier Douga</t>
  </si>
  <si>
    <t>2022/2023</t>
  </si>
  <si>
    <t>Club Rekorde:</t>
  </si>
  <si>
    <t>Top 10 Torschützenliste</t>
  </si>
  <si>
    <t>Rangliste Spieler, mit den meisten "Décisif" Anzahl ( Tore + Vorlagen)</t>
  </si>
  <si>
    <t>Allgmeine Rekorde</t>
  </si>
  <si>
    <t>Spieler / Gegner</t>
  </si>
  <si>
    <t>Rekord</t>
  </si>
  <si>
    <t>Alter</t>
  </si>
  <si>
    <t>Platzierung</t>
  </si>
  <si>
    <t>Tore</t>
  </si>
  <si>
    <t>Ratio</t>
  </si>
  <si>
    <t>Tore + Vorlagen</t>
  </si>
  <si>
    <t>Positiom</t>
  </si>
  <si>
    <t>Vorlagen</t>
  </si>
  <si>
    <t xml:space="preserve">Meiste Spiele </t>
  </si>
  <si>
    <t>-</t>
  </si>
  <si>
    <t>1)</t>
  </si>
  <si>
    <t>Ondrej Moravek</t>
  </si>
  <si>
    <t>Meiste Tore</t>
  </si>
  <si>
    <t>2)</t>
  </si>
  <si>
    <t>86-91</t>
  </si>
  <si>
    <t>Meiste Vorlagen</t>
  </si>
  <si>
    <t>3)</t>
  </si>
  <si>
    <t>Meiste Cleansheats</t>
  </si>
  <si>
    <t>4)</t>
  </si>
  <si>
    <t xml:space="preserve">Höchste Bewertung </t>
  </si>
  <si>
    <t>5)</t>
  </si>
  <si>
    <t>Höchster Sieg</t>
  </si>
  <si>
    <t>9 - 0</t>
  </si>
  <si>
    <t>2016/2017</t>
  </si>
  <si>
    <t>6)</t>
  </si>
  <si>
    <t>2023/2024</t>
  </si>
  <si>
    <t>Höchste Niederlage</t>
  </si>
  <si>
    <t>7)</t>
  </si>
  <si>
    <t>Meiste Tore eines Spielers in einem Spiel</t>
  </si>
  <si>
    <t>5 Tore gegen Stade Reims (9 - 0)</t>
  </si>
  <si>
    <t>8)</t>
  </si>
  <si>
    <t>2029/2030</t>
  </si>
  <si>
    <t>6 Tore gegen Valenciennes FC</t>
  </si>
  <si>
    <t>2026/2027</t>
  </si>
  <si>
    <t>9)</t>
  </si>
  <si>
    <t>Meiste Vorlagen eines Spielers in einem Spiel</t>
  </si>
  <si>
    <t>3 Vorlagen</t>
  </si>
  <si>
    <t>2017/2018</t>
  </si>
  <si>
    <t>10)</t>
  </si>
  <si>
    <t>Spieler mit den meisten Trophäen</t>
  </si>
  <si>
    <t>Stürmer mit den meisten Trophäen</t>
  </si>
  <si>
    <t>2030/2031</t>
  </si>
  <si>
    <t>Mittelfeldspieler mit den meisten Trophäen</t>
  </si>
  <si>
    <t>Top 10 Vorlagenliste</t>
  </si>
  <si>
    <t>Rangliste Spieler, mit der höchsten "Décisif" Anzahl (Tore + Vorlagen + Cleansheats)</t>
  </si>
  <si>
    <t>81-91</t>
  </si>
  <si>
    <t>Verteidiger mit den meisten Trophäen</t>
  </si>
  <si>
    <t>Tore + Vorlagen + Cleansheats</t>
  </si>
  <si>
    <t>87-94</t>
  </si>
  <si>
    <t>Torwart mit den meisten Trophäen</t>
  </si>
  <si>
    <t>2031/2032</t>
  </si>
  <si>
    <t>Spieler, mit den meisten "Décisif" Anzahl ( Tore + Vorlagen)</t>
  </si>
  <si>
    <t>Spieler, mit der höchsten "Décisif" Anzahl (Tore + Vorlagen + Cleansheats)</t>
  </si>
  <si>
    <t>Andreas Lindner</t>
  </si>
  <si>
    <t>85-94</t>
  </si>
  <si>
    <t xml:space="preserve">Meiste Hattricks im Total </t>
  </si>
  <si>
    <t>Joshua Grabavoy</t>
  </si>
  <si>
    <t>80-90</t>
  </si>
  <si>
    <t>USA</t>
  </si>
  <si>
    <t>Meiste Hattricks hintereinander (über Saison's hinweg)</t>
  </si>
  <si>
    <t>Rekord Einnahme bei einem Transfer</t>
  </si>
  <si>
    <t>Rekord Ausgabe bei einem Transfer</t>
  </si>
  <si>
    <t>Rekordaufholjagd</t>
  </si>
  <si>
    <t>FC Metz</t>
  </si>
  <si>
    <t>0 - 3 hinten bis zur 53' dann 4 -3 gewonnen nach 120'</t>
  </si>
  <si>
    <t>Saison 2022/2023</t>
  </si>
  <si>
    <t>Trophée des Champ.</t>
  </si>
  <si>
    <t>Saison Rekorde</t>
  </si>
  <si>
    <t>Meiste Tore in einer Saison</t>
  </si>
  <si>
    <t>79 Tore</t>
  </si>
  <si>
    <t>2024/2025</t>
  </si>
  <si>
    <t>11)</t>
  </si>
  <si>
    <t>Meiste Vorlagen in einer Saison</t>
  </si>
  <si>
    <t>45 Vorlagen</t>
  </si>
  <si>
    <t>12)</t>
  </si>
  <si>
    <t>Meiste Cleansheats in einer Saison</t>
  </si>
  <si>
    <t>35 Cleansheats</t>
  </si>
  <si>
    <t>Top 10 Cleansheats</t>
  </si>
  <si>
    <t>13)</t>
  </si>
  <si>
    <t>von…</t>
  </si>
  <si>
    <t>zu…</t>
  </si>
  <si>
    <t>Ablösesumme</t>
  </si>
  <si>
    <t>Stürmer</t>
  </si>
  <si>
    <t>Meiste Tore eines Stürmes in einer Saison</t>
  </si>
  <si>
    <t xml:space="preserve">79 Tore </t>
  </si>
  <si>
    <t>14)</t>
  </si>
  <si>
    <t>EA Guingamp</t>
  </si>
  <si>
    <t>Torino FC</t>
  </si>
  <si>
    <t>Saudi Arabien</t>
  </si>
  <si>
    <t>Tauschgeschäft</t>
  </si>
  <si>
    <t>Meiste Vorlagen eines Stürmers in einer Saison</t>
  </si>
  <si>
    <t>15)</t>
  </si>
  <si>
    <t>Getafe</t>
  </si>
  <si>
    <t>Meiste Cleansheats eines Stürmers in einer Saison</t>
  </si>
  <si>
    <t>16)</t>
  </si>
  <si>
    <t>Borussia Mönchengladbach</t>
  </si>
  <si>
    <t>Meiste Tore eines Mittelfeldspielers in einer Saison</t>
  </si>
  <si>
    <t>34 Tore</t>
  </si>
  <si>
    <t>2019/2020</t>
  </si>
  <si>
    <t>17)</t>
  </si>
  <si>
    <t>AS Nancy</t>
  </si>
  <si>
    <t>Meiste Vorlagen eines Mittelfeldspielers in einer Saison</t>
  </si>
  <si>
    <t>2025/2026</t>
  </si>
  <si>
    <t>18)</t>
  </si>
  <si>
    <t xml:space="preserve">Ondrej Morávek </t>
  </si>
  <si>
    <t>Sevilla FC</t>
  </si>
  <si>
    <t>Meiste Cleansheats eines Mittelfeldspielers in einer Saison</t>
  </si>
  <si>
    <t>19)</t>
  </si>
  <si>
    <t>Itumeleng Khune</t>
  </si>
  <si>
    <t>Süd-Afrika</t>
  </si>
  <si>
    <t>Verteidiger</t>
  </si>
  <si>
    <t>Meiste Tore eines Verteidigers in einer Saison</t>
  </si>
  <si>
    <t>20)</t>
  </si>
  <si>
    <t>Rente</t>
  </si>
  <si>
    <t>Meiste Vorlagen eines Verteidigers in einer Saison</t>
  </si>
  <si>
    <t>16 Vorlagen</t>
  </si>
  <si>
    <t>21)</t>
  </si>
  <si>
    <t>Monpellier HSC</t>
  </si>
  <si>
    <t>Ablösefrei</t>
  </si>
  <si>
    <t>2015/2016</t>
  </si>
  <si>
    <t>Meiste Cleansheats eines Verteidigers in einer Saison</t>
  </si>
  <si>
    <t>22)</t>
  </si>
  <si>
    <t>PSG</t>
  </si>
  <si>
    <t>Meiste Cleansheats eines Torwarts in einer Saison</t>
  </si>
  <si>
    <t>2028/2029</t>
  </si>
  <si>
    <t>23)</t>
  </si>
  <si>
    <t>Rafi Al-Dossari</t>
  </si>
  <si>
    <t>CL</t>
  </si>
  <si>
    <t>Meiste Tore in einer Champions-League Campagne</t>
  </si>
  <si>
    <t>18 Tore</t>
  </si>
  <si>
    <t>2020/2021 &amp; 2021/2022</t>
  </si>
  <si>
    <t>24)</t>
  </si>
  <si>
    <t>Real Madrid</t>
  </si>
  <si>
    <t>Meiste Vorlagen in einer Champions-League Campagne</t>
  </si>
  <si>
    <t>25)</t>
  </si>
  <si>
    <t>Inter</t>
  </si>
  <si>
    <t>Höchste Bewertung eines Stürmes (ab 3 Saisons)</t>
  </si>
  <si>
    <t>Top 10 Spiele</t>
  </si>
  <si>
    <t>26)</t>
  </si>
  <si>
    <t xml:space="preserve">Paul Diogo </t>
  </si>
  <si>
    <t>Höchste Bewertung eines Mittelfeldspielers (ab 3 Saisons)</t>
  </si>
  <si>
    <t>27)</t>
  </si>
  <si>
    <t>Manchester City</t>
  </si>
  <si>
    <t>2027/2028</t>
  </si>
  <si>
    <t>Höchste Bewertung eines Verteidigers (ab 3 Saisons)</t>
  </si>
  <si>
    <t>28)</t>
  </si>
  <si>
    <t>Höchste Bewertung eines Torwarts (ab 3 Saisons)</t>
  </si>
  <si>
    <t>29)</t>
  </si>
  <si>
    <t>30)</t>
  </si>
  <si>
    <t>Alle Saison Rekorde</t>
  </si>
  <si>
    <t>31)</t>
  </si>
  <si>
    <t>Manchester United</t>
  </si>
  <si>
    <t>Meiste Tore eines Stürmes (alle Saisons)</t>
  </si>
  <si>
    <t>32)</t>
  </si>
  <si>
    <t>FC Barcelona</t>
  </si>
  <si>
    <t>Meiste Vorlagen eines Stürmers (alle Saisons)</t>
  </si>
  <si>
    <t>33)</t>
  </si>
  <si>
    <t>Meiste Cleansheats eines Stürmers (alle Saisons)</t>
  </si>
  <si>
    <t>34)</t>
  </si>
  <si>
    <t xml:space="preserve">Antonio Battocchio </t>
  </si>
  <si>
    <t>Newcastle United</t>
  </si>
  <si>
    <t>Meiste Tore eines Mittelfeldspielers (alle Saisons)</t>
  </si>
  <si>
    <t>35)</t>
  </si>
  <si>
    <t>Tottenham Hotspurs</t>
  </si>
  <si>
    <t>Meiste Vorlagen eines Mittelfeldspielers (alle Saisons)</t>
  </si>
  <si>
    <t>36)</t>
  </si>
  <si>
    <t>Meiste Cleansheats eines Mittelfeldspielers (alle Saisons)</t>
  </si>
  <si>
    <t>37)</t>
  </si>
  <si>
    <t>Benjamin Landre</t>
  </si>
  <si>
    <t>AS Staint-Étienne</t>
  </si>
  <si>
    <t>Meiste Tore eines Verteidigers (alle Saisons)</t>
  </si>
  <si>
    <t>38)</t>
  </si>
  <si>
    <t>SSC Napoli</t>
  </si>
  <si>
    <t>Meiste Vorlagen eines Verteidigers (alle Saisons)</t>
  </si>
  <si>
    <t>39)</t>
  </si>
  <si>
    <t>Juan Pablo</t>
  </si>
  <si>
    <t>Liverpool FC</t>
  </si>
  <si>
    <t>Meiste Cleansheats eines Verteidigers (alle Saisons)</t>
  </si>
  <si>
    <t>40)</t>
  </si>
  <si>
    <t>Meiste Cleansheats eines Towarts (alle Saisons)</t>
  </si>
  <si>
    <t>41)</t>
  </si>
  <si>
    <t>Bolingoli Mbombo</t>
  </si>
  <si>
    <t>AS Saint Étienne</t>
  </si>
  <si>
    <t>42)</t>
  </si>
  <si>
    <t>43)</t>
  </si>
  <si>
    <t xml:space="preserve">Olivier Douna </t>
  </si>
  <si>
    <t>Hamburger SV</t>
  </si>
  <si>
    <t>44)</t>
  </si>
  <si>
    <t>Hattricks von Spielern:</t>
  </si>
  <si>
    <t>45)</t>
  </si>
  <si>
    <t>Chelsea FC</t>
  </si>
  <si>
    <t>46)</t>
  </si>
  <si>
    <t>Borussia Dortmund</t>
  </si>
  <si>
    <t>47)</t>
  </si>
  <si>
    <t>Besondere Leistungen:</t>
  </si>
  <si>
    <t>48)</t>
  </si>
  <si>
    <t>Valencia CF</t>
  </si>
  <si>
    <t>Spielergebnis</t>
  </si>
  <si>
    <t>Gegner</t>
  </si>
  <si>
    <t>Datum</t>
  </si>
  <si>
    <t>Ereignis</t>
  </si>
  <si>
    <t>Ergebnis</t>
  </si>
  <si>
    <t>49)</t>
  </si>
  <si>
    <t>3 - 0</t>
  </si>
  <si>
    <t>Lyon</t>
  </si>
  <si>
    <t>Ka</t>
  </si>
  <si>
    <t>1 Tor, 1 Vorlage</t>
  </si>
  <si>
    <t>Bayern München</t>
  </si>
  <si>
    <t>Achtelfinal (Rückspiel)</t>
  </si>
  <si>
    <t>4 - 3</t>
  </si>
  <si>
    <t>50)</t>
  </si>
  <si>
    <t>4 - 0</t>
  </si>
  <si>
    <t>Nice</t>
  </si>
  <si>
    <t>MVP in CL-Final mit 1 VL und 8,1 Bewertung</t>
  </si>
  <si>
    <t>Juventus FC</t>
  </si>
  <si>
    <t>CL Final</t>
  </si>
  <si>
    <t>2 - 1</t>
  </si>
  <si>
    <t>Genoa FC</t>
  </si>
  <si>
    <t>4 -0</t>
  </si>
  <si>
    <t>Lille</t>
  </si>
  <si>
    <t>27. Spieltag</t>
  </si>
  <si>
    <t>geht in Rente</t>
  </si>
  <si>
    <t>6 -0</t>
  </si>
  <si>
    <t>Bordeaux</t>
  </si>
  <si>
    <t>13. Spieltag</t>
  </si>
  <si>
    <t>39 Tore, 15 Vorlagen in 40 Spielen als MS (26J.)</t>
  </si>
  <si>
    <t>Montpellier HSC</t>
  </si>
  <si>
    <t>5 - 0</t>
  </si>
  <si>
    <t>21. Spieltag</t>
  </si>
  <si>
    <t>15 Tore, 25 Vorlagen in 48 Spielen als RF (22J.)</t>
  </si>
  <si>
    <t>Deulofeu</t>
  </si>
  <si>
    <t>Reims</t>
  </si>
  <si>
    <t>23. Spieltag</t>
  </si>
  <si>
    <t>3 Vorlagen in einem Spiel (LV!!)</t>
  </si>
  <si>
    <t xml:space="preserve">Achtefinal </t>
  </si>
  <si>
    <t>6 - 1</t>
  </si>
  <si>
    <t>Southampton</t>
  </si>
  <si>
    <t>7 - 1</t>
  </si>
  <si>
    <t>Finale Coupe de la Ligue</t>
  </si>
  <si>
    <t>27 Tore, 18 Vorlagen in 48 Spielen als ZOM (24J.)</t>
  </si>
  <si>
    <t>Sunderland</t>
  </si>
  <si>
    <t>Stade Brest</t>
  </si>
  <si>
    <t>5. Spieltag</t>
  </si>
  <si>
    <t>52 Tore, 11 Vorlagen in 41 Spielen als ST (21J.)</t>
  </si>
  <si>
    <t>4 - 1</t>
  </si>
  <si>
    <t xml:space="preserve">FC Nantes </t>
  </si>
  <si>
    <t>12. Spieltag</t>
  </si>
  <si>
    <t>MVP in CL-Final mit 1 VL und 9,5 Bewertung</t>
  </si>
  <si>
    <t>Atlético Madrid</t>
  </si>
  <si>
    <t>2 - 0</t>
  </si>
  <si>
    <t xml:space="preserve">Vicente Lavado </t>
  </si>
  <si>
    <t>MVP in CL-Final mit 5 Paraden und 8,2 Bewertung</t>
  </si>
  <si>
    <t>1 - 0</t>
  </si>
  <si>
    <t>Yehya Ateen</t>
  </si>
  <si>
    <t xml:space="preserve">Arsenal </t>
  </si>
  <si>
    <t>29. Spieltag</t>
  </si>
  <si>
    <t>18 Tore, 7 Vorlagen in 13 CL-Spielen</t>
  </si>
  <si>
    <t>Boli Bolingoli Mbombo</t>
  </si>
  <si>
    <t>7 - 0</t>
  </si>
  <si>
    <t>36. Spieltag</t>
  </si>
  <si>
    <t>52 Tore, 16 Vorlagen in 35 Ligue 1 Spielen</t>
  </si>
  <si>
    <t>1. Spieltag</t>
  </si>
  <si>
    <t>MVP in CL-Final mit 1 Tor, 2 Vorlagen und 8,7 Bewertung</t>
  </si>
  <si>
    <t>3 - 1</t>
  </si>
  <si>
    <t>PSV</t>
  </si>
  <si>
    <t>2 Tore, 14 Vorlagen in 42 Spielen als LV (27J.)</t>
  </si>
  <si>
    <t>5 - 3</t>
  </si>
  <si>
    <t>Gruppenphase CL</t>
  </si>
  <si>
    <t>5 Tore, 12 Vorlagen in 50 Spielen als RV (22J.)</t>
  </si>
  <si>
    <t xml:space="preserve">Diogo Alves </t>
  </si>
  <si>
    <t>FC Bayern</t>
  </si>
  <si>
    <t>Valenciennes FC</t>
  </si>
  <si>
    <t>18. Spieltag</t>
  </si>
  <si>
    <t>20 Tore, 5 Vorlagen, 23 Cleansheats als ZDM (23J.)</t>
  </si>
  <si>
    <t>Atletico Madrid</t>
  </si>
  <si>
    <t>3 - 2</t>
  </si>
  <si>
    <t>Toulouse FC</t>
  </si>
  <si>
    <t>1/8-Finale Coupe de France</t>
  </si>
  <si>
    <t>31 Tore, 14 Vorlagen in 51 Spielen (26J.)</t>
  </si>
  <si>
    <t>Richairo Zivkovich</t>
  </si>
  <si>
    <t>OGC Nice</t>
  </si>
  <si>
    <t>26. Spieltag</t>
  </si>
  <si>
    <t>15 Tore, 27 Vorlagen in 45 Spielen (27J.)</t>
  </si>
  <si>
    <t>AS Monaco</t>
  </si>
  <si>
    <t>37. Spieltag</t>
  </si>
  <si>
    <t>43 Tore, 13 Vorlagen in 40 Spielen (21J.)</t>
  </si>
  <si>
    <t>7 - 2</t>
  </si>
  <si>
    <t>ES Troyes</t>
  </si>
  <si>
    <t>38. Spieltag</t>
  </si>
  <si>
    <t>60 Tore, 20 Vorlagen in 43 Spielen (23J.)</t>
  </si>
  <si>
    <t xml:space="preserve">Nicolas Malouda </t>
  </si>
  <si>
    <t>Olympique Lyon</t>
  </si>
  <si>
    <t>3. Spieltag</t>
  </si>
  <si>
    <t>3 Vorlagen in einem Spiel (LV!!) mit 17 Jahren!</t>
  </si>
  <si>
    <t>1/2-Finale Coupe de la Ligue</t>
  </si>
  <si>
    <t>5 - 4</t>
  </si>
  <si>
    <t>RCD Maillorca</t>
  </si>
  <si>
    <t>6 - 0</t>
  </si>
  <si>
    <t>19. Spieltag</t>
  </si>
  <si>
    <t xml:space="preserve">Wellington Monteiro </t>
  </si>
  <si>
    <t>MVP in CL-Final mit 2 Toren und 8,5 Bewertung</t>
  </si>
  <si>
    <t>8 - 0</t>
  </si>
  <si>
    <t>22. Spieltag</t>
  </si>
  <si>
    <t xml:space="preserve">César Fuentes </t>
  </si>
  <si>
    <t>10 Tore, 15 Vorlagen in 41 Spielen als ZDM (29J.)</t>
  </si>
  <si>
    <t>FC Porto</t>
  </si>
  <si>
    <t>2013/2014</t>
  </si>
  <si>
    <t>FC Lorient</t>
  </si>
  <si>
    <t>19 Tore, 23 Vorlagen in 48 Spielen als LF (25J.)</t>
  </si>
  <si>
    <t>Spartak Moskau</t>
  </si>
  <si>
    <t>38 Tore, 14 Vorlagen in 36 Spielen (22J.)</t>
  </si>
  <si>
    <t>8 - 1</t>
  </si>
  <si>
    <t>10. Spieltag</t>
  </si>
  <si>
    <t>45 Tore, 13 Vorlagen in 41 Spielen</t>
  </si>
  <si>
    <t>16. Spieltag</t>
  </si>
  <si>
    <t>3 Tore, 9 Vorlagen, 13 Cleansheats in 43 Spielen (24J.)</t>
  </si>
  <si>
    <t>17. Spieltag</t>
  </si>
  <si>
    <t>13 Tore, 12 Vorlagen, 13 Cleansheats in 43 Spielen (25J.) als ZDM</t>
  </si>
  <si>
    <t>5 - 2</t>
  </si>
  <si>
    <t>24. Spieltag</t>
  </si>
  <si>
    <t>15 Tore, 11 Vorlagen, 12 Cleansheats in 41 Spielen (30J.) als ZDM</t>
  </si>
  <si>
    <t xml:space="preserve">Evian Thonon </t>
  </si>
  <si>
    <t>23 Tore, 22 Vorlagen in 42 Spielen (26J.)</t>
  </si>
  <si>
    <t>7 -0</t>
  </si>
  <si>
    <t>Stade Rennais</t>
  </si>
  <si>
    <t>46 Tore, 14 Vorlagen in 41 Spielen (25J.)</t>
  </si>
  <si>
    <t>RC Deportivo</t>
  </si>
  <si>
    <t>1/2-Finale CL (Hinspiel)</t>
  </si>
  <si>
    <t>MVP in CL-Final mit 1 Tor, 1 Vorlage und 8,7 Bewertung</t>
  </si>
  <si>
    <t>AC Milan</t>
  </si>
  <si>
    <t>34. Spieltag</t>
  </si>
  <si>
    <t>4 Tore, 12 Vorlagen in 50 Spielen als RV (25J.)</t>
  </si>
  <si>
    <t>Betis</t>
  </si>
  <si>
    <t>Olympique Marseille</t>
  </si>
  <si>
    <t xml:space="preserve">35. Spieltag </t>
  </si>
  <si>
    <t>7 Tore, 29 Vorlagen in 39 Spielen als LF (24J.)</t>
  </si>
  <si>
    <t>Rachid Aliuoi</t>
  </si>
  <si>
    <t>5 - 1</t>
  </si>
  <si>
    <t>SC Braga</t>
  </si>
  <si>
    <t>16 Tore, 14 Vorlagen in 44 Spielen als ZOM (23J.)</t>
  </si>
  <si>
    <t xml:space="preserve">6 - 0 </t>
  </si>
  <si>
    <t>9. Spieltag</t>
  </si>
  <si>
    <t>35 Tore, 14 Vorlagen in 37 Spielen als ST (24 J.)</t>
  </si>
  <si>
    <t>1/8-Finale Coupe de la Ligue</t>
  </si>
  <si>
    <t>46 Tore, 21 Vorlagen in 44 Spielen als ST (26J.)</t>
  </si>
  <si>
    <t>Cham. Niortais</t>
  </si>
  <si>
    <t>1/4-Finale Coupe de la Ligue</t>
  </si>
  <si>
    <t>MVP in CL-Final mit 1 Tor, 3 Vorlagen und 9,7 Bewertung</t>
  </si>
  <si>
    <t>5 - 5 (4 -3 Sieg in Penalty)</t>
  </si>
  <si>
    <t xml:space="preserve">Adam Novota </t>
  </si>
  <si>
    <t>21 Cleansheats (25J.) --&gt; Rekord von Samassa ausgeglichen</t>
  </si>
  <si>
    <t>1. FC Köln</t>
  </si>
  <si>
    <t>SC Bastia</t>
  </si>
  <si>
    <t>1/16-Finale Coupe de France</t>
  </si>
  <si>
    <t>4 Tore, 10 Vorlagen in 42 Spielen als RV (26J.)</t>
  </si>
  <si>
    <t>QPR</t>
  </si>
  <si>
    <t>32. Spieltag</t>
  </si>
  <si>
    <t>15 Tore, 40 Vorlagen in 41 Spielen als LF (25J.)</t>
  </si>
  <si>
    <t>Wigan Athletic</t>
  </si>
  <si>
    <t>FC Sochaux</t>
  </si>
  <si>
    <t>79 Tore(!!), 21 Vorlagen in 45 Spielen als ST (27J.) --&gt; Rekord von Messi ausgeglichen</t>
  </si>
  <si>
    <t>AJ Auxerre</t>
  </si>
  <si>
    <t>Evian Thonon Gaillard</t>
  </si>
  <si>
    <t>2. Spieltag</t>
  </si>
  <si>
    <t>21 Tore, 31 Vorlagen in 45 Spielen als RF (28J.)</t>
  </si>
  <si>
    <t>Tours FC</t>
  </si>
  <si>
    <t>10 Tore als IV --&gt; neuer Rekord</t>
  </si>
  <si>
    <t>Baissama Sankoh</t>
  </si>
  <si>
    <t>Birmingham City</t>
  </si>
  <si>
    <t>AS Saint-Etienne</t>
  </si>
  <si>
    <t>25. Spieltag</t>
  </si>
  <si>
    <t>Nach 19 Spielen 55 Pkt., 93 Tore, 17GT, 18 Siege, 1 Unentschieden</t>
  </si>
  <si>
    <t xml:space="preserve">Do Yeon Kim </t>
  </si>
  <si>
    <t>3 Tore, 4 Vorlagen gegen Sochaux mit 9,9 Bewertung in einem Spiel(!)</t>
  </si>
  <si>
    <t>7. Spieltag</t>
  </si>
  <si>
    <t>Portsmouth</t>
  </si>
  <si>
    <t>MVP in CL-Final mit einem Hattrick und 9,8 Bewertung</t>
  </si>
  <si>
    <t>4 Vorlagen in einem Spiel</t>
  </si>
  <si>
    <t>FC Nantes</t>
  </si>
  <si>
    <t>SC Cambuur</t>
  </si>
  <si>
    <t>1/4-Finale Coupe de France</t>
  </si>
  <si>
    <t>KV Oostende</t>
  </si>
  <si>
    <t>1/32-Final Coupe de France</t>
  </si>
  <si>
    <t>16 Tore, 40 Vorlagen in 47 Spielen als LF (26J.)</t>
  </si>
  <si>
    <t>1/2-Finale CL (Rückspiel)</t>
  </si>
  <si>
    <t>75 Tore, 22 Vorlagen in 55 Spielen als ST (28J.)</t>
  </si>
  <si>
    <t>RC Lens</t>
  </si>
  <si>
    <t>6 - 2</t>
  </si>
  <si>
    <t>17 Tore, 28 Vorlagen in 45 Spielen als RF (25J.)</t>
  </si>
  <si>
    <t>AC Arles</t>
  </si>
  <si>
    <t>MVP in CL-Final mit 1 Vorlage und 8,4 Bewertung</t>
  </si>
  <si>
    <t>Nîmes Olympique</t>
  </si>
  <si>
    <t>5 -2</t>
  </si>
  <si>
    <t>4. Spieltag</t>
  </si>
  <si>
    <t>5 VL in einem Spiel (27J.)</t>
  </si>
  <si>
    <t>US Créteil</t>
  </si>
  <si>
    <t>6 Tore in einem Spiel (29J.)</t>
  </si>
  <si>
    <t>Alshoulla</t>
  </si>
  <si>
    <t>Hattrick in 45 min als IV(!)</t>
  </si>
  <si>
    <t>Freier Spieler</t>
  </si>
  <si>
    <t>Troyes</t>
  </si>
  <si>
    <t>13 Tore, 45 Vorlagen in 44 Spielen als LF (27J.)</t>
  </si>
  <si>
    <t>14. Spieltag</t>
  </si>
  <si>
    <t>53 Tore, 8 Vorlagen in 42 Spielen als ST (29J.)</t>
  </si>
  <si>
    <t xml:space="preserve">MVP in CL-Final mit 2 Vorlagen und 9,7 Bewertung </t>
  </si>
  <si>
    <t>9 - 2</t>
  </si>
  <si>
    <t>22 Tore, 25 Vorlagen in 45 Spielen als RF (27J.)</t>
  </si>
  <si>
    <t>40 Tore, 13 Vorlagen in 35 Spielen als ST (25J.)</t>
  </si>
  <si>
    <t>Club Brugge</t>
  </si>
  <si>
    <t>MVP in CL-Final mit 1 Tor &amp; 1 Vorlage und 9,0 Bewertung</t>
  </si>
  <si>
    <t>2018/2029</t>
  </si>
  <si>
    <t>10 Tore, 10 Vorlagen in 58 Spielen als RV (25J.)</t>
  </si>
  <si>
    <t>Real Saragossa</t>
  </si>
  <si>
    <t>17 Tore, 26 Vorlagen in 42 Spielen als RF (23J.)</t>
  </si>
  <si>
    <t>30. Spieltag</t>
  </si>
  <si>
    <t>53 Tore, 11 Vorlagen in 46 Spielen als ST (26J.)</t>
  </si>
  <si>
    <t>MVP in CL-Final mit einem Hattrick und 9,9 Bewertung</t>
  </si>
  <si>
    <t>Vélez Sarsfield</t>
  </si>
  <si>
    <t>6 Tore , 16 Vorlagen (Rekord) in 61 Spiele als RV (26J.)</t>
  </si>
  <si>
    <t>Sampdoria</t>
  </si>
  <si>
    <t>CL-Final</t>
  </si>
  <si>
    <t>24 Tore, 23 Vorlagen in 53 Spiele als RF (24J.)</t>
  </si>
  <si>
    <t>Al. Petrolera</t>
  </si>
  <si>
    <t xml:space="preserve">Javi Villar </t>
  </si>
  <si>
    <t>31 Tore, 30 Vorlagen (61 décisif, besser als Gashi!) in 47 Spielen als LF (24J.)</t>
  </si>
  <si>
    <t>Norwich City</t>
  </si>
  <si>
    <t>1/32-Final Coupe de la Ligue</t>
  </si>
  <si>
    <t>52 Tore, 23 Vorlagen in 53 Spielen als ST (27J.)</t>
  </si>
  <si>
    <t xml:space="preserve">Lazio </t>
  </si>
  <si>
    <t xml:space="preserve">Javier Fernandes </t>
  </si>
  <si>
    <t>Bester Spieler (nicht MVP, das war Lewwandowski mit Hattrick) mit 8,2</t>
  </si>
  <si>
    <t>3 - 3 (4 - 3 Pen.)</t>
  </si>
  <si>
    <t>Southhampton</t>
  </si>
  <si>
    <t>Schalke 04</t>
  </si>
  <si>
    <t>CL Gruppenphase</t>
  </si>
  <si>
    <t>16 Tore, 24 Vorlagen als RF (25J.)</t>
  </si>
  <si>
    <t>Bologna</t>
  </si>
  <si>
    <t>15. Spieltag</t>
  </si>
  <si>
    <t>53 Tore, 11 Vorlagen in 37 Spielen als ST (28J.)</t>
  </si>
  <si>
    <t>18 Tore, 19 Vorlagen in 44 Spielen als LF (25J.)</t>
  </si>
  <si>
    <t>SL Benfica</t>
  </si>
  <si>
    <t>MVP in CL-Final mit 2 Toren und 8,4 Bewertung</t>
  </si>
  <si>
    <t>20. Spieltag</t>
  </si>
  <si>
    <t>5 Tore, 15 Vorlagen in 52 Spiele als RV (28J.)</t>
  </si>
  <si>
    <t>Cagliari</t>
  </si>
  <si>
    <t>7 Tore, 18 Vorlagen, 18 Cleansheats in 52 Spielen als ZDM(!) (27J.)</t>
  </si>
  <si>
    <t>7 Tore, 14 Vorlagen, 14 Cleansheats in 43 Spielen als RZM (26J.)</t>
  </si>
  <si>
    <t>1/8 Final Coupe de France</t>
  </si>
  <si>
    <t>22 Tore, 25 Vorlagen in 47 Spielen als LF (26J.)</t>
  </si>
  <si>
    <t>Cruzeiro</t>
  </si>
  <si>
    <t>10 Tore, 11 Vorlagen , 12 Cleansheats in 40 Spiele als LZM (27J.)</t>
  </si>
  <si>
    <t>13 Tore, 5 Vorlagen in 36 Spiele als ZOM (18J.!!)</t>
  </si>
  <si>
    <t>C.D. O'Higgins</t>
  </si>
  <si>
    <t>20 Tore, 30 Vorlagen in 41 Spielen als RF (26J.)</t>
  </si>
  <si>
    <t>Catania</t>
  </si>
  <si>
    <t>1/2-Finale Coupe de France</t>
  </si>
  <si>
    <t>69 Tore, 16 Vorlagen als ST (29J.)</t>
  </si>
  <si>
    <t>FC Groningen</t>
  </si>
  <si>
    <t>8. Spieltag</t>
  </si>
  <si>
    <t>MVP in CL-Final mit 2 Toren und 8,9 Bewertung</t>
  </si>
  <si>
    <t>Stade Reims</t>
  </si>
  <si>
    <t xml:space="preserve">Thomas Bernard </t>
  </si>
  <si>
    <t>7 Tore in einem Spiel(!!) (29J.)</t>
  </si>
  <si>
    <t>Olypique Marseille</t>
  </si>
  <si>
    <t>FC Shakhtar</t>
  </si>
  <si>
    <t>Kyun Won Hwang (als IV!!)</t>
  </si>
  <si>
    <t>Aston Villa</t>
  </si>
  <si>
    <t>1/8-Finale CL</t>
  </si>
  <si>
    <t xml:space="preserve">PSG </t>
  </si>
  <si>
    <t>Palermo</t>
  </si>
  <si>
    <t>FC Barcelona B</t>
  </si>
  <si>
    <t>2027/2'28</t>
  </si>
  <si>
    <t>6. Spieltag</t>
  </si>
  <si>
    <t>Wiener Neustadt</t>
  </si>
  <si>
    <t>4- 3</t>
  </si>
  <si>
    <t>Eintracht Frankfurt</t>
  </si>
  <si>
    <t>Cristian Palomeque</t>
  </si>
  <si>
    <t>3 - 3</t>
  </si>
  <si>
    <t>Waseem Al-Shahhah</t>
  </si>
  <si>
    <t>4 - 4</t>
  </si>
  <si>
    <t>CL-Gruppenphase</t>
  </si>
  <si>
    <t>4 - 2</t>
  </si>
  <si>
    <t>1/2-Final Coupe de la Ligue</t>
  </si>
  <si>
    <t>AC Ajaccio</t>
  </si>
  <si>
    <t>1/8-Final Coupe de France</t>
  </si>
  <si>
    <t>7 Tore gegen Olympique Lyon (7 - 1)</t>
  </si>
  <si>
    <t>Nennenswerte Platzierung:</t>
  </si>
  <si>
    <t>1. Platz</t>
  </si>
  <si>
    <t>2. Platz</t>
  </si>
  <si>
    <t>3. Platz</t>
  </si>
  <si>
    <t>Weltmeisterschaft:</t>
  </si>
  <si>
    <t>Copa America:</t>
  </si>
  <si>
    <t>Europameisterschaft:</t>
  </si>
  <si>
    <t>Konfödpokal:</t>
  </si>
  <si>
    <t>Mexiko</t>
  </si>
  <si>
    <t>Finalspiel</t>
  </si>
  <si>
    <t>4. Platz</t>
  </si>
  <si>
    <t>2032/2033</t>
  </si>
  <si>
    <t>Lorenzo Bianchetti</t>
  </si>
  <si>
    <t>Chievo Verona</t>
  </si>
  <si>
    <t>Danijel Puncec</t>
  </si>
  <si>
    <t>Przemyslaw Trytko</t>
  </si>
  <si>
    <t>Kamerun</t>
  </si>
  <si>
    <t>Erwan Pied</t>
  </si>
  <si>
    <t>Chola Zakari</t>
  </si>
  <si>
    <t>Adrien Gbamin</t>
  </si>
  <si>
    <t>Juan Zusi</t>
  </si>
  <si>
    <t>Baptiste Mollo</t>
  </si>
  <si>
    <t>Anastasios Tsolakoglu</t>
  </si>
  <si>
    <t>Jérémy Astier</t>
  </si>
  <si>
    <t>15 Tore, 11 Vorlagen, 16 Cleansheats in 46 Spielen als ZDM(!) (28J.)</t>
  </si>
  <si>
    <t>20 Tore, 25 Vorlagen in 39 Spielen als RF (27J.)</t>
  </si>
  <si>
    <t>56 Tore, 21 Vorlagen in 40 Spielen als ST (30J.)</t>
  </si>
  <si>
    <t>17 Tore, 29 Vorlagen in 40 Spielen als LF (27J.)</t>
  </si>
  <si>
    <t xml:space="preserve">Gino Peruzzi </t>
  </si>
  <si>
    <t>MVP in CL-Final mit 1 Vorlage und 8,3 Bewertung als RV (25J.)</t>
  </si>
  <si>
    <t>Laywin Martin</t>
  </si>
  <si>
    <t>Le Havre FC</t>
  </si>
  <si>
    <t>1/4-Final CL</t>
  </si>
  <si>
    <t>Baptiste Griezmann (ZDM!!!)</t>
  </si>
  <si>
    <t>8 -0</t>
  </si>
  <si>
    <t>Feyenoord</t>
  </si>
  <si>
    <t>Anastosios Tsolakoglu</t>
  </si>
  <si>
    <t>Hall of Fame of the Young</t>
  </si>
  <si>
    <t>Adam Jarabica</t>
  </si>
  <si>
    <t>2033/2034</t>
  </si>
  <si>
    <t>Tobias Andersen</t>
  </si>
  <si>
    <t>83-94</t>
  </si>
  <si>
    <t>Dänemark</t>
  </si>
  <si>
    <t>Viborg FF</t>
  </si>
  <si>
    <t>Tore + VL / CS</t>
  </si>
  <si>
    <t>9 Tore in Coupe de la Ligue mit 17J.(!!) als ST</t>
  </si>
  <si>
    <t>67 Tore, 10 Vorlagen in 38 Spiele als ST (31J.)</t>
  </si>
  <si>
    <t>Javier Feernandez</t>
  </si>
  <si>
    <t>20 Tore, 37 Vorlagen in 40 Spielen als RF (28J.)</t>
  </si>
  <si>
    <t>24 Tore, 37 Vorlagen in 43 Spiele als LF (28J.)</t>
  </si>
  <si>
    <t>MVP in CL-Final mit 2 Toren</t>
  </si>
  <si>
    <t>Spieltag 35</t>
  </si>
  <si>
    <t>Spieltag 33</t>
  </si>
  <si>
    <t>Spieltag 29</t>
  </si>
  <si>
    <t>Spieltag 24</t>
  </si>
  <si>
    <t>Spieltag 20</t>
  </si>
  <si>
    <t>Spieltag 19</t>
  </si>
  <si>
    <t>Spieltag 16</t>
  </si>
  <si>
    <t>Spieltag 15</t>
  </si>
  <si>
    <t>Spieltag 7</t>
  </si>
  <si>
    <t>Spieltag 6</t>
  </si>
  <si>
    <t>Spieltag 3</t>
  </si>
  <si>
    <t>Spieltag 2</t>
  </si>
  <si>
    <t>41 Tore in 18 Spielen(!!!)</t>
  </si>
  <si>
    <t>Emeric Diring</t>
  </si>
  <si>
    <t>2034/2035</t>
  </si>
  <si>
    <t>Nicolas Bérigaud</t>
  </si>
  <si>
    <t>2034/2025</t>
  </si>
  <si>
    <t>Uruguay</t>
  </si>
  <si>
    <t>2035/2036</t>
  </si>
  <si>
    <t>Angelo Raffaele Brosco</t>
  </si>
  <si>
    <t>Diego Hervias Rubio</t>
  </si>
  <si>
    <t>Samuele Darmian</t>
  </si>
  <si>
    <t>40 Tore, 28 Vorlagen in 49 Spielen als LF (29J.)</t>
  </si>
  <si>
    <t>52 Tore, 16 Vorlagen in 40 Spielen als ST (32J.)</t>
  </si>
  <si>
    <t>MVP in CL-Final mit 2 Toren und 8.5 Bewertung</t>
  </si>
  <si>
    <t>6 - 3</t>
  </si>
  <si>
    <t>1/8-Final CL</t>
  </si>
  <si>
    <t>AS Roma</t>
  </si>
  <si>
    <t>Raffaele Brosco</t>
  </si>
  <si>
    <t xml:space="preserve">Livorno </t>
  </si>
  <si>
    <t>Livorno</t>
  </si>
  <si>
    <t>Parma</t>
  </si>
  <si>
    <t>Kieran Atkinson</t>
  </si>
  <si>
    <t>Crystal Palace</t>
  </si>
  <si>
    <t xml:space="preserve">Severino </t>
  </si>
  <si>
    <t>Russland</t>
  </si>
  <si>
    <t xml:space="preserve">Daniel Erdmann </t>
  </si>
  <si>
    <t xml:space="preserve">Johan Hinestroza </t>
  </si>
  <si>
    <t>Deportes Tolima</t>
  </si>
  <si>
    <t>Severino</t>
  </si>
  <si>
    <t>Johan Hinestroza</t>
  </si>
  <si>
    <t>11 Tore, 2 Vorlagen und 16 Cleansheats (22J.) als IV</t>
  </si>
  <si>
    <t>27 Tore, 41 Vorlagen in 54 Spielen als LF (30J.)</t>
  </si>
  <si>
    <t>Bester Spieler (nicht MVP, das war Courtois mit 10 Paraden)</t>
  </si>
  <si>
    <t>0 - 1</t>
  </si>
  <si>
    <t>George Cole</t>
  </si>
  <si>
    <t>Everton</t>
  </si>
  <si>
    <t>2036/2037</t>
  </si>
  <si>
    <t>Marvin Trauner</t>
  </si>
  <si>
    <t>81-93</t>
  </si>
  <si>
    <t>Rafael Viana</t>
  </si>
  <si>
    <t>Flamengo</t>
  </si>
  <si>
    <t>Eymeric Diring</t>
  </si>
  <si>
    <t>Lukas Aydogdu</t>
  </si>
  <si>
    <t>6 - 4</t>
  </si>
  <si>
    <t>28. Spieltag</t>
  </si>
  <si>
    <t>Rafael Viana Dos Santos</t>
  </si>
  <si>
    <t>10 Tore, 0 VL und 19 Cleansheats (23J.) als IV</t>
  </si>
  <si>
    <t>54 Tore, 13 Vorlagen in 38 Spielen als ST (23J.)</t>
  </si>
  <si>
    <t>29 Tore, 24 Vorlage in 48 Spielen als LF (31J.)</t>
  </si>
  <si>
    <t xml:space="preserve">24 Tore, 13 Vorlagen in 34 Spielen als ST (20J.!!) </t>
  </si>
  <si>
    <t>MVP in CL-Final mit 1 Vorlage und 8.1 Bewertung</t>
  </si>
  <si>
    <t>1 - 1 (5 - 4)</t>
  </si>
  <si>
    <t>2037/2038</t>
  </si>
  <si>
    <t>Thomas Mendes</t>
  </si>
  <si>
    <t>Aaron O'Sullivan</t>
  </si>
  <si>
    <t>Ji Nam Cho</t>
  </si>
  <si>
    <t>Emmanuel Longas Ferrer</t>
  </si>
  <si>
    <t>Elton Lima Mendes</t>
  </si>
  <si>
    <t>Gonçalvo Acevedo</t>
  </si>
  <si>
    <t>Red Bull Salzburg</t>
  </si>
  <si>
    <t>Anastosios Tsokanoglu</t>
  </si>
  <si>
    <t>31. Spieltag</t>
  </si>
  <si>
    <t>33. Spieltag</t>
  </si>
  <si>
    <t>34 Tore, 26 Vorlagen in 51 Spielen als LF (32K.)</t>
  </si>
  <si>
    <t>40 Tore, 19 Vorlagen in 43 Spielen als ST (24J.)</t>
  </si>
  <si>
    <t>29 Tore, 7 Vorlagen in 35 Spielen als ST und Auswechselspieler(!) (21J.)</t>
  </si>
  <si>
    <t>MVP in CL-Final mit 1 Vorlage und 8.3 Bewertung</t>
  </si>
  <si>
    <t>2038/2039</t>
  </si>
  <si>
    <t>42 Spiele, 15 Tore, 27 Vorlagen als RF (32J.) in letzter Saison (keine Vertragsverlängerung)</t>
  </si>
  <si>
    <t>Meiste Anzahl MVP Titel CL-Finale</t>
  </si>
  <si>
    <t>Auszeichnung</t>
  </si>
  <si>
    <t>Hall of Fame</t>
  </si>
  <si>
    <t>Spieler des Jahres</t>
  </si>
  <si>
    <t>3 Titel</t>
  </si>
  <si>
    <t>Bester Torschütze Ligue 1 hintereinander</t>
  </si>
  <si>
    <t>9 mal hintereinander</t>
  </si>
  <si>
    <t>Bester Vorlagengeber Ligue 1 hintereinander</t>
  </si>
  <si>
    <t>5 mal hintereinander</t>
  </si>
  <si>
    <t>Ligue 1:</t>
  </si>
  <si>
    <t>Torschützenkönig</t>
  </si>
  <si>
    <t>Vorlagenkönig</t>
  </si>
  <si>
    <t>Anzahl Tore</t>
  </si>
  <si>
    <t>Anzahl VL</t>
  </si>
  <si>
    <t>CL:</t>
  </si>
  <si>
    <t>EL:</t>
  </si>
  <si>
    <t>Coupe de la Ligue:</t>
  </si>
  <si>
    <t>Coupe de France:</t>
  </si>
  <si>
    <t>WM:</t>
  </si>
  <si>
    <t>EM:</t>
  </si>
  <si>
    <t>Konföderation Pokal:</t>
  </si>
  <si>
    <t>Cavani</t>
  </si>
  <si>
    <t>Steven Fernandes</t>
  </si>
  <si>
    <t>Club</t>
  </si>
  <si>
    <t>Grozav</t>
  </si>
  <si>
    <t>Vilna</t>
  </si>
  <si>
    <t>Hallberg</t>
  </si>
  <si>
    <t>Bernard</t>
  </si>
  <si>
    <t>Erdmann</t>
  </si>
  <si>
    <t>Ibrahimovic</t>
  </si>
  <si>
    <t>Josh Murphy</t>
  </si>
  <si>
    <t>Nicolao</t>
  </si>
  <si>
    <t>Battocchio</t>
  </si>
  <si>
    <t>Al Dossari</t>
  </si>
  <si>
    <t>Chadli</t>
  </si>
  <si>
    <t>Tottenham</t>
  </si>
  <si>
    <t>Özil</t>
  </si>
  <si>
    <t>Luis Suarez</t>
  </si>
  <si>
    <t>Salihovic</t>
  </si>
  <si>
    <t>FC Schalke 04</t>
  </si>
  <si>
    <t>Cigerci</t>
  </si>
  <si>
    <t>Ruiz</t>
  </si>
  <si>
    <t>Mario Gomez</t>
  </si>
  <si>
    <t>AC Fiorentina</t>
  </si>
  <si>
    <t>Bale</t>
  </si>
  <si>
    <t>Wales</t>
  </si>
  <si>
    <t>Neymar</t>
  </si>
  <si>
    <t>Jovetic</t>
  </si>
  <si>
    <t>Montenegro</t>
  </si>
  <si>
    <t>Riquero</t>
  </si>
  <si>
    <t>Yatabaré</t>
  </si>
  <si>
    <t>Tévez</t>
  </si>
  <si>
    <t>Deutschand</t>
  </si>
  <si>
    <t>Kamara</t>
  </si>
  <si>
    <t>Ateen</t>
  </si>
  <si>
    <t>Arsenal</t>
  </si>
  <si>
    <t>Welington Monteiro</t>
  </si>
  <si>
    <t>Pazzini</t>
  </si>
  <si>
    <t>Javier Fenandez</t>
  </si>
  <si>
    <t>Batshuayi</t>
  </si>
  <si>
    <t>Benzema</t>
  </si>
  <si>
    <t>Bester Torschütze CL hintereinander</t>
  </si>
  <si>
    <t>Montero</t>
  </si>
  <si>
    <t>Sporting CF</t>
  </si>
  <si>
    <t>Higuain</t>
  </si>
  <si>
    <t>Napoli</t>
  </si>
  <si>
    <t>Hernandez</t>
  </si>
  <si>
    <t>Vitolo</t>
  </si>
  <si>
    <t>Belfodil</t>
  </si>
  <si>
    <t>De Jong</t>
  </si>
  <si>
    <t>Dzagoev</t>
  </si>
  <si>
    <t>Icardi</t>
  </si>
  <si>
    <t>Victor Andrade</t>
  </si>
  <si>
    <t>Falette</t>
  </si>
  <si>
    <t>ZSKA Moskau</t>
  </si>
  <si>
    <t>Hazurov</t>
  </si>
  <si>
    <t>Ungarn</t>
  </si>
  <si>
    <t>Pratto</t>
  </si>
  <si>
    <t>Podolski</t>
  </si>
  <si>
    <t>Sterling</t>
  </si>
  <si>
    <t>Gervinho</t>
  </si>
  <si>
    <t>Weimann</t>
  </si>
  <si>
    <t>Lazio</t>
  </si>
  <si>
    <t>Traore</t>
  </si>
  <si>
    <t>Ibai Gomez</t>
  </si>
  <si>
    <t>Athletic Bilbao</t>
  </si>
  <si>
    <t>Rodriguez</t>
  </si>
  <si>
    <t>Kenedy</t>
  </si>
  <si>
    <t>Bayer Leverkusen</t>
  </si>
  <si>
    <t>Gameiro</t>
  </si>
  <si>
    <t>Diego Capel</t>
  </si>
  <si>
    <t>Destro</t>
  </si>
  <si>
    <t>Liverpool</t>
  </si>
  <si>
    <t>De Olim Andrade</t>
  </si>
  <si>
    <t>Leichtweis</t>
  </si>
  <si>
    <t>Belém</t>
  </si>
  <si>
    <t>Sagbo</t>
  </si>
  <si>
    <t>Senegal</t>
  </si>
  <si>
    <t>Tevez</t>
  </si>
  <si>
    <t>Ananidze</t>
  </si>
  <si>
    <t>Georgien</t>
  </si>
  <si>
    <t>Oduamadi</t>
  </si>
  <si>
    <t>Son</t>
  </si>
  <si>
    <t>Serbien</t>
  </si>
  <si>
    <t>Agüero</t>
  </si>
  <si>
    <t>Hazard</t>
  </si>
  <si>
    <t>Ritchie</t>
  </si>
  <si>
    <t>Samu Castillejo</t>
  </si>
  <si>
    <t>Centurion</t>
  </si>
  <si>
    <t>Iniesta</t>
  </si>
  <si>
    <t>Fernandes</t>
  </si>
  <si>
    <t>Martins Indi</t>
  </si>
  <si>
    <t>Pastore</t>
  </si>
  <si>
    <t>Sturridge</t>
  </si>
  <si>
    <t>Balotelli</t>
  </si>
  <si>
    <t>Götze</t>
  </si>
  <si>
    <t>Joao Moutinho</t>
  </si>
  <si>
    <t>Lopez</t>
  </si>
  <si>
    <t>McInerey</t>
  </si>
  <si>
    <t>Diaz</t>
  </si>
  <si>
    <t>Laxalt</t>
  </si>
  <si>
    <t>Escobar</t>
  </si>
  <si>
    <t>Barrientos</t>
  </si>
  <si>
    <t>Millieras</t>
  </si>
  <si>
    <t>Spieler des Jahres:</t>
  </si>
  <si>
    <t>Sembene</t>
  </si>
  <si>
    <t>Doumbia</t>
  </si>
  <si>
    <t>Traoré</t>
  </si>
  <si>
    <t>Falcao</t>
  </si>
  <si>
    <t>Lacazette</t>
  </si>
  <si>
    <t>Tabanou</t>
  </si>
  <si>
    <t>Omrani</t>
  </si>
  <si>
    <t>Araujo</t>
  </si>
  <si>
    <t>Yroundu Kanga</t>
  </si>
  <si>
    <t>Gabun</t>
  </si>
  <si>
    <t>Patrick Pepic</t>
  </si>
  <si>
    <t>Marco Herrera</t>
  </si>
  <si>
    <t>Stade Lavallois</t>
  </si>
  <si>
    <t>25 Cleansheats in 46 Spielen als IV (23J.)</t>
  </si>
  <si>
    <t>25 Cleansheats in 47 Spielen als LV (26J.)</t>
  </si>
  <si>
    <t>22 Tore, 26 Vorlagen, 23 Cleansheats in 49 Spielen für seine letzte Saison als LM (33J.)</t>
  </si>
  <si>
    <t>40 Tore, 20 Vorlagen, 23 Cleansheats in 43 Spielen als ST (25J.)</t>
  </si>
  <si>
    <t>30 Tore, 13 Vorlagen in 44 Spielen als ST (22J.)</t>
  </si>
  <si>
    <t>MVP in CL-Final mit 2 Toren und 8.9 Bewertung</t>
  </si>
  <si>
    <t>Gbamin</t>
  </si>
  <si>
    <t>Thauvin</t>
  </si>
  <si>
    <t>Ampuero</t>
  </si>
  <si>
    <t>Astier</t>
  </si>
  <si>
    <t>Paneira</t>
  </si>
  <si>
    <t>Marchetti</t>
  </si>
  <si>
    <t>Depay</t>
  </si>
  <si>
    <t>2039/2040</t>
  </si>
  <si>
    <t>Bentley</t>
  </si>
  <si>
    <t>Ward-Prowse</t>
  </si>
  <si>
    <t>Pro League</t>
  </si>
  <si>
    <t>Bundesliga</t>
  </si>
  <si>
    <t>2. Bundesliga</t>
  </si>
  <si>
    <t>Superliga</t>
  </si>
  <si>
    <t>Barclays Premier League</t>
  </si>
  <si>
    <t>FL Championship</t>
  </si>
  <si>
    <t>Football League 1</t>
  </si>
  <si>
    <t>Football League 2</t>
  </si>
  <si>
    <t>Ligue 2</t>
  </si>
  <si>
    <t>Serie A</t>
  </si>
  <si>
    <t>Serie B</t>
  </si>
  <si>
    <t>Eredivise</t>
  </si>
  <si>
    <t>Tippenligaen</t>
  </si>
  <si>
    <t>Ekstraklasa</t>
  </si>
  <si>
    <t>Portugisische Liga</t>
  </si>
  <si>
    <t>Airtricity League</t>
  </si>
  <si>
    <t>Russische Liga</t>
  </si>
  <si>
    <t>Scottish Premier League</t>
  </si>
  <si>
    <t>Allsvenskan</t>
  </si>
  <si>
    <t>Raiffeisen Superleague</t>
  </si>
  <si>
    <t xml:space="preserve">Liga BBVA </t>
  </si>
  <si>
    <t>Liga Adelante</t>
  </si>
  <si>
    <t>Österreichische Bundesliga</t>
  </si>
  <si>
    <t>RSC Anderlecht</t>
  </si>
  <si>
    <t>FC Ingoldstadt</t>
  </si>
  <si>
    <t>FC Copenhagen</t>
  </si>
  <si>
    <t>Queen's Park Rangers</t>
  </si>
  <si>
    <t>Wolverhampton</t>
  </si>
  <si>
    <t>Ajax</t>
  </si>
  <si>
    <t>Rosenborg BK</t>
  </si>
  <si>
    <t>Lech Posen</t>
  </si>
  <si>
    <t>St. Pats</t>
  </si>
  <si>
    <t>Zenit</t>
  </si>
  <si>
    <t>Celtic</t>
  </si>
  <si>
    <t>Malmö FF</t>
  </si>
  <si>
    <t>FC Basel</t>
  </si>
  <si>
    <t>FK Austria</t>
  </si>
  <si>
    <t>Standard Lüttich</t>
  </si>
  <si>
    <t>Borrussia Dortmund</t>
  </si>
  <si>
    <t>1. FC Nürnberg</t>
  </si>
  <si>
    <t>Reading</t>
  </si>
  <si>
    <t>Bournemouth</t>
  </si>
  <si>
    <t>Plymouth Argyle</t>
  </si>
  <si>
    <t>Molde FK</t>
  </si>
  <si>
    <t>Legia Warschau</t>
  </si>
  <si>
    <t>Sligo Rovers</t>
  </si>
  <si>
    <t>Helsinborgs IF</t>
  </si>
  <si>
    <t>RM Castilla</t>
  </si>
  <si>
    <t>RB Salzburg</t>
  </si>
  <si>
    <t>Braunschweig</t>
  </si>
  <si>
    <t>Bristol City</t>
  </si>
  <si>
    <t>Walsall</t>
  </si>
  <si>
    <t>Malaga CF</t>
  </si>
  <si>
    <t>SK Rapid Wien</t>
  </si>
  <si>
    <t>FC Augsburg</t>
  </si>
  <si>
    <t>Leicester City</t>
  </si>
  <si>
    <t>Scunthorpe United</t>
  </si>
  <si>
    <t>Hellas Verona</t>
  </si>
  <si>
    <t>Villareal CF</t>
  </si>
  <si>
    <t>Brondby IF</t>
  </si>
  <si>
    <t>Watford</t>
  </si>
  <si>
    <t>Peterborough</t>
  </si>
  <si>
    <t>Notts County</t>
  </si>
  <si>
    <t>Rayo Vallecano</t>
  </si>
  <si>
    <t>Werder Bremen</t>
  </si>
  <si>
    <t>Blackpool</t>
  </si>
  <si>
    <t>Shamrock Rovers</t>
  </si>
  <si>
    <t>Granada CF</t>
  </si>
  <si>
    <t>Aalborg BK</t>
  </si>
  <si>
    <t>West Brom</t>
  </si>
  <si>
    <t>Coventry City</t>
  </si>
  <si>
    <t>Gillingham</t>
  </si>
  <si>
    <t>FC Twente</t>
  </si>
  <si>
    <t>Limerick</t>
  </si>
  <si>
    <t>Levante</t>
  </si>
  <si>
    <t>1. FSV Mainz 05</t>
  </si>
  <si>
    <t>Colchester</t>
  </si>
  <si>
    <t>Wycombe</t>
  </si>
  <si>
    <t>Pescara</t>
  </si>
  <si>
    <t>SK Brann</t>
  </si>
  <si>
    <t>Hertha BSC</t>
  </si>
  <si>
    <t>Evian Thonon FC</t>
  </si>
  <si>
    <t>Brescia</t>
  </si>
  <si>
    <t>Dundalk</t>
  </si>
  <si>
    <t>RCD Mallorca</t>
  </si>
  <si>
    <t>Millwall</t>
  </si>
  <si>
    <t>Exeter City</t>
  </si>
  <si>
    <t>Derry City</t>
  </si>
  <si>
    <t>Dynamo Moskau</t>
  </si>
  <si>
    <t>Real Valladolid</t>
  </si>
  <si>
    <t>Udinese</t>
  </si>
  <si>
    <t xml:space="preserve">Feyenoord </t>
  </si>
  <si>
    <t>Young Boys</t>
  </si>
  <si>
    <t>Getafe CF</t>
  </si>
  <si>
    <t>SC Freiburg</t>
  </si>
  <si>
    <t>Crawley Town</t>
  </si>
  <si>
    <t>Dijon FCO</t>
  </si>
  <si>
    <t>Stoke City</t>
  </si>
  <si>
    <t>Yeovil Town</t>
  </si>
  <si>
    <t>Wisla Krakow</t>
  </si>
  <si>
    <t>CD National</t>
  </si>
  <si>
    <t>Dundee United</t>
  </si>
  <si>
    <t>IKF Göteborg</t>
  </si>
  <si>
    <t>Sporting Gijon</t>
  </si>
  <si>
    <t>Fortuna Düsseldorf</t>
  </si>
  <si>
    <t>West Ham</t>
  </si>
  <si>
    <t>Brighton</t>
  </si>
  <si>
    <t>Tranmere Rovers</t>
  </si>
  <si>
    <t xml:space="preserve">Toulouse FC </t>
  </si>
  <si>
    <t>Atalanta Bergamo</t>
  </si>
  <si>
    <t>Valerenga</t>
  </si>
  <si>
    <t>CA Osasuna</t>
  </si>
  <si>
    <t>1. FC Kaiserslautern</t>
  </si>
  <si>
    <t>Crewe Alexandra</t>
  </si>
  <si>
    <t>Vittoria Guimaraes</t>
  </si>
  <si>
    <t>GC</t>
  </si>
  <si>
    <t>Hull City</t>
  </si>
  <si>
    <t>Charlton Athletic</t>
  </si>
  <si>
    <t>AIK Football</t>
  </si>
  <si>
    <t>Barnsley</t>
  </si>
  <si>
    <t>Rochdale</t>
  </si>
  <si>
    <t>Swansea City</t>
  </si>
  <si>
    <t>Oldham Athletic</t>
  </si>
  <si>
    <t>Sassuolo</t>
  </si>
  <si>
    <t>FC St. Pauli</t>
  </si>
  <si>
    <t>Celta Vigo</t>
  </si>
  <si>
    <t>Hartlepool</t>
  </si>
  <si>
    <t>Elche CF</t>
  </si>
  <si>
    <t>Lechia Gdansk</t>
  </si>
  <si>
    <t>BVB Dortmund</t>
  </si>
  <si>
    <t>Real Madrid CF</t>
  </si>
  <si>
    <t>Nottingham Forest</t>
  </si>
  <si>
    <t>Cardiff City</t>
  </si>
  <si>
    <t>Bradforf City</t>
  </si>
  <si>
    <t>Meiste Tore in einem CL Spiel</t>
  </si>
  <si>
    <t>6 Tore gegen Club Bruge (7 - 2) CL-Gruppenphase</t>
  </si>
  <si>
    <t>Jonas Fernandes</t>
  </si>
  <si>
    <t>N'Diaye Gueye</t>
  </si>
  <si>
    <t>Daniel Jahanbahksh</t>
  </si>
  <si>
    <t>Iran</t>
  </si>
  <si>
    <t>Muhammet Kadah</t>
  </si>
  <si>
    <t>Österriech</t>
  </si>
  <si>
    <t>Real Sociedad</t>
  </si>
  <si>
    <t>1/32-Finale Coupe de la Ligue</t>
  </si>
  <si>
    <t>1/2-Finale CL</t>
  </si>
  <si>
    <t>6 Tore in einem Spiel (26J.)</t>
  </si>
  <si>
    <t>16 Tore in 39 Spiele als IV (26J.), neuer Rekord!!</t>
  </si>
  <si>
    <t>16 Vorlagen in 35 Spielen als ZM (19J.!!!)</t>
  </si>
  <si>
    <t>22 Tore, 22 Vorlagen, 21 Cleansheats in 44 Spielen als ZOM (26J.)</t>
  </si>
  <si>
    <t>61 Tore, 21 Vorlagen, 20 Cleansheats in 48 Spielen als ST (26J.)</t>
  </si>
  <si>
    <t>34 Tore, 13 Vorlagen in 47 Spielen als ST (23J.)</t>
  </si>
  <si>
    <t>MVP in CL-Final mit 6 Paraden und 7.9 Bewertung</t>
  </si>
  <si>
    <t>1 - 1 (5 - 4 Pen.)</t>
  </si>
  <si>
    <t>Vujadinovic</t>
  </si>
  <si>
    <t>Al-Sahhah</t>
  </si>
  <si>
    <t>Zoua</t>
  </si>
  <si>
    <t>Le Havre</t>
  </si>
  <si>
    <t>Paneiro</t>
  </si>
  <si>
    <t>Preston</t>
  </si>
  <si>
    <t>SM Caen</t>
  </si>
  <si>
    <t>Ich brauche:</t>
  </si>
  <si>
    <t>Weggang:</t>
  </si>
  <si>
    <t>16 Tore</t>
  </si>
  <si>
    <t>Mier</t>
  </si>
  <si>
    <t>2040/2041</t>
  </si>
  <si>
    <t>Gabriel</t>
  </si>
  <si>
    <t>Wickham</t>
  </si>
  <si>
    <t>Juventus</t>
  </si>
  <si>
    <t>Danilo Luiz Pirez Ribeiro</t>
  </si>
  <si>
    <t>Aykut Cigerci</t>
  </si>
  <si>
    <t>Daniel Jahanbakhsh</t>
  </si>
  <si>
    <t>Alberto Gomez Falcon</t>
  </si>
  <si>
    <t>Malaga</t>
  </si>
  <si>
    <t>Danilo Luiz Pires Ribeiro</t>
  </si>
  <si>
    <t>Marvin Martin</t>
  </si>
  <si>
    <t>Christohper Dabo</t>
  </si>
  <si>
    <t>9 Cleansheats hintereinander mit 19 Jahren!</t>
  </si>
  <si>
    <t>40 Tore, 16 VL in 50 Spielen als ST (27J.)</t>
  </si>
  <si>
    <t>46 Tore, 18 VL in 48 Spielen als ST (24J.)</t>
  </si>
  <si>
    <t>20 Tore, 10 VL in 39 Spielen als ST mit 20 Jahren!</t>
  </si>
  <si>
    <t>27 Tore, 13 VL in 47 Spielen als ST (24J.)</t>
  </si>
  <si>
    <t>22 Cleansheats in 39 Spielen mit 19 Jahren!</t>
  </si>
  <si>
    <t>MVP in CL-Final mit einem Hattrick und 9.5 Bewertung</t>
  </si>
  <si>
    <t>Christopher Dabo</t>
  </si>
  <si>
    <t>Bérigaud</t>
  </si>
  <si>
    <t>Mujdza</t>
  </si>
  <si>
    <t>Jones</t>
  </si>
  <si>
    <t>Gonzalez</t>
  </si>
  <si>
    <t>Ibarra</t>
  </si>
  <si>
    <t>Gafaiti</t>
  </si>
  <si>
    <t>Baumjohann</t>
  </si>
  <si>
    <t>Bolton</t>
  </si>
  <si>
    <t>Huddersfield</t>
  </si>
  <si>
    <t>Siena</t>
  </si>
  <si>
    <t>2041/2042</t>
  </si>
  <si>
    <t>Addessi</t>
  </si>
  <si>
    <t>Torwart mit längster Cleansheat Serie</t>
  </si>
  <si>
    <t>9 Cleansheats hintereinander</t>
  </si>
  <si>
    <t>Lars Kusk</t>
  </si>
  <si>
    <t>Cristian Cardenas</t>
  </si>
  <si>
    <t>Nir Kayal</t>
  </si>
  <si>
    <t>Israel</t>
  </si>
  <si>
    <t>Geoffrey Guidileye</t>
  </si>
  <si>
    <t>Calum Watt</t>
  </si>
  <si>
    <t>24 Cleansheats in 47 Spielen, neuer Rekord für TW (28J.)</t>
  </si>
  <si>
    <t>52 Tore, 15 VL in 50 Spielen als ST (28J.)</t>
  </si>
  <si>
    <t>46 Tore, 13 VL in 45 Spielen als ST (25J.)</t>
  </si>
  <si>
    <t>FC Tom Tomsk</t>
  </si>
  <si>
    <t>Martin</t>
  </si>
  <si>
    <t>Vietto</t>
  </si>
  <si>
    <t>Grax</t>
  </si>
  <si>
    <t>Michel</t>
  </si>
  <si>
    <t>Stade Lavallois FC</t>
  </si>
  <si>
    <t>Olypique Lyon</t>
  </si>
  <si>
    <t>Hererra</t>
  </si>
  <si>
    <t>Doncaster</t>
  </si>
  <si>
    <t>Pogon Szczecin</t>
  </si>
  <si>
    <t>Cork City</t>
  </si>
  <si>
    <t>Lokomotiv Moskau</t>
  </si>
  <si>
    <t>Real Murcia CF</t>
  </si>
  <si>
    <t>Steven Cuvelier</t>
  </si>
  <si>
    <t>Lucas Romagnoli</t>
  </si>
  <si>
    <t>Dominik Müller</t>
  </si>
  <si>
    <t>Yoshitake Abe</t>
  </si>
  <si>
    <t>2042/2043</t>
  </si>
  <si>
    <t>CL-Qualifikation</t>
  </si>
  <si>
    <t>11. Spieltag</t>
  </si>
  <si>
    <t>FC Chelsea</t>
  </si>
  <si>
    <t>1/4-Finale CL</t>
  </si>
  <si>
    <t>Greuther Fürth</t>
  </si>
  <si>
    <t>Pablo Schunke</t>
  </si>
  <si>
    <t>6 Tore, 17VL in 42 Spielen in seiner aller ersten Saison mit 17J.(!!) als RM</t>
  </si>
  <si>
    <t>22 Tore, 13 VL in 48 Spielen als ZOM (24J.)</t>
  </si>
  <si>
    <t>46 Tore, 14 Vorlagen in 46 Spielen als ST (29J.)</t>
  </si>
  <si>
    <t>19 Tore, 31 Vorlagen in 54 Spielen als LM (27J.)</t>
  </si>
  <si>
    <t>40 Tore, 14 VL in 45 Spielen als ST (26J.)</t>
  </si>
  <si>
    <t>4 VL in einem Spiel</t>
  </si>
  <si>
    <t>Kadah</t>
  </si>
  <si>
    <t>Pires Ribeiro</t>
  </si>
  <si>
    <t>Calvet</t>
  </si>
  <si>
    <t>Eyre</t>
  </si>
  <si>
    <t>Lopez Sanchez</t>
  </si>
  <si>
    <t>Mujilka Lopez</t>
  </si>
  <si>
    <t>Moreno</t>
  </si>
  <si>
    <t>Leyton Orient</t>
  </si>
  <si>
    <t>Bohemians FC</t>
  </si>
  <si>
    <t>Hearts</t>
  </si>
  <si>
    <t>Real Betis</t>
  </si>
  <si>
    <t>31 Vorlagen</t>
  </si>
  <si>
    <t>Jüngster Hattrick</t>
  </si>
  <si>
    <t>Hattrick Verteidiger</t>
  </si>
  <si>
    <t>Hattrick im ersten Spiel</t>
  </si>
  <si>
    <t xml:space="preserve">Hattrick gegen FC Nantes (6 -1) 23. Spieltag </t>
  </si>
  <si>
    <t>Lassane Bangoura</t>
  </si>
  <si>
    <t>Guinea</t>
  </si>
  <si>
    <t>2043/2044</t>
  </si>
  <si>
    <t>35 Tore, 15 VL in 43 Spielen als ST (27J.)</t>
  </si>
  <si>
    <t>36 Tore, 17 VL in 47 Spielen als ST (30J.)</t>
  </si>
  <si>
    <t>22 Tore, 22 VL, 25 Cleansheats in 56 Spielen als LM (28J.)</t>
  </si>
  <si>
    <t>33 Tore, 18 VL, 19 Cleansheats in 56 Spielen als ZOM(!!) (25J.)</t>
  </si>
  <si>
    <t>6 Tore in einem Spiel</t>
  </si>
  <si>
    <t>CL-Quali</t>
  </si>
  <si>
    <t>5 Tore in 33' in einem Spiel</t>
  </si>
  <si>
    <t>MVP in CL-Final mit 1 Vorlage und 7.8 Bewertung</t>
  </si>
  <si>
    <t>Mario Suarez</t>
  </si>
  <si>
    <t>Valbuena</t>
  </si>
  <si>
    <t>Gueye</t>
  </si>
  <si>
    <t>Kalou</t>
  </si>
  <si>
    <t>2044/2045</t>
  </si>
  <si>
    <t>Solomon March</t>
  </si>
  <si>
    <t>Brighton Hove</t>
  </si>
  <si>
    <t>Cristian Cárdenas</t>
  </si>
  <si>
    <t>Àvine</t>
  </si>
  <si>
    <t>Bahia</t>
  </si>
  <si>
    <t>Juan Duma</t>
  </si>
  <si>
    <t>Universidad de Chile</t>
  </si>
  <si>
    <t>2044/2945</t>
  </si>
  <si>
    <t>Bangoura / Cigerci</t>
  </si>
  <si>
    <t>Guinea / Türkei</t>
  </si>
  <si>
    <t>Muriel</t>
  </si>
  <si>
    <t>2044/2025</t>
  </si>
  <si>
    <t>Torino</t>
  </si>
  <si>
    <t>Hanshiro Hiranuma</t>
  </si>
  <si>
    <t>Rafael Donato</t>
  </si>
  <si>
    <t>Weltmeister</t>
  </si>
  <si>
    <t>Land</t>
  </si>
  <si>
    <t>Muhammed Kadah</t>
  </si>
  <si>
    <t>13 Gegentore</t>
  </si>
  <si>
    <t>Am wenigsten Gegentore in einer Saison kassiert Ligue 1</t>
  </si>
  <si>
    <t>Am meisten Tore in einer Saison Ligue 1</t>
  </si>
  <si>
    <t>40 Cleansheats</t>
  </si>
  <si>
    <t>28 Cleansheats</t>
  </si>
  <si>
    <t>Muhammet Kadah / Lassane Bangoura</t>
  </si>
  <si>
    <t>27 / 23</t>
  </si>
  <si>
    <t>2042/2043 &amp; 2044/2045</t>
  </si>
  <si>
    <t>29 Cleansheats</t>
  </si>
  <si>
    <t>Hanshiro Hirayama</t>
  </si>
  <si>
    <t>40 Cleansheats(!!) in 63 Spielen als TW (23J.) --&gt; Rekord!</t>
  </si>
  <si>
    <t>1 Tor, 12 Vorlagen, 29 Cleansheats (Rekord als Vertdeidiger) als LV (25J.)</t>
  </si>
  <si>
    <t>4 Tore, 11 Vorlagen, 30 Cleansheats(!!) als ZDM (29J.)</t>
  </si>
  <si>
    <t>9 Tore, 31 Vorlagen(!!) als RM (23J.) --&gt; Rekord!</t>
  </si>
  <si>
    <t>15 Tore, 25 Vorlagen in 57 Spielen als LM (29J.)</t>
  </si>
  <si>
    <t>25 Tore, 27 Vorlagen, 26 Cleansheats als ZOM (26J.)</t>
  </si>
  <si>
    <t>39 Tore, 12 Vorlagen in 49 Spielen als ST (31J.)</t>
  </si>
  <si>
    <t>40 Tore, 17 Vorlagen in 50 Spielen als ST (28J.)</t>
  </si>
  <si>
    <t>33 Tore, 20 Vorlagen in 60 Spielen als ST (24J.)</t>
  </si>
  <si>
    <t>MVP in CL-Final mit 2 Toren und 8.7 Bewertung</t>
  </si>
  <si>
    <t>2045/2046</t>
  </si>
  <si>
    <t>Lucas</t>
  </si>
  <si>
    <t>Dominik Müller (IV!!)</t>
  </si>
  <si>
    <t>Mickaël Fradj</t>
  </si>
  <si>
    <t>26 Cleansheats in 51 Spielen als TW (24J.)</t>
  </si>
  <si>
    <t>25 Cleansheats in 47 Spielen als IV (26J.)</t>
  </si>
  <si>
    <t xml:space="preserve">24 Tore, 25 Vorlagen, 23 Cleansheats in 57 Spielen als ZOM (27J.) </t>
  </si>
  <si>
    <t>40 Tore, 13 Vorlagen in 47 Spielen als ST (29J.)</t>
  </si>
  <si>
    <t>48 Tore, 23 Vorlagen in 48 Spielen als ST (25J.)</t>
  </si>
  <si>
    <t>36 Tore, 6 Vorlagen in 43 Spielen als ST (32J.)</t>
  </si>
  <si>
    <t>Hattrick als IV in 45 min (24J.)!!</t>
  </si>
  <si>
    <t>17. Spielag</t>
  </si>
  <si>
    <t>4 Tore als ZOM mit 17Jahren!!!</t>
  </si>
  <si>
    <t>MVP in CL-Final mit 1 Tor, 1 Vorlage und 8.4 Bewertung</t>
  </si>
  <si>
    <t>Diego Montoya</t>
  </si>
  <si>
    <t>Javi Chavez</t>
  </si>
  <si>
    <t>Kyun Won Hwang, Dominik Müller</t>
  </si>
  <si>
    <t>Hattrick als IV(!) gegen Lille (5 - 2) 15. Spieltag / PSG (6 - 0) 17. Spieltag</t>
  </si>
  <si>
    <t>Süd-Korea / Deutschland</t>
  </si>
  <si>
    <t>30 / 24</t>
  </si>
  <si>
    <t>2026/2027 // 2045/2046</t>
  </si>
  <si>
    <t>Jüngster Spieler mit 4 Toren</t>
  </si>
  <si>
    <t>4 Tore gegen Cham. Niortais (6 -1) 1/4-Finale Coupe de la Ligue</t>
  </si>
  <si>
    <t>Max Haas</t>
  </si>
  <si>
    <t>FC Sion</t>
  </si>
  <si>
    <t>Cheickh Diabaté</t>
  </si>
  <si>
    <t>2046/2047</t>
  </si>
  <si>
    <t>El Shaarawy</t>
  </si>
  <si>
    <t>Ogbonna</t>
  </si>
  <si>
    <t>25 Cleansheats in 51 Spielen als TW (25J.)</t>
  </si>
  <si>
    <t>25 Cleansheats in 49 Spielen als IV (27J.)</t>
  </si>
  <si>
    <t>21 Cleansheats in 37 Spielen als ZDM (26J.)</t>
  </si>
  <si>
    <t>10 Tore, 21 Vorlagen in 42 Spielen als RM (25J.)</t>
  </si>
  <si>
    <t>7 Tore, 27 Vorlagen in 48 Spielen als LM (31J.)</t>
  </si>
  <si>
    <t>19 Tore, 18 Vorlagen in 56 Spielen als ZOM (28J.)</t>
  </si>
  <si>
    <t>47 Tore, 16 Vorlagen in 50 Spielen als ST (30J.)</t>
  </si>
  <si>
    <t>58 Tore, 28 Vorlagen in 46 Spielen als ST (26J.)</t>
  </si>
  <si>
    <t>35 Tore, 8 Vorlagen in 47 Spielen als ST (33J.)</t>
  </si>
  <si>
    <t>MVP in CL-Final mit 6 Paraden und 8.3 Bewertung</t>
  </si>
  <si>
    <t>10 - 0</t>
  </si>
  <si>
    <t>Ohon Offrata</t>
  </si>
  <si>
    <t>Nigeria</t>
  </si>
  <si>
    <t>Kook Young Lim</t>
  </si>
  <si>
    <t>Teddy Juan</t>
  </si>
  <si>
    <t>Kurt Guichard</t>
  </si>
  <si>
    <t>Christohper Mangani</t>
  </si>
  <si>
    <t>Charles Ankrah</t>
  </si>
  <si>
    <t>Cristian Tello</t>
  </si>
  <si>
    <t>Licà</t>
  </si>
  <si>
    <t>Kruse</t>
  </si>
  <si>
    <t>VFB Stuttgart</t>
  </si>
  <si>
    <t>2047/2048</t>
  </si>
  <si>
    <t>Daniel Iglesias Gago</t>
  </si>
  <si>
    <t>Rogério Cáceres</t>
  </si>
  <si>
    <t>Mans Winkström</t>
  </si>
  <si>
    <t>Sadio Diallo</t>
  </si>
  <si>
    <t>RCD Espanyol</t>
  </si>
  <si>
    <t>Roger Bispo Dos Santos</t>
  </si>
  <si>
    <t>SV Grödig</t>
  </si>
  <si>
    <t>Joe Dudgeon</t>
  </si>
  <si>
    <t>Nordirland</t>
  </si>
  <si>
    <t>Mans Wikström</t>
  </si>
  <si>
    <t>Bo Kyung Yu</t>
  </si>
  <si>
    <t>Obi Afenyu</t>
  </si>
  <si>
    <t>Igor Marinescu</t>
  </si>
  <si>
    <t>158 Tore</t>
  </si>
  <si>
    <t>Am meisten Tore in CL-Gruppenphase</t>
  </si>
  <si>
    <t>33 Tore</t>
  </si>
  <si>
    <t>25 Cleansheats in 49 Spielen als TW (25J.)</t>
  </si>
  <si>
    <t>22 Cleansheats , 9 Tore, 1 Vorlage in 46 Spielen (27J.)</t>
  </si>
  <si>
    <t>9 Tore, 24 Vorlagen in 39 Spielen (23J.)</t>
  </si>
  <si>
    <t>28 Tore, 20 Vorlagen, 21 Cleansheats in 47 Spielen (29J.)</t>
  </si>
  <si>
    <t>51 Tore, 20 Vorlagen, 24 Cleansheats in 49 Spielen (31J.)</t>
  </si>
  <si>
    <t>40 Tore, 30 Vorlagen, 21 Cleansheats in 43 Spielen (27J.)</t>
  </si>
  <si>
    <t>MVP in CL-Finale mit 5 Paraden und 7.9 Bewertung</t>
  </si>
  <si>
    <t>Celtics</t>
  </si>
  <si>
    <t>8 - 3</t>
  </si>
  <si>
    <t>Mertens</t>
  </si>
  <si>
    <t>Bony</t>
  </si>
  <si>
    <t>Sheffield</t>
  </si>
  <si>
    <t>Stromsgodset</t>
  </si>
  <si>
    <t>eventuell LV?</t>
  </si>
  <si>
    <t>Abdullah Al Shammari</t>
  </si>
  <si>
    <t>Ricardo Jombati</t>
  </si>
  <si>
    <t>Armand Koro Koné</t>
  </si>
  <si>
    <t>Vito Schaars</t>
  </si>
  <si>
    <t>Darryl Malaihollo</t>
  </si>
  <si>
    <t>Jordy Disfeld</t>
  </si>
  <si>
    <t>Jordy Disveld</t>
  </si>
  <si>
    <t>Patrick Luckassen</t>
  </si>
  <si>
    <t>Dogo Sadami</t>
  </si>
  <si>
    <t>Fabien Djiku</t>
  </si>
  <si>
    <t>2048/2049</t>
  </si>
  <si>
    <t>26 Cleansheats in 54 Spielen als TW (27J.)</t>
  </si>
  <si>
    <t>20 Cleansheats in 25 Spielen als IV (21J.)</t>
  </si>
  <si>
    <t>9 Tore, 15 Vorlagen, 20 Cleansheats als ZDM (23J.)</t>
  </si>
  <si>
    <t>21 Tore, 27 Vorlagen in 41 Spielen als RF (27J.)</t>
  </si>
  <si>
    <t>18 Tore, 18 Vorlagen in 37 Spielen als LF (24J.)</t>
  </si>
  <si>
    <t>22 Tore, 17 Vorlagen, 18 Cleansheats in 50 Spielen (30J.)</t>
  </si>
  <si>
    <t>68 Toren, 24 Vorlagen, 19 Cleansheats in 44 Spielen als ST (28J.)</t>
  </si>
  <si>
    <t>Hat 1'000 Tore, Vorlagen und Cleansheats als erster Spieler überschritten</t>
  </si>
  <si>
    <t>MVP in CL-Final mit Hattrick und 9.8 Bewertung</t>
  </si>
  <si>
    <t>Mans Wikstöm</t>
  </si>
  <si>
    <t>Galatasaray SK</t>
  </si>
  <si>
    <t>Bangoura</t>
  </si>
  <si>
    <t>Insigne</t>
  </si>
  <si>
    <t>Russell</t>
  </si>
  <si>
    <t>Am wenigsten Gegentore in CL-Gruppenphase</t>
  </si>
  <si>
    <t>1 Tor</t>
  </si>
  <si>
    <t>Mbappé</t>
  </si>
  <si>
    <t>Imbula</t>
  </si>
  <si>
    <t>Hannover 96</t>
  </si>
  <si>
    <t>eventuell ZM?</t>
  </si>
  <si>
    <t>2049/2050</t>
  </si>
  <si>
    <t>Rusell (Top VL EL?)</t>
  </si>
  <si>
    <t>Weltmeister // sonstige Auszeichung</t>
  </si>
  <si>
    <t>Copa America</t>
  </si>
  <si>
    <t>MVP in CL-Final mit 2 Toren und 8.6 Bewertung</t>
  </si>
  <si>
    <t>Juan (RM)</t>
  </si>
  <si>
    <t>2050/2051</t>
  </si>
  <si>
    <t>2051/2052</t>
  </si>
  <si>
    <t>Jérémy Astier // Fabien Djiku</t>
  </si>
  <si>
    <t>2033/2034 // 2049/2050</t>
  </si>
  <si>
    <t>Hattrick gegen Nîmes (4 -0) 1/4-Finale Coupe de la Ligue // Evian (5:2) 15.Spieltag</t>
  </si>
  <si>
    <t>11 Vorlagen</t>
  </si>
  <si>
    <t>Alassane Pléa</t>
  </si>
  <si>
    <t>Lorenzo Insigne</t>
  </si>
  <si>
    <t>Finale Coupe de France</t>
  </si>
  <si>
    <t>29 Cleansheats in 51 Spielen als TW (28J.)</t>
  </si>
  <si>
    <t>22 Tore, 26 Vorlagen, 24 Cleansheats als RF (28J.)</t>
  </si>
  <si>
    <t xml:space="preserve">Hattrick mit 17 Jahren als LF </t>
  </si>
  <si>
    <t>16 Tore, 11 Vorlagen als RF (20J.!!)</t>
  </si>
  <si>
    <t>MVP in CL-Final mit 7 Paraden und 8.6 Bewertung</t>
  </si>
  <si>
    <t>Kayal</t>
  </si>
  <si>
    <t>Wikström</t>
  </si>
  <si>
    <t>Nélson Oliveira</t>
  </si>
  <si>
    <t>Swindon Town</t>
  </si>
  <si>
    <t>Nicht ausleihen:</t>
  </si>
  <si>
    <t>Ausleihen:</t>
  </si>
  <si>
    <t>Pléa?</t>
  </si>
  <si>
    <t>Malik Babiloni &amp; Thomas Bernard &amp; Thomas Mendes</t>
  </si>
  <si>
    <t>Europameister</t>
  </si>
  <si>
    <t>Hattricks über 16 Saison's hintereinander</t>
  </si>
  <si>
    <t>2054/2055</t>
  </si>
  <si>
    <t>2052/2053</t>
  </si>
  <si>
    <t>2053/2054</t>
  </si>
  <si>
    <t>David Font Romero</t>
  </si>
  <si>
    <t>Djakaridja Touré</t>
  </si>
  <si>
    <t>Burkina Faso</t>
  </si>
  <si>
    <t>Mexico</t>
  </si>
  <si>
    <t>1899 Hoffenheim</t>
  </si>
  <si>
    <t>8 - 2</t>
  </si>
  <si>
    <t>27 Tore, 21 Vorlagen, 17 Cleansheats in 49 Spielen als RF (29J.)</t>
  </si>
  <si>
    <t>19 Tore, 22 Vorlagen in 46 Spielen als LM (32J.)</t>
  </si>
  <si>
    <t>42 Tore, 15 Vorlagen in 43 Spielen als ST (23J.)</t>
  </si>
  <si>
    <t>MVP in CL-Final mit 1 Tor und 9.0 Bewertung</t>
  </si>
  <si>
    <t>Ezekiel</t>
  </si>
  <si>
    <t>Volland</t>
  </si>
  <si>
    <t>VfL Wolfsburg</t>
  </si>
  <si>
    <t>Fékir</t>
  </si>
  <si>
    <t>Font Romero</t>
  </si>
  <si>
    <t>Odense Boldklub</t>
  </si>
  <si>
    <t>Dagenham</t>
  </si>
  <si>
    <t>Sporting CP</t>
  </si>
  <si>
    <t>Erster Mittelfeldspieler mit 200+ Tore, Assists und Cleansheats</t>
  </si>
  <si>
    <t>226 Tore, 206 Assits, 214 Cleansheats</t>
  </si>
  <si>
    <t>2050/251</t>
  </si>
  <si>
    <t>24 Tore, 19 Vorlagen, 16 Cleansheats in 43 Spielen als RF (30J.)</t>
  </si>
  <si>
    <t>22 Tore, 15 Vorlagen, 17 Cleansheats in 41 Spielen als LM (33J.)</t>
  </si>
  <si>
    <t>65 Tore, 18 Vorlagen, 16 Cleansheats in 43 Spielen als ST (24J.)</t>
  </si>
  <si>
    <t>MVP in CL-Final mit 1 Tor, 1 Vorlage und 8.9 Bewertung</t>
  </si>
  <si>
    <t>Burkina-Faso</t>
  </si>
  <si>
    <t>Perisic</t>
  </si>
  <si>
    <t>Boetius</t>
  </si>
  <si>
    <t>Yu</t>
  </si>
  <si>
    <t>Benzia</t>
  </si>
  <si>
    <t>Koro Koné</t>
  </si>
  <si>
    <t>Accrington</t>
  </si>
  <si>
    <t>CA Bastia</t>
  </si>
  <si>
    <t>Gary Stockdale</t>
  </si>
  <si>
    <t>Bosko Duricic</t>
  </si>
  <si>
    <t>Thimothée Turan</t>
  </si>
  <si>
    <t>Timothée Turan</t>
  </si>
  <si>
    <t>FC Istres</t>
  </si>
  <si>
    <t>geht in Rente mit 37 Jahren</t>
  </si>
  <si>
    <t>73 Tore, 15 Vorlagen, 15 Cleansheats in 52 Spielen als ST (25J.)</t>
  </si>
  <si>
    <t>34 Tore, 16 Vorlagen, 11 Cleansheats in 34 Spielen als ST (22J.)</t>
  </si>
  <si>
    <t>MVP in CL-Final mit 2 Toren, 1 Vorlage und 9.6 Bewertung</t>
  </si>
  <si>
    <t>5- 2</t>
  </si>
  <si>
    <t>Fradj</t>
  </si>
  <si>
    <t>Goñi</t>
  </si>
  <si>
    <t>Süd-Korea / Burkina Faso</t>
  </si>
  <si>
    <t xml:space="preserve">Yu / Djakaridja Touré </t>
  </si>
  <si>
    <t>Marinescu</t>
  </si>
  <si>
    <t>Beric</t>
  </si>
  <si>
    <t>MK Dons</t>
  </si>
  <si>
    <t>T.ürkei</t>
  </si>
  <si>
    <t>Juan</t>
  </si>
  <si>
    <t>Thiago</t>
  </si>
  <si>
    <t>Gevorgyan</t>
  </si>
  <si>
    <t>Dijkhuizen</t>
  </si>
  <si>
    <t>Ayrton Luiz Moreira Morais</t>
  </si>
  <si>
    <t>Willian de Moura Júnior</t>
  </si>
  <si>
    <t>Karl Cronin</t>
  </si>
  <si>
    <t>Irland</t>
  </si>
  <si>
    <t>Roland Goddeeris</t>
  </si>
  <si>
    <t xml:space="preserve">6 - 2 </t>
  </si>
  <si>
    <t>Zenith</t>
  </si>
  <si>
    <t>15 Vorlagen, 16 Clean-Sheats in 38 Spielen als RV (26J.)</t>
  </si>
  <si>
    <t>15 Tore, 20 Vorlagen, 20 Cleansheats in 43 Spielen als RF (23J.)</t>
  </si>
  <si>
    <t>19 Tore, 17 Vorlagen, 20 Cleansheats in 47 Spielen als ZOM (35J.)</t>
  </si>
  <si>
    <t>31 Tore, 7 Vorlagen in 45 Spielen als ST (23J.)</t>
  </si>
  <si>
    <t>70 Tore, 19 Vorlagen in 53 Spielen als ST (26J.)</t>
  </si>
  <si>
    <t>MVP in CL-Final mit 2 Vorlagen und 8.7 Bewertung</t>
  </si>
  <si>
    <t>Delgado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</si>
</sst>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.00000_ ;_ * \-#,##0.000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5">
    <fill>
      <patternFill patternType="none"/>
    </fill>
    <fill>
      <patternFill patternType="gray125"/>
    </fill>
    <fill>
      <patternFill patternType="solid">
        <fgColor rgb="FFEF9A1D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1756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0">
    <xf numFmtId="0" fontId="0" fillId="0" borderId="0" xfId="0"/>
    <xf numFmtId="0" fontId="0" fillId="2" borderId="0" xfId="0" applyFill="1"/>
    <xf numFmtId="0" fontId="3" fillId="0" borderId="0" xfId="0" applyFont="1"/>
    <xf numFmtId="0" fontId="0" fillId="3" borderId="0" xfId="0" applyFill="1"/>
    <xf numFmtId="0" fontId="3" fillId="3" borderId="0" xfId="0" applyFont="1" applyFill="1"/>
    <xf numFmtId="0" fontId="0" fillId="2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2" borderId="0" xfId="0" applyFont="1" applyFill="1"/>
    <xf numFmtId="0" fontId="0" fillId="7" borderId="0" xfId="0" applyFill="1"/>
    <xf numFmtId="0" fontId="3" fillId="7" borderId="0" xfId="0" applyFont="1" applyFill="1"/>
    <xf numFmtId="0" fontId="0" fillId="7" borderId="0" xfId="0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3" fillId="8" borderId="0" xfId="0" applyFont="1" applyFill="1"/>
    <xf numFmtId="0" fontId="0" fillId="0" borderId="0" xfId="0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3" fillId="9" borderId="0" xfId="0" applyFont="1" applyFill="1"/>
    <xf numFmtId="0" fontId="0" fillId="10" borderId="0" xfId="0" applyFill="1"/>
    <xf numFmtId="0" fontId="0" fillId="11" borderId="0" xfId="0" applyFill="1"/>
    <xf numFmtId="0" fontId="0" fillId="11" borderId="1" xfId="0" applyFill="1" applyBorder="1"/>
    <xf numFmtId="0" fontId="0" fillId="0" borderId="1" xfId="0" applyBorder="1"/>
    <xf numFmtId="0" fontId="0" fillId="8" borderId="1" xfId="0" applyFill="1" applyBorder="1"/>
    <xf numFmtId="0" fontId="0" fillId="10" borderId="1" xfId="0" applyFill="1" applyBorder="1"/>
    <xf numFmtId="49" fontId="0" fillId="0" borderId="0" xfId="0" applyNumberFormat="1" applyAlignment="1">
      <alignment horizontal="center"/>
    </xf>
    <xf numFmtId="0" fontId="0" fillId="12" borderId="0" xfId="0" applyFill="1"/>
    <xf numFmtId="0" fontId="0" fillId="12" borderId="0" xfId="0" applyFill="1" applyAlignment="1">
      <alignment horizontal="center"/>
    </xf>
    <xf numFmtId="0" fontId="0" fillId="13" borderId="0" xfId="0" applyFill="1"/>
    <xf numFmtId="0" fontId="3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0" fillId="5" borderId="0" xfId="0" applyFill="1" applyAlignment="1">
      <alignment horizontal="center"/>
    </xf>
    <xf numFmtId="43" fontId="1" fillId="13" borderId="0" xfId="1" applyFill="1" applyAlignment="1">
      <alignment horizontal="center" vertical="center"/>
    </xf>
    <xf numFmtId="43" fontId="0" fillId="13" borderId="0" xfId="0" applyNumberFormat="1" applyFill="1" applyAlignment="1">
      <alignment horizontal="center"/>
    </xf>
    <xf numFmtId="0" fontId="0" fillId="14" borderId="0" xfId="0" applyFill="1"/>
    <xf numFmtId="0" fontId="0" fillId="14" borderId="0" xfId="0" applyFill="1" applyAlignment="1">
      <alignment horizontal="center"/>
    </xf>
    <xf numFmtId="0" fontId="3" fillId="14" borderId="0" xfId="0" applyFont="1" applyFill="1" applyAlignment="1">
      <alignment horizontal="center"/>
    </xf>
    <xf numFmtId="43" fontId="0" fillId="4" borderId="0" xfId="1" applyFont="1" applyFill="1" applyAlignment="1">
      <alignment horizontal="center"/>
    </xf>
    <xf numFmtId="0" fontId="0" fillId="16" borderId="0" xfId="0" applyFill="1" applyAlignment="1">
      <alignment horizontal="center"/>
    </xf>
    <xf numFmtId="43" fontId="0" fillId="0" borderId="0" xfId="0" applyNumberFormat="1"/>
    <xf numFmtId="0" fontId="0" fillId="17" borderId="0" xfId="0" applyFill="1"/>
    <xf numFmtId="0" fontId="0" fillId="17" borderId="0" xfId="0" applyFill="1" applyAlignment="1">
      <alignment horizontal="center"/>
    </xf>
    <xf numFmtId="0" fontId="3" fillId="17" borderId="0" xfId="0" applyFont="1" applyFill="1" applyAlignment="1">
      <alignment horizontal="center"/>
    </xf>
    <xf numFmtId="0" fontId="0" fillId="0" borderId="2" xfId="0" applyBorder="1"/>
    <xf numFmtId="0" fontId="2" fillId="0" borderId="1" xfId="0" applyFont="1" applyBorder="1"/>
    <xf numFmtId="49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3" xfId="0" applyBorder="1"/>
    <xf numFmtId="49" fontId="0" fillId="0" borderId="3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16" fontId="0" fillId="0" borderId="0" xfId="0" applyNumberFormat="1" applyAlignment="1">
      <alignment horizontal="center"/>
    </xf>
    <xf numFmtId="0" fontId="2" fillId="0" borderId="3" xfId="0" applyFont="1" applyBorder="1"/>
    <xf numFmtId="49" fontId="2" fillId="0" borderId="3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1" xfId="0" applyNumberFormat="1" applyBorder="1" applyAlignment="1">
      <alignment horizontal="center"/>
    </xf>
    <xf numFmtId="0" fontId="2" fillId="0" borderId="2" xfId="0" applyFont="1" applyBorder="1"/>
    <xf numFmtId="0" fontId="4" fillId="0" borderId="0" xfId="0" applyFont="1"/>
    <xf numFmtId="49" fontId="4" fillId="0" borderId="0" xfId="0" applyNumberFormat="1" applyFont="1" applyAlignment="1">
      <alignment horizontal="center"/>
    </xf>
    <xf numFmtId="43" fontId="0" fillId="4" borderId="2" xfId="1" applyFont="1" applyFill="1" applyBorder="1" applyAlignment="1">
      <alignment horizontal="center"/>
    </xf>
    <xf numFmtId="0" fontId="0" fillId="18" borderId="0" xfId="0" applyFill="1"/>
    <xf numFmtId="0" fontId="0" fillId="19" borderId="0" xfId="0" applyFill="1"/>
    <xf numFmtId="0" fontId="0" fillId="20" borderId="0" xfId="0" applyFill="1" applyAlignment="1">
      <alignment horizontal="center"/>
    </xf>
    <xf numFmtId="0" fontId="0" fillId="21" borderId="0" xfId="0" applyFill="1"/>
    <xf numFmtId="0" fontId="4" fillId="16" borderId="0" xfId="0" applyFont="1" applyFill="1"/>
    <xf numFmtId="0" fontId="0" fillId="16" borderId="0" xfId="0" applyFill="1"/>
    <xf numFmtId="0" fontId="0" fillId="8" borderId="4" xfId="0" applyFill="1" applyBorder="1"/>
    <xf numFmtId="0" fontId="0" fillId="10" borderId="5" xfId="0" applyFill="1" applyBorder="1"/>
    <xf numFmtId="0" fontId="0" fillId="0" borderId="5" xfId="0" applyBorder="1"/>
    <xf numFmtId="0" fontId="2" fillId="10" borderId="1" xfId="0" applyFont="1" applyFill="1" applyBorder="1"/>
    <xf numFmtId="0" fontId="2" fillId="7" borderId="0" xfId="0" applyFont="1" applyFill="1"/>
    <xf numFmtId="0" fontId="4" fillId="16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8" borderId="6" xfId="0" applyFill="1" applyBorder="1"/>
    <xf numFmtId="49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0" fontId="0" fillId="16" borderId="1" xfId="0" applyFill="1" applyBorder="1"/>
    <xf numFmtId="0" fontId="0" fillId="20" borderId="1" xfId="0" applyFill="1" applyBorder="1" applyAlignment="1">
      <alignment horizontal="center"/>
    </xf>
    <xf numFmtId="0" fontId="3" fillId="10" borderId="0" xfId="0" applyFont="1" applyFill="1"/>
    <xf numFmtId="0" fontId="3" fillId="10" borderId="1" xfId="0" applyFont="1" applyFill="1" applyBorder="1"/>
    <xf numFmtId="0" fontId="3" fillId="10" borderId="5" xfId="0" applyFont="1" applyFill="1" applyBorder="1"/>
    <xf numFmtId="49" fontId="2" fillId="0" borderId="1" xfId="0" applyNumberFormat="1" applyFont="1" applyBorder="1" applyAlignment="1">
      <alignment horizontal="left"/>
    </xf>
    <xf numFmtId="0" fontId="4" fillId="16" borderId="3" xfId="0" applyFont="1" applyFill="1" applyBorder="1"/>
    <xf numFmtId="0" fontId="0" fillId="3" borderId="3" xfId="0" applyFill="1" applyBorder="1"/>
    <xf numFmtId="0" fontId="0" fillId="4" borderId="3" xfId="0" applyFill="1" applyBorder="1"/>
    <xf numFmtId="0" fontId="0" fillId="8" borderId="7" xfId="0" applyFill="1" applyBorder="1"/>
    <xf numFmtId="0" fontId="0" fillId="20" borderId="3" xfId="0" applyFill="1" applyBorder="1" applyAlignment="1">
      <alignment horizontal="center"/>
    </xf>
    <xf numFmtId="0" fontId="0" fillId="21" borderId="3" xfId="0" applyFill="1" applyBorder="1"/>
    <xf numFmtId="0" fontId="2" fillId="10" borderId="3" xfId="0" applyFont="1" applyFill="1" applyBorder="1"/>
    <xf numFmtId="0" fontId="0" fillId="10" borderId="3" xfId="0" applyFill="1" applyBorder="1"/>
    <xf numFmtId="49" fontId="0" fillId="0" borderId="0" xfId="0" applyNumberFormat="1" applyAlignment="1">
      <alignment horizontal="left"/>
    </xf>
    <xf numFmtId="9" fontId="0" fillId="0" borderId="0" xfId="0" applyNumberFormat="1"/>
    <xf numFmtId="49" fontId="2" fillId="0" borderId="2" xfId="0" applyNumberFormat="1" applyFont="1" applyBorder="1" applyAlignment="1">
      <alignment horizontal="center"/>
    </xf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10" borderId="0" xfId="0" applyFont="1" applyFill="1"/>
    <xf numFmtId="0" fontId="0" fillId="13" borderId="0" xfId="0" applyFont="1" applyFill="1" applyAlignment="1">
      <alignment horizontal="center"/>
    </xf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0" borderId="0" xfId="0" applyFill="1" applyBorder="1"/>
    <xf numFmtId="0" fontId="0" fillId="0" borderId="3" xfId="0" applyFill="1" applyBorder="1"/>
    <xf numFmtId="0" fontId="2" fillId="0" borderId="0" xfId="0" applyFont="1" applyFill="1" applyBorder="1"/>
    <xf numFmtId="0" fontId="0" fillId="0" borderId="2" xfId="0" applyFill="1" applyBorder="1"/>
    <xf numFmtId="0" fontId="4" fillId="7" borderId="0" xfId="0" applyFont="1" applyFill="1"/>
    <xf numFmtId="0" fontId="4" fillId="7" borderId="0" xfId="0" applyFont="1" applyFill="1" applyBorder="1"/>
    <xf numFmtId="0" fontId="0" fillId="3" borderId="0" xfId="0" applyFill="1" applyBorder="1"/>
    <xf numFmtId="0" fontId="0" fillId="4" borderId="0" xfId="0" applyFill="1" applyBorder="1"/>
    <xf numFmtId="0" fontId="0" fillId="20" borderId="0" xfId="0" applyFill="1" applyBorder="1" applyAlignment="1">
      <alignment horizontal="center"/>
    </xf>
    <xf numFmtId="0" fontId="0" fillId="21" borderId="0" xfId="0" applyFill="1" applyBorder="1"/>
    <xf numFmtId="0" fontId="0" fillId="16" borderId="0" xfId="0" applyFill="1" applyBorder="1"/>
    <xf numFmtId="49" fontId="0" fillId="20" borderId="0" xfId="0" applyNumberFormat="1" applyFill="1" applyBorder="1" applyAlignment="1">
      <alignment horizontal="center"/>
    </xf>
    <xf numFmtId="0" fontId="0" fillId="7" borderId="0" xfId="0" applyFill="1" applyBorder="1"/>
    <xf numFmtId="0" fontId="4" fillId="0" borderId="0" xfId="0" applyFont="1" applyFill="1" applyBorder="1"/>
    <xf numFmtId="0" fontId="0" fillId="0" borderId="1" xfId="0" applyFill="1" applyBorder="1"/>
    <xf numFmtId="0" fontId="0" fillId="2" borderId="0" xfId="0" applyFont="1" applyFill="1"/>
    <xf numFmtId="0" fontId="2" fillId="10" borderId="0" xfId="0" applyFont="1" applyFill="1" applyBorder="1"/>
    <xf numFmtId="0" fontId="0" fillId="10" borderId="0" xfId="0" applyFill="1" applyBorder="1"/>
    <xf numFmtId="0" fontId="0" fillId="7" borderId="1" xfId="0" applyFill="1" applyBorder="1"/>
    <xf numFmtId="0" fontId="0" fillId="7" borderId="3" xfId="0" applyFill="1" applyBorder="1"/>
    <xf numFmtId="0" fontId="0" fillId="0" borderId="3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Border="1"/>
    <xf numFmtId="0" fontId="2" fillId="7" borderId="1" xfId="0" applyFont="1" applyFill="1" applyBorder="1"/>
    <xf numFmtId="0" fontId="0" fillId="22" borderId="1" xfId="0" applyFill="1" applyBorder="1"/>
    <xf numFmtId="0" fontId="0" fillId="14" borderId="1" xfId="0" applyFill="1" applyBorder="1"/>
    <xf numFmtId="0" fontId="0" fillId="23" borderId="1" xfId="0" applyFill="1" applyBorder="1"/>
    <xf numFmtId="0" fontId="0" fillId="13" borderId="1" xfId="0" applyFill="1" applyBorder="1"/>
    <xf numFmtId="0" fontId="0" fillId="24" borderId="1" xfId="0" applyFill="1" applyBorder="1"/>
    <xf numFmtId="0" fontId="0" fillId="5" borderId="1" xfId="0" applyFill="1" applyBorder="1"/>
    <xf numFmtId="0" fontId="0" fillId="14" borderId="0" xfId="0" applyFont="1" applyFill="1"/>
    <xf numFmtId="0" fontId="0" fillId="13" borderId="0" xfId="0" applyFont="1" applyFill="1"/>
    <xf numFmtId="0" fontId="0" fillId="22" borderId="0" xfId="0" applyFill="1" applyBorder="1"/>
    <xf numFmtId="0" fontId="0" fillId="14" borderId="0" xfId="0" applyFill="1" applyBorder="1"/>
    <xf numFmtId="0" fontId="0" fillId="23" borderId="0" xfId="0" applyFill="1" applyBorder="1"/>
    <xf numFmtId="0" fontId="0" fillId="13" borderId="0" xfId="0" applyFill="1" applyBorder="1"/>
    <xf numFmtId="0" fontId="0" fillId="24" borderId="0" xfId="0" applyFill="1" applyBorder="1"/>
    <xf numFmtId="0" fontId="0" fillId="5" borderId="0" xfId="0" applyFill="1" applyBorder="1"/>
    <xf numFmtId="0" fontId="0" fillId="0" borderId="0" xfId="0" applyNumberFormat="1"/>
    <xf numFmtId="0" fontId="0" fillId="16" borderId="5" xfId="0" applyFill="1" applyBorder="1"/>
    <xf numFmtId="0" fontId="0" fillId="3" borderId="5" xfId="0" applyFill="1" applyBorder="1"/>
    <xf numFmtId="0" fontId="0" fillId="4" borderId="5" xfId="0" applyFill="1" applyBorder="1"/>
    <xf numFmtId="0" fontId="0" fillId="8" borderId="8" xfId="0" applyFill="1" applyBorder="1"/>
    <xf numFmtId="0" fontId="0" fillId="20" borderId="5" xfId="0" applyFill="1" applyBorder="1" applyAlignment="1">
      <alignment horizontal="center"/>
    </xf>
    <xf numFmtId="0" fontId="0" fillId="21" borderId="5" xfId="0" applyFill="1" applyBorder="1"/>
    <xf numFmtId="0" fontId="4" fillId="16" borderId="5" xfId="0" applyFont="1" applyFill="1" applyBorder="1"/>
    <xf numFmtId="0" fontId="0" fillId="16" borderId="9" xfId="0" applyFill="1" applyBorder="1"/>
    <xf numFmtId="0" fontId="0" fillId="3" borderId="9" xfId="0" applyFill="1" applyBorder="1"/>
    <xf numFmtId="0" fontId="0" fillId="4" borderId="9" xfId="0" applyFill="1" applyBorder="1"/>
    <xf numFmtId="0" fontId="0" fillId="8" borderId="10" xfId="0" applyFill="1" applyBorder="1"/>
    <xf numFmtId="49" fontId="0" fillId="20" borderId="9" xfId="0" applyNumberFormat="1" applyFill="1" applyBorder="1" applyAlignment="1">
      <alignment horizontal="center"/>
    </xf>
    <xf numFmtId="0" fontId="0" fillId="21" borderId="9" xfId="0" applyFill="1" applyBorder="1"/>
    <xf numFmtId="0" fontId="0" fillId="10" borderId="2" xfId="0" applyFill="1" applyBorder="1"/>
    <xf numFmtId="0" fontId="2" fillId="7" borderId="0" xfId="0" applyFont="1" applyFill="1" applyBorder="1"/>
    <xf numFmtId="0" fontId="4" fillId="10" borderId="0" xfId="0" applyFont="1" applyFill="1" applyBorder="1"/>
    <xf numFmtId="0" fontId="4" fillId="10" borderId="1" xfId="0" applyFont="1" applyFill="1" applyBorder="1"/>
    <xf numFmtId="0" fontId="0" fillId="0" borderId="0" xfId="0" applyNumberFormat="1" applyFill="1" applyBorder="1"/>
    <xf numFmtId="49" fontId="0" fillId="20" borderId="5" xfId="0" applyNumberFormat="1" applyFill="1" applyBorder="1" applyAlignment="1">
      <alignment horizontal="center"/>
    </xf>
    <xf numFmtId="0" fontId="0" fillId="16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8" borderId="11" xfId="0" applyFill="1" applyBorder="1"/>
    <xf numFmtId="0" fontId="0" fillId="20" borderId="2" xfId="0" applyFill="1" applyBorder="1" applyAlignment="1">
      <alignment horizontal="center"/>
    </xf>
    <xf numFmtId="0" fontId="0" fillId="21" borderId="2" xfId="0" applyFill="1" applyBorder="1"/>
    <xf numFmtId="0" fontId="4" fillId="16" borderId="0" xfId="0" applyFont="1" applyFill="1" applyBorder="1"/>
    <xf numFmtId="0" fontId="7" fillId="10" borderId="3" xfId="0" applyFont="1" applyFill="1" applyBorder="1"/>
    <xf numFmtId="0" fontId="3" fillId="10" borderId="0" xfId="0" applyFont="1" applyFill="1" applyBorder="1"/>
    <xf numFmtId="0" fontId="4" fillId="10" borderId="0" xfId="0" applyFont="1" applyFill="1"/>
    <xf numFmtId="20" fontId="0" fillId="14" borderId="0" xfId="0" applyNumberFormat="1" applyFill="1"/>
    <xf numFmtId="49" fontId="0" fillId="20" borderId="3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10" borderId="2" xfId="0" applyFont="1" applyFill="1" applyBorder="1"/>
    <xf numFmtId="0" fontId="7" fillId="10" borderId="0" xfId="0" applyFont="1" applyFill="1"/>
    <xf numFmtId="49" fontId="0" fillId="20" borderId="12" xfId="0" applyNumberFormat="1" applyFill="1" applyBorder="1" applyAlignment="1">
      <alignment horizontal="center"/>
    </xf>
    <xf numFmtId="0" fontId="0" fillId="16" borderId="3" xfId="0" applyFill="1" applyBorder="1"/>
    <xf numFmtId="0" fontId="0" fillId="0" borderId="0" xfId="0" applyAlignment="1">
      <alignment horizontal="left" indent="1"/>
    </xf>
    <xf numFmtId="0" fontId="2" fillId="0" borderId="1" xfId="0" applyFont="1" applyFill="1" applyBorder="1"/>
    <xf numFmtId="0" fontId="2" fillId="0" borderId="1" xfId="0" applyFont="1" applyBorder="1" applyAlignment="1">
      <alignment horizontal="left"/>
    </xf>
    <xf numFmtId="164" fontId="0" fillId="4" borderId="0" xfId="1" applyNumberFormat="1" applyFont="1" applyFill="1" applyAlignment="1">
      <alignment horizontal="center"/>
    </xf>
    <xf numFmtId="49" fontId="0" fillId="13" borderId="0" xfId="0" applyNumberFormat="1" applyFill="1" applyAlignment="1">
      <alignment horizontal="center"/>
    </xf>
    <xf numFmtId="0" fontId="7" fillId="10" borderId="0" xfId="0" applyFont="1" applyFill="1" applyBorder="1"/>
    <xf numFmtId="49" fontId="0" fillId="20" borderId="0" xfId="0" applyNumberFormat="1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9843E-57B3-4111-9EA7-1CE7D60201FA}">
  <dimension ref="A1:AQ1148"/>
  <sheetViews>
    <sheetView tabSelected="1" topLeftCell="L312" zoomScale="60" zoomScaleNormal="60" workbookViewId="0">
      <selection activeCell="P298" sqref="P298"/>
    </sheetView>
  </sheetViews>
  <sheetFormatPr baseColWidth="10" defaultRowHeight="15" x14ac:dyDescent="0.25"/>
  <cols>
    <col min="3" max="3" width="35.85546875" bestFit="1" customWidth="1"/>
    <col min="4" max="4" width="25.28515625" bestFit="1" customWidth="1"/>
    <col min="5" max="5" width="29.85546875" bestFit="1" customWidth="1"/>
    <col min="6" max="6" width="16.85546875" bestFit="1" customWidth="1"/>
    <col min="7" max="7" width="24.5703125" customWidth="1"/>
    <col min="11" max="11" width="75.28515625" bestFit="1" customWidth="1"/>
    <col min="12" max="12" width="60.85546875" bestFit="1" customWidth="1"/>
    <col min="13" max="13" width="83.7109375" customWidth="1"/>
    <col min="14" max="14" width="30" bestFit="1" customWidth="1"/>
    <col min="15" max="15" width="29.5703125" bestFit="1" customWidth="1"/>
    <col min="16" max="16" width="14" bestFit="1" customWidth="1"/>
    <col min="17" max="17" width="27.5703125" bestFit="1" customWidth="1"/>
    <col min="18" max="18" width="23.85546875" bestFit="1" customWidth="1"/>
    <col min="19" max="19" width="31.5703125" bestFit="1" customWidth="1"/>
    <col min="20" max="20" width="91.28515625" bestFit="1" customWidth="1"/>
    <col min="21" max="21" width="29" bestFit="1" customWidth="1"/>
    <col min="22" max="22" width="29.5703125" customWidth="1"/>
    <col min="23" max="23" width="25.7109375" bestFit="1" customWidth="1"/>
    <col min="24" max="24" width="35.85546875" bestFit="1" customWidth="1"/>
    <col min="25" max="25" width="86.140625" bestFit="1" customWidth="1"/>
    <col min="26" max="26" width="32.7109375" bestFit="1" customWidth="1"/>
    <col min="27" max="27" width="32" bestFit="1" customWidth="1"/>
    <col min="28" max="28" width="7.5703125" bestFit="1" customWidth="1"/>
    <col min="29" max="29" width="14.7109375" bestFit="1" customWidth="1"/>
    <col min="30" max="30" width="10.85546875" bestFit="1" customWidth="1"/>
    <col min="33" max="33" width="29" bestFit="1" customWidth="1"/>
    <col min="34" max="34" width="19.7109375" bestFit="1" customWidth="1"/>
    <col min="35" max="35" width="13" bestFit="1" customWidth="1"/>
    <col min="36" max="36" width="14" bestFit="1" customWidth="1"/>
    <col min="37" max="37" width="20.42578125" bestFit="1" customWidth="1"/>
    <col min="38" max="38" width="14" bestFit="1" customWidth="1"/>
    <col min="39" max="39" width="24.140625" bestFit="1" customWidth="1"/>
    <col min="40" max="40" width="24.140625" customWidth="1"/>
    <col min="41" max="41" width="15.5703125" bestFit="1" customWidth="1"/>
    <col min="42" max="42" width="20.140625" bestFit="1" customWidth="1"/>
  </cols>
  <sheetData>
    <row r="1" spans="1:24" x14ac:dyDescent="0.25">
      <c r="A1" t="s">
        <v>0</v>
      </c>
    </row>
    <row r="5" spans="1:24" x14ac:dyDescent="0.25">
      <c r="C5" s="1" t="s">
        <v>1</v>
      </c>
      <c r="M5" s="2"/>
    </row>
    <row r="6" spans="1:24" x14ac:dyDescent="0.25"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  <c r="I6" s="3" t="s">
        <v>8</v>
      </c>
      <c r="J6" s="3" t="s">
        <v>9</v>
      </c>
      <c r="K6" s="3" t="s">
        <v>10</v>
      </c>
      <c r="L6" s="3" t="s">
        <v>11</v>
      </c>
      <c r="M6" s="3" t="s">
        <v>12</v>
      </c>
      <c r="N6" s="3" t="s">
        <v>13</v>
      </c>
      <c r="O6" s="3" t="s">
        <v>14</v>
      </c>
      <c r="P6" s="4" t="s">
        <v>15</v>
      </c>
      <c r="Q6" s="4" t="s">
        <v>16</v>
      </c>
      <c r="R6" s="4" t="s">
        <v>17</v>
      </c>
      <c r="S6" s="4" t="s">
        <v>18</v>
      </c>
      <c r="T6" s="4" t="s">
        <v>19</v>
      </c>
      <c r="U6" s="4" t="s">
        <v>20</v>
      </c>
      <c r="V6" s="4" t="s">
        <v>21</v>
      </c>
      <c r="W6" s="4" t="s">
        <v>22</v>
      </c>
      <c r="X6" s="3" t="s">
        <v>2</v>
      </c>
    </row>
    <row r="7" spans="1:24" x14ac:dyDescent="0.25">
      <c r="C7" s="9" t="s">
        <v>846</v>
      </c>
      <c r="D7" s="1">
        <f>9+15+9+39+16+41+21+63+51+51+49+54+51+50+51+30+41</f>
        <v>641</v>
      </c>
      <c r="E7" s="5" t="s">
        <v>24</v>
      </c>
      <c r="F7" s="5" t="s">
        <v>31</v>
      </c>
      <c r="G7" s="1">
        <f>0</f>
        <v>0</v>
      </c>
      <c r="H7" s="1">
        <f>0</f>
        <v>0</v>
      </c>
      <c r="I7" s="1">
        <f>0+8+6+22+8+19+8+40+26+25+25+26+29+18+19+11+17</f>
        <v>307</v>
      </c>
      <c r="J7" s="1">
        <f>(7+7.4+7.2+6.9+6.8+6.9+7.1+7.3+7.2+7.3+7.2+7.3+7.4+7.4+7.3+7.3+7.3)/16</f>
        <v>7.6437499999999998</v>
      </c>
      <c r="K7" s="6">
        <f t="shared" ref="K7:K23" si="0">SUM(G7:I7)</f>
        <v>307</v>
      </c>
      <c r="L7" s="6">
        <f t="shared" ref="L7:L23" si="1">I7</f>
        <v>307</v>
      </c>
      <c r="M7" s="6">
        <f t="shared" ref="M7:M23" si="2">(G7+H7)/D7</f>
        <v>0</v>
      </c>
      <c r="N7" s="6">
        <f t="shared" ref="N7:N23" si="3">I7/D7</f>
        <v>0.47893915756630268</v>
      </c>
      <c r="O7">
        <f>1+1+1+1+1+1+1+1+1+1+1+1+1+1+1+1+1</f>
        <v>17</v>
      </c>
      <c r="P7" s="7">
        <f>1+1+1+1+1+1+1+1+1+1+1+1+1+1+1+1+1</f>
        <v>17</v>
      </c>
      <c r="Q7">
        <f>1+0+1+0+1+1+1+1+1+1+1+1+1+0+1+1+0</f>
        <v>13</v>
      </c>
      <c r="R7">
        <f>0+1+0+1+1+1+0+1+1+0+1+1+1+1+0+1+1</f>
        <v>12</v>
      </c>
      <c r="S7">
        <f>1+1+1+1+0+1+0+1+1+1+1+1+1+0+1+1+0</f>
        <v>13</v>
      </c>
      <c r="T7">
        <f>1+1+1+1+1+1+0+1+1+1+1+1+1+1+1+1+1</f>
        <v>16</v>
      </c>
      <c r="U7" s="7">
        <f>1+1+1+1+1+1+1+1+1+1+1+1+1+1+1+1+1</f>
        <v>17</v>
      </c>
      <c r="V7">
        <f>0</f>
        <v>0</v>
      </c>
      <c r="W7" s="8">
        <f t="shared" ref="W7:W23" si="4">SUM(P7:V7)</f>
        <v>88</v>
      </c>
      <c r="X7" s="9" t="s">
        <v>846</v>
      </c>
    </row>
    <row r="8" spans="1:24" x14ac:dyDescent="0.25">
      <c r="C8" s="1" t="s">
        <v>23</v>
      </c>
      <c r="D8" s="1">
        <f>31+42+38+40+39+41+38+40+38+2</f>
        <v>349</v>
      </c>
      <c r="E8" s="5" t="s">
        <v>24</v>
      </c>
      <c r="F8" s="5" t="s">
        <v>25</v>
      </c>
      <c r="G8" s="1">
        <v>0</v>
      </c>
      <c r="H8" s="1">
        <v>0</v>
      </c>
      <c r="I8" s="1">
        <f>14+17+16+21+16+21+18+21+12+1</f>
        <v>157</v>
      </c>
      <c r="J8" s="1">
        <f>(6.9+7+6.9+7+7+7+7.1+7.2+7.1)/9</f>
        <v>7.0222222222222221</v>
      </c>
      <c r="K8" s="6">
        <f t="shared" si="0"/>
        <v>157</v>
      </c>
      <c r="L8" s="6">
        <f t="shared" si="1"/>
        <v>157</v>
      </c>
      <c r="M8" s="6">
        <f t="shared" si="2"/>
        <v>0</v>
      </c>
      <c r="N8" s="6">
        <f t="shared" si="3"/>
        <v>0.44985673352435529</v>
      </c>
      <c r="O8">
        <f>1+1+1+1+1+1+1+1+1+0.25</f>
        <v>9.25</v>
      </c>
      <c r="P8" s="7">
        <f>1+0+1+1+1+1+1+1+1</f>
        <v>8</v>
      </c>
      <c r="Q8">
        <f>1+1+1+1+1+1+1</f>
        <v>7</v>
      </c>
      <c r="R8">
        <f>1+0+1+1+0+1+1</f>
        <v>5</v>
      </c>
      <c r="S8">
        <f>1+1+1+1+0+1+1+1</f>
        <v>7</v>
      </c>
      <c r="T8">
        <f>1+1+1+0+1+1+1</f>
        <v>6</v>
      </c>
      <c r="U8" s="7">
        <f>1+1+1+0+1+1+1+1</f>
        <v>7</v>
      </c>
      <c r="V8">
        <f>0</f>
        <v>0</v>
      </c>
      <c r="W8" s="8">
        <f t="shared" si="4"/>
        <v>40</v>
      </c>
      <c r="X8" s="1" t="s">
        <v>23</v>
      </c>
    </row>
    <row r="9" spans="1:24" x14ac:dyDescent="0.25">
      <c r="C9" s="119" t="s">
        <v>38</v>
      </c>
      <c r="D9" s="1">
        <f>12+8+6+7+19+13+53+45+53+23+47+3</f>
        <v>289</v>
      </c>
      <c r="E9" s="5" t="s">
        <v>24</v>
      </c>
      <c r="F9" s="5" t="s">
        <v>39</v>
      </c>
      <c r="G9" s="1">
        <f>0</f>
        <v>0</v>
      </c>
      <c r="H9" s="1">
        <f>0+2</f>
        <v>2</v>
      </c>
      <c r="I9" s="1">
        <f>4+1+3+2+5+7+21+24+23+11+24+1</f>
        <v>126</v>
      </c>
      <c r="J9" s="1">
        <f>(7.3+6.7+7.2+7.5+7.5+7.5+7.3+7.2+7.3+7.4+7.4)/11</f>
        <v>7.3000000000000007</v>
      </c>
      <c r="K9" s="6">
        <f t="shared" si="0"/>
        <v>128</v>
      </c>
      <c r="L9" s="6">
        <f t="shared" si="1"/>
        <v>126</v>
      </c>
      <c r="M9" s="6">
        <f t="shared" si="2"/>
        <v>6.920415224913495E-3</v>
      </c>
      <c r="N9" s="6">
        <f t="shared" si="3"/>
        <v>0.43598615916955019</v>
      </c>
      <c r="O9">
        <f>0.25+1+1+1+1+1+1+1+1+1+1+1+0.25</f>
        <v>11.5</v>
      </c>
      <c r="P9" s="7">
        <f>1+1+1+1+1+1+1+1+1+1+1+1</f>
        <v>12</v>
      </c>
      <c r="Q9">
        <f>0+1+0+1+0+1+1+1+0+1+0+1</f>
        <v>7</v>
      </c>
      <c r="R9">
        <f>0+0+0+0+0+1+1+0+1+0+1+1</f>
        <v>5</v>
      </c>
      <c r="S9">
        <f>0+1+1+1+1+1+0+1+1+1+1+0</f>
        <v>9</v>
      </c>
      <c r="T9">
        <f>0+1+1+1+1+1+0+1+1+1+1+1</f>
        <v>10</v>
      </c>
      <c r="U9" s="7">
        <f>1+1+1+1+1+0+1+1+1+1+1+1</f>
        <v>11</v>
      </c>
      <c r="V9">
        <f>0</f>
        <v>0</v>
      </c>
      <c r="W9" s="8">
        <f t="shared" si="4"/>
        <v>54</v>
      </c>
      <c r="X9" s="119" t="s">
        <v>38</v>
      </c>
    </row>
    <row r="10" spans="1:24" x14ac:dyDescent="0.25">
      <c r="C10" s="1" t="s">
        <v>26</v>
      </c>
      <c r="D10" s="1">
        <f>21+20+21+23+23+25+37+43+44+40</f>
        <v>297</v>
      </c>
      <c r="E10" s="5" t="s">
        <v>24</v>
      </c>
      <c r="F10" s="5" t="s">
        <v>27</v>
      </c>
      <c r="G10" s="1">
        <f>0</f>
        <v>0</v>
      </c>
      <c r="H10" s="1">
        <f>0+1</f>
        <v>1</v>
      </c>
      <c r="I10" s="1">
        <f>11+9+4+6+7+6+13+19+21+20</f>
        <v>116</v>
      </c>
      <c r="J10" s="1">
        <f>(6.9+7.1+6.9+6.8+7.2+7+7+7.2+7.4+7.1)/10</f>
        <v>7.06</v>
      </c>
      <c r="K10" s="6">
        <f t="shared" si="0"/>
        <v>117</v>
      </c>
      <c r="L10" s="6">
        <f t="shared" si="1"/>
        <v>116</v>
      </c>
      <c r="M10" s="6">
        <f t="shared" si="2"/>
        <v>3.3670033670033669E-3</v>
      </c>
      <c r="N10" s="6">
        <f t="shared" si="3"/>
        <v>0.39057239057239057</v>
      </c>
      <c r="O10">
        <f>1+1+1+1+1+1+1+1+1+1</f>
        <v>10</v>
      </c>
      <c r="P10" s="7">
        <f>1+1+1+1+1+1+1+1+1+1</f>
        <v>10</v>
      </c>
      <c r="Q10">
        <f>1+1+1+1+1+1+0+0+0+1</f>
        <v>7</v>
      </c>
      <c r="R10">
        <f>0+1+1+0+1+1+0+1+0+1</f>
        <v>6</v>
      </c>
      <c r="S10">
        <f>1+1+1+0+1+1+1+1+1+1</f>
        <v>9</v>
      </c>
      <c r="T10">
        <f>1+1+0+1+1+1+0+1+0+1</f>
        <v>7</v>
      </c>
      <c r="U10" s="7">
        <f>1+0+1+1+1+1+1+1+1+1</f>
        <v>9</v>
      </c>
      <c r="V10">
        <f>0</f>
        <v>0</v>
      </c>
      <c r="W10" s="8">
        <f t="shared" si="4"/>
        <v>48</v>
      </c>
      <c r="X10" s="1" t="s">
        <v>26</v>
      </c>
    </row>
    <row r="11" spans="1:24" x14ac:dyDescent="0.25">
      <c r="C11" s="1" t="s">
        <v>28</v>
      </c>
      <c r="D11" s="1">
        <f>5+4+9+21+27+58+55+49</f>
        <v>228</v>
      </c>
      <c r="E11" s="5" t="s">
        <v>24</v>
      </c>
      <c r="F11" s="5" t="s">
        <v>29</v>
      </c>
      <c r="G11" s="1">
        <f>0</f>
        <v>0</v>
      </c>
      <c r="H11" s="1">
        <f>0</f>
        <v>0</v>
      </c>
      <c r="I11" s="1">
        <f>1+1+2+9+4+23+15+19</f>
        <v>74</v>
      </c>
      <c r="J11" s="1">
        <f>(7.1+6.6+6.7+7.2+6.7+7.3+7+7.3)/8</f>
        <v>6.9874999999999989</v>
      </c>
      <c r="K11" s="6">
        <f t="shared" si="0"/>
        <v>74</v>
      </c>
      <c r="L11" s="6">
        <f t="shared" si="1"/>
        <v>74</v>
      </c>
      <c r="M11" s="6">
        <f t="shared" si="2"/>
        <v>0</v>
      </c>
      <c r="N11" s="6">
        <f t="shared" si="3"/>
        <v>0.32456140350877194</v>
      </c>
      <c r="O11">
        <f>1+1+1+1+1+1+1+1</f>
        <v>8</v>
      </c>
      <c r="P11" s="7">
        <f>1+1+1+1+1+1+1+1</f>
        <v>8</v>
      </c>
      <c r="Q11">
        <f>0+0+1+1+1+0+0+1</f>
        <v>4</v>
      </c>
      <c r="R11">
        <f>1+0+1+1+0+1+1+1</f>
        <v>6</v>
      </c>
      <c r="S11">
        <f>0+1+1+0+1+0+1+1</f>
        <v>5</v>
      </c>
      <c r="T11">
        <f>0+0+1+1+1+0+1+0</f>
        <v>4</v>
      </c>
      <c r="U11" s="7">
        <f>1+1+1+1+1+1+1+1</f>
        <v>8</v>
      </c>
      <c r="V11">
        <f>0</f>
        <v>0</v>
      </c>
      <c r="W11" s="8">
        <f t="shared" si="4"/>
        <v>35</v>
      </c>
      <c r="X11" s="1" t="s">
        <v>28</v>
      </c>
    </row>
    <row r="12" spans="1:24" x14ac:dyDescent="0.25">
      <c r="C12" s="1" t="s">
        <v>353</v>
      </c>
      <c r="D12" s="1">
        <f>38+41+40+41</f>
        <v>160</v>
      </c>
      <c r="E12" s="5" t="s">
        <v>24</v>
      </c>
      <c r="F12" s="5" t="s">
        <v>354</v>
      </c>
      <c r="G12" s="1">
        <f>0</f>
        <v>0</v>
      </c>
      <c r="H12" s="1">
        <f>1</f>
        <v>1</v>
      </c>
      <c r="I12" s="1">
        <f>15+16+14+14</f>
        <v>59</v>
      </c>
      <c r="J12" s="1">
        <f>(7.3+7.1+7.1+7.2)/4</f>
        <v>7.1749999999999998</v>
      </c>
      <c r="K12" s="6">
        <f t="shared" si="0"/>
        <v>60</v>
      </c>
      <c r="L12" s="6">
        <f t="shared" si="1"/>
        <v>59</v>
      </c>
      <c r="M12" s="6">
        <f t="shared" si="2"/>
        <v>6.2500000000000003E-3</v>
      </c>
      <c r="N12" s="6">
        <f t="shared" si="3"/>
        <v>0.36875000000000002</v>
      </c>
      <c r="O12">
        <f>1+1+1+1</f>
        <v>4</v>
      </c>
      <c r="P12" s="7">
        <f>1+1+1+1</f>
        <v>4</v>
      </c>
      <c r="Q12">
        <f>1+0+1+0</f>
        <v>2</v>
      </c>
      <c r="R12">
        <f>0+0+0+0</f>
        <v>0</v>
      </c>
      <c r="S12">
        <f>1+1+1+1+1</f>
        <v>5</v>
      </c>
      <c r="T12">
        <f>1+1+1+1</f>
        <v>4</v>
      </c>
      <c r="U12" s="7">
        <f>1+1+1+1</f>
        <v>4</v>
      </c>
      <c r="V12">
        <f>0</f>
        <v>0</v>
      </c>
      <c r="W12" s="8">
        <f t="shared" si="4"/>
        <v>19</v>
      </c>
      <c r="X12" s="1" t="s">
        <v>353</v>
      </c>
    </row>
    <row r="13" spans="1:24" x14ac:dyDescent="0.25">
      <c r="C13" s="1" t="s">
        <v>36</v>
      </c>
      <c r="D13" s="1">
        <f>8+14+12+7+13+11+43+49</f>
        <v>157</v>
      </c>
      <c r="E13" s="5" t="s">
        <v>24</v>
      </c>
      <c r="F13" s="5" t="s">
        <v>37</v>
      </c>
      <c r="G13" s="1">
        <f>0</f>
        <v>0</v>
      </c>
      <c r="H13" s="1">
        <f>0</f>
        <v>0</v>
      </c>
      <c r="I13" s="1">
        <f>2+3+5+0+5+3+18+20</f>
        <v>56</v>
      </c>
      <c r="J13" s="1">
        <f>(6.9+7.1+6.9+7.6+7.7+6.8+7.3+7.4)/8</f>
        <v>7.2124999999999995</v>
      </c>
      <c r="K13" s="6">
        <f t="shared" si="0"/>
        <v>56</v>
      </c>
      <c r="L13" s="6">
        <f t="shared" si="1"/>
        <v>56</v>
      </c>
      <c r="M13" s="6">
        <f t="shared" si="2"/>
        <v>0</v>
      </c>
      <c r="N13" s="6">
        <f t="shared" si="3"/>
        <v>0.35668789808917195</v>
      </c>
      <c r="O13">
        <f>0.5+1+1+1+1+1+1+1</f>
        <v>7.5</v>
      </c>
      <c r="P13" s="7">
        <f>1+1+1+1+1+1+1</f>
        <v>7</v>
      </c>
      <c r="Q13">
        <f>0+1+1+0+1+0+1+1</f>
        <v>5</v>
      </c>
      <c r="R13">
        <f>1+1+0+0+0+0+1+1</f>
        <v>4</v>
      </c>
      <c r="S13">
        <f>0+1+1+1+1+1+1+0</f>
        <v>6</v>
      </c>
      <c r="T13">
        <f>0+0+1+1+1+1+1+0</f>
        <v>5</v>
      </c>
      <c r="U13" s="7">
        <f>1+1+1+1+1+1+0+1</f>
        <v>7</v>
      </c>
      <c r="V13">
        <f>0</f>
        <v>0</v>
      </c>
      <c r="W13" s="8">
        <f t="shared" si="4"/>
        <v>34</v>
      </c>
      <c r="X13" s="1" t="s">
        <v>36</v>
      </c>
    </row>
    <row r="14" spans="1:24" x14ac:dyDescent="0.25">
      <c r="C14" s="9" t="s">
        <v>1298</v>
      </c>
      <c r="D14" s="1">
        <f>12+12+12+12+13+11+23+19</f>
        <v>114</v>
      </c>
      <c r="E14" s="5" t="s">
        <v>24</v>
      </c>
      <c r="F14" s="5" t="s">
        <v>75</v>
      </c>
      <c r="G14" s="1">
        <f>0</f>
        <v>0</v>
      </c>
      <c r="H14" s="1">
        <f>0</f>
        <v>0</v>
      </c>
      <c r="I14" s="1">
        <f>2+5+4+8+4+4+12+8</f>
        <v>47</v>
      </c>
      <c r="J14" s="1">
        <f>(6.8+7.3+6.8+7.3+7.3+6.6+7.4+7.1)/8</f>
        <v>7.0750000000000002</v>
      </c>
      <c r="K14" s="6">
        <f t="shared" si="0"/>
        <v>47</v>
      </c>
      <c r="L14" s="6">
        <f t="shared" si="1"/>
        <v>47</v>
      </c>
      <c r="M14" s="6">
        <f t="shared" si="2"/>
        <v>0</v>
      </c>
      <c r="N14" s="6">
        <f t="shared" si="3"/>
        <v>0.41228070175438597</v>
      </c>
      <c r="O14">
        <f>0.125+1+1+1+1+1+1+1+1</f>
        <v>8.125</v>
      </c>
      <c r="P14" s="7">
        <f>1+1+1+1+1+1+1+1+1</f>
        <v>9</v>
      </c>
      <c r="Q14">
        <f>0+1+1+1+1+0+1+1+0</f>
        <v>6</v>
      </c>
      <c r="R14">
        <f>0+1+0+1+1+1+0+1+1</f>
        <v>6</v>
      </c>
      <c r="S14">
        <f>0+1+1+1+1+0+1+1+0</f>
        <v>6</v>
      </c>
      <c r="T14">
        <f>0+1+1+1+1+1+1+1+1</f>
        <v>8</v>
      </c>
      <c r="U14" s="7">
        <f>1+1+1+1+1+1+1+1+1</f>
        <v>9</v>
      </c>
      <c r="V14">
        <f>0</f>
        <v>0</v>
      </c>
      <c r="W14" s="8">
        <f t="shared" si="4"/>
        <v>44</v>
      </c>
      <c r="X14" s="9" t="s">
        <v>1298</v>
      </c>
    </row>
    <row r="15" spans="1:24" x14ac:dyDescent="0.25">
      <c r="C15" s="1" t="s">
        <v>30</v>
      </c>
      <c r="D15" s="1">
        <f>2+19+10+14+42</f>
        <v>87</v>
      </c>
      <c r="E15" s="5" t="s">
        <v>24</v>
      </c>
      <c r="F15" s="5" t="s">
        <v>31</v>
      </c>
      <c r="G15" s="1">
        <f>0</f>
        <v>0</v>
      </c>
      <c r="H15" s="1">
        <f>0</f>
        <v>0</v>
      </c>
      <c r="I15" s="1">
        <f>1+3+0+4+18</f>
        <v>26</v>
      </c>
      <c r="J15" s="1">
        <f>(7.3+7+7.2+7.2)/4</f>
        <v>7.1749999999999998</v>
      </c>
      <c r="K15" s="6">
        <f t="shared" si="0"/>
        <v>26</v>
      </c>
      <c r="L15" s="6">
        <f t="shared" si="1"/>
        <v>26</v>
      </c>
      <c r="M15" s="6">
        <f t="shared" si="2"/>
        <v>0</v>
      </c>
      <c r="N15" s="6">
        <f t="shared" si="3"/>
        <v>0.2988505747126437</v>
      </c>
      <c r="O15">
        <f>1+1+1+1+1</f>
        <v>5</v>
      </c>
      <c r="P15" s="7">
        <f>1+1+1+1+1</f>
        <v>5</v>
      </c>
      <c r="Q15">
        <f>0+0+0+1+1</f>
        <v>2</v>
      </c>
      <c r="R15">
        <f>0+0+0+1+1</f>
        <v>2</v>
      </c>
      <c r="S15">
        <f>0+1+1+1+1+0</f>
        <v>4</v>
      </c>
      <c r="T15">
        <f>0+1+0+0+1+1</f>
        <v>3</v>
      </c>
      <c r="U15" s="7">
        <f>1+1+1+1+1</f>
        <v>5</v>
      </c>
      <c r="V15">
        <f>0</f>
        <v>0</v>
      </c>
      <c r="W15" s="8">
        <f t="shared" si="4"/>
        <v>21</v>
      </c>
      <c r="X15" s="1" t="s">
        <v>30</v>
      </c>
    </row>
    <row r="16" spans="1:24" x14ac:dyDescent="0.25">
      <c r="C16" s="119" t="s">
        <v>1236</v>
      </c>
      <c r="D16" s="1">
        <f>19+34</f>
        <v>53</v>
      </c>
      <c r="E16" s="5" t="s">
        <v>24</v>
      </c>
      <c r="F16" s="5" t="s">
        <v>195</v>
      </c>
      <c r="G16" s="1">
        <f>0</f>
        <v>0</v>
      </c>
      <c r="H16" s="1">
        <f>0</f>
        <v>0</v>
      </c>
      <c r="I16" s="1">
        <f>5+18</f>
        <v>23</v>
      </c>
      <c r="J16" s="1">
        <f>(7+7)/2</f>
        <v>7</v>
      </c>
      <c r="K16" s="6">
        <f t="shared" si="0"/>
        <v>23</v>
      </c>
      <c r="L16" s="6">
        <f t="shared" si="1"/>
        <v>23</v>
      </c>
      <c r="M16" s="6">
        <f t="shared" si="2"/>
        <v>0</v>
      </c>
      <c r="N16" s="6">
        <f t="shared" si="3"/>
        <v>0.43396226415094341</v>
      </c>
      <c r="O16">
        <f>1+1</f>
        <v>2</v>
      </c>
      <c r="P16" s="7">
        <f>1+1</f>
        <v>2</v>
      </c>
      <c r="Q16">
        <f>1+1</f>
        <v>2</v>
      </c>
      <c r="R16">
        <f>1+0</f>
        <v>1</v>
      </c>
      <c r="S16">
        <f>1+0</f>
        <v>1</v>
      </c>
      <c r="T16">
        <f>1+0</f>
        <v>1</v>
      </c>
      <c r="U16" s="7">
        <f>1+1</f>
        <v>2</v>
      </c>
      <c r="V16">
        <f>0</f>
        <v>0</v>
      </c>
      <c r="W16" s="8">
        <f t="shared" si="4"/>
        <v>9</v>
      </c>
      <c r="X16" s="119" t="s">
        <v>1236</v>
      </c>
    </row>
    <row r="17" spans="3:24" x14ac:dyDescent="0.25">
      <c r="C17" s="1" t="s">
        <v>32</v>
      </c>
      <c r="D17" s="1">
        <f>5+20+16</f>
        <v>41</v>
      </c>
      <c r="E17" s="5" t="s">
        <v>24</v>
      </c>
      <c r="F17" s="5" t="s">
        <v>31</v>
      </c>
      <c r="G17" s="1">
        <v>0</v>
      </c>
      <c r="H17" s="1">
        <v>0</v>
      </c>
      <c r="I17" s="1">
        <f>4+11+6</f>
        <v>21</v>
      </c>
      <c r="J17" s="1">
        <f>(7.2+6.9)/2</f>
        <v>7.0500000000000007</v>
      </c>
      <c r="K17" s="6">
        <f t="shared" si="0"/>
        <v>21</v>
      </c>
      <c r="L17" s="6">
        <f t="shared" si="1"/>
        <v>21</v>
      </c>
      <c r="M17" s="6">
        <f t="shared" si="2"/>
        <v>0</v>
      </c>
      <c r="N17" s="6">
        <f t="shared" si="3"/>
        <v>0.51219512195121952</v>
      </c>
      <c r="O17">
        <f>1+1+1</f>
        <v>3</v>
      </c>
      <c r="P17" s="7">
        <f>1+0+1</f>
        <v>2</v>
      </c>
      <c r="Q17">
        <f>1</f>
        <v>1</v>
      </c>
      <c r="R17">
        <f>1</f>
        <v>1</v>
      </c>
      <c r="S17">
        <f>1</f>
        <v>1</v>
      </c>
      <c r="T17">
        <f>1</f>
        <v>1</v>
      </c>
      <c r="U17" s="7">
        <f>1+1</f>
        <v>2</v>
      </c>
      <c r="V17">
        <f>0</f>
        <v>0</v>
      </c>
      <c r="W17" s="8">
        <f t="shared" si="4"/>
        <v>8</v>
      </c>
      <c r="X17" s="1" t="s">
        <v>32</v>
      </c>
    </row>
    <row r="18" spans="3:24" x14ac:dyDescent="0.25">
      <c r="C18" s="9" t="s">
        <v>1386</v>
      </c>
      <c r="D18" s="1">
        <f>1+9+10</f>
        <v>20</v>
      </c>
      <c r="E18" s="5" t="s">
        <v>24</v>
      </c>
      <c r="F18" s="5" t="s">
        <v>747</v>
      </c>
      <c r="G18" s="1">
        <f>0</f>
        <v>0</v>
      </c>
      <c r="H18" s="1">
        <f>0</f>
        <v>0</v>
      </c>
      <c r="I18" s="1">
        <f>0+6+3</f>
        <v>9</v>
      </c>
      <c r="J18" s="1">
        <f>(7.1+7.3)/2</f>
        <v>7.1999999999999993</v>
      </c>
      <c r="K18" s="6">
        <f t="shared" si="0"/>
        <v>9</v>
      </c>
      <c r="L18" s="6">
        <f t="shared" si="1"/>
        <v>9</v>
      </c>
      <c r="M18" s="6">
        <f t="shared" si="2"/>
        <v>0</v>
      </c>
      <c r="N18" s="6">
        <f t="shared" si="3"/>
        <v>0.45</v>
      </c>
      <c r="O18">
        <f>0.5+1+1</f>
        <v>2.5</v>
      </c>
      <c r="P18" s="7">
        <f>1+1+1</f>
        <v>3</v>
      </c>
      <c r="Q18">
        <f>1+1+1</f>
        <v>3</v>
      </c>
      <c r="R18">
        <f>1+1+1</f>
        <v>3</v>
      </c>
      <c r="S18">
        <f>0+1+1</f>
        <v>2</v>
      </c>
      <c r="T18">
        <f>0+1+1</f>
        <v>2</v>
      </c>
      <c r="U18" s="7">
        <f>1+1+1</f>
        <v>3</v>
      </c>
      <c r="V18">
        <f>0</f>
        <v>0</v>
      </c>
      <c r="W18" s="8">
        <f t="shared" si="4"/>
        <v>16</v>
      </c>
      <c r="X18" s="9" t="s">
        <v>1386</v>
      </c>
    </row>
    <row r="19" spans="3:24" x14ac:dyDescent="0.25">
      <c r="C19" s="1" t="s">
        <v>33</v>
      </c>
      <c r="D19" s="1">
        <f>32</f>
        <v>32</v>
      </c>
      <c r="E19" s="5" t="s">
        <v>24</v>
      </c>
      <c r="F19" s="5" t="s">
        <v>34</v>
      </c>
      <c r="G19" s="1">
        <f>0</f>
        <v>0</v>
      </c>
      <c r="H19" s="1">
        <f>0</f>
        <v>0</v>
      </c>
      <c r="I19" s="1">
        <f>8</f>
        <v>8</v>
      </c>
      <c r="J19" s="1">
        <f>(6.9)/1</f>
        <v>6.9</v>
      </c>
      <c r="K19" s="6">
        <f t="shared" si="0"/>
        <v>8</v>
      </c>
      <c r="L19" s="6">
        <f t="shared" si="1"/>
        <v>8</v>
      </c>
      <c r="M19" s="6">
        <f t="shared" si="2"/>
        <v>0</v>
      </c>
      <c r="N19" s="6">
        <f t="shared" si="3"/>
        <v>0.25</v>
      </c>
      <c r="O19">
        <f>1</f>
        <v>1</v>
      </c>
      <c r="P19" s="7">
        <f>1</f>
        <v>1</v>
      </c>
      <c r="Q19">
        <f>1</f>
        <v>1</v>
      </c>
      <c r="R19">
        <f>0</f>
        <v>0</v>
      </c>
      <c r="S19">
        <f>1</f>
        <v>1</v>
      </c>
      <c r="T19">
        <f>1</f>
        <v>1</v>
      </c>
      <c r="U19" s="7">
        <f>1</f>
        <v>1</v>
      </c>
      <c r="V19">
        <f>0</f>
        <v>0</v>
      </c>
      <c r="W19" s="8">
        <f t="shared" si="4"/>
        <v>5</v>
      </c>
      <c r="X19" s="1" t="s">
        <v>33</v>
      </c>
    </row>
    <row r="20" spans="3:24" x14ac:dyDescent="0.25">
      <c r="C20" s="1" t="s">
        <v>35</v>
      </c>
      <c r="D20" s="1">
        <v>12</v>
      </c>
      <c r="E20" s="5" t="s">
        <v>24</v>
      </c>
      <c r="F20" s="5" t="s">
        <v>25</v>
      </c>
      <c r="G20" s="1">
        <v>0</v>
      </c>
      <c r="H20" s="1">
        <v>0</v>
      </c>
      <c r="I20" s="1">
        <v>6</v>
      </c>
      <c r="J20" s="1">
        <f>(7)/1</f>
        <v>7</v>
      </c>
      <c r="K20" s="6">
        <f t="shared" si="0"/>
        <v>6</v>
      </c>
      <c r="L20" s="6">
        <f t="shared" si="1"/>
        <v>6</v>
      </c>
      <c r="M20" s="6">
        <f t="shared" si="2"/>
        <v>0</v>
      </c>
      <c r="N20" s="6">
        <f t="shared" si="3"/>
        <v>0.5</v>
      </c>
      <c r="O20">
        <f>1</f>
        <v>1</v>
      </c>
      <c r="P20" s="7">
        <f>1</f>
        <v>1</v>
      </c>
      <c r="Q20">
        <f>0</f>
        <v>0</v>
      </c>
      <c r="R20">
        <f>1</f>
        <v>1</v>
      </c>
      <c r="S20">
        <f>0</f>
        <v>0</v>
      </c>
      <c r="T20">
        <f>0</f>
        <v>0</v>
      </c>
      <c r="U20" s="7">
        <f>0</f>
        <v>0</v>
      </c>
      <c r="V20">
        <f>0</f>
        <v>0</v>
      </c>
      <c r="W20" s="8">
        <f t="shared" si="4"/>
        <v>2</v>
      </c>
      <c r="X20" s="1" t="s">
        <v>35</v>
      </c>
    </row>
    <row r="21" spans="3:24" x14ac:dyDescent="0.25">
      <c r="C21" s="9"/>
      <c r="D21" s="1"/>
      <c r="E21" s="5"/>
      <c r="F21" s="5"/>
      <c r="G21" s="1"/>
      <c r="H21" s="1"/>
      <c r="I21" s="1"/>
      <c r="J21" s="1"/>
      <c r="K21" s="6">
        <f t="shared" si="0"/>
        <v>0</v>
      </c>
      <c r="L21" s="6">
        <f t="shared" si="1"/>
        <v>0</v>
      </c>
      <c r="M21" s="6" t="e">
        <f t="shared" si="2"/>
        <v>#DIV/0!</v>
      </c>
      <c r="N21" s="6" t="e">
        <f t="shared" si="3"/>
        <v>#DIV/0!</v>
      </c>
      <c r="P21" s="7"/>
      <c r="U21" s="7"/>
      <c r="W21" s="8">
        <f t="shared" si="4"/>
        <v>0</v>
      </c>
      <c r="X21" s="9"/>
    </row>
    <row r="22" spans="3:24" x14ac:dyDescent="0.25">
      <c r="C22" s="9"/>
      <c r="D22" s="1"/>
      <c r="E22" s="5"/>
      <c r="F22" s="5"/>
      <c r="G22" s="1"/>
      <c r="H22" s="1"/>
      <c r="I22" s="1"/>
      <c r="J22" s="1"/>
      <c r="K22" s="6">
        <f t="shared" si="0"/>
        <v>0</v>
      </c>
      <c r="L22" s="6">
        <f t="shared" si="1"/>
        <v>0</v>
      </c>
      <c r="M22" s="6" t="e">
        <f t="shared" si="2"/>
        <v>#DIV/0!</v>
      </c>
      <c r="N22" s="6" t="e">
        <f t="shared" si="3"/>
        <v>#DIV/0!</v>
      </c>
      <c r="P22" s="7"/>
      <c r="U22" s="7"/>
      <c r="W22" s="8">
        <f t="shared" si="4"/>
        <v>0</v>
      </c>
      <c r="X22" s="9"/>
    </row>
    <row r="23" spans="3:24" x14ac:dyDescent="0.25">
      <c r="C23" s="9"/>
      <c r="D23" s="1"/>
      <c r="E23" s="5"/>
      <c r="F23" s="5"/>
      <c r="G23" s="1"/>
      <c r="H23" s="1"/>
      <c r="I23" s="1"/>
      <c r="J23" s="1"/>
      <c r="K23" s="6">
        <f t="shared" si="0"/>
        <v>0</v>
      </c>
      <c r="L23" s="6">
        <f t="shared" si="1"/>
        <v>0</v>
      </c>
      <c r="M23" s="6" t="e">
        <f t="shared" si="2"/>
        <v>#DIV/0!</v>
      </c>
      <c r="N23" s="6" t="e">
        <f t="shared" si="3"/>
        <v>#DIV/0!</v>
      </c>
      <c r="P23" s="7"/>
      <c r="U23" s="7"/>
      <c r="W23" s="8">
        <f t="shared" si="4"/>
        <v>0</v>
      </c>
      <c r="X23" s="9"/>
    </row>
    <row r="25" spans="3:24" x14ac:dyDescent="0.25">
      <c r="C25" s="10" t="s">
        <v>40</v>
      </c>
    </row>
    <row r="26" spans="3:24" x14ac:dyDescent="0.25">
      <c r="C26" s="3" t="s">
        <v>2</v>
      </c>
      <c r="D26" s="3" t="s">
        <v>3</v>
      </c>
      <c r="E26" s="3" t="s">
        <v>4</v>
      </c>
      <c r="F26" s="3"/>
      <c r="G26" s="3" t="s">
        <v>6</v>
      </c>
      <c r="H26" s="3" t="s">
        <v>7</v>
      </c>
      <c r="I26" s="3" t="s">
        <v>8</v>
      </c>
      <c r="J26" s="3" t="s">
        <v>9</v>
      </c>
      <c r="K26" s="3" t="s">
        <v>41</v>
      </c>
      <c r="L26" s="3" t="s">
        <v>11</v>
      </c>
      <c r="M26" s="3" t="s">
        <v>12</v>
      </c>
      <c r="N26" s="3" t="s">
        <v>13</v>
      </c>
      <c r="O26" s="3" t="s">
        <v>14</v>
      </c>
      <c r="P26" s="4" t="s">
        <v>15</v>
      </c>
      <c r="Q26" s="4" t="s">
        <v>16</v>
      </c>
      <c r="R26" s="4" t="s">
        <v>17</v>
      </c>
      <c r="S26" s="4" t="s">
        <v>18</v>
      </c>
      <c r="T26" s="4" t="s">
        <v>19</v>
      </c>
      <c r="U26" s="4" t="s">
        <v>20</v>
      </c>
      <c r="V26" s="4" t="s">
        <v>21</v>
      </c>
      <c r="W26" s="4" t="s">
        <v>22</v>
      </c>
      <c r="X26" s="3" t="s">
        <v>2</v>
      </c>
    </row>
    <row r="27" spans="3:24" x14ac:dyDescent="0.25">
      <c r="C27" s="10" t="s">
        <v>42</v>
      </c>
      <c r="D27" s="10">
        <f>23+26+34+37+50+28+43+50+42+51+48+46+45+40+29+30+17+20+22</f>
        <v>681</v>
      </c>
      <c r="E27" s="12" t="s">
        <v>43</v>
      </c>
      <c r="F27" s="12" t="s">
        <v>44</v>
      </c>
      <c r="G27" s="10">
        <f>0+0+2+3+5+3+3+4+4+1+3+4+2+2+0+0+1+5+0</f>
        <v>42</v>
      </c>
      <c r="H27" s="10">
        <f>4+4+6+3+12+5+9+12+10+8+6+6+9+11+11+7+1+1+4</f>
        <v>129</v>
      </c>
      <c r="I27" s="10">
        <f>10+10+15+18+23+11+13+23+16+21+19+9+13+12+7+11+3+7+3</f>
        <v>244</v>
      </c>
      <c r="J27" s="10">
        <f>(7.1+7.4+7.6+7.3+7.3+7.5+7.4+7.4+7.4+7.1+7.1+7.2+7.3+7.1+7+6.9+7.1+7)/18</f>
        <v>7.2333333333333325</v>
      </c>
      <c r="K27" s="6">
        <f t="shared" ref="K27:K58" si="5">SUM(G27:H27)</f>
        <v>171</v>
      </c>
      <c r="L27" s="6">
        <f t="shared" ref="L27:L58" si="6">(G27+H27+I27)</f>
        <v>415</v>
      </c>
      <c r="M27" s="6">
        <f t="shared" ref="M27:M58" si="7">(G27+H27)/D27</f>
        <v>0.25110132158590309</v>
      </c>
      <c r="N27" s="6">
        <f>(G27+H27+I27)/D27</f>
        <v>0.60939794419970628</v>
      </c>
      <c r="O27">
        <f>1+1+1+1+1+1+1+1+1+1+1+1+1+1+1+1+1+1+1+1</f>
        <v>20</v>
      </c>
      <c r="P27" s="7">
        <f>1+1+1+1+1+1+1+1+1+1+1+1+1+1+1+1+1+1+1+1</f>
        <v>20</v>
      </c>
      <c r="Q27">
        <f>0+1+1+1+1+1+1+0+0+0+1+1+1+0+0+1+1+0+1+0</f>
        <v>12</v>
      </c>
      <c r="R27">
        <f>0+0+1+1+0+1+1+0+1+0+1+1+0+1+1+1+0+0+0+0</f>
        <v>10</v>
      </c>
      <c r="S27">
        <f>0+1+1+1+0+1+1+1+1+1+1+0+1+0+1+1+1+1+1+1</f>
        <v>16</v>
      </c>
      <c r="T27">
        <f>0+1+1+0+1+1+1+0+1+0+1+1+1+0+1+0+1+1+1+1</f>
        <v>14</v>
      </c>
      <c r="U27" s="7">
        <f>1+1+0+1+1+1+1+1+1+1+1+1+1+1+1+1+1+1+1+1</f>
        <v>19</v>
      </c>
      <c r="V27">
        <f>0</f>
        <v>0</v>
      </c>
      <c r="W27" s="8">
        <f t="shared" ref="W27:W58" si="8">SUM(P27:V27)</f>
        <v>91</v>
      </c>
      <c r="X27" s="10" t="s">
        <v>42</v>
      </c>
    </row>
    <row r="28" spans="3:24" x14ac:dyDescent="0.25">
      <c r="C28" s="10" t="s">
        <v>45</v>
      </c>
      <c r="D28" s="10">
        <f>11+24+21+35+36+42+38+49+58+61+48+52+4</f>
        <v>479</v>
      </c>
      <c r="E28" s="12" t="s">
        <v>46</v>
      </c>
      <c r="F28" s="12" t="s">
        <v>47</v>
      </c>
      <c r="G28" s="10">
        <f>0+2+2+1+6+2+2+6+10+6+3+5</f>
        <v>45</v>
      </c>
      <c r="H28" s="10">
        <f>1+5+5+6+7+10+9+8+10+16+5+15</f>
        <v>97</v>
      </c>
      <c r="I28" s="10">
        <f>6+6+6+14+12+18+14+9+23+16+16+18+1</f>
        <v>159</v>
      </c>
      <c r="J28" s="10">
        <f>(7.6+7.5+7.2+7.3+7.5+7.6+7.4+7.4+7.5+7.3+7.3+7.4)/12</f>
        <v>7.416666666666667</v>
      </c>
      <c r="K28" s="6">
        <f t="shared" si="5"/>
        <v>142</v>
      </c>
      <c r="L28" s="6">
        <f t="shared" si="6"/>
        <v>301</v>
      </c>
      <c r="M28" s="6">
        <f t="shared" si="7"/>
        <v>0.29645093945720252</v>
      </c>
      <c r="N28" s="6">
        <f>(I28+H28+G28)/D28</f>
        <v>0.62839248434237993</v>
      </c>
      <c r="O28">
        <f>0.5+1+1+1+1+1+1+1+1+1+1+1+0.25</f>
        <v>11.75</v>
      </c>
      <c r="P28" s="7">
        <f>1+1+1+1+1+1+1+1+1+1+1+1</f>
        <v>12</v>
      </c>
      <c r="Q28">
        <f>1+1+0+0+0+1+1+1+0+0+1+1</f>
        <v>7</v>
      </c>
      <c r="R28">
        <f>1+1+0+1+0+1+1+0+1+1+1+0</f>
        <v>8</v>
      </c>
      <c r="S28">
        <f>0+1+1+1+1+1+0+1+0+1+1+1+1</f>
        <v>10</v>
      </c>
      <c r="T28">
        <f>0+1+0+1+0+1+1+1+0+1+0+1</f>
        <v>7</v>
      </c>
      <c r="U28" s="7">
        <f>1+1+1+1+1+1+1+1+1+1+1+1</f>
        <v>12</v>
      </c>
      <c r="V28">
        <f>0</f>
        <v>0</v>
      </c>
      <c r="W28" s="8">
        <f t="shared" si="8"/>
        <v>56</v>
      </c>
      <c r="X28" s="10" t="s">
        <v>45</v>
      </c>
    </row>
    <row r="29" spans="3:24" x14ac:dyDescent="0.25">
      <c r="C29" s="10" t="s">
        <v>52</v>
      </c>
      <c r="D29" s="10">
        <f>6+17+12+15+43+16+21+17+41+31+40+41+50+42+41+44+42+39</f>
        <v>558</v>
      </c>
      <c r="E29" s="12" t="s">
        <v>49</v>
      </c>
      <c r="F29" s="12" t="s">
        <v>53</v>
      </c>
      <c r="G29" s="10">
        <f>0+2+1+2+5+1+3+2+7+6+7+8+8+10+7+5+3+6</f>
        <v>83</v>
      </c>
      <c r="H29" s="10">
        <f>0+0+0+0+0+0+0+0+1+1+0+0+2+0+0+2+1+3</f>
        <v>10</v>
      </c>
      <c r="I29" s="10">
        <f>3+7+3+8+12+5+8+6+21+16+10+17+12+15+15+15+16+14</f>
        <v>203</v>
      </c>
      <c r="J29" s="10">
        <f>(6.9+7.2+7.1+7.4+7.1+6.9+7.1+7+7.3+7.4+7+7.1+6.9+7.1+7+7.3+7.1+7.1)/18</f>
        <v>7.1111111111111107</v>
      </c>
      <c r="K29" s="6">
        <f t="shared" si="5"/>
        <v>93</v>
      </c>
      <c r="L29" s="6">
        <f t="shared" si="6"/>
        <v>296</v>
      </c>
      <c r="M29" s="6">
        <f t="shared" si="7"/>
        <v>0.16666666666666666</v>
      </c>
      <c r="N29" s="6">
        <f>(G29+H29+I29)/D29</f>
        <v>0.53046594982078854</v>
      </c>
      <c r="O29">
        <f>1+1+1+1+1+1+1+1+1+1+1+1+1+1+1+1+1+1</f>
        <v>18</v>
      </c>
      <c r="P29" s="7">
        <f>1+1+1+1+1+1+1+1+1+1+1+1+1+1+1+1+1+1</f>
        <v>18</v>
      </c>
      <c r="Q29">
        <f>1+1+1+1+1+0+0+0+1+1+1+0+0+1+1+0+1+0</f>
        <v>11</v>
      </c>
      <c r="R29">
        <f>1+1+0+1+1+0+1+0+1+1+0+1+1+1+0+0+0+0</f>
        <v>10</v>
      </c>
      <c r="S29">
        <f>0+1+0+1+1+1+1+1+1+0+1+0+1+1+1+1+1+1</f>
        <v>14</v>
      </c>
      <c r="T29">
        <f>0+0+1+1+1+0+1+0+1+1+1+0+1+0+1+1+1+1</f>
        <v>12</v>
      </c>
      <c r="U29" s="7">
        <f>0+1+1+1+1+1+1+1+1+1+1+1+1+1+1+1+1+1</f>
        <v>17</v>
      </c>
      <c r="V29">
        <f>0</f>
        <v>0</v>
      </c>
      <c r="W29" s="8">
        <f t="shared" si="8"/>
        <v>82</v>
      </c>
      <c r="X29" s="10" t="s">
        <v>52</v>
      </c>
    </row>
    <row r="30" spans="3:24" x14ac:dyDescent="0.25">
      <c r="C30" s="101" t="s">
        <v>821</v>
      </c>
      <c r="D30" s="10">
        <f>20+17+41+42+42+34+45+42+39+22+37+33</f>
        <v>414</v>
      </c>
      <c r="E30" s="12" t="s">
        <v>46</v>
      </c>
      <c r="F30" s="12" t="s">
        <v>37</v>
      </c>
      <c r="G30" s="10">
        <f>0+1+0+0+0+0+1+1+2+1+0+0</f>
        <v>6</v>
      </c>
      <c r="H30" s="10">
        <f>4+7+6+7+7+4+8+5+10+4+7+5</f>
        <v>74</v>
      </c>
      <c r="I30" s="10">
        <f>5+8+15+23+18+17+23+16+17+13+20+18</f>
        <v>193</v>
      </c>
      <c r="J30" s="10">
        <f>(7+7.3+7.3+7.2+7.3+7.2+7.3+7.1+7.4+7.3+7.3+7.3)/12</f>
        <v>7.25</v>
      </c>
      <c r="K30" s="6">
        <f t="shared" si="5"/>
        <v>80</v>
      </c>
      <c r="L30" s="6">
        <f t="shared" si="6"/>
        <v>273</v>
      </c>
      <c r="M30" s="6">
        <f t="shared" si="7"/>
        <v>0.19323671497584541</v>
      </c>
      <c r="N30" s="6">
        <f>(I30+H30+G30)/D30</f>
        <v>0.65942028985507251</v>
      </c>
      <c r="O30">
        <f>1+1+1+1+1+1+1+1+1+1+1+1</f>
        <v>12</v>
      </c>
      <c r="P30" s="7">
        <f>1+1+1+1+1+1+1+1+1+1+1+1</f>
        <v>12</v>
      </c>
      <c r="Q30">
        <f>1+1+1+0+1+0+1+1+1+1+1+1</f>
        <v>10</v>
      </c>
      <c r="R30">
        <f>1+1+0+1+0+1+1+1+0+1+1+0</f>
        <v>8</v>
      </c>
      <c r="S30">
        <f>1+0+1+1+1+1+0+1+0+1+1+1</f>
        <v>9</v>
      </c>
      <c r="T30">
        <f>1+0+1+1+1+1+1+1+0+1+1+1</f>
        <v>10</v>
      </c>
      <c r="U30" s="7">
        <f>0+1+1+1+1+1+1+1+1+1+1+1</f>
        <v>11</v>
      </c>
      <c r="V30">
        <f>0</f>
        <v>0</v>
      </c>
      <c r="W30" s="8">
        <f t="shared" si="8"/>
        <v>60</v>
      </c>
      <c r="X30" s="101" t="s">
        <v>821</v>
      </c>
    </row>
    <row r="31" spans="3:24" x14ac:dyDescent="0.25">
      <c r="C31" s="101" t="s">
        <v>847</v>
      </c>
      <c r="D31" s="10">
        <f>22+18+22+23+34+22+34+30+28+28+41+41+39+36+23</f>
        <v>441</v>
      </c>
      <c r="E31" s="12" t="s">
        <v>46</v>
      </c>
      <c r="F31" s="12" t="s">
        <v>61</v>
      </c>
      <c r="G31" s="10">
        <f>0+0+0+0+0+0+1+2+0+0+3+2+1+0+1</f>
        <v>10</v>
      </c>
      <c r="H31" s="10">
        <f>2+2+4+3+7+2+4+2+4+7+6+7+6+7+7</f>
        <v>70</v>
      </c>
      <c r="I31" s="10">
        <f>6+9+11+13+13+8+17+7+12+8+19+23+12+11+10</f>
        <v>179</v>
      </c>
      <c r="J31" s="10">
        <f>(6.9+7.1+7.1+7+7.1+7.2+7.1+6.9+7+7.1+7.5+7.4+7.3+7+7.4)/15</f>
        <v>7.1400000000000006</v>
      </c>
      <c r="K31" s="6">
        <f t="shared" si="5"/>
        <v>80</v>
      </c>
      <c r="L31" s="6">
        <f t="shared" si="6"/>
        <v>259</v>
      </c>
      <c r="M31" s="6">
        <f t="shared" si="7"/>
        <v>0.18140589569160998</v>
      </c>
      <c r="N31" s="6">
        <f>(I31+H31+G31)/D31</f>
        <v>0.58730158730158732</v>
      </c>
      <c r="O31">
        <f>1+1+1+1+1+1+1+1+1+1+1+1+1+1+1</f>
        <v>15</v>
      </c>
      <c r="P31" s="7">
        <f>1+1+1+1+1+1+1+1+1+1+1+1+1+1+1</f>
        <v>15</v>
      </c>
      <c r="Q31">
        <f>1+0+1+0+1+1+1+1+1+1+1+1+0+1+1</f>
        <v>12</v>
      </c>
      <c r="R31">
        <f>0+1+0+1+1+0+1+1+0+1+1+1+1+0+1</f>
        <v>10</v>
      </c>
      <c r="S31">
        <f>1+1+1+1+1+0+1+1+1+1+1+1+0+1+1</f>
        <v>13</v>
      </c>
      <c r="T31">
        <f>1+1+1+1+1+0+1+1+1+1+1+1+1+1+1</f>
        <v>14</v>
      </c>
      <c r="U31" s="7">
        <f>1+1+1+1+1+1+1+1+1+1+1+1+1+1+1</f>
        <v>15</v>
      </c>
      <c r="V31">
        <f>0</f>
        <v>0</v>
      </c>
      <c r="W31" s="8">
        <f t="shared" si="8"/>
        <v>79</v>
      </c>
      <c r="X31" s="101" t="s">
        <v>847</v>
      </c>
    </row>
    <row r="32" spans="3:24" x14ac:dyDescent="0.25">
      <c r="C32" s="10" t="s">
        <v>48</v>
      </c>
      <c r="D32" s="10">
        <f>51+48+53+61+60+62+59+57+61+56</f>
        <v>568</v>
      </c>
      <c r="E32" s="12" t="s">
        <v>49</v>
      </c>
      <c r="F32" s="12" t="s">
        <v>50</v>
      </c>
      <c r="G32" s="10">
        <f>2+1+5+4+1+3+2+1+0+0</f>
        <v>19</v>
      </c>
      <c r="H32" s="10">
        <f>1+1+2+0+0+2+2+2+0+2</f>
        <v>12</v>
      </c>
      <c r="I32" s="10">
        <f>20+25+22+25+24+27+17+17+25+21</f>
        <v>223</v>
      </c>
      <c r="J32" s="10">
        <f>(7.1+7.4+7.1+7.4+7.3+7.3+7+7.1+7.2+7.2)/10</f>
        <v>7.2099999999999991</v>
      </c>
      <c r="K32" s="6">
        <f t="shared" si="5"/>
        <v>31</v>
      </c>
      <c r="L32" s="6">
        <f t="shared" si="6"/>
        <v>254</v>
      </c>
      <c r="M32" s="6">
        <f t="shared" si="7"/>
        <v>5.4577464788732391E-2</v>
      </c>
      <c r="N32" s="6">
        <f>(I32+H32+G32)/D32</f>
        <v>0.44718309859154931</v>
      </c>
      <c r="O32">
        <f>1+1+1+1+1+1+1+1+1+1</f>
        <v>10</v>
      </c>
      <c r="P32" s="7">
        <f>1+1+1+1+1+1+1+1+1+1</f>
        <v>10</v>
      </c>
      <c r="Q32">
        <f>0+1+1+1+1+1+1+0+0+0</f>
        <v>6</v>
      </c>
      <c r="R32">
        <f>0+0+1+1+0+1+1+0+1+0</f>
        <v>5</v>
      </c>
      <c r="S32">
        <f>0+1+1+1+0+1+1+1+1+1</f>
        <v>8</v>
      </c>
      <c r="T32">
        <f>1+1+1+0+1+1+1+0+1+0</f>
        <v>7</v>
      </c>
      <c r="U32" s="7">
        <f>1+1+0+1+1+1+1+1+1+1</f>
        <v>9</v>
      </c>
      <c r="V32">
        <f>0</f>
        <v>0</v>
      </c>
      <c r="W32" s="8">
        <f t="shared" si="8"/>
        <v>45</v>
      </c>
      <c r="X32" s="10" t="s">
        <v>48</v>
      </c>
    </row>
    <row r="33" spans="3:24" x14ac:dyDescent="0.25">
      <c r="C33" s="10" t="s">
        <v>51</v>
      </c>
      <c r="D33" s="10">
        <f>15+20+41+45+50+49+27+43+44+42+25+31+27+32+25+18+15+14+21+12</f>
        <v>596</v>
      </c>
      <c r="E33" s="12" t="s">
        <v>49</v>
      </c>
      <c r="F33" s="12" t="s">
        <v>44</v>
      </c>
      <c r="G33" s="10">
        <f>0+3+6+1+4+5+0+3+5+11+2+6+1+2+1+1+0+2+0+0</f>
        <v>53</v>
      </c>
      <c r="H33" s="10">
        <f>0+0+0+1+0+1+0+0+0+0+0+0+0+2+2+0+0+0+0</f>
        <v>6</v>
      </c>
      <c r="I33" s="10">
        <f>6+9+17+18+21+20+8+10+14+10+5+7+2+9+7+5+4+2+6+3</f>
        <v>183</v>
      </c>
      <c r="J33" s="10">
        <f>(6.9+7.1+7.1+7+7.1+7.2+7.1+7+7.3+7+6.8+7.1+6.6+6.9+6.8+6.7+6.9+6.5+7+6.5)/20</f>
        <v>6.9300000000000015</v>
      </c>
      <c r="K33" s="6">
        <f t="shared" si="5"/>
        <v>59</v>
      </c>
      <c r="L33" s="6">
        <f t="shared" si="6"/>
        <v>242</v>
      </c>
      <c r="M33" s="6">
        <f t="shared" si="7"/>
        <v>9.8993288590604023E-2</v>
      </c>
      <c r="N33" s="6">
        <f>(G33+H33+I33)/D33</f>
        <v>0.40604026845637586</v>
      </c>
      <c r="O33">
        <f>1+1+1+1+1+1+1+1+1+1+1+1+1+1+1+1+1+1+1+1</f>
        <v>20</v>
      </c>
      <c r="P33" s="7">
        <f>1+1+1+1+1+1+1+1+1+1+1+1+1+1+1+1+1+1+1+1</f>
        <v>20</v>
      </c>
      <c r="Q33">
        <f>0+1+1+1+1+1+1+0+0+0+1+1+1+0+0+1+1+0+1+0</f>
        <v>12</v>
      </c>
      <c r="R33">
        <f>0+0+1+1+0+1+1+0+1+0+1+1+0+1+1+1+0+0+0+0</f>
        <v>10</v>
      </c>
      <c r="S33">
        <f>0+1+1+1+0+1+1+1+1+1+1+0+1+0+1+1+1+1+1+1</f>
        <v>16</v>
      </c>
      <c r="T33">
        <f>0+1+1+0+1+1+1+0+1+0+1+1+1+0+1+0+1+1+1+1</f>
        <v>14</v>
      </c>
      <c r="U33" s="7">
        <f>1+1+0+1+1+1+1+1+1+1+1+1+1+1+1+1+1+1+1+1</f>
        <v>19</v>
      </c>
      <c r="V33">
        <f>0</f>
        <v>0</v>
      </c>
      <c r="W33" s="8">
        <f t="shared" si="8"/>
        <v>91</v>
      </c>
      <c r="X33" s="10" t="s">
        <v>51</v>
      </c>
    </row>
    <row r="34" spans="3:24" x14ac:dyDescent="0.25">
      <c r="C34" s="101" t="s">
        <v>1187</v>
      </c>
      <c r="D34" s="10">
        <f>23+27+22+43+46+47+43+4</f>
        <v>255</v>
      </c>
      <c r="E34" s="12" t="s">
        <v>43</v>
      </c>
      <c r="F34" s="12" t="s">
        <v>79</v>
      </c>
      <c r="G34" s="10">
        <f>0+0+0+2+1+1+1</f>
        <v>5</v>
      </c>
      <c r="H34" s="10">
        <f>2+4+4+14+12+8+9+3</f>
        <v>56</v>
      </c>
      <c r="I34" s="10">
        <f>13+13+9+18+29+25+20+3</f>
        <v>130</v>
      </c>
      <c r="J34" s="10">
        <f>(7+7+7+7.2+7.5+7.4+7.3+8.3)/8</f>
        <v>7.3375000000000004</v>
      </c>
      <c r="K34" s="6">
        <f t="shared" si="5"/>
        <v>61</v>
      </c>
      <c r="L34" s="6">
        <f t="shared" si="6"/>
        <v>191</v>
      </c>
      <c r="M34" s="6">
        <f t="shared" si="7"/>
        <v>0.23921568627450981</v>
      </c>
      <c r="N34" s="6">
        <f t="shared" ref="N34:N47" si="9">(I34+H34+G34)/D34</f>
        <v>0.74901960784313726</v>
      </c>
      <c r="O34">
        <f>1+1+1+1+1+1+1+0.125</f>
        <v>7.125</v>
      </c>
      <c r="P34" s="7">
        <f>1+1+1+1+1+1+1</f>
        <v>7</v>
      </c>
      <c r="Q34">
        <f>0+1+1+1+1+1+1</f>
        <v>6</v>
      </c>
      <c r="R34">
        <f>1+1+1+0+1+1+0</f>
        <v>5</v>
      </c>
      <c r="S34">
        <f>1+0+1+0+1+1+1+1</f>
        <v>6</v>
      </c>
      <c r="T34">
        <f>1+1+1+0+1+1+1</f>
        <v>6</v>
      </c>
      <c r="U34" s="7">
        <f>1+1+1+1+1+1+1</f>
        <v>7</v>
      </c>
      <c r="V34">
        <f>0</f>
        <v>0</v>
      </c>
      <c r="W34" s="8">
        <f t="shared" si="8"/>
        <v>37</v>
      </c>
      <c r="X34" s="101" t="s">
        <v>1187</v>
      </c>
    </row>
    <row r="35" spans="3:24" x14ac:dyDescent="0.25">
      <c r="C35" s="10" t="s">
        <v>54</v>
      </c>
      <c r="D35" s="10">
        <f>62+61+57+55+49+52+46+1</f>
        <v>383</v>
      </c>
      <c r="E35" s="12" t="s">
        <v>49</v>
      </c>
      <c r="F35" s="12" t="s">
        <v>29</v>
      </c>
      <c r="G35" s="10">
        <f>2+5+3+4+3+2+4</f>
        <v>23</v>
      </c>
      <c r="H35" s="10">
        <f>0+1+3+1+3+0+1</f>
        <v>9</v>
      </c>
      <c r="I35" s="10">
        <f>25+27+12+22+12+18+18</f>
        <v>134</v>
      </c>
      <c r="J35" s="10">
        <f>(7.1+7.2+7+7+6.7+7+7.1)/7</f>
        <v>7.0142857142857142</v>
      </c>
      <c r="K35" s="6">
        <f t="shared" si="5"/>
        <v>32</v>
      </c>
      <c r="L35" s="6">
        <f t="shared" si="6"/>
        <v>166</v>
      </c>
      <c r="M35" s="6">
        <f t="shared" si="7"/>
        <v>8.3550913838120106E-2</v>
      </c>
      <c r="N35" s="6">
        <f t="shared" si="9"/>
        <v>0.43342036553524804</v>
      </c>
      <c r="O35">
        <f>1+1+1+1+1+1+1+0.25</f>
        <v>7.25</v>
      </c>
      <c r="P35" s="7">
        <f>1+1+1+1+1+1+1</f>
        <v>7</v>
      </c>
      <c r="Q35">
        <f>1+1+1+0+0+1+1</f>
        <v>5</v>
      </c>
      <c r="R35">
        <f>1+1+0+1+1+1+0</f>
        <v>5</v>
      </c>
      <c r="S35">
        <f>1+0+1+0+1+1+1+1</f>
        <v>6</v>
      </c>
      <c r="T35">
        <f>1+1+1+0+1+0+1</f>
        <v>5</v>
      </c>
      <c r="U35" s="7">
        <f>1+1+1+1+1+1+1</f>
        <v>7</v>
      </c>
      <c r="V35">
        <f>0</f>
        <v>0</v>
      </c>
      <c r="W35" s="8">
        <f t="shared" si="8"/>
        <v>35</v>
      </c>
      <c r="X35" s="10" t="s">
        <v>54</v>
      </c>
    </row>
    <row r="36" spans="3:24" x14ac:dyDescent="0.25">
      <c r="C36" s="10" t="s">
        <v>77</v>
      </c>
      <c r="D36" s="10">
        <f>16+16+25+33+33+25+44+43+42+23</f>
        <v>300</v>
      </c>
      <c r="E36" s="12" t="s">
        <v>49</v>
      </c>
      <c r="F36" s="12" t="s">
        <v>31</v>
      </c>
      <c r="G36" s="10">
        <f>1+0+6+7+2+1+11+10+6+3</f>
        <v>47</v>
      </c>
      <c r="H36" s="10">
        <f>1+0+0+1+0+0+2+0+0+0</f>
        <v>4</v>
      </c>
      <c r="I36" s="10">
        <f>4+6+11+12+12+7+16+19+15+11</f>
        <v>113</v>
      </c>
      <c r="J36" s="10">
        <f>(6.8+6.8+7.1+7.1+7.1+6.8+7.3+7.2+7.2+7.3)/10</f>
        <v>7.07</v>
      </c>
      <c r="K36" s="6">
        <f t="shared" si="5"/>
        <v>51</v>
      </c>
      <c r="L36" s="6">
        <f t="shared" si="6"/>
        <v>164</v>
      </c>
      <c r="M36" s="6">
        <f t="shared" si="7"/>
        <v>0.17</v>
      </c>
      <c r="N36" s="6">
        <f t="shared" si="9"/>
        <v>0.54666666666666663</v>
      </c>
      <c r="O36">
        <f>0.5+1+1+1+1+1+1+1+1+0.5</f>
        <v>9</v>
      </c>
      <c r="P36" s="7">
        <f>1+1+1+1+1+1+1+1+1</f>
        <v>9</v>
      </c>
      <c r="Q36">
        <f>0+1+1+0+1+0+1+1+1</f>
        <v>6</v>
      </c>
      <c r="R36">
        <f>1+1+0+0+0+0+1+1+0</f>
        <v>4</v>
      </c>
      <c r="S36">
        <f>0+1+1+1+1+1+1+0+1+1</f>
        <v>8</v>
      </c>
      <c r="T36">
        <f>0+0+1+1+1+1+1+0+1+1</f>
        <v>7</v>
      </c>
      <c r="U36" s="7">
        <f>1+1+1+1+1+1+0+1+1</f>
        <v>8</v>
      </c>
      <c r="V36">
        <f>0</f>
        <v>0</v>
      </c>
      <c r="W36" s="8">
        <f t="shared" si="8"/>
        <v>42</v>
      </c>
      <c r="X36" s="10" t="s">
        <v>77</v>
      </c>
    </row>
    <row r="37" spans="3:24" x14ac:dyDescent="0.25">
      <c r="C37" s="101" t="s">
        <v>1237</v>
      </c>
      <c r="D37" s="10">
        <f>45+44+41+47+49+28</f>
        <v>254</v>
      </c>
      <c r="E37" s="12" t="s">
        <v>49</v>
      </c>
      <c r="F37" s="12" t="s">
        <v>50</v>
      </c>
      <c r="G37" s="10">
        <f>1+3+5+0+7+5</f>
        <v>21</v>
      </c>
      <c r="H37" s="10">
        <f>0+1+1+0+1+1</f>
        <v>4</v>
      </c>
      <c r="I37" s="10">
        <f>18+20+25+25+25+13</f>
        <v>126</v>
      </c>
      <c r="J37" s="10">
        <f>(6.8+7.2+7.4+7.3+7.6)/5</f>
        <v>7.26</v>
      </c>
      <c r="K37" s="6">
        <f t="shared" si="5"/>
        <v>25</v>
      </c>
      <c r="L37" s="6">
        <f t="shared" si="6"/>
        <v>151</v>
      </c>
      <c r="M37" s="6">
        <f t="shared" si="7"/>
        <v>9.8425196850393706E-2</v>
      </c>
      <c r="N37" s="6">
        <f t="shared" si="9"/>
        <v>0.59448818897637801</v>
      </c>
      <c r="O37">
        <f>1+1+1+1+1+0.5</f>
        <v>5.5</v>
      </c>
      <c r="P37" s="7">
        <f>1+1+1+1+1</f>
        <v>5</v>
      </c>
      <c r="Q37">
        <f>1+1+1+1+1</f>
        <v>5</v>
      </c>
      <c r="R37">
        <f>1+0+1+1+0</f>
        <v>3</v>
      </c>
      <c r="S37">
        <f>1+0+1+1+1</f>
        <v>4</v>
      </c>
      <c r="T37">
        <f>1+0+1+1+1</f>
        <v>4</v>
      </c>
      <c r="U37" s="7">
        <f>1+1+1+1+1</f>
        <v>5</v>
      </c>
      <c r="V37">
        <f>0</f>
        <v>0</v>
      </c>
      <c r="W37" s="8">
        <f t="shared" si="8"/>
        <v>26</v>
      </c>
      <c r="X37" s="101" t="s">
        <v>1237</v>
      </c>
    </row>
    <row r="38" spans="3:24" x14ac:dyDescent="0.25">
      <c r="C38" s="10" t="s">
        <v>68</v>
      </c>
      <c r="D38" s="10">
        <f>27+34+32+39+39+37+42</f>
        <v>250</v>
      </c>
      <c r="E38" s="12" t="s">
        <v>43</v>
      </c>
      <c r="F38" s="12" t="s">
        <v>31</v>
      </c>
      <c r="G38" s="10">
        <f>1+0+2+3+2+0+2</f>
        <v>10</v>
      </c>
      <c r="H38" s="10">
        <f>8+4+3+8+10+4+7</f>
        <v>44</v>
      </c>
      <c r="I38" s="10">
        <f>5+15+13+14+15+17+16</f>
        <v>95</v>
      </c>
      <c r="J38" s="10">
        <f>(7.1+7+7.4+7.5+7.4+7.4+7.2)/7</f>
        <v>7.2857142857142856</v>
      </c>
      <c r="K38" s="6">
        <f t="shared" si="5"/>
        <v>54</v>
      </c>
      <c r="L38" s="6">
        <f t="shared" si="6"/>
        <v>149</v>
      </c>
      <c r="M38" s="6">
        <f t="shared" si="7"/>
        <v>0.216</v>
      </c>
      <c r="N38" s="6">
        <f t="shared" si="9"/>
        <v>0.59599999999999997</v>
      </c>
      <c r="O38">
        <f>1+1+1+1+1+1+1</f>
        <v>7</v>
      </c>
      <c r="P38" s="7">
        <f>1+1+1+0+1+1+1</f>
        <v>6</v>
      </c>
      <c r="Q38">
        <f>0+1+1+0+0+0+1</f>
        <v>3</v>
      </c>
      <c r="R38">
        <f>1+1+0+0+1+0+1</f>
        <v>4</v>
      </c>
      <c r="S38">
        <f>1+1+1+1+1+1+1</f>
        <v>7</v>
      </c>
      <c r="T38">
        <f>1+0+1+1+1+1+1</f>
        <v>6</v>
      </c>
      <c r="U38" s="7">
        <f>1+1+1+1+1+1+0</f>
        <v>6</v>
      </c>
      <c r="V38">
        <f>0</f>
        <v>0</v>
      </c>
      <c r="W38" s="8">
        <f t="shared" si="8"/>
        <v>32</v>
      </c>
      <c r="X38" s="10" t="s">
        <v>68</v>
      </c>
    </row>
    <row r="39" spans="3:24" x14ac:dyDescent="0.25">
      <c r="C39" s="101" t="s">
        <v>1238</v>
      </c>
      <c r="D39" s="10">
        <f>12+14+29+43+42+46+22</f>
        <v>208</v>
      </c>
      <c r="E39" s="12" t="s">
        <v>49</v>
      </c>
      <c r="F39" s="12" t="s">
        <v>159</v>
      </c>
      <c r="G39" s="10">
        <f>1+0+5+8+9+9+5</f>
        <v>37</v>
      </c>
      <c r="H39" s="10">
        <f>0+0+0+0+0+1+3</f>
        <v>4</v>
      </c>
      <c r="I39" s="10">
        <f>4+6+20+23+20+22+9</f>
        <v>104</v>
      </c>
      <c r="J39" s="10">
        <f>(7.1+6.8+7.4+7.3+7.5+7.5)/6</f>
        <v>7.2666666666666657</v>
      </c>
      <c r="K39" s="6">
        <f t="shared" si="5"/>
        <v>41</v>
      </c>
      <c r="L39" s="6">
        <f t="shared" si="6"/>
        <v>145</v>
      </c>
      <c r="M39" s="6">
        <f t="shared" si="7"/>
        <v>0.19711538461538461</v>
      </c>
      <c r="N39" s="6">
        <f t="shared" si="9"/>
        <v>0.69711538461538458</v>
      </c>
      <c r="O39">
        <f>0.5+1+1+1+1+1+0.5</f>
        <v>6</v>
      </c>
      <c r="P39" s="7">
        <f>1+1+1+1+1+1+0</f>
        <v>6</v>
      </c>
      <c r="Q39">
        <f>1+1+1+1+1+1+0</f>
        <v>6</v>
      </c>
      <c r="R39">
        <f>1+0+1+1+0+1+0</f>
        <v>4</v>
      </c>
      <c r="S39">
        <f>0+0+1+1+1+1+1</f>
        <v>5</v>
      </c>
      <c r="T39">
        <f>0+0+1+1+1+1+1</f>
        <v>5</v>
      </c>
      <c r="U39" s="7">
        <f>1+1+1+1+1+1+0</f>
        <v>6</v>
      </c>
      <c r="V39">
        <f>0</f>
        <v>0</v>
      </c>
      <c r="W39" s="8">
        <f t="shared" si="8"/>
        <v>32</v>
      </c>
      <c r="X39" s="101" t="s">
        <v>1238</v>
      </c>
    </row>
    <row r="40" spans="3:24" x14ac:dyDescent="0.25">
      <c r="C40" s="101" t="s">
        <v>814</v>
      </c>
      <c r="D40" s="10">
        <f>23+42+47+48+53+41</f>
        <v>254</v>
      </c>
      <c r="E40" s="12" t="s">
        <v>43</v>
      </c>
      <c r="F40" s="12" t="s">
        <v>61</v>
      </c>
      <c r="G40" s="10">
        <f>2+0+0+1+1+0</f>
        <v>4</v>
      </c>
      <c r="H40" s="10">
        <f>2+7+5+2+5+4</f>
        <v>25</v>
      </c>
      <c r="I40" s="10">
        <f>7+18+18+25+24+20</f>
        <v>112</v>
      </c>
      <c r="J40" s="10">
        <f>(6.8+7.2+7.3+7+7.1+7.2)/6</f>
        <v>7.1000000000000005</v>
      </c>
      <c r="K40" s="6">
        <f t="shared" si="5"/>
        <v>29</v>
      </c>
      <c r="L40" s="6">
        <f t="shared" si="6"/>
        <v>141</v>
      </c>
      <c r="M40" s="6">
        <f t="shared" si="7"/>
        <v>0.1141732283464567</v>
      </c>
      <c r="N40" s="6">
        <f t="shared" si="9"/>
        <v>0.55511811023622049</v>
      </c>
      <c r="O40">
        <f>1+1+1+1+1+1</f>
        <v>6</v>
      </c>
      <c r="P40" s="7">
        <f>1+1+1+1+1+1</f>
        <v>6</v>
      </c>
      <c r="Q40">
        <f>1+1+1+0+1+0</f>
        <v>4</v>
      </c>
      <c r="R40">
        <f>1+1+0+1+0+1</f>
        <v>4</v>
      </c>
      <c r="S40">
        <f>1+0+1+1+1+1</f>
        <v>5</v>
      </c>
      <c r="T40">
        <f>1+0+1+1+1+1</f>
        <v>5</v>
      </c>
      <c r="U40" s="7">
        <f>0+1+1+1+1+1</f>
        <v>5</v>
      </c>
      <c r="V40">
        <f>0</f>
        <v>0</v>
      </c>
      <c r="W40" s="8">
        <f t="shared" si="8"/>
        <v>29</v>
      </c>
      <c r="X40" s="101" t="s">
        <v>814</v>
      </c>
    </row>
    <row r="41" spans="3:24" x14ac:dyDescent="0.25">
      <c r="C41" s="11" t="s">
        <v>1376</v>
      </c>
      <c r="D41" s="10">
        <f>19+24+26+27+33+42+40</f>
        <v>211</v>
      </c>
      <c r="E41" s="12" t="s">
        <v>43</v>
      </c>
      <c r="F41" s="12" t="s">
        <v>211</v>
      </c>
      <c r="G41" s="10">
        <f>0+0+1+2+0+1+0</f>
        <v>4</v>
      </c>
      <c r="H41" s="10">
        <f>3+4+6+4+5+3+9</f>
        <v>34</v>
      </c>
      <c r="I41" s="10">
        <f>8+14+14+10+10+16+19</f>
        <v>91</v>
      </c>
      <c r="J41" s="10">
        <f>(7+7.1+7.3+7.3+6.9+7.3+7.3)/7</f>
        <v>7.1714285714285708</v>
      </c>
      <c r="K41" s="6">
        <f t="shared" si="5"/>
        <v>38</v>
      </c>
      <c r="L41" s="6">
        <f t="shared" si="6"/>
        <v>129</v>
      </c>
      <c r="M41" s="6">
        <f t="shared" si="7"/>
        <v>0.18009478672985782</v>
      </c>
      <c r="N41" s="6">
        <f t="shared" si="9"/>
        <v>0.61137440758293837</v>
      </c>
      <c r="O41">
        <f>1+1+1+1+1+1+1</f>
        <v>7</v>
      </c>
      <c r="P41" s="7">
        <f>1+1+1+1+1+1+1</f>
        <v>7</v>
      </c>
      <c r="Q41">
        <f>1+1+1+0+1+1+0</f>
        <v>5</v>
      </c>
      <c r="R41">
        <f>1+1+1+1+0+1+1</f>
        <v>6</v>
      </c>
      <c r="S41">
        <f>1+1+1+0+1+1+0</f>
        <v>5</v>
      </c>
      <c r="T41">
        <f>1+1+1+1+1+1+1</f>
        <v>7</v>
      </c>
      <c r="U41" s="7">
        <f>1+1+1+1+1+1+1</f>
        <v>7</v>
      </c>
      <c r="V41">
        <f>0</f>
        <v>0</v>
      </c>
      <c r="W41" s="8">
        <f t="shared" si="8"/>
        <v>37</v>
      </c>
      <c r="X41" s="11" t="s">
        <v>1376</v>
      </c>
    </row>
    <row r="42" spans="3:24" x14ac:dyDescent="0.25">
      <c r="C42" s="10" t="s">
        <v>80</v>
      </c>
      <c r="D42" s="10">
        <f>16+19+39+42+41+43+45</f>
        <v>245</v>
      </c>
      <c r="E42" s="12" t="s">
        <v>46</v>
      </c>
      <c r="F42" s="12" t="s">
        <v>50</v>
      </c>
      <c r="G42" s="10">
        <f>0+0+1+0+0+2+0</f>
        <v>3</v>
      </c>
      <c r="H42" s="10">
        <f>2+0+6+6+3+3+3</f>
        <v>23</v>
      </c>
      <c r="I42" s="10">
        <f>6+6+16+15+14+18+19</f>
        <v>94</v>
      </c>
      <c r="J42" s="10">
        <f>(6.8+6.5+7.2+7.2+7.2+7.2+7.1)/7</f>
        <v>7.0285714285714294</v>
      </c>
      <c r="K42" s="6">
        <f t="shared" si="5"/>
        <v>26</v>
      </c>
      <c r="L42" s="6">
        <f t="shared" si="6"/>
        <v>120</v>
      </c>
      <c r="M42" s="6">
        <f t="shared" si="7"/>
        <v>0.10612244897959183</v>
      </c>
      <c r="N42" s="6">
        <f t="shared" si="9"/>
        <v>0.48979591836734693</v>
      </c>
      <c r="O42">
        <f>1+1+1+1+1+1+1</f>
        <v>7</v>
      </c>
      <c r="P42" s="7">
        <f>1+1+1+1+1+1+1</f>
        <v>7</v>
      </c>
      <c r="Q42">
        <f>1+1+0+1+0+1+1</f>
        <v>5</v>
      </c>
      <c r="R42">
        <f>1+0+0+0+0+1+1</f>
        <v>3</v>
      </c>
      <c r="S42">
        <f>1+1+1+1+1+1+0</f>
        <v>6</v>
      </c>
      <c r="T42">
        <f>0+1+1+1+1+1+0</f>
        <v>5</v>
      </c>
      <c r="U42" s="7">
        <f>1+1+1+1+1+0+1</f>
        <v>6</v>
      </c>
      <c r="V42">
        <f>0</f>
        <v>0</v>
      </c>
      <c r="W42" s="8">
        <f t="shared" si="8"/>
        <v>32</v>
      </c>
      <c r="X42" s="10" t="s">
        <v>80</v>
      </c>
    </row>
    <row r="43" spans="3:24" x14ac:dyDescent="0.25">
      <c r="C43" s="101" t="s">
        <v>827</v>
      </c>
      <c r="D43" s="10">
        <f>18+26+14+39+37+37+2</f>
        <v>173</v>
      </c>
      <c r="E43" s="12" t="s">
        <v>49</v>
      </c>
      <c r="F43" s="12" t="s">
        <v>61</v>
      </c>
      <c r="G43" s="10">
        <f>0+3+2+16+5+8</f>
        <v>34</v>
      </c>
      <c r="H43" s="10">
        <f>0+0+0+1+0+1</f>
        <v>2</v>
      </c>
      <c r="I43" s="10">
        <f>7+9+7+18+20+17</f>
        <v>78</v>
      </c>
      <c r="J43" s="10">
        <f>(7.3+7.3+7.1+7.5+7.2+7.4)/6</f>
        <v>7.3</v>
      </c>
      <c r="K43" s="6">
        <f t="shared" si="5"/>
        <v>36</v>
      </c>
      <c r="L43" s="6">
        <f t="shared" si="6"/>
        <v>114</v>
      </c>
      <c r="M43" s="6">
        <f t="shared" si="7"/>
        <v>0.20809248554913296</v>
      </c>
      <c r="N43" s="6">
        <f t="shared" si="9"/>
        <v>0.65895953757225434</v>
      </c>
      <c r="O43">
        <f>1+1+1+1+1+1+0.25</f>
        <v>6.25</v>
      </c>
      <c r="P43" s="7">
        <f>1+1+1+1+1+1</f>
        <v>6</v>
      </c>
      <c r="Q43">
        <f>1+1+0+1+0+1</f>
        <v>4</v>
      </c>
      <c r="R43">
        <f>1+0+1+0+1+1</f>
        <v>4</v>
      </c>
      <c r="S43">
        <f>0+1+1+1+1+0</f>
        <v>4</v>
      </c>
      <c r="T43">
        <f>0+1+1+1+1+1</f>
        <v>5</v>
      </c>
      <c r="U43" s="7">
        <f>1+1+1+1+1+1</f>
        <v>6</v>
      </c>
      <c r="V43">
        <f>0</f>
        <v>0</v>
      </c>
      <c r="W43" s="8">
        <f t="shared" si="8"/>
        <v>29</v>
      </c>
      <c r="X43" s="101" t="s">
        <v>827</v>
      </c>
    </row>
    <row r="44" spans="3:24" x14ac:dyDescent="0.25">
      <c r="C44" s="11" t="s">
        <v>1409</v>
      </c>
      <c r="D44" s="10">
        <f>17+34+19+32+31+50</f>
        <v>183</v>
      </c>
      <c r="E44" s="12" t="s">
        <v>49</v>
      </c>
      <c r="F44" s="12" t="s">
        <v>59</v>
      </c>
      <c r="G44" s="10">
        <f>1+1+2+6+7+6</f>
        <v>23</v>
      </c>
      <c r="H44" s="10">
        <f>1+1+0+5+0+2</f>
        <v>9</v>
      </c>
      <c r="I44" s="10">
        <f>11+21+9+12+10+18</f>
        <v>81</v>
      </c>
      <c r="J44" s="10">
        <f>(7.4+7.3+7.2+7.1+7.2+7)/6</f>
        <v>7.2</v>
      </c>
      <c r="K44" s="6">
        <f t="shared" si="5"/>
        <v>32</v>
      </c>
      <c r="L44" s="6">
        <f t="shared" si="6"/>
        <v>113</v>
      </c>
      <c r="M44" s="6">
        <f t="shared" si="7"/>
        <v>0.17486338797814208</v>
      </c>
      <c r="N44" s="6">
        <f t="shared" si="9"/>
        <v>0.61748633879781423</v>
      </c>
      <c r="O44">
        <f>1+1+1+1+1+1</f>
        <v>6</v>
      </c>
      <c r="P44" s="7">
        <f>1+1+1+1+1+1</f>
        <v>6</v>
      </c>
      <c r="Q44">
        <f>1+1+0+1+1+0</f>
        <v>4</v>
      </c>
      <c r="R44">
        <f>1+1+1+0+1+1</f>
        <v>5</v>
      </c>
      <c r="S44">
        <f>1+1+0+1+1+0</f>
        <v>4</v>
      </c>
      <c r="T44">
        <f>1+1+1+1+1+1</f>
        <v>6</v>
      </c>
      <c r="U44" s="7">
        <f>1+1+1+1+1+1</f>
        <v>6</v>
      </c>
      <c r="V44">
        <f>0</f>
        <v>0</v>
      </c>
      <c r="W44" s="8">
        <f t="shared" si="8"/>
        <v>31</v>
      </c>
      <c r="X44" s="11" t="s">
        <v>1409</v>
      </c>
    </row>
    <row r="45" spans="3:24" x14ac:dyDescent="0.25">
      <c r="C45" s="101" t="s">
        <v>1382</v>
      </c>
      <c r="D45" s="10">
        <f>29+34+37+33+29</f>
        <v>162</v>
      </c>
      <c r="E45" s="12" t="s">
        <v>43</v>
      </c>
      <c r="F45" s="12" t="s">
        <v>1383</v>
      </c>
      <c r="G45" s="10">
        <f>0+2+1+1+1</f>
        <v>5</v>
      </c>
      <c r="H45" s="10">
        <f>3+3+7+6+3</f>
        <v>22</v>
      </c>
      <c r="I45" s="10">
        <f>15+15+24+11+13</f>
        <v>78</v>
      </c>
      <c r="J45" s="10">
        <f>(7.2+7+7.4+7+7.1)/5</f>
        <v>7.1400000000000006</v>
      </c>
      <c r="K45" s="6">
        <f t="shared" si="5"/>
        <v>27</v>
      </c>
      <c r="L45" s="6">
        <f t="shared" si="6"/>
        <v>105</v>
      </c>
      <c r="M45" s="6">
        <f t="shared" si="7"/>
        <v>0.16666666666666666</v>
      </c>
      <c r="N45" s="6">
        <f t="shared" si="9"/>
        <v>0.64814814814814814</v>
      </c>
      <c r="O45">
        <f>1+1+1+1+1</f>
        <v>5</v>
      </c>
      <c r="P45" s="7">
        <f>1+1+1+1+1</f>
        <v>5</v>
      </c>
      <c r="Q45">
        <f>1+1+1+0+1</f>
        <v>4</v>
      </c>
      <c r="R45">
        <f>1+1+1+1+0</f>
        <v>4</v>
      </c>
      <c r="S45">
        <f>0+1+1+0+1+1</f>
        <v>4</v>
      </c>
      <c r="T45">
        <f>0+1+1+1+1</f>
        <v>4</v>
      </c>
      <c r="U45" s="7">
        <f>1+1+1+1+1</f>
        <v>5</v>
      </c>
      <c r="V45">
        <f>0</f>
        <v>0</v>
      </c>
      <c r="W45" s="8">
        <f t="shared" si="8"/>
        <v>26</v>
      </c>
      <c r="X45" s="101" t="s">
        <v>1382</v>
      </c>
    </row>
    <row r="46" spans="3:24" x14ac:dyDescent="0.25">
      <c r="C46" s="101" t="s">
        <v>1214</v>
      </c>
      <c r="D46" s="10">
        <f>9+21+19+21+26+37+38+39</f>
        <v>210</v>
      </c>
      <c r="E46" s="12" t="s">
        <v>49</v>
      </c>
      <c r="F46" s="12" t="s">
        <v>773</v>
      </c>
      <c r="G46" s="10">
        <f>0+0+0+0+0+4+5+6</f>
        <v>15</v>
      </c>
      <c r="H46" s="10">
        <f>0+0+0+0+0+1+0+0</f>
        <v>1</v>
      </c>
      <c r="I46" s="10">
        <f>5+10+5+9+11+12+21+13</f>
        <v>86</v>
      </c>
      <c r="J46" s="10">
        <f>(6.6+7+6.9+7.2+6.9+6.9+7.4+7.1)/8</f>
        <v>7</v>
      </c>
      <c r="K46" s="6">
        <f t="shared" si="5"/>
        <v>16</v>
      </c>
      <c r="L46" s="6">
        <f t="shared" si="6"/>
        <v>102</v>
      </c>
      <c r="M46" s="6">
        <f t="shared" si="7"/>
        <v>7.6190476190476197E-2</v>
      </c>
      <c r="N46" s="6">
        <f t="shared" si="9"/>
        <v>0.48571428571428571</v>
      </c>
      <c r="O46">
        <f>0.25+1+1+1+1+1+1+1+1</f>
        <v>8.25</v>
      </c>
      <c r="P46" s="7">
        <f>1+1+1+1+1+1+1+1+1</f>
        <v>9</v>
      </c>
      <c r="Q46">
        <f>1+1+1+1+1+1+1+1+0</f>
        <v>8</v>
      </c>
      <c r="R46">
        <f>1+1+1+1+0+1+1+1+1</f>
        <v>8</v>
      </c>
      <c r="S46">
        <f>0+1+1+1+1+1+1+1+0</f>
        <v>7</v>
      </c>
      <c r="T46">
        <f>0+1+1+1+1+1+1+1+1</f>
        <v>8</v>
      </c>
      <c r="U46" s="7">
        <f>1+1+1+1+1+1+1+1+1</f>
        <v>9</v>
      </c>
      <c r="V46">
        <f>0</f>
        <v>0</v>
      </c>
      <c r="W46" s="8">
        <f t="shared" si="8"/>
        <v>49</v>
      </c>
      <c r="X46" s="101" t="s">
        <v>1214</v>
      </c>
    </row>
    <row r="47" spans="3:24" x14ac:dyDescent="0.25">
      <c r="C47" s="101" t="s">
        <v>1406</v>
      </c>
      <c r="D47" s="10">
        <f>20+18+24+26+40+13</f>
        <v>141</v>
      </c>
      <c r="E47" s="12" t="s">
        <v>46</v>
      </c>
      <c r="F47" s="12" t="s">
        <v>209</v>
      </c>
      <c r="G47" s="10">
        <f>1+0+1+2+2+0</f>
        <v>6</v>
      </c>
      <c r="H47" s="10">
        <f>3+4+9+5+8+2</f>
        <v>31</v>
      </c>
      <c r="I47" s="10">
        <f>12+12+10+12+16+6</f>
        <v>68</v>
      </c>
      <c r="J47" s="10">
        <f>(7.6+7.4+7.6+7.4+7.4+6.9)/6</f>
        <v>7.3833333333333329</v>
      </c>
      <c r="K47" s="6">
        <f t="shared" si="5"/>
        <v>37</v>
      </c>
      <c r="L47" s="6">
        <f t="shared" si="6"/>
        <v>105</v>
      </c>
      <c r="M47" s="6">
        <f t="shared" si="7"/>
        <v>0.26241134751773049</v>
      </c>
      <c r="N47" s="6">
        <f t="shared" si="9"/>
        <v>0.74468085106382975</v>
      </c>
      <c r="O47">
        <f>1+1+1+1+1+0.5</f>
        <v>5.5</v>
      </c>
      <c r="P47" s="7">
        <f>1+1+1+1+1</f>
        <v>5</v>
      </c>
      <c r="Q47">
        <f>1+1+0+1+1</f>
        <v>4</v>
      </c>
      <c r="R47">
        <f>1+1+1+0+1</f>
        <v>4</v>
      </c>
      <c r="S47">
        <f>1+1+0+1+1+0</f>
        <v>4</v>
      </c>
      <c r="T47">
        <f>1+1+1+1+1+1</f>
        <v>6</v>
      </c>
      <c r="U47" s="7">
        <f>1+1+1+1+1</f>
        <v>5</v>
      </c>
      <c r="V47">
        <f>0</f>
        <v>0</v>
      </c>
      <c r="W47" s="8">
        <f t="shared" si="8"/>
        <v>28</v>
      </c>
      <c r="X47" s="101" t="s">
        <v>1406</v>
      </c>
    </row>
    <row r="48" spans="3:24" x14ac:dyDescent="0.25">
      <c r="C48" s="10" t="s">
        <v>55</v>
      </c>
      <c r="D48" s="10">
        <f>32+42+43+37</f>
        <v>154</v>
      </c>
      <c r="E48" s="12" t="s">
        <v>46</v>
      </c>
      <c r="F48" s="12" t="s">
        <v>31</v>
      </c>
      <c r="G48" s="10">
        <f>4+2+0+0</f>
        <v>6</v>
      </c>
      <c r="H48" s="10">
        <f>6+14+6+6</f>
        <v>32</v>
      </c>
      <c r="I48" s="10">
        <f>15+19+12+11</f>
        <v>57</v>
      </c>
      <c r="J48" s="10">
        <f>(7.5+7.4+7.1+7.2)/4</f>
        <v>7.3</v>
      </c>
      <c r="K48" s="6">
        <f t="shared" si="5"/>
        <v>38</v>
      </c>
      <c r="L48" s="6">
        <f t="shared" si="6"/>
        <v>95</v>
      </c>
      <c r="M48" s="6">
        <f t="shared" si="7"/>
        <v>0.24675324675324675</v>
      </c>
      <c r="N48" s="6">
        <f>(G48+H48+I48)/D48</f>
        <v>0.61688311688311692</v>
      </c>
      <c r="O48">
        <f>1+1+1+1</f>
        <v>4</v>
      </c>
      <c r="P48" s="7">
        <f>1+1+1+1</f>
        <v>4</v>
      </c>
      <c r="Q48">
        <f>1+1+1+0</f>
        <v>3</v>
      </c>
      <c r="R48">
        <f>0+1+1+0</f>
        <v>2</v>
      </c>
      <c r="S48">
        <f>0+1+1+1</f>
        <v>3</v>
      </c>
      <c r="T48">
        <f>1+1+1+0</f>
        <v>3</v>
      </c>
      <c r="U48" s="7">
        <f>1+1+1+1</f>
        <v>4</v>
      </c>
      <c r="V48">
        <f>0</f>
        <v>0</v>
      </c>
      <c r="W48" s="8">
        <f t="shared" si="8"/>
        <v>19</v>
      </c>
      <c r="X48" s="10" t="s">
        <v>55</v>
      </c>
    </row>
    <row r="49" spans="3:24" x14ac:dyDescent="0.25">
      <c r="C49" s="101" t="s">
        <v>848</v>
      </c>
      <c r="D49" s="10">
        <f>48+46+51+43</f>
        <v>188</v>
      </c>
      <c r="E49" s="12" t="s">
        <v>49</v>
      </c>
      <c r="F49" s="12" t="s">
        <v>44</v>
      </c>
      <c r="G49" s="10">
        <f>2+1+0+0</f>
        <v>3</v>
      </c>
      <c r="H49" s="10">
        <f>0+0+1+0</f>
        <v>1</v>
      </c>
      <c r="I49" s="10">
        <f>15+25+23+21</f>
        <v>84</v>
      </c>
      <c r="J49" s="10">
        <f>(6.9+7.1+7.1+7)/4</f>
        <v>7.0250000000000004</v>
      </c>
      <c r="K49" s="6">
        <f t="shared" si="5"/>
        <v>4</v>
      </c>
      <c r="L49" s="6">
        <f t="shared" si="6"/>
        <v>88</v>
      </c>
      <c r="M49" s="6">
        <f t="shared" si="7"/>
        <v>2.1276595744680851E-2</v>
      </c>
      <c r="N49" s="6">
        <f>(I49+H49+G49)/D49</f>
        <v>0.46808510638297873</v>
      </c>
      <c r="O49">
        <f>1+1+1+1</f>
        <v>4</v>
      </c>
      <c r="P49" s="7">
        <f>1+1+1+1</f>
        <v>4</v>
      </c>
      <c r="Q49">
        <f>1+0+1+0</f>
        <v>2</v>
      </c>
      <c r="R49">
        <f>0+1+0+1</f>
        <v>2</v>
      </c>
      <c r="S49">
        <f>1+1+1+1</f>
        <v>4</v>
      </c>
      <c r="T49">
        <f>1+1+1+1</f>
        <v>4</v>
      </c>
      <c r="U49" s="7">
        <f>1+1+1+1</f>
        <v>4</v>
      </c>
      <c r="V49">
        <f>0</f>
        <v>0</v>
      </c>
      <c r="W49" s="8">
        <f t="shared" si="8"/>
        <v>20</v>
      </c>
      <c r="X49" s="101" t="s">
        <v>848</v>
      </c>
    </row>
    <row r="50" spans="3:24" x14ac:dyDescent="0.25">
      <c r="C50" s="101" t="s">
        <v>995</v>
      </c>
      <c r="D50" s="10">
        <f>10+18+24+36+37+37</f>
        <v>162</v>
      </c>
      <c r="E50" s="12" t="s">
        <v>49</v>
      </c>
      <c r="F50" s="12" t="s">
        <v>996</v>
      </c>
      <c r="G50" s="10">
        <f>1+0+1+0+0+0</f>
        <v>2</v>
      </c>
      <c r="H50" s="10">
        <f>0+0+0+0+0+0</f>
        <v>0</v>
      </c>
      <c r="I50" s="10">
        <f>5+10+13+19+17+15</f>
        <v>79</v>
      </c>
      <c r="J50" s="10">
        <f>(6.9+7.2+7.1+7.1+6.9+6.9)/6</f>
        <v>7.0166666666666666</v>
      </c>
      <c r="K50" s="6">
        <f t="shared" si="5"/>
        <v>2</v>
      </c>
      <c r="L50" s="6">
        <f t="shared" si="6"/>
        <v>81</v>
      </c>
      <c r="M50" s="6">
        <f t="shared" si="7"/>
        <v>1.2345679012345678E-2</v>
      </c>
      <c r="N50" s="6">
        <f>(I50+H50+G50)/D50</f>
        <v>0.5</v>
      </c>
      <c r="O50">
        <f>0.5+1+1+1+1+1</f>
        <v>5.5</v>
      </c>
      <c r="P50" s="7">
        <f>1+1+1+1+1+1</f>
        <v>6</v>
      </c>
      <c r="Q50">
        <f>0+1+0+1+1+1</f>
        <v>4</v>
      </c>
      <c r="R50">
        <f>1+0+1+1+1+0</f>
        <v>4</v>
      </c>
      <c r="S50">
        <f>0+1+1+0+1+0</f>
        <v>3</v>
      </c>
      <c r="T50">
        <f>0+1+1+1+1+0</f>
        <v>4</v>
      </c>
      <c r="U50" s="7">
        <f>1+1+1+1+1+1</f>
        <v>6</v>
      </c>
      <c r="V50">
        <f>0</f>
        <v>0</v>
      </c>
      <c r="W50" s="8">
        <f t="shared" si="8"/>
        <v>27</v>
      </c>
      <c r="X50" s="101" t="s">
        <v>995</v>
      </c>
    </row>
    <row r="51" spans="3:24" x14ac:dyDescent="0.25">
      <c r="C51" s="11" t="s">
        <v>1408</v>
      </c>
      <c r="D51" s="10">
        <f>4+9+21+41+44+36</f>
        <v>155</v>
      </c>
      <c r="E51" s="12" t="s">
        <v>49</v>
      </c>
      <c r="F51" s="12" t="s">
        <v>59</v>
      </c>
      <c r="G51" s="10">
        <f>0+2+2+1+4+6</f>
        <v>15</v>
      </c>
      <c r="H51" s="10">
        <f>0+0+2+0+0+0</f>
        <v>2</v>
      </c>
      <c r="I51" s="10">
        <f>2+6+8+16+17+15</f>
        <v>64</v>
      </c>
      <c r="J51" s="10">
        <f>(7.3+7.4+7.2+6.9+7.1+7.3)/6</f>
        <v>7.1999999999999993</v>
      </c>
      <c r="K51" s="6">
        <f t="shared" si="5"/>
        <v>17</v>
      </c>
      <c r="L51" s="6">
        <f t="shared" si="6"/>
        <v>81</v>
      </c>
      <c r="M51" s="6">
        <f t="shared" si="7"/>
        <v>0.10967741935483871</v>
      </c>
      <c r="N51" s="6">
        <f>(I51+H51+G51)/D51</f>
        <v>0.52258064516129032</v>
      </c>
      <c r="O51">
        <f>0.25+1+1+1+1+1</f>
        <v>5.25</v>
      </c>
      <c r="P51" s="7">
        <f>1+1+1+1+1+1</f>
        <v>6</v>
      </c>
      <c r="Q51">
        <f>1+1+0+1+1+0</f>
        <v>4</v>
      </c>
      <c r="R51">
        <f>1+1+1+0+1+1</f>
        <v>5</v>
      </c>
      <c r="S51">
        <f>0+1+0+1+1+0</f>
        <v>3</v>
      </c>
      <c r="T51">
        <f>0+1+1+1+1+1</f>
        <v>5</v>
      </c>
      <c r="U51" s="7">
        <f>1+1+1+1+1+1</f>
        <v>6</v>
      </c>
      <c r="V51">
        <f>0</f>
        <v>0</v>
      </c>
      <c r="W51" s="8">
        <f t="shared" si="8"/>
        <v>29</v>
      </c>
      <c r="X51" s="11" t="s">
        <v>1408</v>
      </c>
    </row>
    <row r="52" spans="3:24" x14ac:dyDescent="0.25">
      <c r="C52" s="10" t="s">
        <v>56</v>
      </c>
      <c r="D52" s="10">
        <f>20+32+37+40+5</f>
        <v>134</v>
      </c>
      <c r="E52" s="12" t="s">
        <v>46</v>
      </c>
      <c r="F52" s="12" t="s">
        <v>50</v>
      </c>
      <c r="G52" s="10">
        <f>0+0+1+0+0</f>
        <v>1</v>
      </c>
      <c r="H52" s="10">
        <f>1+5+3+6+0</f>
        <v>15</v>
      </c>
      <c r="I52" s="10">
        <f>10+16+17+19+2</f>
        <v>64</v>
      </c>
      <c r="J52" s="10">
        <f>(6.9+7.2+7.1+7.3)/4</f>
        <v>7.1250000000000009</v>
      </c>
      <c r="K52" s="6">
        <f t="shared" si="5"/>
        <v>16</v>
      </c>
      <c r="L52" s="6">
        <f t="shared" si="6"/>
        <v>80</v>
      </c>
      <c r="M52" s="6">
        <f t="shared" si="7"/>
        <v>0.11940298507462686</v>
      </c>
      <c r="N52" s="6">
        <f>(G52+H52+I52)/D52</f>
        <v>0.59701492537313428</v>
      </c>
      <c r="O52">
        <f>1+1+1+1+0.5</f>
        <v>4.5</v>
      </c>
      <c r="P52" s="7">
        <f>1+1+1+1</f>
        <v>4</v>
      </c>
      <c r="Q52">
        <f>0+1+1+1</f>
        <v>3</v>
      </c>
      <c r="R52">
        <f>0+0+1+1</f>
        <v>2</v>
      </c>
      <c r="S52">
        <f>0+1+1+1+0</f>
        <v>3</v>
      </c>
      <c r="T52">
        <f>1+1+1+0+1</f>
        <v>4</v>
      </c>
      <c r="U52" s="7">
        <f>1+1+0+1</f>
        <v>3</v>
      </c>
      <c r="V52">
        <f>0</f>
        <v>0</v>
      </c>
      <c r="W52" s="8">
        <f t="shared" si="8"/>
        <v>19</v>
      </c>
      <c r="X52" s="10" t="s">
        <v>56</v>
      </c>
    </row>
    <row r="53" spans="3:24" x14ac:dyDescent="0.25">
      <c r="C53" s="10" t="s">
        <v>743</v>
      </c>
      <c r="D53" s="10">
        <f>20+22+31+43+46</f>
        <v>162</v>
      </c>
      <c r="E53" s="12" t="s">
        <v>49</v>
      </c>
      <c r="F53" s="12" t="s">
        <v>66</v>
      </c>
      <c r="G53" s="10">
        <f>0+1+0+0+0</f>
        <v>1</v>
      </c>
      <c r="H53" s="10">
        <f>0+1+0+0+2</f>
        <v>3</v>
      </c>
      <c r="I53" s="10">
        <f>5+19+11+15+20</f>
        <v>70</v>
      </c>
      <c r="J53" s="10">
        <f>(6.6+7+6.7+6.8+6.7)/5</f>
        <v>6.7600000000000007</v>
      </c>
      <c r="K53" s="6">
        <f t="shared" si="5"/>
        <v>4</v>
      </c>
      <c r="L53" s="6">
        <f t="shared" si="6"/>
        <v>74</v>
      </c>
      <c r="M53" s="6">
        <f t="shared" si="7"/>
        <v>2.4691358024691357E-2</v>
      </c>
      <c r="N53" s="6">
        <f>(I53+H53+G53)/D53</f>
        <v>0.4567901234567901</v>
      </c>
      <c r="O53">
        <f>1+1+1+1+1</f>
        <v>5</v>
      </c>
      <c r="P53" s="7">
        <f>1+1+1+1+1</f>
        <v>5</v>
      </c>
      <c r="Q53">
        <f>0+1+0+1+1</f>
        <v>3</v>
      </c>
      <c r="R53">
        <f>0+0+0+1+1</f>
        <v>2</v>
      </c>
      <c r="S53">
        <f>1+1+1+1+0</f>
        <v>4</v>
      </c>
      <c r="T53">
        <f>1+1+1+1+0</f>
        <v>4</v>
      </c>
      <c r="U53" s="7">
        <f>1+1+1+0+1</f>
        <v>4</v>
      </c>
      <c r="V53">
        <f>0</f>
        <v>0</v>
      </c>
      <c r="W53" s="8">
        <f t="shared" si="8"/>
        <v>22</v>
      </c>
      <c r="X53" s="10" t="s">
        <v>743</v>
      </c>
    </row>
    <row r="54" spans="3:24" x14ac:dyDescent="0.25">
      <c r="C54" s="101" t="s">
        <v>1152</v>
      </c>
      <c r="D54" s="10">
        <f>5+8+10+20+14+15+31</f>
        <v>103</v>
      </c>
      <c r="E54" s="12" t="s">
        <v>46</v>
      </c>
      <c r="F54" s="12" t="s">
        <v>92</v>
      </c>
      <c r="G54" s="10">
        <f>0+0+0+0+0</f>
        <v>0</v>
      </c>
      <c r="H54" s="10">
        <f>0+1+3+2+2+0+5</f>
        <v>13</v>
      </c>
      <c r="I54" s="10">
        <f>3+3+7+10+8+10+19</f>
        <v>60</v>
      </c>
      <c r="J54" s="10">
        <f>(6.3+6.8+7.5+7+7.4+7.1+7.3)/7</f>
        <v>7.0571428571428569</v>
      </c>
      <c r="K54" s="6">
        <f t="shared" si="5"/>
        <v>13</v>
      </c>
      <c r="L54" s="6">
        <f t="shared" si="6"/>
        <v>73</v>
      </c>
      <c r="M54" s="6">
        <f t="shared" si="7"/>
        <v>0.12621359223300971</v>
      </c>
      <c r="N54" s="6">
        <f>(I54+H54+G54)/D54</f>
        <v>0.70873786407766992</v>
      </c>
      <c r="O54">
        <f>0.5+1+1+1+1+1+1</f>
        <v>6.5</v>
      </c>
      <c r="P54" s="7">
        <f>1+1+1+1+1+1+1</f>
        <v>7</v>
      </c>
      <c r="Q54">
        <f>1+1+1+1+1+1+1</f>
        <v>7</v>
      </c>
      <c r="R54">
        <f>0+0+1+1+0+1+1</f>
        <v>4</v>
      </c>
      <c r="S54">
        <f>0+1+0+1+0+1+1</f>
        <v>4</v>
      </c>
      <c r="T54">
        <f>0+1+1+1+0+1+1</f>
        <v>5</v>
      </c>
      <c r="U54" s="7">
        <f>1+1+1+1+1+1+1</f>
        <v>7</v>
      </c>
      <c r="V54">
        <f>0</f>
        <v>0</v>
      </c>
      <c r="W54" s="8">
        <f t="shared" si="8"/>
        <v>34</v>
      </c>
      <c r="X54" s="101" t="s">
        <v>1152</v>
      </c>
    </row>
    <row r="55" spans="3:24" x14ac:dyDescent="0.25">
      <c r="C55" s="101" t="s">
        <v>1407</v>
      </c>
      <c r="D55" s="10">
        <f>17+20+23+40+38+15</f>
        <v>153</v>
      </c>
      <c r="E55" s="12" t="s">
        <v>49</v>
      </c>
      <c r="F55" s="12" t="s">
        <v>153</v>
      </c>
      <c r="G55" s="10">
        <f>2+1+0+3+6+1</f>
        <v>13</v>
      </c>
      <c r="H55" s="10">
        <f>0+0+0+1+0+0</f>
        <v>1</v>
      </c>
      <c r="I55" s="10">
        <f>8+12+7+17+16+7</f>
        <v>67</v>
      </c>
      <c r="J55" s="10">
        <f>(7.3+7+7+7.2+7.3+7.2)/6</f>
        <v>7.166666666666667</v>
      </c>
      <c r="K55" s="6">
        <f t="shared" si="5"/>
        <v>14</v>
      </c>
      <c r="L55" s="6">
        <f t="shared" si="6"/>
        <v>81</v>
      </c>
      <c r="M55" s="6">
        <f t="shared" si="7"/>
        <v>9.1503267973856203E-2</v>
      </c>
      <c r="N55" s="6">
        <f>(I55+H55+G55)/D55</f>
        <v>0.52941176470588236</v>
      </c>
      <c r="O55">
        <f>0.5+1+1+1+1+1</f>
        <v>5.5</v>
      </c>
      <c r="P55" s="7">
        <f>1+1+1+1+1</f>
        <v>5</v>
      </c>
      <c r="Q55">
        <f>1+1+0+1+1</f>
        <v>4</v>
      </c>
      <c r="R55">
        <f>1+1+1+0+1</f>
        <v>4</v>
      </c>
      <c r="S55">
        <f>0+1+0+1+1+0</f>
        <v>3</v>
      </c>
      <c r="T55">
        <f>0+1+1+1+1+1</f>
        <v>5</v>
      </c>
      <c r="U55" s="7">
        <f>1+1+1+1+1</f>
        <v>5</v>
      </c>
      <c r="V55">
        <f>0</f>
        <v>0</v>
      </c>
      <c r="W55" s="8">
        <f t="shared" si="8"/>
        <v>26</v>
      </c>
      <c r="X55" s="101" t="s">
        <v>1407</v>
      </c>
    </row>
    <row r="56" spans="3:24" x14ac:dyDescent="0.25">
      <c r="C56" s="101" t="s">
        <v>1380</v>
      </c>
      <c r="D56" s="10">
        <f>17+25+25+27+25</f>
        <v>119</v>
      </c>
      <c r="E56" s="12" t="s">
        <v>49</v>
      </c>
      <c r="F56" s="12" t="s">
        <v>37</v>
      </c>
      <c r="G56" s="10">
        <f>2+2+2+4+1</f>
        <v>11</v>
      </c>
      <c r="H56" s="10">
        <f>1+0+0+0+1</f>
        <v>2</v>
      </c>
      <c r="I56" s="10">
        <f>7+20+14+9+6</f>
        <v>56</v>
      </c>
      <c r="J56" s="10">
        <f>(6.9+7.7+7.4+7+6.8)/5</f>
        <v>7.1599999999999993</v>
      </c>
      <c r="K56" s="6">
        <f t="shared" si="5"/>
        <v>13</v>
      </c>
      <c r="L56" s="6">
        <f t="shared" si="6"/>
        <v>69</v>
      </c>
      <c r="M56" s="6">
        <f t="shared" si="7"/>
        <v>0.1092436974789916</v>
      </c>
      <c r="N56" s="6">
        <f>(I56+H56+G56)/D56</f>
        <v>0.57983193277310929</v>
      </c>
      <c r="O56">
        <f>1+1+1+1+1</f>
        <v>5</v>
      </c>
      <c r="P56" s="7">
        <f>1+1+1+1+1</f>
        <v>5</v>
      </c>
      <c r="Q56">
        <f>1+1+1+0+1</f>
        <v>4</v>
      </c>
      <c r="R56">
        <f>1+1+1+1+0</f>
        <v>4</v>
      </c>
      <c r="S56">
        <f>1+1+1+0+1</f>
        <v>4</v>
      </c>
      <c r="T56">
        <f>1+1+1+1+1</f>
        <v>5</v>
      </c>
      <c r="U56" s="7">
        <f>1+1+1+1+1</f>
        <v>5</v>
      </c>
      <c r="V56">
        <f>0</f>
        <v>0</v>
      </c>
      <c r="W56" s="8">
        <f t="shared" si="8"/>
        <v>27</v>
      </c>
      <c r="X56" s="101" t="s">
        <v>1380</v>
      </c>
    </row>
    <row r="57" spans="3:24" x14ac:dyDescent="0.25">
      <c r="C57" s="10" t="s">
        <v>57</v>
      </c>
      <c r="D57" s="10">
        <f>24+15+12+10+13+15+13+25</f>
        <v>127</v>
      </c>
      <c r="E57" s="12" t="s">
        <v>43</v>
      </c>
      <c r="F57" s="12" t="s">
        <v>47</v>
      </c>
      <c r="G57" s="10">
        <f>2+0+0+0+2+0+2+0</f>
        <v>6</v>
      </c>
      <c r="H57" s="10">
        <f>8+1+3+1+3+2+2+2</f>
        <v>22</v>
      </c>
      <c r="I57" s="10">
        <f>6+3+2+2+5+8+4+10</f>
        <v>40</v>
      </c>
      <c r="J57" s="10">
        <f>(7.4+6.7+6.9+6.9+7.1+7.2+7.1+6.6)/8</f>
        <v>6.9875000000000007</v>
      </c>
      <c r="K57" s="6">
        <f t="shared" si="5"/>
        <v>28</v>
      </c>
      <c r="L57" s="6">
        <f t="shared" si="6"/>
        <v>68</v>
      </c>
      <c r="M57" s="6">
        <f t="shared" si="7"/>
        <v>0.22047244094488189</v>
      </c>
      <c r="N57" s="6">
        <f>(I57+H57+G57)/D57</f>
        <v>0.53543307086614178</v>
      </c>
      <c r="O57">
        <f>1+1+1+1+1+1+1+1</f>
        <v>8</v>
      </c>
      <c r="P57" s="7">
        <f>1+1+1+1+1+1+1+1</f>
        <v>8</v>
      </c>
      <c r="Q57">
        <f>1+0+0+0+1+1+1+0</f>
        <v>4</v>
      </c>
      <c r="R57">
        <f>1+0+1+0+1+1+0+1</f>
        <v>5</v>
      </c>
      <c r="S57">
        <f>1+1+1+1+1+0+1+0</f>
        <v>6</v>
      </c>
      <c r="T57">
        <f>1+0+1+0+1+1+1+0</f>
        <v>5</v>
      </c>
      <c r="U57" s="7">
        <f>1+1+1+1+1+1+1+1</f>
        <v>8</v>
      </c>
      <c r="V57">
        <f>0</f>
        <v>0</v>
      </c>
      <c r="W57" s="8">
        <f t="shared" si="8"/>
        <v>36</v>
      </c>
      <c r="X57" s="10" t="s">
        <v>57</v>
      </c>
    </row>
    <row r="58" spans="3:24" x14ac:dyDescent="0.25">
      <c r="C58" s="10" t="s">
        <v>58</v>
      </c>
      <c r="D58" s="10">
        <f>13+26+31+28+13</f>
        <v>111</v>
      </c>
      <c r="E58" s="12" t="s">
        <v>43</v>
      </c>
      <c r="F58" s="12" t="s">
        <v>59</v>
      </c>
      <c r="G58" s="10">
        <f>0+0+0+0+1</f>
        <v>1</v>
      </c>
      <c r="H58" s="10">
        <f>1+4+4+4+1</f>
        <v>14</v>
      </c>
      <c r="I58" s="10">
        <f>6+15+14+10+4</f>
        <v>49</v>
      </c>
      <c r="J58" s="10">
        <f>(7.2+7.1+7.5+7+7.1)/5</f>
        <v>7.18</v>
      </c>
      <c r="K58" s="6">
        <f t="shared" si="5"/>
        <v>15</v>
      </c>
      <c r="L58" s="6">
        <f t="shared" si="6"/>
        <v>64</v>
      </c>
      <c r="M58" s="6">
        <f t="shared" si="7"/>
        <v>0.13513513513513514</v>
      </c>
      <c r="N58" s="6">
        <f>(G58+H58+I58)/D58</f>
        <v>0.57657657657657657</v>
      </c>
      <c r="O58">
        <f>1+1+1+1+0.5</f>
        <v>4.5</v>
      </c>
      <c r="P58" s="7">
        <f>1+1+1+1</f>
        <v>4</v>
      </c>
      <c r="Q58">
        <f>0+1+1+1</f>
        <v>3</v>
      </c>
      <c r="R58">
        <f>0+0+1+1</f>
        <v>2</v>
      </c>
      <c r="S58">
        <f>0+1+1+1+0</f>
        <v>3</v>
      </c>
      <c r="T58">
        <f>0+1+1+0+1</f>
        <v>3</v>
      </c>
      <c r="U58" s="7">
        <f>1+1+0+1</f>
        <v>3</v>
      </c>
      <c r="V58">
        <f>0</f>
        <v>0</v>
      </c>
      <c r="W58" s="8">
        <f t="shared" si="8"/>
        <v>18</v>
      </c>
      <c r="X58" s="10" t="s">
        <v>58</v>
      </c>
    </row>
    <row r="59" spans="3:24" x14ac:dyDescent="0.25">
      <c r="C59" s="10" t="s">
        <v>60</v>
      </c>
      <c r="D59" s="10">
        <f>28+23+22+29</f>
        <v>102</v>
      </c>
      <c r="E59" s="12" t="s">
        <v>46</v>
      </c>
      <c r="F59" s="12" t="s">
        <v>61</v>
      </c>
      <c r="G59" s="10">
        <f>0+0+0+0</f>
        <v>0</v>
      </c>
      <c r="H59" s="10">
        <f>8+2+5+3</f>
        <v>18</v>
      </c>
      <c r="I59" s="10">
        <f>11+11+8+13</f>
        <v>43</v>
      </c>
      <c r="J59" s="10">
        <f>(7.4+7.2+7.3+7.2)/4</f>
        <v>7.2750000000000004</v>
      </c>
      <c r="K59" s="6">
        <f t="shared" ref="K59:K90" si="10">SUM(G59:H59)</f>
        <v>18</v>
      </c>
      <c r="L59" s="6">
        <f t="shared" ref="L59:L90" si="11">(G59+H59+I59)</f>
        <v>61</v>
      </c>
      <c r="M59" s="6">
        <f t="shared" ref="M59:M90" si="12">(G59+H59)/D59</f>
        <v>0.17647058823529413</v>
      </c>
      <c r="N59" s="6">
        <f>(I59+H59+G59)/D59</f>
        <v>0.59803921568627449</v>
      </c>
      <c r="O59">
        <f>1+1+1+1</f>
        <v>4</v>
      </c>
      <c r="P59" s="7">
        <f>1+1+1+1</f>
        <v>4</v>
      </c>
      <c r="Q59">
        <f>0+0+1+1</f>
        <v>2</v>
      </c>
      <c r="R59">
        <f>1+0+1+1</f>
        <v>3</v>
      </c>
      <c r="S59">
        <f>1+1+1+0</f>
        <v>3</v>
      </c>
      <c r="T59">
        <f>1+0+1+1</f>
        <v>3</v>
      </c>
      <c r="U59" s="7">
        <f>1+1+1+1</f>
        <v>4</v>
      </c>
      <c r="V59">
        <f>0</f>
        <v>0</v>
      </c>
      <c r="W59" s="8">
        <f t="shared" ref="W59:W90" si="13">SUM(P59:V59)</f>
        <v>19</v>
      </c>
      <c r="X59" s="10" t="s">
        <v>60</v>
      </c>
    </row>
    <row r="60" spans="3:24" x14ac:dyDescent="0.25">
      <c r="C60" s="101" t="s">
        <v>1153</v>
      </c>
      <c r="D60" s="10">
        <f>14+20+26+30+22</f>
        <v>112</v>
      </c>
      <c r="E60" s="12" t="s">
        <v>49</v>
      </c>
      <c r="F60" s="12" t="s">
        <v>959</v>
      </c>
      <c r="G60" s="10">
        <f>0+0+0+0+0</f>
        <v>0</v>
      </c>
      <c r="H60" s="10">
        <f>0+0+1+0+2</f>
        <v>3</v>
      </c>
      <c r="I60" s="10">
        <f>5+12+13+7+9</f>
        <v>46</v>
      </c>
      <c r="J60" s="10">
        <f>(6.8+7.2+6.9+6.8+6.8)/5</f>
        <v>6.9</v>
      </c>
      <c r="K60" s="6">
        <f t="shared" si="10"/>
        <v>3</v>
      </c>
      <c r="L60" s="6">
        <f t="shared" si="11"/>
        <v>49</v>
      </c>
      <c r="M60" s="6">
        <f t="shared" si="12"/>
        <v>2.6785714285714284E-2</v>
      </c>
      <c r="N60" s="6">
        <f>(I60+H60+G60)/D60</f>
        <v>0.4375</v>
      </c>
      <c r="O60">
        <f>1+1+1+1+1</f>
        <v>5</v>
      </c>
      <c r="P60" s="7">
        <f>1+1+1+1+1</f>
        <v>5</v>
      </c>
      <c r="Q60">
        <f>1+0+1+1+1</f>
        <v>4</v>
      </c>
      <c r="R60">
        <f>0+1+1+1+0</f>
        <v>3</v>
      </c>
      <c r="S60">
        <f>1+1+0+1+0</f>
        <v>3</v>
      </c>
      <c r="T60">
        <f>1+1+1+1+1</f>
        <v>5</v>
      </c>
      <c r="U60" s="7">
        <f>1+1+1+1+1</f>
        <v>5</v>
      </c>
      <c r="V60">
        <f>0</f>
        <v>0</v>
      </c>
      <c r="W60" s="8">
        <f t="shared" si="13"/>
        <v>25</v>
      </c>
      <c r="X60" s="101" t="s">
        <v>1153</v>
      </c>
    </row>
    <row r="61" spans="3:24" x14ac:dyDescent="0.25">
      <c r="C61" s="101" t="s">
        <v>1288</v>
      </c>
      <c r="D61" s="10">
        <f>19+16+23+17+6</f>
        <v>81</v>
      </c>
      <c r="E61" s="12" t="s">
        <v>43</v>
      </c>
      <c r="F61" s="12" t="s">
        <v>37</v>
      </c>
      <c r="G61" s="10">
        <f>0+0+0+0+1</f>
        <v>1</v>
      </c>
      <c r="H61" s="10">
        <f>4+1+8+0+0</f>
        <v>13</v>
      </c>
      <c r="I61" s="10">
        <f>12+3+10+5+3</f>
        <v>33</v>
      </c>
      <c r="J61" s="10">
        <f>(7.3+6.6+7.3+6.7+7.1)/5</f>
        <v>7</v>
      </c>
      <c r="K61" s="6">
        <f t="shared" si="10"/>
        <v>14</v>
      </c>
      <c r="L61" s="6">
        <f t="shared" si="11"/>
        <v>47</v>
      </c>
      <c r="M61" s="6">
        <f t="shared" si="12"/>
        <v>0.1728395061728395</v>
      </c>
      <c r="N61" s="6">
        <f>(I61+H61+G61)/D61</f>
        <v>0.58024691358024694</v>
      </c>
      <c r="O61">
        <f>1+1+1+1+1</f>
        <v>5</v>
      </c>
      <c r="P61" s="7">
        <f>1+1+1+1+1</f>
        <v>5</v>
      </c>
      <c r="Q61">
        <f>1+1+1+1+1</f>
        <v>5</v>
      </c>
      <c r="R61">
        <f>1+1+0+1+1</f>
        <v>4</v>
      </c>
      <c r="S61">
        <f>0+1+1+1+1</f>
        <v>4</v>
      </c>
      <c r="T61">
        <f>1+1+1+1+1</f>
        <v>5</v>
      </c>
      <c r="U61" s="7">
        <f>1+1+1+1+1</f>
        <v>5</v>
      </c>
      <c r="V61">
        <f>0</f>
        <v>0</v>
      </c>
      <c r="W61" s="8">
        <f t="shared" si="13"/>
        <v>28</v>
      </c>
      <c r="X61" s="101" t="s">
        <v>1288</v>
      </c>
    </row>
    <row r="62" spans="3:24" x14ac:dyDescent="0.25">
      <c r="C62" s="10" t="s">
        <v>62</v>
      </c>
      <c r="D62" s="10">
        <f>32+39+2</f>
        <v>73</v>
      </c>
      <c r="E62" s="12" t="s">
        <v>46</v>
      </c>
      <c r="F62" s="12" t="s">
        <v>31</v>
      </c>
      <c r="G62" s="10">
        <f>0+2</f>
        <v>2</v>
      </c>
      <c r="H62" s="10">
        <f>5+4</f>
        <v>9</v>
      </c>
      <c r="I62" s="10">
        <f>17+16+1</f>
        <v>34</v>
      </c>
      <c r="J62" s="10">
        <f>(7.1+7.2)/2</f>
        <v>7.15</v>
      </c>
      <c r="K62" s="6">
        <f t="shared" si="10"/>
        <v>11</v>
      </c>
      <c r="L62" s="6">
        <f t="shared" si="11"/>
        <v>45</v>
      </c>
      <c r="M62" s="6">
        <f t="shared" si="12"/>
        <v>0.15068493150684931</v>
      </c>
      <c r="N62" s="6">
        <f>(I62+H62+G62)/D62</f>
        <v>0.61643835616438358</v>
      </c>
      <c r="O62">
        <f>1+1+0.5</f>
        <v>2.5</v>
      </c>
      <c r="P62" s="7">
        <f>1</f>
        <v>1</v>
      </c>
      <c r="Q62">
        <f>0</f>
        <v>0</v>
      </c>
      <c r="R62">
        <f>1</f>
        <v>1</v>
      </c>
      <c r="S62">
        <f>1</f>
        <v>1</v>
      </c>
      <c r="T62">
        <f>0</f>
        <v>0</v>
      </c>
      <c r="U62" s="7">
        <f>1</f>
        <v>1</v>
      </c>
      <c r="V62">
        <f>0</f>
        <v>0</v>
      </c>
      <c r="W62" s="8">
        <f t="shared" si="13"/>
        <v>4</v>
      </c>
      <c r="X62" s="10" t="s">
        <v>62</v>
      </c>
    </row>
    <row r="63" spans="3:24" x14ac:dyDescent="0.25">
      <c r="C63" s="10" t="s">
        <v>63</v>
      </c>
      <c r="D63" s="10">
        <f>29+33+19</f>
        <v>81</v>
      </c>
      <c r="E63" s="12" t="s">
        <v>43</v>
      </c>
      <c r="F63" s="12" t="s">
        <v>31</v>
      </c>
      <c r="G63" s="10">
        <f>0+1</f>
        <v>1</v>
      </c>
      <c r="H63" s="10">
        <f>3+2+4</f>
        <v>9</v>
      </c>
      <c r="I63" s="10">
        <f>15+14+4</f>
        <v>33</v>
      </c>
      <c r="J63" s="10">
        <f>(7.1+7+6.7)/3</f>
        <v>6.9333333333333336</v>
      </c>
      <c r="K63" s="6">
        <f t="shared" si="10"/>
        <v>10</v>
      </c>
      <c r="L63" s="6">
        <f t="shared" si="11"/>
        <v>43</v>
      </c>
      <c r="M63" s="6">
        <f t="shared" si="12"/>
        <v>0.12345679012345678</v>
      </c>
      <c r="N63" s="6">
        <f>(I63+H63+G63)/D63</f>
        <v>0.53086419753086422</v>
      </c>
      <c r="O63">
        <f>1+1+1</f>
        <v>3</v>
      </c>
      <c r="P63" s="7">
        <f>1+0+1</f>
        <v>2</v>
      </c>
      <c r="Q63">
        <f>1</f>
        <v>1</v>
      </c>
      <c r="R63">
        <f>1</f>
        <v>1</v>
      </c>
      <c r="S63">
        <f>1</f>
        <v>1</v>
      </c>
      <c r="T63">
        <f>1</f>
        <v>1</v>
      </c>
      <c r="U63" s="7">
        <f>1+1</f>
        <v>2</v>
      </c>
      <c r="V63">
        <f>0</f>
        <v>0</v>
      </c>
      <c r="W63" s="8">
        <f t="shared" si="13"/>
        <v>8</v>
      </c>
      <c r="X63" s="10" t="s">
        <v>63</v>
      </c>
    </row>
    <row r="64" spans="3:24" x14ac:dyDescent="0.25">
      <c r="C64" s="10" t="s">
        <v>64</v>
      </c>
      <c r="D64" s="10">
        <f>3+16+21+22+24+11</f>
        <v>97</v>
      </c>
      <c r="E64" s="12" t="s">
        <v>46</v>
      </c>
      <c r="F64" s="12" t="s">
        <v>31</v>
      </c>
      <c r="G64" s="10">
        <f>1+0+0+2+0</f>
        <v>3</v>
      </c>
      <c r="H64" s="10">
        <f>1+2+0+2+1+1</f>
        <v>7</v>
      </c>
      <c r="I64" s="10">
        <f>1+7+7+6+7+3</f>
        <v>31</v>
      </c>
      <c r="J64" s="10">
        <f>(7.8+6.8+6.8+7.1+6.8)/5</f>
        <v>7.06</v>
      </c>
      <c r="K64" s="6">
        <f t="shared" si="10"/>
        <v>10</v>
      </c>
      <c r="L64" s="6">
        <f t="shared" si="11"/>
        <v>41</v>
      </c>
      <c r="M64" s="6">
        <f t="shared" si="12"/>
        <v>0.10309278350515463</v>
      </c>
      <c r="N64" s="6">
        <f>(G64+H64+I64)/D64</f>
        <v>0.42268041237113402</v>
      </c>
      <c r="O64">
        <f>1+1+1+1+1+0.5</f>
        <v>5.5</v>
      </c>
      <c r="P64" s="7">
        <f>1+1+1+1+1</f>
        <v>5</v>
      </c>
      <c r="Q64">
        <f>0+1+1+1+1</f>
        <v>4</v>
      </c>
      <c r="R64">
        <f>0+0+1+1+0</f>
        <v>2</v>
      </c>
      <c r="S64">
        <f>0+1+1+1+0+1+1</f>
        <v>5</v>
      </c>
      <c r="T64">
        <f>0+1+1+0+1+1</f>
        <v>4</v>
      </c>
      <c r="U64" s="7">
        <f>1+1+0+1+1</f>
        <v>4</v>
      </c>
      <c r="V64">
        <f>0</f>
        <v>0</v>
      </c>
      <c r="W64" s="8">
        <f t="shared" si="13"/>
        <v>24</v>
      </c>
      <c r="X64" s="10" t="s">
        <v>64</v>
      </c>
    </row>
    <row r="65" spans="3:24" x14ac:dyDescent="0.25">
      <c r="C65" s="10" t="s">
        <v>65</v>
      </c>
      <c r="D65" s="10">
        <f>39+41+2</f>
        <v>82</v>
      </c>
      <c r="E65" s="12" t="s">
        <v>49</v>
      </c>
      <c r="F65" s="12" t="s">
        <v>66</v>
      </c>
      <c r="G65" s="10">
        <f>1+2</f>
        <v>3</v>
      </c>
      <c r="H65" s="10">
        <f>0+0</f>
        <v>0</v>
      </c>
      <c r="I65" s="10">
        <f>15+22+1</f>
        <v>38</v>
      </c>
      <c r="J65" s="10">
        <f>(7.1+7.3)/2</f>
        <v>7.1999999999999993</v>
      </c>
      <c r="K65" s="6">
        <f t="shared" si="10"/>
        <v>3</v>
      </c>
      <c r="L65" s="6">
        <f t="shared" si="11"/>
        <v>41</v>
      </c>
      <c r="M65" s="6">
        <f t="shared" si="12"/>
        <v>3.6585365853658534E-2</v>
      </c>
      <c r="N65" s="6">
        <f>(I65+H65+G65)/D65</f>
        <v>0.5</v>
      </c>
      <c r="O65">
        <f>1+1</f>
        <v>2</v>
      </c>
      <c r="P65" s="7">
        <f>1+1</f>
        <v>2</v>
      </c>
      <c r="Q65">
        <f>0+1</f>
        <v>1</v>
      </c>
      <c r="R65">
        <f>0+0</f>
        <v>0</v>
      </c>
      <c r="S65">
        <f>0+1+1</f>
        <v>2</v>
      </c>
      <c r="T65">
        <f>1+1</f>
        <v>2</v>
      </c>
      <c r="U65" s="7">
        <f>1+1</f>
        <v>2</v>
      </c>
      <c r="V65">
        <f>0</f>
        <v>0</v>
      </c>
      <c r="W65" s="8">
        <f t="shared" si="13"/>
        <v>9</v>
      </c>
      <c r="X65" s="10" t="s">
        <v>65</v>
      </c>
    </row>
    <row r="66" spans="3:24" x14ac:dyDescent="0.25">
      <c r="C66" s="10" t="s">
        <v>67</v>
      </c>
      <c r="D66" s="10">
        <f>32+37+1</f>
        <v>70</v>
      </c>
      <c r="E66" s="12" t="s">
        <v>49</v>
      </c>
      <c r="F66" s="12" t="s">
        <v>31</v>
      </c>
      <c r="G66" s="10">
        <f>0+2+0</f>
        <v>2</v>
      </c>
      <c r="H66" s="10">
        <f>0+0+0</f>
        <v>0</v>
      </c>
      <c r="I66" s="10">
        <f>18+19+0</f>
        <v>37</v>
      </c>
      <c r="J66" s="10">
        <f>(7.1+6.9+6.3)/3</f>
        <v>6.7666666666666666</v>
      </c>
      <c r="K66" s="6">
        <f t="shared" si="10"/>
        <v>2</v>
      </c>
      <c r="L66" s="6">
        <f t="shared" si="11"/>
        <v>39</v>
      </c>
      <c r="M66" s="6">
        <f t="shared" si="12"/>
        <v>2.8571428571428571E-2</v>
      </c>
      <c r="N66" s="6">
        <f>(I66+H66+G66)/D66</f>
        <v>0.55714285714285716</v>
      </c>
      <c r="O66">
        <f>1+1+1</f>
        <v>3</v>
      </c>
      <c r="P66" s="7">
        <f>1+0+1</f>
        <v>2</v>
      </c>
      <c r="Q66">
        <f>1</f>
        <v>1</v>
      </c>
      <c r="R66">
        <f>1</f>
        <v>1</v>
      </c>
      <c r="S66">
        <f>1</f>
        <v>1</v>
      </c>
      <c r="T66">
        <f>1</f>
        <v>1</v>
      </c>
      <c r="U66" s="7">
        <f>1+1</f>
        <v>2</v>
      </c>
      <c r="V66">
        <f>0</f>
        <v>0</v>
      </c>
      <c r="W66" s="8">
        <f t="shared" si="13"/>
        <v>8</v>
      </c>
      <c r="X66" s="10" t="s">
        <v>67</v>
      </c>
    </row>
    <row r="67" spans="3:24" x14ac:dyDescent="0.25">
      <c r="C67" s="10" t="s">
        <v>69</v>
      </c>
      <c r="D67" s="10">
        <f>30+26</f>
        <v>56</v>
      </c>
      <c r="E67" s="12" t="s">
        <v>46</v>
      </c>
      <c r="F67" s="12" t="s">
        <v>25</v>
      </c>
      <c r="G67" s="10">
        <f>0+1</f>
        <v>1</v>
      </c>
      <c r="H67" s="10">
        <f>3+5</f>
        <v>8</v>
      </c>
      <c r="I67" s="10">
        <f>11+11</f>
        <v>22</v>
      </c>
      <c r="J67" s="10">
        <f>(7+7)/2</f>
        <v>7</v>
      </c>
      <c r="K67" s="6">
        <f t="shared" si="10"/>
        <v>9</v>
      </c>
      <c r="L67" s="6">
        <f t="shared" si="11"/>
        <v>31</v>
      </c>
      <c r="M67" s="6">
        <f t="shared" si="12"/>
        <v>0.16071428571428573</v>
      </c>
      <c r="N67" s="6">
        <f>(G67+H67+I67)/D67</f>
        <v>0.5535714285714286</v>
      </c>
      <c r="O67">
        <f>1+1</f>
        <v>2</v>
      </c>
      <c r="P67" s="7">
        <f>1+1</f>
        <v>2</v>
      </c>
      <c r="Q67">
        <f>0+1</f>
        <v>1</v>
      </c>
      <c r="R67">
        <f>0+0</f>
        <v>0</v>
      </c>
      <c r="S67">
        <f>0+1</f>
        <v>1</v>
      </c>
      <c r="T67">
        <f>1+1</f>
        <v>2</v>
      </c>
      <c r="U67" s="7">
        <f>1+1</f>
        <v>2</v>
      </c>
      <c r="V67">
        <f>0</f>
        <v>0</v>
      </c>
      <c r="W67" s="8">
        <f t="shared" si="13"/>
        <v>8</v>
      </c>
      <c r="X67" s="10" t="s">
        <v>69</v>
      </c>
    </row>
    <row r="68" spans="3:24" x14ac:dyDescent="0.25">
      <c r="C68" s="11" t="s">
        <v>1524</v>
      </c>
      <c r="D68" s="10">
        <f>38</f>
        <v>38</v>
      </c>
      <c r="E68" s="12" t="s">
        <v>46</v>
      </c>
      <c r="F68" s="12" t="s">
        <v>37</v>
      </c>
      <c r="G68" s="10">
        <f>0</f>
        <v>0</v>
      </c>
      <c r="H68" s="10">
        <f>15</f>
        <v>15</v>
      </c>
      <c r="I68" s="10">
        <f>16</f>
        <v>16</v>
      </c>
      <c r="J68" s="10">
        <f>(7.4)/1</f>
        <v>7.4</v>
      </c>
      <c r="K68" s="6">
        <f t="shared" si="10"/>
        <v>15</v>
      </c>
      <c r="L68" s="6">
        <f t="shared" si="11"/>
        <v>31</v>
      </c>
      <c r="M68" s="6">
        <f t="shared" si="12"/>
        <v>0.39473684210526316</v>
      </c>
      <c r="N68" s="6">
        <f t="shared" ref="N68:N77" si="14">(I68+H68+G68)/D68</f>
        <v>0.81578947368421051</v>
      </c>
      <c r="O68">
        <f>1</f>
        <v>1</v>
      </c>
      <c r="P68" s="7">
        <f>1</f>
        <v>1</v>
      </c>
      <c r="Q68">
        <f>0</f>
        <v>0</v>
      </c>
      <c r="R68">
        <f>1</f>
        <v>1</v>
      </c>
      <c r="S68">
        <f>0</f>
        <v>0</v>
      </c>
      <c r="T68">
        <f>1</f>
        <v>1</v>
      </c>
      <c r="U68" s="7">
        <f>1</f>
        <v>1</v>
      </c>
      <c r="V68">
        <f>0</f>
        <v>0</v>
      </c>
      <c r="W68" s="8">
        <f t="shared" si="13"/>
        <v>4</v>
      </c>
      <c r="X68" s="11" t="s">
        <v>1524</v>
      </c>
    </row>
    <row r="69" spans="3:24" x14ac:dyDescent="0.25">
      <c r="C69" s="10" t="s">
        <v>70</v>
      </c>
      <c r="D69" s="10">
        <f>18+17+10</f>
        <v>45</v>
      </c>
      <c r="E69" s="12" t="s">
        <v>49</v>
      </c>
      <c r="F69" s="12" t="s">
        <v>50</v>
      </c>
      <c r="G69" s="10">
        <f>0+0+2</f>
        <v>2</v>
      </c>
      <c r="H69" s="10">
        <f>0+0+0</f>
        <v>0</v>
      </c>
      <c r="I69" s="10">
        <f>12+8+5</f>
        <v>25</v>
      </c>
      <c r="J69" s="10">
        <f>(6.8+6.8+7)/3</f>
        <v>6.8666666666666671</v>
      </c>
      <c r="K69" s="6">
        <f t="shared" si="10"/>
        <v>2</v>
      </c>
      <c r="L69" s="6">
        <f t="shared" si="11"/>
        <v>27</v>
      </c>
      <c r="M69" s="6">
        <f t="shared" si="12"/>
        <v>4.4444444444444446E-2</v>
      </c>
      <c r="N69" s="6">
        <f t="shared" si="14"/>
        <v>0.6</v>
      </c>
      <c r="O69">
        <f>1+1+0.5</f>
        <v>2.5</v>
      </c>
      <c r="P69" s="7">
        <f>1+1</f>
        <v>2</v>
      </c>
      <c r="Q69">
        <f>1</f>
        <v>1</v>
      </c>
      <c r="R69">
        <f>0</f>
        <v>0</v>
      </c>
      <c r="S69">
        <f>0+1</f>
        <v>1</v>
      </c>
      <c r="T69">
        <f>1+1</f>
        <v>2</v>
      </c>
      <c r="U69" s="7">
        <f>1+1</f>
        <v>2</v>
      </c>
      <c r="V69">
        <f>0</f>
        <v>0</v>
      </c>
      <c r="W69" s="8">
        <f t="shared" si="13"/>
        <v>8</v>
      </c>
      <c r="X69" s="10" t="s">
        <v>70</v>
      </c>
    </row>
    <row r="70" spans="3:24" x14ac:dyDescent="0.25">
      <c r="C70" s="10" t="s">
        <v>71</v>
      </c>
      <c r="D70" s="10">
        <f>14+29</f>
        <v>43</v>
      </c>
      <c r="E70" s="12" t="s">
        <v>43</v>
      </c>
      <c r="F70" s="12" t="s">
        <v>31</v>
      </c>
      <c r="G70" s="10">
        <f>0+0</f>
        <v>0</v>
      </c>
      <c r="H70" s="10">
        <f>2+1</f>
        <v>3</v>
      </c>
      <c r="I70" s="10">
        <f>7+14</f>
        <v>21</v>
      </c>
      <c r="J70" s="10">
        <f>(7.1+6.9)/2</f>
        <v>7</v>
      </c>
      <c r="K70" s="6">
        <f t="shared" si="10"/>
        <v>3</v>
      </c>
      <c r="L70" s="6">
        <f t="shared" si="11"/>
        <v>24</v>
      </c>
      <c r="M70" s="6">
        <f t="shared" si="12"/>
        <v>6.9767441860465115E-2</v>
      </c>
      <c r="N70" s="6">
        <f t="shared" si="14"/>
        <v>0.55813953488372092</v>
      </c>
      <c r="O70">
        <f>1+1</f>
        <v>2</v>
      </c>
      <c r="P70" s="7">
        <f>1</f>
        <v>1</v>
      </c>
      <c r="Q70">
        <f>1</f>
        <v>1</v>
      </c>
      <c r="R70">
        <f>1</f>
        <v>1</v>
      </c>
      <c r="S70">
        <f>1</f>
        <v>1</v>
      </c>
      <c r="T70">
        <f>1</f>
        <v>1</v>
      </c>
      <c r="U70" s="7">
        <f>1</f>
        <v>1</v>
      </c>
      <c r="V70">
        <f>0</f>
        <v>0</v>
      </c>
      <c r="W70" s="8">
        <f t="shared" si="13"/>
        <v>6</v>
      </c>
      <c r="X70" s="10" t="s">
        <v>71</v>
      </c>
    </row>
    <row r="71" spans="3:24" x14ac:dyDescent="0.25">
      <c r="C71" s="10" t="s">
        <v>767</v>
      </c>
      <c r="D71" s="10">
        <f>2+6+12+16+7</f>
        <v>43</v>
      </c>
      <c r="E71" s="12" t="s">
        <v>46</v>
      </c>
      <c r="F71" s="12" t="s">
        <v>171</v>
      </c>
      <c r="G71" s="10">
        <f>0+0+1+0+1</f>
        <v>2</v>
      </c>
      <c r="H71" s="10">
        <f>0+0+0+0+0</f>
        <v>0</v>
      </c>
      <c r="I71" s="10">
        <f>2+2+7+7+3</f>
        <v>21</v>
      </c>
      <c r="J71" s="10">
        <f>(7.4+6.6+7.2+7+7)/5</f>
        <v>7.0400000000000009</v>
      </c>
      <c r="K71" s="6">
        <f t="shared" si="10"/>
        <v>2</v>
      </c>
      <c r="L71" s="6">
        <f t="shared" si="11"/>
        <v>23</v>
      </c>
      <c r="M71" s="6">
        <f t="shared" si="12"/>
        <v>4.6511627906976744E-2</v>
      </c>
      <c r="N71" s="6">
        <f t="shared" si="14"/>
        <v>0.53488372093023251</v>
      </c>
      <c r="O71">
        <f>1+1+1+1+0.5</f>
        <v>4.5</v>
      </c>
      <c r="P71" s="7">
        <f>1+1+1+1</f>
        <v>4</v>
      </c>
      <c r="Q71">
        <f>1+0+1+1</f>
        <v>3</v>
      </c>
      <c r="R71">
        <f>0+0+1+1</f>
        <v>2</v>
      </c>
      <c r="S71">
        <f>1+1+1+0+1</f>
        <v>4</v>
      </c>
      <c r="T71">
        <f>1+1+1+0+1</f>
        <v>4</v>
      </c>
      <c r="U71" s="7">
        <f>1+1+0+1</f>
        <v>3</v>
      </c>
      <c r="V71">
        <f>0</f>
        <v>0</v>
      </c>
      <c r="W71" s="8">
        <f t="shared" si="13"/>
        <v>20</v>
      </c>
      <c r="X71" s="10" t="s">
        <v>767</v>
      </c>
    </row>
    <row r="72" spans="3:24" x14ac:dyDescent="0.25">
      <c r="C72" s="101" t="s">
        <v>301</v>
      </c>
      <c r="D72" s="10">
        <f>3+1+29+5</f>
        <v>38</v>
      </c>
      <c r="E72" s="12" t="s">
        <v>49</v>
      </c>
      <c r="F72" s="12" t="s">
        <v>303</v>
      </c>
      <c r="G72" s="10">
        <f>1+0+1</f>
        <v>2</v>
      </c>
      <c r="H72" s="10">
        <f>1+1+0</f>
        <v>2</v>
      </c>
      <c r="I72" s="10">
        <f>0+16+2</f>
        <v>18</v>
      </c>
      <c r="J72" s="10">
        <f>(6.7+7.1+7.3)/3</f>
        <v>7.0333333333333341</v>
      </c>
      <c r="K72" s="6">
        <f t="shared" si="10"/>
        <v>4</v>
      </c>
      <c r="L72" s="6">
        <f t="shared" si="11"/>
        <v>22</v>
      </c>
      <c r="M72" s="6">
        <f t="shared" si="12"/>
        <v>0.10526315789473684</v>
      </c>
      <c r="N72" s="6">
        <f t="shared" si="14"/>
        <v>0.57894736842105265</v>
      </c>
      <c r="O72">
        <f>1+1+0.25</f>
        <v>2.25</v>
      </c>
      <c r="P72" s="7">
        <f>1+1</f>
        <v>2</v>
      </c>
      <c r="Q72">
        <f>1+0</f>
        <v>1</v>
      </c>
      <c r="R72">
        <f>0+1</f>
        <v>1</v>
      </c>
      <c r="S72">
        <f>0+1+1+1</f>
        <v>3</v>
      </c>
      <c r="T72">
        <f>0+1+1+1</f>
        <v>3</v>
      </c>
      <c r="U72" s="7">
        <f>1+1</f>
        <v>2</v>
      </c>
      <c r="V72">
        <f>0</f>
        <v>0</v>
      </c>
      <c r="W72" s="8">
        <f t="shared" si="13"/>
        <v>12</v>
      </c>
      <c r="X72" s="101" t="s">
        <v>301</v>
      </c>
    </row>
    <row r="73" spans="3:24" x14ac:dyDescent="0.25">
      <c r="C73" s="11" t="s">
        <v>1503</v>
      </c>
      <c r="D73" s="10">
        <f>21+19</f>
        <v>40</v>
      </c>
      <c r="E73" s="12" t="s">
        <v>43</v>
      </c>
      <c r="F73" s="12" t="s">
        <v>965</v>
      </c>
      <c r="G73" s="10">
        <f>1+0</f>
        <v>1</v>
      </c>
      <c r="H73" s="10">
        <f>4+1</f>
        <v>5</v>
      </c>
      <c r="I73" s="10">
        <f>10+6</f>
        <v>16</v>
      </c>
      <c r="J73" s="10">
        <f>(7.3+6.7)/2</f>
        <v>7</v>
      </c>
      <c r="K73" s="6">
        <f t="shared" si="10"/>
        <v>6</v>
      </c>
      <c r="L73" s="6">
        <f t="shared" si="11"/>
        <v>22</v>
      </c>
      <c r="M73" s="6">
        <f t="shared" si="12"/>
        <v>0.15</v>
      </c>
      <c r="N73" s="6">
        <f t="shared" si="14"/>
        <v>0.55000000000000004</v>
      </c>
      <c r="O73">
        <f>0.75+1</f>
        <v>1.75</v>
      </c>
      <c r="P73" s="7">
        <f>1+1</f>
        <v>2</v>
      </c>
      <c r="Q73">
        <f>1+0</f>
        <v>1</v>
      </c>
      <c r="R73">
        <f>1+1</f>
        <v>2</v>
      </c>
      <c r="S73">
        <f>0+0</f>
        <v>0</v>
      </c>
      <c r="T73">
        <f>0+1</f>
        <v>1</v>
      </c>
      <c r="U73" s="7">
        <f>1+1</f>
        <v>2</v>
      </c>
      <c r="V73">
        <f>0</f>
        <v>0</v>
      </c>
      <c r="W73" s="8">
        <f t="shared" si="13"/>
        <v>8</v>
      </c>
      <c r="X73" s="11" t="s">
        <v>1503</v>
      </c>
    </row>
    <row r="74" spans="3:24" x14ac:dyDescent="0.25">
      <c r="C74" s="10" t="s">
        <v>72</v>
      </c>
      <c r="D74" s="10">
        <f>38</f>
        <v>38</v>
      </c>
      <c r="E74" s="12" t="s">
        <v>49</v>
      </c>
      <c r="F74" s="12" t="s">
        <v>31</v>
      </c>
      <c r="G74" s="10">
        <v>2</v>
      </c>
      <c r="H74" s="10">
        <v>0</v>
      </c>
      <c r="I74" s="10">
        <v>18</v>
      </c>
      <c r="J74" s="10">
        <f>(7.1)/1</f>
        <v>7.1</v>
      </c>
      <c r="K74" s="6">
        <f t="shared" si="10"/>
        <v>2</v>
      </c>
      <c r="L74" s="6">
        <f t="shared" si="11"/>
        <v>20</v>
      </c>
      <c r="M74" s="6">
        <f t="shared" si="12"/>
        <v>5.2631578947368418E-2</v>
      </c>
      <c r="N74" s="6">
        <f t="shared" si="14"/>
        <v>0.52631578947368418</v>
      </c>
      <c r="O74">
        <f>1</f>
        <v>1</v>
      </c>
      <c r="P74" s="7">
        <f>1</f>
        <v>1</v>
      </c>
      <c r="Q74">
        <f>0</f>
        <v>0</v>
      </c>
      <c r="R74">
        <f>1</f>
        <v>1</v>
      </c>
      <c r="S74">
        <f>1</f>
        <v>1</v>
      </c>
      <c r="T74">
        <f>0</f>
        <v>0</v>
      </c>
      <c r="U74" s="7">
        <f>0</f>
        <v>0</v>
      </c>
      <c r="V74">
        <f>0</f>
        <v>0</v>
      </c>
      <c r="W74" s="8">
        <f t="shared" si="13"/>
        <v>3</v>
      </c>
      <c r="X74" s="10" t="s">
        <v>72</v>
      </c>
    </row>
    <row r="75" spans="3:24" x14ac:dyDescent="0.25">
      <c r="C75" s="10" t="s">
        <v>73</v>
      </c>
      <c r="D75" s="10">
        <f>5+23+3</f>
        <v>31</v>
      </c>
      <c r="E75" s="12" t="s">
        <v>49</v>
      </c>
      <c r="F75" s="12" t="s">
        <v>31</v>
      </c>
      <c r="G75" s="10">
        <f>0+0</f>
        <v>0</v>
      </c>
      <c r="H75" s="10">
        <f>0+1+0</f>
        <v>1</v>
      </c>
      <c r="I75" s="10">
        <f>5+13+1</f>
        <v>19</v>
      </c>
      <c r="J75" s="10">
        <f>(7.1+6.7+7.3)/3</f>
        <v>7.0333333333333341</v>
      </c>
      <c r="K75" s="6">
        <f t="shared" si="10"/>
        <v>1</v>
      </c>
      <c r="L75" s="6">
        <f t="shared" si="11"/>
        <v>20</v>
      </c>
      <c r="M75" s="6">
        <f t="shared" si="12"/>
        <v>3.2258064516129031E-2</v>
      </c>
      <c r="N75" s="6">
        <f t="shared" si="14"/>
        <v>0.64516129032258063</v>
      </c>
      <c r="O75">
        <f>1+1+1</f>
        <v>3</v>
      </c>
      <c r="P75" s="7">
        <f>1+0+1</f>
        <v>2</v>
      </c>
      <c r="Q75">
        <f>1</f>
        <v>1</v>
      </c>
      <c r="R75">
        <f>1</f>
        <v>1</v>
      </c>
      <c r="S75">
        <f>1+1</f>
        <v>2</v>
      </c>
      <c r="T75">
        <f>1</f>
        <v>1</v>
      </c>
      <c r="U75" s="7">
        <f>1+1</f>
        <v>2</v>
      </c>
      <c r="V75">
        <f>0</f>
        <v>0</v>
      </c>
      <c r="W75" s="8">
        <f t="shared" si="13"/>
        <v>9</v>
      </c>
      <c r="X75" s="10" t="s">
        <v>73</v>
      </c>
    </row>
    <row r="76" spans="3:24" x14ac:dyDescent="0.25">
      <c r="C76" s="101" t="s">
        <v>1299</v>
      </c>
      <c r="D76" s="10">
        <f>13+17+14</f>
        <v>44</v>
      </c>
      <c r="E76" s="12" t="s">
        <v>49</v>
      </c>
      <c r="F76" s="12" t="s">
        <v>37</v>
      </c>
      <c r="G76" s="10">
        <f>0+3+0</f>
        <v>3</v>
      </c>
      <c r="H76" s="10">
        <f>0+0+0</f>
        <v>0</v>
      </c>
      <c r="I76" s="10">
        <f>8+3+5</f>
        <v>16</v>
      </c>
      <c r="J76" s="10">
        <f>(7+7+6.9)/3</f>
        <v>6.9666666666666659</v>
      </c>
      <c r="K76" s="6">
        <f t="shared" si="10"/>
        <v>3</v>
      </c>
      <c r="L76" s="6">
        <f t="shared" si="11"/>
        <v>19</v>
      </c>
      <c r="M76" s="6">
        <f t="shared" si="12"/>
        <v>6.8181818181818177E-2</v>
      </c>
      <c r="N76" s="6">
        <f t="shared" si="14"/>
        <v>0.43181818181818182</v>
      </c>
      <c r="O76">
        <f>1+1+1</f>
        <v>3</v>
      </c>
      <c r="P76" s="7">
        <f>1+1+1</f>
        <v>3</v>
      </c>
      <c r="Q76">
        <f>1+1+1</f>
        <v>3</v>
      </c>
      <c r="R76">
        <f>1+1+0</f>
        <v>2</v>
      </c>
      <c r="S76">
        <f>0+1+1</f>
        <v>2</v>
      </c>
      <c r="T76">
        <f>1+1+1</f>
        <v>3</v>
      </c>
      <c r="U76" s="7">
        <f>1+1+1</f>
        <v>3</v>
      </c>
      <c r="V76">
        <f>0</f>
        <v>0</v>
      </c>
      <c r="W76" s="8">
        <f t="shared" si="13"/>
        <v>16</v>
      </c>
      <c r="X76" s="101" t="s">
        <v>1299</v>
      </c>
    </row>
    <row r="77" spans="3:24" x14ac:dyDescent="0.25">
      <c r="C77" s="11" t="s">
        <v>1502</v>
      </c>
      <c r="D77" s="10">
        <f>24+25</f>
        <v>49</v>
      </c>
      <c r="E77" s="12" t="s">
        <v>49</v>
      </c>
      <c r="F77" s="12" t="s">
        <v>61</v>
      </c>
      <c r="G77" s="10">
        <f>2+0</f>
        <v>2</v>
      </c>
      <c r="H77" s="10">
        <f>0+0</f>
        <v>0</v>
      </c>
      <c r="I77" s="10">
        <f>9+7</f>
        <v>16</v>
      </c>
      <c r="J77" s="10">
        <f>(7.2+7)/2</f>
        <v>7.1</v>
      </c>
      <c r="K77" s="6">
        <f t="shared" si="10"/>
        <v>2</v>
      </c>
      <c r="L77" s="6">
        <f t="shared" si="11"/>
        <v>18</v>
      </c>
      <c r="M77" s="6">
        <f t="shared" si="12"/>
        <v>4.0816326530612242E-2</v>
      </c>
      <c r="N77" s="6">
        <f t="shared" si="14"/>
        <v>0.36734693877551022</v>
      </c>
      <c r="O77">
        <f>0.875+1</f>
        <v>1.875</v>
      </c>
      <c r="P77" s="7">
        <f>1+1</f>
        <v>2</v>
      </c>
      <c r="Q77">
        <f>1+0</f>
        <v>1</v>
      </c>
      <c r="R77">
        <f>1+1</f>
        <v>2</v>
      </c>
      <c r="S77">
        <f>0+0</f>
        <v>0</v>
      </c>
      <c r="T77">
        <f>1+1</f>
        <v>2</v>
      </c>
      <c r="U77" s="7">
        <f>1+1</f>
        <v>2</v>
      </c>
      <c r="V77">
        <f>0</f>
        <v>0</v>
      </c>
      <c r="W77" s="8">
        <f t="shared" si="13"/>
        <v>9</v>
      </c>
      <c r="X77" s="11" t="s">
        <v>1502</v>
      </c>
    </row>
    <row r="78" spans="3:24" x14ac:dyDescent="0.25">
      <c r="C78" s="10" t="s">
        <v>74</v>
      </c>
      <c r="D78" s="10">
        <f>16+11+10</f>
        <v>37</v>
      </c>
      <c r="E78" s="12" t="s">
        <v>43</v>
      </c>
      <c r="F78" s="12" t="s">
        <v>75</v>
      </c>
      <c r="G78" s="10">
        <f>1+0+1</f>
        <v>2</v>
      </c>
      <c r="H78" s="10">
        <f>2+1+1</f>
        <v>4</v>
      </c>
      <c r="I78" s="10">
        <f>5+2+3</f>
        <v>10</v>
      </c>
      <c r="J78" s="10">
        <f>(6.7+7)/2</f>
        <v>6.85</v>
      </c>
      <c r="K78" s="6">
        <f t="shared" si="10"/>
        <v>6</v>
      </c>
      <c r="L78" s="6">
        <f t="shared" si="11"/>
        <v>16</v>
      </c>
      <c r="M78" s="6">
        <f t="shared" si="12"/>
        <v>0.16216216216216217</v>
      </c>
      <c r="N78" s="6">
        <f>(G78+H78+I78)/D78</f>
        <v>0.43243243243243246</v>
      </c>
      <c r="O78">
        <f>1+1+1+0.5</f>
        <v>3.5</v>
      </c>
      <c r="P78" s="7">
        <f>1+1+1</f>
        <v>3</v>
      </c>
      <c r="Q78">
        <f>0+1+1</f>
        <v>2</v>
      </c>
      <c r="R78">
        <f>0+0+0</f>
        <v>0</v>
      </c>
      <c r="S78">
        <f>0+1+1+0+1</f>
        <v>3</v>
      </c>
      <c r="T78">
        <f>0+1+1+1</f>
        <v>3</v>
      </c>
      <c r="U78" s="7">
        <f>1+1+1</f>
        <v>3</v>
      </c>
      <c r="V78">
        <f>0</f>
        <v>0</v>
      </c>
      <c r="W78" s="8">
        <f t="shared" si="13"/>
        <v>14</v>
      </c>
      <c r="X78" s="10" t="s">
        <v>74</v>
      </c>
    </row>
    <row r="79" spans="3:24" x14ac:dyDescent="0.25">
      <c r="C79" s="10" t="s">
        <v>745</v>
      </c>
      <c r="D79" s="10">
        <f>18+15+13</f>
        <v>46</v>
      </c>
      <c r="E79" s="12" t="s">
        <v>46</v>
      </c>
      <c r="F79" s="12" t="s">
        <v>88</v>
      </c>
      <c r="G79" s="10">
        <f>0+2+1</f>
        <v>3</v>
      </c>
      <c r="H79" s="10">
        <f>2+0+1</f>
        <v>3</v>
      </c>
      <c r="I79" s="10">
        <f>1+5+3</f>
        <v>9</v>
      </c>
      <c r="J79" s="10">
        <f>(6.8+7.2+7.2)/3</f>
        <v>7.0666666666666664</v>
      </c>
      <c r="K79" s="6">
        <f t="shared" si="10"/>
        <v>6</v>
      </c>
      <c r="L79" s="6">
        <f t="shared" si="11"/>
        <v>15</v>
      </c>
      <c r="M79" s="6">
        <f t="shared" si="12"/>
        <v>0.13043478260869565</v>
      </c>
      <c r="N79" s="6">
        <f>(I79+H79+G79)/D79</f>
        <v>0.32608695652173914</v>
      </c>
      <c r="O79">
        <f>1+1+1</f>
        <v>3</v>
      </c>
      <c r="P79" s="7">
        <f>1+1+1</f>
        <v>3</v>
      </c>
      <c r="Q79">
        <f>0+1+0</f>
        <v>1</v>
      </c>
      <c r="R79">
        <f>0+0+0</f>
        <v>0</v>
      </c>
      <c r="S79">
        <f>1+1+1</f>
        <v>3</v>
      </c>
      <c r="T79">
        <f>1+1+1</f>
        <v>3</v>
      </c>
      <c r="U79" s="7">
        <f>1+1+1</f>
        <v>3</v>
      </c>
      <c r="V79">
        <f>0</f>
        <v>0</v>
      </c>
      <c r="W79" s="8">
        <f t="shared" si="13"/>
        <v>13</v>
      </c>
      <c r="X79" s="10" t="s">
        <v>745</v>
      </c>
    </row>
    <row r="80" spans="3:24" x14ac:dyDescent="0.25">
      <c r="C80" s="10" t="s">
        <v>76</v>
      </c>
      <c r="D80" s="10">
        <f>11+20</f>
        <v>31</v>
      </c>
      <c r="E80" s="12" t="s">
        <v>49</v>
      </c>
      <c r="F80" s="12" t="s">
        <v>37</v>
      </c>
      <c r="G80" s="10">
        <f>0+0</f>
        <v>0</v>
      </c>
      <c r="H80" s="10">
        <f>0+0</f>
        <v>0</v>
      </c>
      <c r="I80" s="10">
        <f>3+9</f>
        <v>12</v>
      </c>
      <c r="J80" s="10">
        <f>(6.3+6.7)/2</f>
        <v>6.5</v>
      </c>
      <c r="K80" s="6">
        <f t="shared" si="10"/>
        <v>0</v>
      </c>
      <c r="L80" s="6">
        <f t="shared" si="11"/>
        <v>12</v>
      </c>
      <c r="M80" s="6">
        <f t="shared" si="12"/>
        <v>0</v>
      </c>
      <c r="N80" s="6">
        <f>(I80+H80+G80)/D80</f>
        <v>0.38709677419354838</v>
      </c>
      <c r="O80">
        <f>1+1</f>
        <v>2</v>
      </c>
      <c r="P80" s="7">
        <f>1+0</f>
        <v>1</v>
      </c>
      <c r="Q80">
        <f>1</f>
        <v>1</v>
      </c>
      <c r="R80">
        <f>1</f>
        <v>1</v>
      </c>
      <c r="S80">
        <f>1</f>
        <v>1</v>
      </c>
      <c r="T80">
        <f>0</f>
        <v>0</v>
      </c>
      <c r="U80" s="7">
        <f>1</f>
        <v>1</v>
      </c>
      <c r="V80">
        <f>0</f>
        <v>0</v>
      </c>
      <c r="W80" s="8">
        <f t="shared" si="13"/>
        <v>5</v>
      </c>
      <c r="X80" s="10" t="s">
        <v>76</v>
      </c>
    </row>
    <row r="81" spans="3:24" x14ac:dyDescent="0.25">
      <c r="C81" s="10" t="s">
        <v>801</v>
      </c>
      <c r="D81" s="10">
        <f>8+27</f>
        <v>35</v>
      </c>
      <c r="E81" s="12" t="s">
        <v>49</v>
      </c>
      <c r="F81" s="12" t="s">
        <v>66</v>
      </c>
      <c r="G81" s="10">
        <f>0+0</f>
        <v>0</v>
      </c>
      <c r="H81" s="10">
        <f>0+1</f>
        <v>1</v>
      </c>
      <c r="I81" s="10">
        <f>2+8</f>
        <v>10</v>
      </c>
      <c r="J81" s="10">
        <f>(6.5+6.6)/2</f>
        <v>6.55</v>
      </c>
      <c r="K81" s="6">
        <f t="shared" si="10"/>
        <v>1</v>
      </c>
      <c r="L81" s="6">
        <f t="shared" si="11"/>
        <v>11</v>
      </c>
      <c r="M81" s="6">
        <f t="shared" si="12"/>
        <v>2.8571428571428571E-2</v>
      </c>
      <c r="N81" s="6">
        <f>(I81+H81+G81)/D81</f>
        <v>0.31428571428571428</v>
      </c>
      <c r="O81">
        <f>0.5+1</f>
        <v>1.5</v>
      </c>
      <c r="P81" s="7">
        <f>1+1</f>
        <v>2</v>
      </c>
      <c r="Q81">
        <f>0+1</f>
        <v>1</v>
      </c>
      <c r="R81">
        <f>0+1</f>
        <v>1</v>
      </c>
      <c r="S81">
        <f>0+1</f>
        <v>1</v>
      </c>
      <c r="T81">
        <f>0+1</f>
        <v>1</v>
      </c>
      <c r="U81" s="7">
        <f>1+0</f>
        <v>1</v>
      </c>
      <c r="V81">
        <f>0</f>
        <v>0</v>
      </c>
      <c r="W81" s="8">
        <f t="shared" si="13"/>
        <v>7</v>
      </c>
      <c r="X81" s="10" t="s">
        <v>801</v>
      </c>
    </row>
    <row r="82" spans="3:24" x14ac:dyDescent="0.25">
      <c r="C82" s="101" t="s">
        <v>1215</v>
      </c>
      <c r="D82" s="10">
        <f>9+12</f>
        <v>21</v>
      </c>
      <c r="E82" s="12" t="s">
        <v>49</v>
      </c>
      <c r="F82" s="12" t="s">
        <v>27</v>
      </c>
      <c r="G82" s="10">
        <f>1+0</f>
        <v>1</v>
      </c>
      <c r="H82" s="10">
        <f>0+0</f>
        <v>0</v>
      </c>
      <c r="I82" s="10">
        <f>5+4</f>
        <v>9</v>
      </c>
      <c r="J82" s="10">
        <f>(7.1+6.5)/2</f>
        <v>6.8</v>
      </c>
      <c r="K82" s="6">
        <f t="shared" si="10"/>
        <v>1</v>
      </c>
      <c r="L82" s="6">
        <f t="shared" si="11"/>
        <v>10</v>
      </c>
      <c r="M82" s="6">
        <f t="shared" si="12"/>
        <v>4.7619047619047616E-2</v>
      </c>
      <c r="N82" s="6">
        <f>(I82+H82+G82)/D82</f>
        <v>0.47619047619047616</v>
      </c>
      <c r="O82">
        <f>0.5+1</f>
        <v>1.5</v>
      </c>
      <c r="P82" s="7">
        <f>1+1</f>
        <v>2</v>
      </c>
      <c r="Q82">
        <f>1+1</f>
        <v>2</v>
      </c>
      <c r="R82">
        <f>1+0</f>
        <v>1</v>
      </c>
      <c r="S82">
        <f>0+0</f>
        <v>0</v>
      </c>
      <c r="T82">
        <f>0+0</f>
        <v>0</v>
      </c>
      <c r="U82" s="7">
        <f>1+1</f>
        <v>2</v>
      </c>
      <c r="V82">
        <f>0</f>
        <v>0</v>
      </c>
      <c r="W82" s="8">
        <f t="shared" si="13"/>
        <v>7</v>
      </c>
      <c r="X82" s="101" t="s">
        <v>1215</v>
      </c>
    </row>
    <row r="83" spans="3:24" x14ac:dyDescent="0.25">
      <c r="C83" s="10" t="s">
        <v>78</v>
      </c>
      <c r="D83" s="10">
        <f>11</f>
        <v>11</v>
      </c>
      <c r="E83" s="12" t="s">
        <v>43</v>
      </c>
      <c r="F83" s="12" t="s">
        <v>79</v>
      </c>
      <c r="G83" s="10">
        <f>1</f>
        <v>1</v>
      </c>
      <c r="H83" s="10">
        <f>3</f>
        <v>3</v>
      </c>
      <c r="I83" s="10">
        <f>4</f>
        <v>4</v>
      </c>
      <c r="J83" s="10">
        <f>(7.2)/1</f>
        <v>7.2</v>
      </c>
      <c r="K83" s="6">
        <f t="shared" si="10"/>
        <v>4</v>
      </c>
      <c r="L83" s="6">
        <f t="shared" si="11"/>
        <v>8</v>
      </c>
      <c r="M83" s="6">
        <f t="shared" si="12"/>
        <v>0.36363636363636365</v>
      </c>
      <c r="N83" s="6">
        <f>(G83+H83+I83)/D83</f>
        <v>0.72727272727272729</v>
      </c>
      <c r="O83">
        <f>1</f>
        <v>1</v>
      </c>
      <c r="P83" s="7">
        <f>1</f>
        <v>1</v>
      </c>
      <c r="Q83">
        <f>0</f>
        <v>0</v>
      </c>
      <c r="R83">
        <f>0</f>
        <v>0</v>
      </c>
      <c r="S83">
        <f>0+1</f>
        <v>1</v>
      </c>
      <c r="T83">
        <f>0+1</f>
        <v>1</v>
      </c>
      <c r="U83" s="7">
        <f>1</f>
        <v>1</v>
      </c>
      <c r="V83">
        <f>0</f>
        <v>0</v>
      </c>
      <c r="W83" s="8">
        <f t="shared" si="13"/>
        <v>4</v>
      </c>
      <c r="X83" s="10" t="s">
        <v>78</v>
      </c>
    </row>
    <row r="84" spans="3:24" x14ac:dyDescent="0.25">
      <c r="C84" s="10" t="s">
        <v>81</v>
      </c>
      <c r="D84" s="10">
        <v>13</v>
      </c>
      <c r="E84" s="12" t="s">
        <v>49</v>
      </c>
      <c r="F84" s="12" t="s">
        <v>31</v>
      </c>
      <c r="G84" s="10">
        <v>2</v>
      </c>
      <c r="H84" s="10">
        <v>0</v>
      </c>
      <c r="I84" s="10">
        <v>5</v>
      </c>
      <c r="J84" s="10">
        <f>(6.8)/1</f>
        <v>6.8</v>
      </c>
      <c r="K84" s="6">
        <f t="shared" si="10"/>
        <v>2</v>
      </c>
      <c r="L84" s="6">
        <f t="shared" si="11"/>
        <v>7</v>
      </c>
      <c r="M84" s="6">
        <f t="shared" si="12"/>
        <v>0.15384615384615385</v>
      </c>
      <c r="N84" s="6">
        <f t="shared" ref="N84:N100" si="15">(I84+H84+G84)/D84</f>
        <v>0.53846153846153844</v>
      </c>
      <c r="O84">
        <f>1</f>
        <v>1</v>
      </c>
      <c r="P84" s="7">
        <f>1</f>
        <v>1</v>
      </c>
      <c r="Q84">
        <f>0</f>
        <v>0</v>
      </c>
      <c r="R84">
        <f>1</f>
        <v>1</v>
      </c>
      <c r="S84">
        <f>1</f>
        <v>1</v>
      </c>
      <c r="T84">
        <f>0</f>
        <v>0</v>
      </c>
      <c r="U84" s="7">
        <f>0</f>
        <v>0</v>
      </c>
      <c r="V84">
        <f>0</f>
        <v>0</v>
      </c>
      <c r="W84" s="8">
        <f t="shared" si="13"/>
        <v>3</v>
      </c>
      <c r="X84" s="10" t="s">
        <v>81</v>
      </c>
    </row>
    <row r="85" spans="3:24" x14ac:dyDescent="0.25">
      <c r="C85" s="10" t="s">
        <v>82</v>
      </c>
      <c r="D85" s="10">
        <f>14</f>
        <v>14</v>
      </c>
      <c r="E85" s="12" t="s">
        <v>49</v>
      </c>
      <c r="F85" s="12" t="s">
        <v>83</v>
      </c>
      <c r="G85" s="10">
        <f>0</f>
        <v>0</v>
      </c>
      <c r="H85" s="10">
        <f>1</f>
        <v>1</v>
      </c>
      <c r="I85" s="10">
        <f>5</f>
        <v>5</v>
      </c>
      <c r="J85" s="10">
        <f>(6.9)/1</f>
        <v>6.9</v>
      </c>
      <c r="K85" s="6">
        <f t="shared" si="10"/>
        <v>1</v>
      </c>
      <c r="L85" s="6">
        <f t="shared" si="11"/>
        <v>6</v>
      </c>
      <c r="M85" s="6">
        <f t="shared" si="12"/>
        <v>7.1428571428571425E-2</v>
      </c>
      <c r="N85" s="6">
        <f t="shared" si="15"/>
        <v>0.42857142857142855</v>
      </c>
      <c r="O85">
        <f>1</f>
        <v>1</v>
      </c>
      <c r="P85" s="7">
        <f>1</f>
        <v>1</v>
      </c>
      <c r="Q85">
        <f>1</f>
        <v>1</v>
      </c>
      <c r="R85">
        <f>0</f>
        <v>0</v>
      </c>
      <c r="S85">
        <f>1</f>
        <v>1</v>
      </c>
      <c r="T85">
        <f>0</f>
        <v>0</v>
      </c>
      <c r="U85" s="7">
        <f>1</f>
        <v>1</v>
      </c>
      <c r="V85">
        <f>0</f>
        <v>0</v>
      </c>
      <c r="W85" s="8">
        <f t="shared" si="13"/>
        <v>4</v>
      </c>
      <c r="X85" s="10" t="s">
        <v>82</v>
      </c>
    </row>
    <row r="86" spans="3:24" x14ac:dyDescent="0.25">
      <c r="C86" s="10" t="s">
        <v>84</v>
      </c>
      <c r="D86" s="10">
        <v>10</v>
      </c>
      <c r="E86" s="12" t="s">
        <v>43</v>
      </c>
      <c r="F86" s="12" t="s">
        <v>31</v>
      </c>
      <c r="G86" s="10">
        <v>0</v>
      </c>
      <c r="H86" s="10">
        <v>1</v>
      </c>
      <c r="I86" s="10">
        <v>4</v>
      </c>
      <c r="J86" s="10">
        <f>(7)/1</f>
        <v>7</v>
      </c>
      <c r="K86" s="6">
        <f t="shared" si="10"/>
        <v>1</v>
      </c>
      <c r="L86" s="6">
        <f t="shared" si="11"/>
        <v>5</v>
      </c>
      <c r="M86" s="6">
        <f t="shared" si="12"/>
        <v>0.1</v>
      </c>
      <c r="N86" s="6">
        <f t="shared" si="15"/>
        <v>0.5</v>
      </c>
      <c r="O86">
        <f>1</f>
        <v>1</v>
      </c>
      <c r="P86" s="7">
        <f>1</f>
        <v>1</v>
      </c>
      <c r="Q86">
        <f>0</f>
        <v>0</v>
      </c>
      <c r="R86">
        <f>1</f>
        <v>1</v>
      </c>
      <c r="S86">
        <f>0</f>
        <v>0</v>
      </c>
      <c r="T86">
        <f>0</f>
        <v>0</v>
      </c>
      <c r="U86" s="7">
        <f>0</f>
        <v>0</v>
      </c>
      <c r="V86">
        <f>0</f>
        <v>0</v>
      </c>
      <c r="W86" s="8">
        <f t="shared" si="13"/>
        <v>2</v>
      </c>
      <c r="X86" s="10" t="s">
        <v>84</v>
      </c>
    </row>
    <row r="87" spans="3:24" x14ac:dyDescent="0.25">
      <c r="C87" s="101" t="s">
        <v>1367</v>
      </c>
      <c r="D87" s="10">
        <f>1+11</f>
        <v>12</v>
      </c>
      <c r="E87" s="12" t="s">
        <v>46</v>
      </c>
      <c r="F87" s="12" t="s">
        <v>31</v>
      </c>
      <c r="G87" s="10">
        <f>0+0</f>
        <v>0</v>
      </c>
      <c r="H87" s="10">
        <f>0+0</f>
        <v>0</v>
      </c>
      <c r="I87" s="10">
        <f>0+5</f>
        <v>5</v>
      </c>
      <c r="J87" s="10">
        <f>(6.9)/1</f>
        <v>6.9</v>
      </c>
      <c r="K87" s="6">
        <f t="shared" si="10"/>
        <v>0</v>
      </c>
      <c r="L87" s="6">
        <f t="shared" si="11"/>
        <v>5</v>
      </c>
      <c r="M87" s="6">
        <f t="shared" si="12"/>
        <v>0</v>
      </c>
      <c r="N87" s="6">
        <f t="shared" si="15"/>
        <v>0.41666666666666669</v>
      </c>
      <c r="O87">
        <f>0.125+1</f>
        <v>1.125</v>
      </c>
      <c r="P87" s="7">
        <f>1+1</f>
        <v>2</v>
      </c>
      <c r="Q87">
        <f>0+1</f>
        <v>1</v>
      </c>
      <c r="R87">
        <f>0+1</f>
        <v>1</v>
      </c>
      <c r="S87">
        <f>0+1</f>
        <v>1</v>
      </c>
      <c r="T87">
        <f>0+1</f>
        <v>1</v>
      </c>
      <c r="U87" s="7">
        <f>1+1</f>
        <v>2</v>
      </c>
      <c r="V87">
        <f>0</f>
        <v>0</v>
      </c>
      <c r="W87" s="8">
        <f t="shared" si="13"/>
        <v>8</v>
      </c>
      <c r="X87" s="11" t="s">
        <v>1367</v>
      </c>
    </row>
    <row r="88" spans="3:24" x14ac:dyDescent="0.25">
      <c r="C88" s="10" t="s">
        <v>85</v>
      </c>
      <c r="D88" s="10">
        <v>9</v>
      </c>
      <c r="E88" s="12" t="s">
        <v>43</v>
      </c>
      <c r="F88" s="12" t="s">
        <v>31</v>
      </c>
      <c r="G88" s="10">
        <v>0</v>
      </c>
      <c r="H88" s="10">
        <v>0</v>
      </c>
      <c r="I88" s="10">
        <v>4</v>
      </c>
      <c r="J88" s="10">
        <f>(6.8)/1</f>
        <v>6.8</v>
      </c>
      <c r="K88" s="6">
        <f t="shared" si="10"/>
        <v>0</v>
      </c>
      <c r="L88" s="6">
        <f t="shared" si="11"/>
        <v>4</v>
      </c>
      <c r="M88" s="6">
        <f t="shared" si="12"/>
        <v>0</v>
      </c>
      <c r="N88" s="6">
        <f t="shared" si="15"/>
        <v>0.44444444444444442</v>
      </c>
      <c r="O88">
        <f>1</f>
        <v>1</v>
      </c>
      <c r="P88" s="7">
        <f>1</f>
        <v>1</v>
      </c>
      <c r="Q88">
        <f>0</f>
        <v>0</v>
      </c>
      <c r="R88">
        <f>1</f>
        <v>1</v>
      </c>
      <c r="S88">
        <f>0</f>
        <v>0</v>
      </c>
      <c r="T88">
        <f>0</f>
        <v>0</v>
      </c>
      <c r="U88" s="7">
        <f>0</f>
        <v>0</v>
      </c>
      <c r="V88">
        <f>0</f>
        <v>0</v>
      </c>
      <c r="W88" s="8">
        <f t="shared" si="13"/>
        <v>2</v>
      </c>
      <c r="X88" s="10" t="s">
        <v>85</v>
      </c>
    </row>
    <row r="89" spans="3:24" x14ac:dyDescent="0.25">
      <c r="C89" s="101" t="s">
        <v>1405</v>
      </c>
      <c r="D89" s="10">
        <f>2+6</f>
        <v>8</v>
      </c>
      <c r="E89" s="12" t="s">
        <v>46</v>
      </c>
      <c r="F89" s="12" t="s">
        <v>125</v>
      </c>
      <c r="G89" s="10">
        <f>0+0</f>
        <v>0</v>
      </c>
      <c r="H89" s="10">
        <f>0+0</f>
        <v>0</v>
      </c>
      <c r="I89" s="10">
        <f>1+3</f>
        <v>4</v>
      </c>
      <c r="J89" s="10">
        <f>(6.7+7.1)/2</f>
        <v>6.9</v>
      </c>
      <c r="K89" s="6">
        <f t="shared" si="10"/>
        <v>0</v>
      </c>
      <c r="L89" s="6">
        <f t="shared" si="11"/>
        <v>4</v>
      </c>
      <c r="M89" s="6">
        <f t="shared" si="12"/>
        <v>0</v>
      </c>
      <c r="N89" s="6">
        <f t="shared" si="15"/>
        <v>0.5</v>
      </c>
      <c r="O89">
        <f>0.5+1</f>
        <v>1.5</v>
      </c>
      <c r="P89" s="7">
        <f>1+1</f>
        <v>2</v>
      </c>
      <c r="Q89">
        <f>1+1</f>
        <v>2</v>
      </c>
      <c r="R89">
        <f>1+1</f>
        <v>2</v>
      </c>
      <c r="S89">
        <f>0+1</f>
        <v>1</v>
      </c>
      <c r="T89">
        <f>0+1</f>
        <v>1</v>
      </c>
      <c r="U89" s="7">
        <f>1+1</f>
        <v>2</v>
      </c>
      <c r="V89">
        <f>0</f>
        <v>0</v>
      </c>
      <c r="W89" s="8">
        <f t="shared" si="13"/>
        <v>10</v>
      </c>
      <c r="X89" s="101" t="s">
        <v>1405</v>
      </c>
    </row>
    <row r="90" spans="3:24" x14ac:dyDescent="0.25">
      <c r="C90" s="11" t="s">
        <v>1526</v>
      </c>
      <c r="D90" s="10">
        <f>14</f>
        <v>14</v>
      </c>
      <c r="E90" s="12" t="s">
        <v>49</v>
      </c>
      <c r="F90" s="12" t="s">
        <v>1527</v>
      </c>
      <c r="G90" s="10">
        <f>0</f>
        <v>0</v>
      </c>
      <c r="H90" s="10">
        <f>1</f>
        <v>1</v>
      </c>
      <c r="I90" s="10">
        <f>3</f>
        <v>3</v>
      </c>
      <c r="J90" s="10">
        <f>(6.7)/1</f>
        <v>6.7</v>
      </c>
      <c r="K90" s="6">
        <f t="shared" si="10"/>
        <v>1</v>
      </c>
      <c r="L90" s="6">
        <f t="shared" si="11"/>
        <v>4</v>
      </c>
      <c r="M90" s="6">
        <f t="shared" si="12"/>
        <v>7.1428571428571425E-2</v>
      </c>
      <c r="N90" s="6">
        <f t="shared" si="15"/>
        <v>0.2857142857142857</v>
      </c>
      <c r="O90">
        <f>0.5</f>
        <v>0.5</v>
      </c>
      <c r="P90" s="7">
        <f>1</f>
        <v>1</v>
      </c>
      <c r="Q90">
        <f>0</f>
        <v>0</v>
      </c>
      <c r="R90">
        <f>0</f>
        <v>0</v>
      </c>
      <c r="S90">
        <f>0</f>
        <v>0</v>
      </c>
      <c r="T90">
        <f>0</f>
        <v>0</v>
      </c>
      <c r="U90" s="7">
        <f>1</f>
        <v>1</v>
      </c>
      <c r="V90">
        <f>0</f>
        <v>0</v>
      </c>
      <c r="W90" s="8">
        <f t="shared" si="13"/>
        <v>2</v>
      </c>
      <c r="X90" s="11" t="s">
        <v>1526</v>
      </c>
    </row>
    <row r="91" spans="3:24" x14ac:dyDescent="0.25">
      <c r="C91" s="11" t="s">
        <v>1525</v>
      </c>
      <c r="D91" s="10">
        <f>15</f>
        <v>15</v>
      </c>
      <c r="E91" s="12" t="s">
        <v>46</v>
      </c>
      <c r="F91" s="12" t="s">
        <v>37</v>
      </c>
      <c r="G91" s="10">
        <f>0</f>
        <v>0</v>
      </c>
      <c r="H91" s="10">
        <f>0</f>
        <v>0</v>
      </c>
      <c r="I91" s="10">
        <f>3</f>
        <v>3</v>
      </c>
      <c r="J91" s="10">
        <f>(6.6)</f>
        <v>6.6</v>
      </c>
      <c r="K91" s="6">
        <f t="shared" ref="K91:K100" si="16">SUM(G91:H91)</f>
        <v>0</v>
      </c>
      <c r="L91" s="6">
        <f t="shared" ref="L91:L100" si="17">(G91+H91+I91)</f>
        <v>3</v>
      </c>
      <c r="M91" s="6">
        <f t="shared" ref="M91:M100" si="18">(G91+H91)/D91</f>
        <v>0</v>
      </c>
      <c r="N91" s="6">
        <f t="shared" si="15"/>
        <v>0.2</v>
      </c>
      <c r="O91">
        <f>0.5</f>
        <v>0.5</v>
      </c>
      <c r="P91" s="7">
        <f>1</f>
        <v>1</v>
      </c>
      <c r="Q91">
        <f>0</f>
        <v>0</v>
      </c>
      <c r="R91">
        <f>0</f>
        <v>0</v>
      </c>
      <c r="S91">
        <f>0</f>
        <v>0</v>
      </c>
      <c r="T91">
        <f>0</f>
        <v>0</v>
      </c>
      <c r="U91" s="7">
        <f>1</f>
        <v>1</v>
      </c>
      <c r="V91">
        <f>0</f>
        <v>0</v>
      </c>
      <c r="W91" s="8">
        <f t="shared" ref="W91:W122" si="19">SUM(P91:V91)</f>
        <v>2</v>
      </c>
      <c r="X91" s="11" t="s">
        <v>1525</v>
      </c>
    </row>
    <row r="92" spans="3:24" x14ac:dyDescent="0.25">
      <c r="C92" s="10" t="s">
        <v>86</v>
      </c>
      <c r="D92" s="10">
        <f>0+7</f>
        <v>7</v>
      </c>
      <c r="E92" s="12" t="s">
        <v>49</v>
      </c>
      <c r="F92" s="12" t="s">
        <v>31</v>
      </c>
      <c r="G92" s="10">
        <f>0+0</f>
        <v>0</v>
      </c>
      <c r="H92" s="10">
        <f>0+0</f>
        <v>0</v>
      </c>
      <c r="I92" s="10">
        <f>0+2</f>
        <v>2</v>
      </c>
      <c r="J92" s="10">
        <f>(6.7)/1</f>
        <v>6.7</v>
      </c>
      <c r="K92" s="6">
        <f t="shared" si="16"/>
        <v>0</v>
      </c>
      <c r="L92" s="6">
        <f t="shared" si="17"/>
        <v>2</v>
      </c>
      <c r="M92" s="6">
        <f t="shared" si="18"/>
        <v>0</v>
      </c>
      <c r="N92" s="6">
        <f t="shared" si="15"/>
        <v>0.2857142857142857</v>
      </c>
      <c r="O92">
        <f>2</f>
        <v>2</v>
      </c>
      <c r="P92" s="7">
        <f>1+0</f>
        <v>1</v>
      </c>
      <c r="Q92">
        <f>1</f>
        <v>1</v>
      </c>
      <c r="R92">
        <f>1</f>
        <v>1</v>
      </c>
      <c r="S92">
        <f>0</f>
        <v>0</v>
      </c>
      <c r="T92">
        <f>0</f>
        <v>0</v>
      </c>
      <c r="U92" s="7">
        <f>1</f>
        <v>1</v>
      </c>
      <c r="V92">
        <f>0</f>
        <v>0</v>
      </c>
      <c r="W92" s="8">
        <f t="shared" si="19"/>
        <v>4</v>
      </c>
      <c r="X92" s="10" t="s">
        <v>86</v>
      </c>
    </row>
    <row r="93" spans="3:24" x14ac:dyDescent="0.25">
      <c r="C93" s="10" t="s">
        <v>87</v>
      </c>
      <c r="D93" s="10">
        <f>1+2</f>
        <v>3</v>
      </c>
      <c r="E93" s="12" t="s">
        <v>43</v>
      </c>
      <c r="F93" s="12" t="s">
        <v>88</v>
      </c>
      <c r="G93" s="10">
        <f>0</f>
        <v>0</v>
      </c>
      <c r="H93" s="10">
        <f>0</f>
        <v>0</v>
      </c>
      <c r="I93" s="10">
        <f>0+1</f>
        <v>1</v>
      </c>
      <c r="J93" s="10">
        <f>(6.6)/1</f>
        <v>6.6</v>
      </c>
      <c r="K93" s="6">
        <f t="shared" si="16"/>
        <v>0</v>
      </c>
      <c r="L93" s="6">
        <f t="shared" si="17"/>
        <v>1</v>
      </c>
      <c r="M93" s="6">
        <f t="shared" si="18"/>
        <v>0</v>
      </c>
      <c r="N93" s="6">
        <f t="shared" si="15"/>
        <v>0.33333333333333331</v>
      </c>
      <c r="O93">
        <f>0.5+0.5</f>
        <v>1</v>
      </c>
      <c r="P93" s="7">
        <f>1</f>
        <v>1</v>
      </c>
      <c r="Q93">
        <f>1</f>
        <v>1</v>
      </c>
      <c r="R93">
        <f>1</f>
        <v>1</v>
      </c>
      <c r="S93">
        <f>0+1</f>
        <v>1</v>
      </c>
      <c r="T93">
        <f>0+1</f>
        <v>1</v>
      </c>
      <c r="U93" s="7">
        <f>1</f>
        <v>1</v>
      </c>
      <c r="V93">
        <f>0</f>
        <v>0</v>
      </c>
      <c r="W93" s="8">
        <f t="shared" si="19"/>
        <v>6</v>
      </c>
      <c r="X93" s="10" t="s">
        <v>87</v>
      </c>
    </row>
    <row r="94" spans="3:24" x14ac:dyDescent="0.25">
      <c r="C94" s="11"/>
      <c r="D94" s="10"/>
      <c r="E94" s="12"/>
      <c r="F94" s="12"/>
      <c r="G94" s="10"/>
      <c r="H94" s="10"/>
      <c r="I94" s="10"/>
      <c r="J94" s="10"/>
      <c r="K94" s="6">
        <f t="shared" si="16"/>
        <v>0</v>
      </c>
      <c r="L94" s="6">
        <f t="shared" si="17"/>
        <v>0</v>
      </c>
      <c r="M94" s="6" t="e">
        <f t="shared" si="18"/>
        <v>#DIV/0!</v>
      </c>
      <c r="N94" s="6" t="e">
        <f t="shared" si="15"/>
        <v>#DIV/0!</v>
      </c>
      <c r="P94" s="7"/>
      <c r="U94" s="7"/>
      <c r="W94" s="8"/>
      <c r="X94" s="11"/>
    </row>
    <row r="95" spans="3:24" x14ac:dyDescent="0.25">
      <c r="C95" s="11"/>
      <c r="D95" s="10"/>
      <c r="E95" s="12"/>
      <c r="F95" s="12"/>
      <c r="G95" s="10"/>
      <c r="H95" s="10"/>
      <c r="I95" s="10"/>
      <c r="J95" s="10"/>
      <c r="K95" s="6">
        <f t="shared" si="16"/>
        <v>0</v>
      </c>
      <c r="L95" s="6">
        <f t="shared" si="17"/>
        <v>0</v>
      </c>
      <c r="M95" s="6" t="e">
        <f t="shared" si="18"/>
        <v>#DIV/0!</v>
      </c>
      <c r="N95" s="6" t="e">
        <f t="shared" si="15"/>
        <v>#DIV/0!</v>
      </c>
      <c r="P95" s="7"/>
      <c r="U95" s="7"/>
      <c r="W95" s="8"/>
      <c r="X95" s="11"/>
    </row>
    <row r="96" spans="3:24" x14ac:dyDescent="0.25">
      <c r="C96" s="11"/>
      <c r="D96" s="10"/>
      <c r="E96" s="12"/>
      <c r="F96" s="12"/>
      <c r="G96" s="10"/>
      <c r="H96" s="10"/>
      <c r="I96" s="10"/>
      <c r="J96" s="10"/>
      <c r="K96" s="6">
        <f t="shared" si="16"/>
        <v>0</v>
      </c>
      <c r="L96" s="6">
        <f t="shared" si="17"/>
        <v>0</v>
      </c>
      <c r="M96" s="6" t="e">
        <f t="shared" si="18"/>
        <v>#DIV/0!</v>
      </c>
      <c r="N96" s="6" t="e">
        <f t="shared" si="15"/>
        <v>#DIV/0!</v>
      </c>
      <c r="P96" s="7"/>
      <c r="U96" s="7"/>
      <c r="W96" s="8"/>
      <c r="X96" s="11"/>
    </row>
    <row r="97" spans="3:24" x14ac:dyDescent="0.25">
      <c r="C97" s="11"/>
      <c r="D97" s="10"/>
      <c r="E97" s="12"/>
      <c r="F97" s="12"/>
      <c r="G97" s="10"/>
      <c r="H97" s="10"/>
      <c r="I97" s="10"/>
      <c r="J97" s="10"/>
      <c r="K97" s="6">
        <f t="shared" si="16"/>
        <v>0</v>
      </c>
      <c r="L97" s="6">
        <f t="shared" si="17"/>
        <v>0</v>
      </c>
      <c r="M97" s="6" t="e">
        <f t="shared" si="18"/>
        <v>#DIV/0!</v>
      </c>
      <c r="N97" s="6" t="e">
        <f t="shared" si="15"/>
        <v>#DIV/0!</v>
      </c>
      <c r="P97" s="7"/>
      <c r="U97" s="7"/>
      <c r="W97" s="8"/>
      <c r="X97" s="11"/>
    </row>
    <row r="98" spans="3:24" x14ac:dyDescent="0.25">
      <c r="C98" s="11"/>
      <c r="D98" s="10"/>
      <c r="E98" s="12"/>
      <c r="F98" s="12"/>
      <c r="G98" s="10"/>
      <c r="H98" s="10"/>
      <c r="I98" s="10"/>
      <c r="J98" s="10"/>
      <c r="K98" s="6">
        <f t="shared" si="16"/>
        <v>0</v>
      </c>
      <c r="L98" s="6">
        <f t="shared" si="17"/>
        <v>0</v>
      </c>
      <c r="M98" s="6" t="e">
        <f t="shared" si="18"/>
        <v>#DIV/0!</v>
      </c>
      <c r="N98" s="6" t="e">
        <f t="shared" si="15"/>
        <v>#DIV/0!</v>
      </c>
      <c r="P98" s="7"/>
      <c r="U98" s="7"/>
      <c r="V98">
        <f>0</f>
        <v>0</v>
      </c>
      <c r="W98" s="8">
        <f>SUM(P98:V98)</f>
        <v>0</v>
      </c>
      <c r="X98" s="11"/>
    </row>
    <row r="99" spans="3:24" x14ac:dyDescent="0.25">
      <c r="C99" s="11"/>
      <c r="D99" s="10"/>
      <c r="E99" s="12"/>
      <c r="F99" s="12"/>
      <c r="G99" s="10"/>
      <c r="H99" s="10"/>
      <c r="I99" s="10"/>
      <c r="J99" s="10"/>
      <c r="K99" s="6">
        <f t="shared" si="16"/>
        <v>0</v>
      </c>
      <c r="L99" s="6">
        <f t="shared" si="17"/>
        <v>0</v>
      </c>
      <c r="M99" s="6" t="e">
        <f t="shared" si="18"/>
        <v>#DIV/0!</v>
      </c>
      <c r="N99" s="6" t="e">
        <f t="shared" si="15"/>
        <v>#DIV/0!</v>
      </c>
      <c r="P99" s="7"/>
      <c r="U99" s="7"/>
      <c r="V99">
        <f>0</f>
        <v>0</v>
      </c>
      <c r="W99" s="8">
        <f>SUM(P99:V99)</f>
        <v>0</v>
      </c>
      <c r="X99" s="11"/>
    </row>
    <row r="100" spans="3:24" x14ac:dyDescent="0.25">
      <c r="C100" s="11"/>
      <c r="D100" s="10"/>
      <c r="E100" s="12"/>
      <c r="F100" s="12"/>
      <c r="G100" s="10"/>
      <c r="H100" s="10"/>
      <c r="I100" s="10"/>
      <c r="J100" s="10"/>
      <c r="K100" s="6">
        <f t="shared" si="16"/>
        <v>0</v>
      </c>
      <c r="L100" s="6">
        <f t="shared" si="17"/>
        <v>0</v>
      </c>
      <c r="M100" s="6" t="e">
        <f t="shared" si="18"/>
        <v>#DIV/0!</v>
      </c>
      <c r="N100" s="6" t="e">
        <f t="shared" si="15"/>
        <v>#DIV/0!</v>
      </c>
      <c r="P100" s="7"/>
      <c r="U100" s="7"/>
      <c r="V100">
        <f>0</f>
        <v>0</v>
      </c>
      <c r="W100" s="8">
        <f>SUM(P100:V100)</f>
        <v>0</v>
      </c>
      <c r="X100" s="11"/>
    </row>
    <row r="103" spans="3:24" x14ac:dyDescent="0.25">
      <c r="C103" s="13" t="s">
        <v>89</v>
      </c>
    </row>
    <row r="104" spans="3:24" x14ac:dyDescent="0.25">
      <c r="C104" s="3" t="s">
        <v>2</v>
      </c>
      <c r="D104" s="3" t="s">
        <v>3</v>
      </c>
      <c r="E104" s="3" t="s">
        <v>4</v>
      </c>
      <c r="F104" s="3" t="s">
        <v>5</v>
      </c>
      <c r="G104" s="3" t="s">
        <v>6</v>
      </c>
      <c r="H104" s="3" t="s">
        <v>7</v>
      </c>
      <c r="I104" s="3" t="s">
        <v>8</v>
      </c>
      <c r="J104" s="3" t="s">
        <v>9</v>
      </c>
      <c r="K104" s="3" t="s">
        <v>41</v>
      </c>
      <c r="L104" s="3" t="s">
        <v>11</v>
      </c>
      <c r="M104" s="3" t="s">
        <v>12</v>
      </c>
      <c r="N104" s="3" t="s">
        <v>13</v>
      </c>
      <c r="O104" s="3" t="s">
        <v>14</v>
      </c>
      <c r="P104" s="4" t="s">
        <v>15</v>
      </c>
      <c r="Q104" s="4" t="s">
        <v>16</v>
      </c>
      <c r="R104" s="4" t="s">
        <v>17</v>
      </c>
      <c r="S104" s="4" t="s">
        <v>18</v>
      </c>
      <c r="T104" s="4" t="s">
        <v>19</v>
      </c>
      <c r="U104" s="4" t="s">
        <v>20</v>
      </c>
      <c r="V104" s="4" t="s">
        <v>21</v>
      </c>
      <c r="W104" s="4" t="s">
        <v>22</v>
      </c>
      <c r="X104" s="3" t="s">
        <v>2</v>
      </c>
    </row>
    <row r="105" spans="3:24" x14ac:dyDescent="0.25">
      <c r="C105" s="15" t="s">
        <v>1185</v>
      </c>
      <c r="D105" s="13">
        <f>45+46+48+56+59+57+56+47+50+53+46+41+53+47</f>
        <v>704</v>
      </c>
      <c r="E105" s="14" t="s">
        <v>102</v>
      </c>
      <c r="F105" s="14" t="s">
        <v>130</v>
      </c>
      <c r="G105" s="13">
        <f>11+9+22+33+25+24+19+28+22+14+19+22+11+19</f>
        <v>278</v>
      </c>
      <c r="H105" s="13">
        <f>13+14+13+18+27+25+18+20+17+19+22+15+17+17</f>
        <v>255</v>
      </c>
      <c r="I105" s="13">
        <f>17+12+15+19+26+23+20+21+18+25+18+17+14+20</f>
        <v>265</v>
      </c>
      <c r="J105" s="13">
        <f>(7.3+7.1+7.3+7.7+7.6+7.6+7.4+7.9+7.9+7.7+7.9+7.9+7.3+7.6)/14</f>
        <v>7.5857142857142863</v>
      </c>
      <c r="K105" s="6">
        <f t="shared" ref="K105:K136" si="20">SUM(G105:H105)</f>
        <v>533</v>
      </c>
      <c r="L105" s="6">
        <f t="shared" ref="L105:L136" si="21">SUM(G105:I105)</f>
        <v>798</v>
      </c>
      <c r="M105" s="6">
        <f t="shared" ref="M105:M136" si="22">(G105+H105)/D105</f>
        <v>0.75710227272727271</v>
      </c>
      <c r="N105" s="6">
        <f t="shared" ref="N105:N110" si="23">(I105+H105+G105)/D105</f>
        <v>1.1335227272727273</v>
      </c>
      <c r="O105">
        <f>1+1+1+1+1+1+1+1+1+1+1+1+1+1</f>
        <v>14</v>
      </c>
      <c r="P105" s="7">
        <f>1+1+1+1+1+1+1+1+1+1+1+1+1+1</f>
        <v>14</v>
      </c>
      <c r="Q105">
        <f>0+1+1+1+1+1+1+1+1+1+0+1+1+0</f>
        <v>11</v>
      </c>
      <c r="R105">
        <f>1+1+1+0+1+1+0+1+1+1+1+0+1+1</f>
        <v>11</v>
      </c>
      <c r="S105">
        <f>1+0+1+0+1+1+1+1+1+1+0+1+1+0</f>
        <v>10</v>
      </c>
      <c r="T105">
        <f>1+1+1+0+1+1+1+1+1+1+1+1+1+1</f>
        <v>13</v>
      </c>
      <c r="U105" s="7">
        <f>1+1+1+1+1+1+1+1+1+1+1+1+1+1</f>
        <v>14</v>
      </c>
      <c r="V105">
        <f>0</f>
        <v>0</v>
      </c>
      <c r="W105" s="8">
        <f t="shared" ref="W105:W136" si="24">SUM(P105:V105)</f>
        <v>73</v>
      </c>
      <c r="X105" s="15" t="s">
        <v>1185</v>
      </c>
    </row>
    <row r="106" spans="3:24" x14ac:dyDescent="0.25">
      <c r="C106" s="102" t="s">
        <v>1156</v>
      </c>
      <c r="D106" s="13">
        <f>41+47+48+54+56+57+52+48+44</f>
        <v>447</v>
      </c>
      <c r="E106" s="14" t="s">
        <v>94</v>
      </c>
      <c r="F106" s="14" t="s">
        <v>130</v>
      </c>
      <c r="G106" s="13">
        <f>4+16+8+19+22+15+5+7+12</f>
        <v>108</v>
      </c>
      <c r="H106" s="13">
        <f>16+12+16+31+22+25+24+27+18</f>
        <v>191</v>
      </c>
      <c r="I106" s="13">
        <f>20+22+21+15+25+27+24+22+19</f>
        <v>195</v>
      </c>
      <c r="J106" s="13">
        <f>(7.6+7.6+7.7+7.8+8+7.8+7.5+7.7+8.1)/9</f>
        <v>7.7555555555555555</v>
      </c>
      <c r="K106" s="6">
        <f t="shared" si="20"/>
        <v>299</v>
      </c>
      <c r="L106" s="6">
        <f t="shared" si="21"/>
        <v>494</v>
      </c>
      <c r="M106" s="6">
        <f t="shared" si="22"/>
        <v>0.66890380313199105</v>
      </c>
      <c r="N106" s="6">
        <f t="shared" si="23"/>
        <v>1.1051454138702461</v>
      </c>
      <c r="O106">
        <f>1+1+1+1+1+1+1+1+1</f>
        <v>9</v>
      </c>
      <c r="P106" s="7">
        <f>1+1+1+1+1+1+1+1+1</f>
        <v>9</v>
      </c>
      <c r="Q106">
        <f>1+0+1+1+1+1+1+1+1</f>
        <v>8</v>
      </c>
      <c r="R106">
        <f>0+1+1+1+0+1+1+0+1</f>
        <v>6</v>
      </c>
      <c r="S106">
        <f>1+1+0+1+0+1+1+1+1</f>
        <v>7</v>
      </c>
      <c r="T106">
        <f>1+1+1+1+0+1+1+1+1</f>
        <v>8</v>
      </c>
      <c r="U106" s="7">
        <f>1+1+1+1+1+1+1+1+1</f>
        <v>9</v>
      </c>
      <c r="V106">
        <f>0</f>
        <v>0</v>
      </c>
      <c r="W106" s="8">
        <f t="shared" si="24"/>
        <v>47</v>
      </c>
      <c r="X106" s="102" t="s">
        <v>1156</v>
      </c>
    </row>
    <row r="107" spans="3:24" x14ac:dyDescent="0.25">
      <c r="C107" s="102" t="s">
        <v>142</v>
      </c>
      <c r="D107" s="13">
        <f>31+36+33+38+43+42+30+42+42+44+28+47+20</f>
        <v>476</v>
      </c>
      <c r="E107" s="14" t="s">
        <v>91</v>
      </c>
      <c r="F107" s="14" t="s">
        <v>31</v>
      </c>
      <c r="G107" s="13">
        <f>8+13+6+10+10+15+8+16+13+22+12+15+8</f>
        <v>156</v>
      </c>
      <c r="H107" s="13">
        <f>4+5+14+7+14+13+9+9+8+22+14+19+8</f>
        <v>146</v>
      </c>
      <c r="I107" s="13">
        <f>10+11+6+9+18+20+14+20+21+21+12+18+5</f>
        <v>185</v>
      </c>
      <c r="J107" s="13">
        <f>(6.7+6.8+6.9+6.8+7+7.2+7.1+7.1+7.2+7.4+7.3+7.3+7.2)/13</f>
        <v>7.0769230769230784</v>
      </c>
      <c r="K107" s="6">
        <f t="shared" si="20"/>
        <v>302</v>
      </c>
      <c r="L107" s="6">
        <f t="shared" si="21"/>
        <v>487</v>
      </c>
      <c r="M107" s="6">
        <f t="shared" si="22"/>
        <v>0.63445378151260501</v>
      </c>
      <c r="N107" s="6">
        <f t="shared" si="23"/>
        <v>1.0231092436974789</v>
      </c>
      <c r="O107">
        <f>1+1+1+1+1+1+1+1+1+1+1+1+0.5</f>
        <v>12.5</v>
      </c>
      <c r="P107" s="7">
        <f>1+1+1+1+1+1+1+1+1+1+1+1</f>
        <v>12</v>
      </c>
      <c r="Q107">
        <f>1+1+0+1+0+1+1+1+0+1+0+1</f>
        <v>8</v>
      </c>
      <c r="R107">
        <f>1+0+0+0+0+1+1+0+1+0+1+1</f>
        <v>6</v>
      </c>
      <c r="S107">
        <f>1+1+1+1+1+1+0+1+1+1+1+0</f>
        <v>10</v>
      </c>
      <c r="T107">
        <f>0+1+1+1+1+1+0+1+1+1+1+1</f>
        <v>10</v>
      </c>
      <c r="U107" s="7">
        <f>1+1+1+1+1+0+1+1+1+1+1+1</f>
        <v>11</v>
      </c>
      <c r="V107">
        <f>0</f>
        <v>0</v>
      </c>
      <c r="W107" s="8">
        <f t="shared" si="24"/>
        <v>57</v>
      </c>
      <c r="X107" s="102" t="s">
        <v>142</v>
      </c>
    </row>
    <row r="108" spans="3:24" x14ac:dyDescent="0.25">
      <c r="C108" s="13" t="s">
        <v>90</v>
      </c>
      <c r="D108" s="13">
        <f>43+39+42+40+48+48+51+4</f>
        <v>315</v>
      </c>
      <c r="E108" s="14" t="s">
        <v>91</v>
      </c>
      <c r="F108" s="14" t="s">
        <v>92</v>
      </c>
      <c r="G108" s="13">
        <f>21+12+23+21+27+34+31+0</f>
        <v>169</v>
      </c>
      <c r="H108" s="13">
        <f>8+8+16+15+18+26+14+2</f>
        <v>107</v>
      </c>
      <c r="I108" s="13">
        <f>22+14+20+16+23+23+22+2</f>
        <v>142</v>
      </c>
      <c r="J108" s="13">
        <f>(7.4+7.5+8.1+7.9+7.9+8+7.8)/7</f>
        <v>7.7999999999999989</v>
      </c>
      <c r="K108" s="6">
        <f t="shared" si="20"/>
        <v>276</v>
      </c>
      <c r="L108" s="6">
        <f t="shared" si="21"/>
        <v>418</v>
      </c>
      <c r="M108" s="6">
        <f t="shared" si="22"/>
        <v>0.87619047619047619</v>
      </c>
      <c r="N108" s="6">
        <f t="shared" si="23"/>
        <v>1.3269841269841269</v>
      </c>
      <c r="O108">
        <f>1+1+1+1+1+1+1+0.25</f>
        <v>7.25</v>
      </c>
      <c r="P108" s="7">
        <f>0+1+1+1+1+1+1</f>
        <v>6</v>
      </c>
      <c r="Q108">
        <f>1+1+1+1+1+1</f>
        <v>6</v>
      </c>
      <c r="R108">
        <f>0+0+1+1+0+1</f>
        <v>3</v>
      </c>
      <c r="S108">
        <f>1+1+1+1+0+1+1</f>
        <v>6</v>
      </c>
      <c r="T108">
        <f>1+1+1+0+1+1+1</f>
        <v>6</v>
      </c>
      <c r="U108" s="7">
        <f>1+1+1+0+1+1+1</f>
        <v>6</v>
      </c>
      <c r="V108">
        <f>0</f>
        <v>0</v>
      </c>
      <c r="W108" s="8">
        <f t="shared" si="24"/>
        <v>33</v>
      </c>
      <c r="X108" s="13" t="s">
        <v>90</v>
      </c>
    </row>
    <row r="109" spans="3:24" x14ac:dyDescent="0.25">
      <c r="C109" s="102" t="s">
        <v>849</v>
      </c>
      <c r="D109" s="13">
        <f>45+48+49+42+49+52+44+51+44</f>
        <v>424</v>
      </c>
      <c r="E109" s="14" t="s">
        <v>102</v>
      </c>
      <c r="F109" s="14" t="s">
        <v>79</v>
      </c>
      <c r="G109" s="13">
        <f>10+8+3+4+10+6+8+4+5</f>
        <v>58</v>
      </c>
      <c r="H109" s="13">
        <f>12+17+9+7+13+11+12+11+12</f>
        <v>104</v>
      </c>
      <c r="I109" s="13">
        <f>16+22+22+21+21+17+18+30+21</f>
        <v>188</v>
      </c>
      <c r="J109" s="13">
        <f>(7.5+7.6+7.7+7.6+7.9+7.5+7.6+7.6+7.8)/9</f>
        <v>7.6444444444444439</v>
      </c>
      <c r="K109" s="6">
        <f t="shared" si="20"/>
        <v>162</v>
      </c>
      <c r="L109" s="6">
        <f t="shared" si="21"/>
        <v>350</v>
      </c>
      <c r="M109" s="6">
        <f t="shared" si="22"/>
        <v>0.38207547169811323</v>
      </c>
      <c r="N109" s="6">
        <f t="shared" si="23"/>
        <v>0.82547169811320753</v>
      </c>
      <c r="O109">
        <f>1+1+1+1+1+1+1+1+1</f>
        <v>9</v>
      </c>
      <c r="P109" s="7">
        <f>1+1+1+1+1+1+1+1+1</f>
        <v>9</v>
      </c>
      <c r="Q109">
        <f>1+0+1+0+1+1+1+1+1</f>
        <v>7</v>
      </c>
      <c r="R109">
        <f>0+1+0+1+1+1+0+1+1</f>
        <v>6</v>
      </c>
      <c r="S109">
        <f>1+1+1+1+0+1+0+1+1</f>
        <v>7</v>
      </c>
      <c r="T109">
        <f>1+1+1+1+1+1+0+1+1</f>
        <v>8</v>
      </c>
      <c r="U109" s="7">
        <f>1+1+1+1+1+1+1+1+1</f>
        <v>9</v>
      </c>
      <c r="V109">
        <f>0</f>
        <v>0</v>
      </c>
      <c r="W109" s="8">
        <f t="shared" si="24"/>
        <v>46</v>
      </c>
      <c r="X109" s="102" t="s">
        <v>849</v>
      </c>
    </row>
    <row r="110" spans="3:24" x14ac:dyDescent="0.25">
      <c r="C110" s="13" t="s">
        <v>116</v>
      </c>
      <c r="D110" s="13">
        <f>42+49+50+44+52+46+45+45+45+43</f>
        <v>461</v>
      </c>
      <c r="E110" s="14" t="s">
        <v>102</v>
      </c>
      <c r="F110" s="14" t="s">
        <v>31</v>
      </c>
      <c r="G110" s="13">
        <f>5+4+5+7+7+15+10+11+7+6</f>
        <v>77</v>
      </c>
      <c r="H110" s="13">
        <f>14+13+4+8+18+11+8+11+10+10</f>
        <v>107</v>
      </c>
      <c r="I110" s="13">
        <f>11+20+12+14+18+16+14+17+17+13</f>
        <v>152</v>
      </c>
      <c r="J110" s="13">
        <f>(7.3+7.4+7+7.3+7.6+7.5+7.4+7.5+7.4+7.4)/10</f>
        <v>7.3800000000000008</v>
      </c>
      <c r="K110" s="6">
        <f t="shared" si="20"/>
        <v>184</v>
      </c>
      <c r="L110" s="6">
        <f t="shared" si="21"/>
        <v>336</v>
      </c>
      <c r="M110" s="6">
        <f t="shared" si="22"/>
        <v>0.39913232104121477</v>
      </c>
      <c r="N110" s="6">
        <f t="shared" si="23"/>
        <v>0.72885032537960959</v>
      </c>
      <c r="O110">
        <f>1+1+1+1+1+1+1+1+1+1</f>
        <v>10</v>
      </c>
      <c r="P110" s="7">
        <f>1+1+1+1+1+1+1+1+1+1</f>
        <v>10</v>
      </c>
      <c r="Q110">
        <f>1+0+0+1+1+0+1+0+1+1</f>
        <v>6</v>
      </c>
      <c r="R110">
        <f>0+1+1+1+0+0+0+0+1+1</f>
        <v>5</v>
      </c>
      <c r="S110">
        <f>1+0+1+1+1+1+1+1+1+0</f>
        <v>8</v>
      </c>
      <c r="T110">
        <f>1+0+1+0+1+1+1+1+1+0</f>
        <v>7</v>
      </c>
      <c r="U110" s="7">
        <f>1+1+1+1+1+1+1+1+0+1</f>
        <v>9</v>
      </c>
      <c r="V110">
        <f>0</f>
        <v>0</v>
      </c>
      <c r="W110" s="8">
        <f t="shared" si="24"/>
        <v>45</v>
      </c>
      <c r="X110" s="13" t="s">
        <v>116</v>
      </c>
    </row>
    <row r="111" spans="3:24" x14ac:dyDescent="0.25">
      <c r="C111" s="13" t="s">
        <v>95</v>
      </c>
      <c r="D111" s="13">
        <f>46+35+52+51+43+44+38+42+29+31</f>
        <v>411</v>
      </c>
      <c r="E111" s="14" t="s">
        <v>96</v>
      </c>
      <c r="F111" s="14" t="s">
        <v>79</v>
      </c>
      <c r="G111" s="13">
        <f>6+5+20+12+13+14+17+6+8+4</f>
        <v>105</v>
      </c>
      <c r="H111" s="13">
        <f>6+9+5+6+12+6+4+9+10+4</f>
        <v>71</v>
      </c>
      <c r="I111" s="13">
        <f>20+15+23+15+13+18+18+21+10+2</f>
        <v>155</v>
      </c>
      <c r="J111" s="13">
        <f>(7.6+7.8+7.8+7.6+7.8+7.6+7.8+7.7+7.6+7)/10</f>
        <v>7.63</v>
      </c>
      <c r="K111" s="6">
        <f t="shared" si="20"/>
        <v>176</v>
      </c>
      <c r="L111" s="6">
        <f t="shared" si="21"/>
        <v>331</v>
      </c>
      <c r="M111" s="6">
        <f t="shared" si="22"/>
        <v>0.42822384428223842</v>
      </c>
      <c r="N111" s="6">
        <f>(G111+H111+I111)/D111</f>
        <v>0.805352798053528</v>
      </c>
      <c r="O111">
        <f>1+1+1+1+1+1+1+1+1+1</f>
        <v>10</v>
      </c>
      <c r="P111" s="7">
        <f>1+1+1+1+1+1+1+1+1+1</f>
        <v>10</v>
      </c>
      <c r="Q111">
        <f>1+1+1+1+0+0+0+1+1+1</f>
        <v>7</v>
      </c>
      <c r="R111">
        <f>1+0+1+1+0+1+0+1+1+0</f>
        <v>6</v>
      </c>
      <c r="S111">
        <f>1+0+1+1+1+1+1+1+0+1</f>
        <v>8</v>
      </c>
      <c r="T111">
        <f>0+1+1+1+0+1+0+1+1+1</f>
        <v>7</v>
      </c>
      <c r="U111" s="7">
        <f>1+1+1+1+1+1+1+1+1+1</f>
        <v>10</v>
      </c>
      <c r="V111">
        <f>0</f>
        <v>0</v>
      </c>
      <c r="W111" s="8">
        <f t="shared" si="24"/>
        <v>48</v>
      </c>
      <c r="X111" s="13" t="s">
        <v>95</v>
      </c>
    </row>
    <row r="112" spans="3:24" x14ac:dyDescent="0.25">
      <c r="C112" s="13" t="s">
        <v>104</v>
      </c>
      <c r="D112" s="13">
        <f>13+28+42+42+39+36+41+42+44+40+36+37</f>
        <v>440</v>
      </c>
      <c r="E112" s="14" t="s">
        <v>102</v>
      </c>
      <c r="F112" s="14" t="s">
        <v>105</v>
      </c>
      <c r="G112" s="13">
        <f>3+8+5+9+6+5+7+7+10+10+12+10</f>
        <v>92</v>
      </c>
      <c r="H112" s="13">
        <f>2+3+9+6+5+10+10+4+17+11+9+9</f>
        <v>95</v>
      </c>
      <c r="I112" s="13">
        <f>0+5+3+9+13+8+11+8+17+12+10+13</f>
        <v>109</v>
      </c>
      <c r="J112" s="13">
        <f>(6.6+6.8+6.9+6.9+7+6.7+7+6.7+7.2+7.4+7.6+7.4)/12</f>
        <v>7.0166666666666666</v>
      </c>
      <c r="K112" s="6">
        <f t="shared" si="20"/>
        <v>187</v>
      </c>
      <c r="L112" s="6">
        <f t="shared" si="21"/>
        <v>296</v>
      </c>
      <c r="M112" s="6">
        <f t="shared" si="22"/>
        <v>0.42499999999999999</v>
      </c>
      <c r="N112" s="6">
        <f t="shared" ref="N112:N125" si="25">(I112+H112+G112)/D112</f>
        <v>0.67272727272727273</v>
      </c>
      <c r="O112">
        <f>1+1+1+1+1+1+1+1+1+1+1+1</f>
        <v>12</v>
      </c>
      <c r="P112" s="7">
        <f>1+1+1+1+1+1+1+1+1+1+1+1</f>
        <v>12</v>
      </c>
      <c r="Q112">
        <f>1+1+1+0+0+1+1+0+1</f>
        <v>6</v>
      </c>
      <c r="R112">
        <f>0+1+0+1+1+0+1+1+1+0+0+0</f>
        <v>6</v>
      </c>
      <c r="S112">
        <f>1+1+1+1+0+1+0+1+1+1+1+1</f>
        <v>10</v>
      </c>
      <c r="T112">
        <f>0+1+0+1+1+1+0+1+0+1+1+1</f>
        <v>8</v>
      </c>
      <c r="U112" s="7">
        <f>1+1+1+1+1+1+1+1+1+1+1+1</f>
        <v>12</v>
      </c>
      <c r="V112">
        <f>0</f>
        <v>0</v>
      </c>
      <c r="W112" s="8">
        <f t="shared" si="24"/>
        <v>54</v>
      </c>
      <c r="X112" s="13" t="s">
        <v>104</v>
      </c>
    </row>
    <row r="113" spans="3:24" x14ac:dyDescent="0.25">
      <c r="C113" s="102" t="s">
        <v>797</v>
      </c>
      <c r="D113" s="13">
        <f>44+46+42+43+44+47+44</f>
        <v>310</v>
      </c>
      <c r="E113" s="14" t="s">
        <v>94</v>
      </c>
      <c r="F113" s="14" t="s">
        <v>31</v>
      </c>
      <c r="G113" s="13">
        <f>6+9+6+11+9+11+12</f>
        <v>64</v>
      </c>
      <c r="H113" s="13">
        <f>11+13+17+14+13+16+19</f>
        <v>103</v>
      </c>
      <c r="I113" s="13">
        <f>16+18+14+15+19+22+20</f>
        <v>124</v>
      </c>
      <c r="J113" s="13">
        <f>(7.2+7.4+7.5+7.7+7.5+7.6+7.4)/7</f>
        <v>7.4714285714285706</v>
      </c>
      <c r="K113" s="6">
        <f t="shared" si="20"/>
        <v>167</v>
      </c>
      <c r="L113" s="6">
        <f t="shared" si="21"/>
        <v>291</v>
      </c>
      <c r="M113" s="6">
        <f t="shared" si="22"/>
        <v>0.53870967741935483</v>
      </c>
      <c r="N113" s="6">
        <f t="shared" si="25"/>
        <v>0.93870967741935485</v>
      </c>
      <c r="O113">
        <f>1+1+1+1+1+1+1</f>
        <v>7</v>
      </c>
      <c r="P113" s="7">
        <f>1+1+1+1+1+1+1</f>
        <v>7</v>
      </c>
      <c r="Q113">
        <f>0+1+1+1+0+1+0</f>
        <v>4</v>
      </c>
      <c r="R113">
        <f>0+1+1+0+1+0+1</f>
        <v>4</v>
      </c>
      <c r="S113">
        <f>1+1+0+1+1+1+1</f>
        <v>6</v>
      </c>
      <c r="T113">
        <f>1+1+0+1+1+1+1</f>
        <v>6</v>
      </c>
      <c r="U113" s="7">
        <f>1+0+1+1+1+1+1</f>
        <v>6</v>
      </c>
      <c r="V113">
        <f>0</f>
        <v>0</v>
      </c>
      <c r="W113" s="8">
        <f t="shared" si="24"/>
        <v>33</v>
      </c>
      <c r="X113" s="102" t="s">
        <v>797</v>
      </c>
    </row>
    <row r="114" spans="3:24" x14ac:dyDescent="0.25">
      <c r="C114" s="13" t="s">
        <v>97</v>
      </c>
      <c r="D114" s="13">
        <f>24+42+44+43+51+44+29+36</f>
        <v>313</v>
      </c>
      <c r="E114" s="14" t="s">
        <v>91</v>
      </c>
      <c r="F114" s="14" t="s">
        <v>37</v>
      </c>
      <c r="G114" s="13">
        <f>9+9+16+13+12+10+8+10</f>
        <v>87</v>
      </c>
      <c r="H114" s="13">
        <f>7+5+14+19+13+14+13+3</f>
        <v>88</v>
      </c>
      <c r="I114" s="13">
        <f>7+16+17+19+18+20+6+5</f>
        <v>108</v>
      </c>
      <c r="J114" s="13">
        <f>(7+6.9+7.2+7.4+7+7.2+7.4+6.9)/8</f>
        <v>7.125</v>
      </c>
      <c r="K114" s="6">
        <f t="shared" si="20"/>
        <v>175</v>
      </c>
      <c r="L114" s="6">
        <f t="shared" si="21"/>
        <v>283</v>
      </c>
      <c r="M114" s="6">
        <f t="shared" si="22"/>
        <v>0.5591054313099042</v>
      </c>
      <c r="N114" s="6">
        <f t="shared" si="25"/>
        <v>0.90415335463258784</v>
      </c>
      <c r="O114">
        <f>0.5+1+1+1+1+1+1+1</f>
        <v>7.5</v>
      </c>
      <c r="P114" s="7">
        <f>1+1+1+1+1+1+1+1</f>
        <v>8</v>
      </c>
      <c r="Q114">
        <f>1+0+0+0+1+1+1+0</f>
        <v>4</v>
      </c>
      <c r="R114">
        <f>1+0+1+0+1+1+0+1</f>
        <v>5</v>
      </c>
      <c r="S114">
        <f>0+1+1+1+1+0+1+0+1</f>
        <v>6</v>
      </c>
      <c r="T114">
        <f>0+0+1+0+1+1+1+0</f>
        <v>4</v>
      </c>
      <c r="U114" s="7">
        <f>1+1+1+1+1+1+1+1</f>
        <v>8</v>
      </c>
      <c r="V114">
        <f>0</f>
        <v>0</v>
      </c>
      <c r="W114" s="8">
        <f t="shared" si="24"/>
        <v>35</v>
      </c>
      <c r="X114" s="13" t="s">
        <v>97</v>
      </c>
    </row>
    <row r="115" spans="3:24" x14ac:dyDescent="0.25">
      <c r="C115" s="102" t="s">
        <v>1219</v>
      </c>
      <c r="D115" s="13">
        <f>1+42+41+30+47+38+39+37</f>
        <v>275</v>
      </c>
      <c r="E115" s="14" t="s">
        <v>99</v>
      </c>
      <c r="F115" s="14" t="s">
        <v>215</v>
      </c>
      <c r="G115" s="13">
        <f>6+5+10+5+7+9+18</f>
        <v>60</v>
      </c>
      <c r="H115" s="13">
        <f>17+14+10+12+14+24+18</f>
        <v>109</v>
      </c>
      <c r="I115" s="13">
        <f>13+16+20+9+16+21+17</f>
        <v>112</v>
      </c>
      <c r="J115" s="13">
        <f>(7+6.9+7.6+6.9+7.4+7.6+7.8)/7</f>
        <v>7.3142857142857141</v>
      </c>
      <c r="K115" s="6">
        <f t="shared" si="20"/>
        <v>169</v>
      </c>
      <c r="L115" s="6">
        <f t="shared" si="21"/>
        <v>281</v>
      </c>
      <c r="M115" s="6">
        <f t="shared" si="22"/>
        <v>0.61454545454545451</v>
      </c>
      <c r="N115" s="6">
        <f t="shared" si="25"/>
        <v>1.0218181818181817</v>
      </c>
      <c r="O115">
        <f>0.25+1+1+1+1+1+1+1</f>
        <v>7.25</v>
      </c>
      <c r="P115" s="7">
        <f>1+1+1+1+1+1+1+1</f>
        <v>8</v>
      </c>
      <c r="Q115">
        <f>1+1+1+1+1+1+1+1</f>
        <v>8</v>
      </c>
      <c r="R115">
        <f>1+1+0+1+1+0+1+1</f>
        <v>6</v>
      </c>
      <c r="S115">
        <f>0+1+0+1+1+1+1+1</f>
        <v>6</v>
      </c>
      <c r="T115">
        <f>0+1+0+1+1+1+1+1</f>
        <v>6</v>
      </c>
      <c r="U115" s="7">
        <f>1+1+1+1+1+1+1+1</f>
        <v>8</v>
      </c>
      <c r="V115">
        <f>0</f>
        <v>0</v>
      </c>
      <c r="W115" s="8">
        <f t="shared" si="24"/>
        <v>42</v>
      </c>
      <c r="X115" s="102" t="s">
        <v>1219</v>
      </c>
    </row>
    <row r="116" spans="3:24" x14ac:dyDescent="0.25">
      <c r="C116" s="13" t="s">
        <v>101</v>
      </c>
      <c r="D116" s="13">
        <f>37+41+24+38+38+43+41+41+32</f>
        <v>335</v>
      </c>
      <c r="E116" s="14" t="s">
        <v>102</v>
      </c>
      <c r="F116" s="14" t="s">
        <v>103</v>
      </c>
      <c r="G116" s="13">
        <f>6+8+6+12+5+11+10+15+6</f>
        <v>79</v>
      </c>
      <c r="H116" s="13">
        <f>9+7+6+4+6+5+15+11+2</f>
        <v>65</v>
      </c>
      <c r="I116" s="13">
        <f>18+20+9+18+16+19+12+12+2</f>
        <v>126</v>
      </c>
      <c r="J116" s="13">
        <f>(7.1+7.7+7.8+7.8+7.6+7.7+7.4+7.5+6.5)/9</f>
        <v>7.4555555555555548</v>
      </c>
      <c r="K116" s="6">
        <f t="shared" si="20"/>
        <v>144</v>
      </c>
      <c r="L116" s="6">
        <f t="shared" si="21"/>
        <v>270</v>
      </c>
      <c r="M116" s="6">
        <f t="shared" si="22"/>
        <v>0.42985074626865671</v>
      </c>
      <c r="N116" s="6">
        <f t="shared" si="25"/>
        <v>0.80597014925373134</v>
      </c>
      <c r="O116">
        <f>1+1+1+1+1+1+1+1+1</f>
        <v>9</v>
      </c>
      <c r="P116" s="7">
        <f>1+1+1+1+1+1+1+1+1</f>
        <v>9</v>
      </c>
      <c r="Q116">
        <f>0+1+1+1+1+1+1+0+0</f>
        <v>6</v>
      </c>
      <c r="R116">
        <f>0+0+1+1+0+1+1+0+1</f>
        <v>5</v>
      </c>
      <c r="S116">
        <f>0+1+1+1+0+1+1+1+1</f>
        <v>7</v>
      </c>
      <c r="T116">
        <f>1+1+1+0+1+1+1+0+1</f>
        <v>7</v>
      </c>
      <c r="U116" s="7">
        <f>1+1+0+1+1+1+1+1+1</f>
        <v>8</v>
      </c>
      <c r="V116">
        <f>0</f>
        <v>0</v>
      </c>
      <c r="W116" s="8">
        <f t="shared" si="24"/>
        <v>42</v>
      </c>
      <c r="X116" s="13" t="s">
        <v>101</v>
      </c>
    </row>
    <row r="117" spans="3:24" x14ac:dyDescent="0.25">
      <c r="C117" s="15" t="s">
        <v>1326</v>
      </c>
      <c r="D117" s="13">
        <f>27+33+38+46+36+42+40</f>
        <v>262</v>
      </c>
      <c r="E117" s="14" t="s">
        <v>102</v>
      </c>
      <c r="F117" s="14" t="s">
        <v>31</v>
      </c>
      <c r="G117" s="13">
        <f>12+7+7+12+5+4+14</f>
        <v>61</v>
      </c>
      <c r="H117" s="13">
        <f>8+3+14+9+7+14+6</f>
        <v>61</v>
      </c>
      <c r="I117" s="13">
        <f>10+7+18+23+10+17+19</f>
        <v>104</v>
      </c>
      <c r="J117" s="13">
        <f>(6.9+6.7+7.1+6.9+6.9+6.8+7.2)/7</f>
        <v>6.9285714285714288</v>
      </c>
      <c r="K117" s="6">
        <f t="shared" si="20"/>
        <v>122</v>
      </c>
      <c r="L117" s="6">
        <f t="shared" si="21"/>
        <v>226</v>
      </c>
      <c r="M117" s="6">
        <f t="shared" si="22"/>
        <v>0.46564885496183206</v>
      </c>
      <c r="N117" s="6">
        <f t="shared" si="25"/>
        <v>0.86259541984732824</v>
      </c>
      <c r="O117">
        <f>1+1+1+1+1+1+1</f>
        <v>7</v>
      </c>
      <c r="P117" s="7">
        <f>1+1+1+1+1+1+1</f>
        <v>7</v>
      </c>
      <c r="Q117">
        <f>1+1+1+1+1+1+0</f>
        <v>6</v>
      </c>
      <c r="R117">
        <f>1+0+1+1+0+1+1</f>
        <v>5</v>
      </c>
      <c r="S117">
        <f>1+1+1+1+1+1+0</f>
        <v>6</v>
      </c>
      <c r="T117">
        <f>1+1+1+1+1+1+1</f>
        <v>7</v>
      </c>
      <c r="U117" s="7">
        <f>1+1+1+1+1+1+1</f>
        <v>7</v>
      </c>
      <c r="V117">
        <f>0</f>
        <v>0</v>
      </c>
      <c r="W117" s="8">
        <f t="shared" si="24"/>
        <v>38</v>
      </c>
      <c r="X117" s="15" t="s">
        <v>1326</v>
      </c>
    </row>
    <row r="118" spans="3:24" x14ac:dyDescent="0.25">
      <c r="C118" s="13" t="s">
        <v>115</v>
      </c>
      <c r="D118" s="13">
        <f>31+35+41+34+43+43+34+22</f>
        <v>283</v>
      </c>
      <c r="E118" s="14" t="s">
        <v>102</v>
      </c>
      <c r="F118" s="14" t="s">
        <v>105</v>
      </c>
      <c r="G118" s="13">
        <f>7+13+4+5+11+7+10+4</f>
        <v>61</v>
      </c>
      <c r="H118" s="13">
        <f>4+5+3+5+9+14+10+10</f>
        <v>60</v>
      </c>
      <c r="I118" s="13">
        <f>7+8+14+10+16+14+13+8</f>
        <v>90</v>
      </c>
      <c r="J118" s="13">
        <f>(7+7.3+7.2+7+7.3+7.3+7.6+7.3)/8</f>
        <v>7.2499999999999991</v>
      </c>
      <c r="K118" s="6">
        <f t="shared" si="20"/>
        <v>121</v>
      </c>
      <c r="L118" s="6">
        <f t="shared" si="21"/>
        <v>211</v>
      </c>
      <c r="M118" s="6">
        <f t="shared" si="22"/>
        <v>0.42756183745583037</v>
      </c>
      <c r="N118" s="6">
        <f t="shared" si="25"/>
        <v>0.74558303886925792</v>
      </c>
      <c r="O118">
        <f>1+1+1+1+1+1+1+0.5</f>
        <v>7.5</v>
      </c>
      <c r="P118" s="7">
        <f>1+1+1+1+1+1+1</f>
        <v>7</v>
      </c>
      <c r="Q118">
        <f>1+1+0+0+1+1+0</f>
        <v>4</v>
      </c>
      <c r="R118">
        <f>1+0+1+1+1+0+0</f>
        <v>4</v>
      </c>
      <c r="S118">
        <f>1+1+0+1+1+1+1+1</f>
        <v>7</v>
      </c>
      <c r="T118">
        <f>1+1+0+1+0+1+1</f>
        <v>5</v>
      </c>
      <c r="U118" s="7">
        <f>1+1+1+1+1+1+1</f>
        <v>7</v>
      </c>
      <c r="V118">
        <f>0</f>
        <v>0</v>
      </c>
      <c r="W118" s="8">
        <f t="shared" si="24"/>
        <v>34</v>
      </c>
      <c r="X118" s="13" t="s">
        <v>115</v>
      </c>
    </row>
    <row r="119" spans="3:24" x14ac:dyDescent="0.25">
      <c r="C119" s="102" t="s">
        <v>1216</v>
      </c>
      <c r="D119" s="13">
        <f>8+24+21+23+23+37+35+41+38+42+20</f>
        <v>312</v>
      </c>
      <c r="E119" s="14" t="s">
        <v>96</v>
      </c>
      <c r="F119" s="14" t="s">
        <v>1217</v>
      </c>
      <c r="G119" s="13">
        <f>0+2+5+2+1+3+8+12+2+7+4</f>
        <v>46</v>
      </c>
      <c r="H119" s="13">
        <f>1+4+2+1+6+2+6+6+9+9+0</f>
        <v>46</v>
      </c>
      <c r="I119" s="13">
        <f>2+2+7+10+6+21+17+9+14+11+9</f>
        <v>108</v>
      </c>
      <c r="J119" s="13">
        <f>(6.5+6.7+7.3+6.9+7.3+7.2+7.7+7.1+7.2+7.4+7.6)/11</f>
        <v>7.1727272727272728</v>
      </c>
      <c r="K119" s="6">
        <f t="shared" si="20"/>
        <v>92</v>
      </c>
      <c r="L119" s="6">
        <f t="shared" si="21"/>
        <v>200</v>
      </c>
      <c r="M119" s="6">
        <f t="shared" si="22"/>
        <v>0.29487179487179488</v>
      </c>
      <c r="N119" s="6">
        <f t="shared" si="25"/>
        <v>0.64102564102564108</v>
      </c>
      <c r="O119">
        <f>0.5+1+1+1+1+1+1+1+1+1+0.5</f>
        <v>10</v>
      </c>
      <c r="P119" s="7">
        <f>1+1+1+1+1+1+1+1+1+1</f>
        <v>10</v>
      </c>
      <c r="Q119">
        <f>1+1+1+1+1+1+1+1+1+0</f>
        <v>9</v>
      </c>
      <c r="R119">
        <f>1+1+0+1+1+0+1+1+1+1</f>
        <v>8</v>
      </c>
      <c r="S119">
        <f>0+1+0+1+1+1+1+1+1+0+1</f>
        <v>8</v>
      </c>
      <c r="T119">
        <f>0+1+0+1+1+1+1+1+1+1+1</f>
        <v>9</v>
      </c>
      <c r="U119" s="7">
        <f>1+1+1+1+1+1+1+1+1+1</f>
        <v>10</v>
      </c>
      <c r="V119">
        <f>0</f>
        <v>0</v>
      </c>
      <c r="W119" s="8">
        <f t="shared" si="24"/>
        <v>54</v>
      </c>
      <c r="X119" s="102" t="s">
        <v>1216</v>
      </c>
    </row>
    <row r="120" spans="3:24" x14ac:dyDescent="0.25">
      <c r="C120" s="102" t="s">
        <v>1285</v>
      </c>
      <c r="D120" s="13">
        <f>39+36+32+36+45+37+37+14</f>
        <v>276</v>
      </c>
      <c r="E120" s="14" t="s">
        <v>94</v>
      </c>
      <c r="F120" s="14" t="s">
        <v>61</v>
      </c>
      <c r="G120" s="13">
        <f>12+10+5+6+10+9+6+2</f>
        <v>60</v>
      </c>
      <c r="H120" s="13">
        <f>8+14+8+15+13+15+6+2</f>
        <v>81</v>
      </c>
      <c r="I120" s="13">
        <f>13+6+2+11+6+13+4+0</f>
        <v>55</v>
      </c>
      <c r="J120" s="13">
        <f>(7.1+7.3+6.5+7.3+6.9+7.1+6.5)/7</f>
        <v>6.9571428571428573</v>
      </c>
      <c r="K120" s="6">
        <f t="shared" si="20"/>
        <v>141</v>
      </c>
      <c r="L120" s="6">
        <f t="shared" si="21"/>
        <v>196</v>
      </c>
      <c r="M120" s="6">
        <f t="shared" si="22"/>
        <v>0.51086956521739135</v>
      </c>
      <c r="N120" s="6">
        <f t="shared" si="25"/>
        <v>0.71014492753623193</v>
      </c>
      <c r="O120">
        <f>1+1+1+1+1+1+1+0.5</f>
        <v>7.5</v>
      </c>
      <c r="P120" s="7">
        <f>1+1+1+1+1+1+1</f>
        <v>7</v>
      </c>
      <c r="Q120">
        <f>1+1+1+1+1+1+0</f>
        <v>6</v>
      </c>
      <c r="R120">
        <f>1+1+0+1+1+1+1</f>
        <v>6</v>
      </c>
      <c r="S120">
        <f>1+1+1+1+1+1+0+1</f>
        <v>7</v>
      </c>
      <c r="T120">
        <f>1+1+1+1+1+1+1+1</f>
        <v>8</v>
      </c>
      <c r="U120" s="7">
        <f>1+1+1+1+1+1+1</f>
        <v>7</v>
      </c>
      <c r="V120">
        <f>0</f>
        <v>0</v>
      </c>
      <c r="W120" s="8">
        <f t="shared" si="24"/>
        <v>41</v>
      </c>
      <c r="X120" s="102" t="s">
        <v>1285</v>
      </c>
    </row>
    <row r="121" spans="3:24" x14ac:dyDescent="0.25">
      <c r="C121" s="13" t="s">
        <v>108</v>
      </c>
      <c r="D121" s="13">
        <f>18+48+34+36+39</f>
        <v>175</v>
      </c>
      <c r="E121" s="14" t="s">
        <v>99</v>
      </c>
      <c r="F121" s="14" t="s">
        <v>61</v>
      </c>
      <c r="G121" s="13">
        <f>5+15+11+7+11</f>
        <v>49</v>
      </c>
      <c r="H121" s="13">
        <f>5+25+10+13+16</f>
        <v>69</v>
      </c>
      <c r="I121" s="13">
        <f>6+22+14+11+17</f>
        <v>70</v>
      </c>
      <c r="J121" s="13">
        <f>(7.1+7.5+7.2+7.2+7.3)/5</f>
        <v>7.26</v>
      </c>
      <c r="K121" s="6">
        <f t="shared" si="20"/>
        <v>118</v>
      </c>
      <c r="L121" s="6">
        <f t="shared" si="21"/>
        <v>188</v>
      </c>
      <c r="M121" s="6">
        <f t="shared" si="22"/>
        <v>0.67428571428571427</v>
      </c>
      <c r="N121" s="6">
        <f t="shared" si="25"/>
        <v>1.0742857142857143</v>
      </c>
      <c r="O121">
        <f>1+1+1+1+1</f>
        <v>5</v>
      </c>
      <c r="P121" s="7">
        <f>1+1+1+1+1</f>
        <v>5</v>
      </c>
      <c r="Q121">
        <f>0+1+1+1+1</f>
        <v>4</v>
      </c>
      <c r="R121">
        <f>0+0+1+1+0</f>
        <v>2</v>
      </c>
      <c r="S121">
        <f>0+1+1+1+0</f>
        <v>3</v>
      </c>
      <c r="T121">
        <f>0+1+1+0+1</f>
        <v>3</v>
      </c>
      <c r="U121" s="7">
        <f>1+1+0+1+1</f>
        <v>4</v>
      </c>
      <c r="V121">
        <f>0</f>
        <v>0</v>
      </c>
      <c r="W121" s="8">
        <f t="shared" si="24"/>
        <v>21</v>
      </c>
      <c r="X121" s="13" t="s">
        <v>108</v>
      </c>
    </row>
    <row r="122" spans="3:24" x14ac:dyDescent="0.25">
      <c r="C122" s="102" t="s">
        <v>998</v>
      </c>
      <c r="D122" s="13">
        <f>13+35+40+41+48+30</f>
        <v>207</v>
      </c>
      <c r="E122" s="14" t="s">
        <v>102</v>
      </c>
      <c r="F122" s="14" t="s">
        <v>27</v>
      </c>
      <c r="G122" s="13">
        <f>1+3+3+7+6+3</f>
        <v>23</v>
      </c>
      <c r="H122" s="13">
        <f>2+16+12+11+19+11</f>
        <v>71</v>
      </c>
      <c r="I122" s="13">
        <f>6+9+12+18+16+15</f>
        <v>76</v>
      </c>
      <c r="J122" s="13">
        <f>(7.1+7.1+7+7.2+7.3+7.2)/6</f>
        <v>7.1499999999999995</v>
      </c>
      <c r="K122" s="6">
        <f t="shared" si="20"/>
        <v>94</v>
      </c>
      <c r="L122" s="6">
        <f t="shared" si="21"/>
        <v>170</v>
      </c>
      <c r="M122" s="6">
        <f t="shared" si="22"/>
        <v>0.45410628019323673</v>
      </c>
      <c r="N122" s="6">
        <f t="shared" si="25"/>
        <v>0.82125603864734298</v>
      </c>
      <c r="O122">
        <f>0.5+1+1+1+1+0.5</f>
        <v>5</v>
      </c>
      <c r="P122" s="7">
        <f>1+1+1+1+1</f>
        <v>5</v>
      </c>
      <c r="Q122">
        <f>0+1+0+1+1</f>
        <v>3</v>
      </c>
      <c r="R122">
        <f>1+0+1+1+1</f>
        <v>4</v>
      </c>
      <c r="S122">
        <f>0+1+1+0+1</f>
        <v>3</v>
      </c>
      <c r="T122">
        <f>0+1+1+1+1</f>
        <v>4</v>
      </c>
      <c r="U122" s="7">
        <f>1+1+1+1+1</f>
        <v>5</v>
      </c>
      <c r="V122">
        <f>0</f>
        <v>0</v>
      </c>
      <c r="W122" s="8">
        <f t="shared" si="24"/>
        <v>24</v>
      </c>
      <c r="X122" s="102" t="s">
        <v>998</v>
      </c>
    </row>
    <row r="123" spans="3:24" x14ac:dyDescent="0.25">
      <c r="C123" s="13" t="s">
        <v>110</v>
      </c>
      <c r="D123" s="13">
        <f>5+38+27+35+50+39+22</f>
        <v>216</v>
      </c>
      <c r="E123" s="14" t="s">
        <v>99</v>
      </c>
      <c r="F123" s="14" t="s">
        <v>31</v>
      </c>
      <c r="G123" s="13">
        <f>0+5+6+9+13+14+4</f>
        <v>51</v>
      </c>
      <c r="H123" s="13">
        <f>0+11+9+18+16+19+9</f>
        <v>82</v>
      </c>
      <c r="I123" s="13">
        <f>0+2+1+7+9+11+4</f>
        <v>34</v>
      </c>
      <c r="J123" s="13">
        <f>(6.4+6.9+6.8+7.2+7+7.3+6.9)/7</f>
        <v>6.9285714285714279</v>
      </c>
      <c r="K123" s="6">
        <f t="shared" si="20"/>
        <v>133</v>
      </c>
      <c r="L123" s="6">
        <f t="shared" si="21"/>
        <v>167</v>
      </c>
      <c r="M123" s="6">
        <f t="shared" si="22"/>
        <v>0.6157407407407407</v>
      </c>
      <c r="N123" s="6">
        <f t="shared" si="25"/>
        <v>0.77314814814814814</v>
      </c>
      <c r="O123">
        <f>1+1+1+1+1+1+0.5</f>
        <v>6.5</v>
      </c>
      <c r="P123" s="7">
        <f>1+1+1+1+1+1</f>
        <v>6</v>
      </c>
      <c r="Q123">
        <f>0+1+1+0+0+1</f>
        <v>3</v>
      </c>
      <c r="R123">
        <f>0+1+0+1+1+1</f>
        <v>4</v>
      </c>
      <c r="S123">
        <f>1+1+0+1+0+1+1+1</f>
        <v>6</v>
      </c>
      <c r="T123">
        <f>0+1+1+0+1+0+1</f>
        <v>4</v>
      </c>
      <c r="U123" s="7">
        <f>1+1+1+1+1+1</f>
        <v>6</v>
      </c>
      <c r="V123">
        <f>0</f>
        <v>0</v>
      </c>
      <c r="W123" s="8">
        <f t="shared" si="24"/>
        <v>29</v>
      </c>
      <c r="X123" s="13" t="s">
        <v>110</v>
      </c>
    </row>
    <row r="124" spans="3:24" x14ac:dyDescent="0.25">
      <c r="C124" s="102" t="s">
        <v>1337</v>
      </c>
      <c r="D124" s="13">
        <f>1+28+32+37+36+36+22</f>
        <v>192</v>
      </c>
      <c r="E124" s="14" t="s">
        <v>94</v>
      </c>
      <c r="F124" s="14" t="s">
        <v>739</v>
      </c>
      <c r="G124" s="13">
        <f>0+2+7+16+18+5+4</f>
        <v>52</v>
      </c>
      <c r="H124" s="13">
        <f>0+5+9+11+8+9+10</f>
        <v>52</v>
      </c>
      <c r="I124" s="13">
        <f>0+7+13+19+13+3+8</f>
        <v>63</v>
      </c>
      <c r="J124" s="13">
        <f>(6.9+7.1+7.3+7.3+6.5+6.9)/6</f>
        <v>7</v>
      </c>
      <c r="K124" s="6">
        <f t="shared" si="20"/>
        <v>104</v>
      </c>
      <c r="L124" s="6">
        <f t="shared" si="21"/>
        <v>167</v>
      </c>
      <c r="M124" s="6">
        <f t="shared" si="22"/>
        <v>0.54166666666666663</v>
      </c>
      <c r="N124" s="6">
        <f t="shared" si="25"/>
        <v>0.86979166666666663</v>
      </c>
      <c r="O124">
        <f>0.125+1+1+1+1+1+0.5</f>
        <v>5.625</v>
      </c>
      <c r="P124" s="7">
        <f>1+1+1+1+1+1</f>
        <v>6</v>
      </c>
      <c r="Q124">
        <f>0+1+1+1+0+1</f>
        <v>4</v>
      </c>
      <c r="R124">
        <f>0+0+1+1+1+0</f>
        <v>3</v>
      </c>
      <c r="S124">
        <f>0+1+1+1+0+1+1</f>
        <v>5</v>
      </c>
      <c r="T124">
        <f>0+1+1+1+1+1+1</f>
        <v>6</v>
      </c>
      <c r="U124" s="7">
        <f>1+1+1+1+1+1</f>
        <v>6</v>
      </c>
      <c r="V124">
        <f>0</f>
        <v>0</v>
      </c>
      <c r="W124" s="8">
        <f t="shared" si="24"/>
        <v>30</v>
      </c>
      <c r="X124" s="102" t="s">
        <v>1337</v>
      </c>
    </row>
    <row r="125" spans="3:24" x14ac:dyDescent="0.25">
      <c r="C125" s="102" t="s">
        <v>167</v>
      </c>
      <c r="D125" s="13">
        <f>26+22+26+24+25+25+24+20+26+33+29</f>
        <v>280</v>
      </c>
      <c r="E125" s="14" t="s">
        <v>102</v>
      </c>
      <c r="F125" s="14" t="s">
        <v>155</v>
      </c>
      <c r="G125" s="13">
        <f>1+2+0+3+4+4+6+4+2+10+5</f>
        <v>41</v>
      </c>
      <c r="H125" s="13">
        <f>1+2+4+3+2+2+0+2+5+11+7</f>
        <v>39</v>
      </c>
      <c r="I125" s="13">
        <f>2+10+11+11+3+7+10+2+10+12+7</f>
        <v>85</v>
      </c>
      <c r="J125" s="13">
        <f>(6.2+6.8+6.6+6.8+6.5+6.8+6.9+6.5+6.5+7+6.4)/11</f>
        <v>6.6363636363636367</v>
      </c>
      <c r="K125" s="6">
        <f t="shared" si="20"/>
        <v>80</v>
      </c>
      <c r="L125" s="6">
        <f t="shared" si="21"/>
        <v>165</v>
      </c>
      <c r="M125" s="6">
        <f t="shared" si="22"/>
        <v>0.2857142857142857</v>
      </c>
      <c r="N125" s="6">
        <f t="shared" si="25"/>
        <v>0.5892857142857143</v>
      </c>
      <c r="O125">
        <f>1+1+1+1+1+1+1+1+1+1+1</f>
        <v>11</v>
      </c>
      <c r="P125" s="7">
        <f>1+1+1+1+1+1+1+1+1+1+1</f>
        <v>11</v>
      </c>
      <c r="Q125">
        <f>1+1+0+1+0+1+1+1+0+1+0</f>
        <v>7</v>
      </c>
      <c r="R125">
        <f>1+0+0+0+0+1+1+0+1+0+1</f>
        <v>5</v>
      </c>
      <c r="S125">
        <f>1+1+1+1+1+1+0+1+1+1+1</f>
        <v>10</v>
      </c>
      <c r="T125">
        <f>0+1+1+1+1+1+0+1+1+1+1</f>
        <v>9</v>
      </c>
      <c r="U125" s="7">
        <f>1+1+1+1+1+0+1+1+1+1+1</f>
        <v>10</v>
      </c>
      <c r="V125">
        <f>0</f>
        <v>0</v>
      </c>
      <c r="W125" s="8">
        <f t="shared" si="24"/>
        <v>52</v>
      </c>
      <c r="X125" s="102" t="s">
        <v>167</v>
      </c>
    </row>
    <row r="126" spans="3:24" x14ac:dyDescent="0.25">
      <c r="C126" s="13" t="s">
        <v>109</v>
      </c>
      <c r="D126" s="13">
        <f>20+19+22+34+39+41+41+40</f>
        <v>256</v>
      </c>
      <c r="E126" s="14" t="s">
        <v>94</v>
      </c>
      <c r="F126" s="14" t="s">
        <v>53</v>
      </c>
      <c r="G126" s="13">
        <f>0+1+4+5+6+12+8+14</f>
        <v>50</v>
      </c>
      <c r="H126" s="13">
        <f>2+5+11+5+3+10+12+7</f>
        <v>55</v>
      </c>
      <c r="I126" s="13">
        <f>1+2+4+7+13+6+19+5</f>
        <v>57</v>
      </c>
      <c r="J126" s="13">
        <f>(6.4+6.5+7.1+6.7+6.8+7.1+6.9+6.7)/8</f>
        <v>6.7750000000000004</v>
      </c>
      <c r="K126" s="6">
        <f t="shared" si="20"/>
        <v>105</v>
      </c>
      <c r="L126" s="6">
        <f t="shared" si="21"/>
        <v>162</v>
      </c>
      <c r="M126" s="6">
        <f t="shared" si="22"/>
        <v>0.41015625</v>
      </c>
      <c r="N126" s="6">
        <f>(G126+H126+I126)/D126</f>
        <v>0.6328125</v>
      </c>
      <c r="O126">
        <f>1+1+1+1+1+1+1+1</f>
        <v>8</v>
      </c>
      <c r="P126" s="7">
        <f>1+1+1+1+1+1+1+1</f>
        <v>8</v>
      </c>
      <c r="Q126">
        <f>1+1+0+0+0+1+1+1</f>
        <v>5</v>
      </c>
      <c r="R126">
        <f>1+1+0+1+0+1+1+0</f>
        <v>5</v>
      </c>
      <c r="S126">
        <f>0+1+1+1+1+1+0+1</f>
        <v>6</v>
      </c>
      <c r="T126">
        <f>0+1+0+1+0+1+1+1</f>
        <v>5</v>
      </c>
      <c r="U126" s="7">
        <f>0+1+1+1+1+1+1+1</f>
        <v>7</v>
      </c>
      <c r="V126">
        <f>0</f>
        <v>0</v>
      </c>
      <c r="W126" s="8">
        <f t="shared" si="24"/>
        <v>36</v>
      </c>
      <c r="X126" s="13" t="s">
        <v>109</v>
      </c>
    </row>
    <row r="127" spans="3:24" x14ac:dyDescent="0.25">
      <c r="C127" s="102" t="s">
        <v>751</v>
      </c>
      <c r="D127" s="13">
        <f>19+25+30+36+44+48+43+3</f>
        <v>248</v>
      </c>
      <c r="E127" s="14" t="s">
        <v>102</v>
      </c>
      <c r="F127" s="14" t="s">
        <v>303</v>
      </c>
      <c r="G127" s="13">
        <f>2+3+3+9+5+4+12+1</f>
        <v>39</v>
      </c>
      <c r="H127" s="13">
        <f>1+3+7+9+11+10+13</f>
        <v>54</v>
      </c>
      <c r="I127" s="13">
        <f>4+11+7+9+6+12+14</f>
        <v>63</v>
      </c>
      <c r="J127" s="13">
        <f>(6.7+7.1+6.9+7+6.7+6.7+7.1)/7</f>
        <v>6.885714285714287</v>
      </c>
      <c r="K127" s="6">
        <f t="shared" si="20"/>
        <v>93</v>
      </c>
      <c r="L127" s="6">
        <f t="shared" si="21"/>
        <v>156</v>
      </c>
      <c r="M127" s="6">
        <f t="shared" si="22"/>
        <v>0.375</v>
      </c>
      <c r="N127" s="6">
        <f t="shared" ref="N127:N138" si="26">(I127+H127+G127)/D127</f>
        <v>0.62903225806451613</v>
      </c>
      <c r="O127">
        <f>1+1+1+1+1+1+1+0.25</f>
        <v>7.25</v>
      </c>
      <c r="P127" s="7">
        <f>1+1+1+1+1+1+1</f>
        <v>7</v>
      </c>
      <c r="Q127">
        <f>1+1+1+0+1+0+1</f>
        <v>5</v>
      </c>
      <c r="R127">
        <f>1+1+1+1+0+1+1</f>
        <v>6</v>
      </c>
      <c r="S127">
        <f>1+0+0+1+1+1+0</f>
        <v>4</v>
      </c>
      <c r="T127">
        <f>1+0+1+1+1+1+1</f>
        <v>6</v>
      </c>
      <c r="U127" s="7">
        <f>0+1+1+1+1+1+1</f>
        <v>6</v>
      </c>
      <c r="V127">
        <f>0</f>
        <v>0</v>
      </c>
      <c r="W127" s="8">
        <f t="shared" si="24"/>
        <v>34</v>
      </c>
      <c r="X127" s="102" t="s">
        <v>751</v>
      </c>
    </row>
    <row r="128" spans="3:24" x14ac:dyDescent="0.25">
      <c r="C128" s="13" t="s">
        <v>111</v>
      </c>
      <c r="D128" s="13">
        <f>26+31+35+38+49</f>
        <v>179</v>
      </c>
      <c r="E128" s="14" t="s">
        <v>94</v>
      </c>
      <c r="F128" s="14" t="s">
        <v>75</v>
      </c>
      <c r="G128" s="13">
        <f>1+4+5+11+10</f>
        <v>31</v>
      </c>
      <c r="H128" s="13">
        <f>2+5+10+13+22</f>
        <v>52</v>
      </c>
      <c r="I128" s="13">
        <f>6+3+10+18+26</f>
        <v>63</v>
      </c>
      <c r="J128" s="13">
        <f>(6.3+6.7+6.8+7+7.1)/5</f>
        <v>6.7799999999999994</v>
      </c>
      <c r="K128" s="6">
        <f t="shared" si="20"/>
        <v>83</v>
      </c>
      <c r="L128" s="6">
        <f t="shared" si="21"/>
        <v>146</v>
      </c>
      <c r="M128" s="6">
        <f t="shared" si="22"/>
        <v>0.46368715083798884</v>
      </c>
      <c r="N128" s="6">
        <f t="shared" si="26"/>
        <v>0.81564245810055869</v>
      </c>
      <c r="O128">
        <f>1+1+1+1+1</f>
        <v>5</v>
      </c>
      <c r="P128" s="7">
        <f>1+1+1+1+1</f>
        <v>5</v>
      </c>
      <c r="Q128">
        <f>0+1+1+1+1</f>
        <v>4</v>
      </c>
      <c r="R128">
        <f>0+1+1+0+1</f>
        <v>3</v>
      </c>
      <c r="S128">
        <f>0+1+1+1+0+1</f>
        <v>4</v>
      </c>
      <c r="T128">
        <f>0+1+1+0+1+1</f>
        <v>4</v>
      </c>
      <c r="U128" s="7">
        <f>1+0+1+1+1</f>
        <v>4</v>
      </c>
      <c r="V128">
        <f>0</f>
        <v>0</v>
      </c>
      <c r="W128" s="8">
        <f t="shared" si="24"/>
        <v>24</v>
      </c>
      <c r="X128" s="13" t="s">
        <v>111</v>
      </c>
    </row>
    <row r="129" spans="3:24" x14ac:dyDescent="0.25">
      <c r="C129" s="15" t="s">
        <v>1366</v>
      </c>
      <c r="D129" s="13">
        <f>2+21+18+27+46+43</f>
        <v>157</v>
      </c>
      <c r="E129" s="14" t="s">
        <v>99</v>
      </c>
      <c r="F129" s="14" t="s">
        <v>31</v>
      </c>
      <c r="G129" s="13">
        <f>0+0+2+9+10+15</f>
        <v>36</v>
      </c>
      <c r="H129" s="13">
        <f>1+3+8+4+13+20</f>
        <v>49</v>
      </c>
      <c r="I129" s="13">
        <f>0+3+9+8+15+20</f>
        <v>55</v>
      </c>
      <c r="J129" s="13">
        <f>(6.4+7.1+6.8+6.9+7.2)/5</f>
        <v>6.8800000000000008</v>
      </c>
      <c r="K129" s="6">
        <f t="shared" si="20"/>
        <v>85</v>
      </c>
      <c r="L129" s="6">
        <f t="shared" si="21"/>
        <v>140</v>
      </c>
      <c r="M129" s="6">
        <f t="shared" si="22"/>
        <v>0.54140127388535031</v>
      </c>
      <c r="N129" s="6">
        <f t="shared" si="26"/>
        <v>0.89171974522292996</v>
      </c>
      <c r="O129">
        <f>0.125+1+1+1+1+1</f>
        <v>5.125</v>
      </c>
      <c r="P129" s="7">
        <f>1+1+1+1+1+1</f>
        <v>6</v>
      </c>
      <c r="Q129">
        <f>0+1+1+1+1+0</f>
        <v>4</v>
      </c>
      <c r="R129">
        <f>0+1+1+0+1+1</f>
        <v>4</v>
      </c>
      <c r="S129">
        <f>0+1+1+1+1+0</f>
        <v>4</v>
      </c>
      <c r="T129">
        <f>0+1+1+1+1+1</f>
        <v>5</v>
      </c>
      <c r="U129" s="7">
        <f>1+1+1+1+1+1</f>
        <v>6</v>
      </c>
      <c r="V129">
        <f>0</f>
        <v>0</v>
      </c>
      <c r="W129" s="8">
        <f t="shared" si="24"/>
        <v>29</v>
      </c>
      <c r="X129" s="15" t="s">
        <v>1366</v>
      </c>
    </row>
    <row r="130" spans="3:24" x14ac:dyDescent="0.25">
      <c r="C130" s="13" t="s">
        <v>112</v>
      </c>
      <c r="D130" s="13">
        <f>17+47+35</f>
        <v>99</v>
      </c>
      <c r="E130" s="14" t="s">
        <v>94</v>
      </c>
      <c r="F130" s="14" t="s">
        <v>113</v>
      </c>
      <c r="G130" s="13">
        <f>5+19+8</f>
        <v>32</v>
      </c>
      <c r="H130" s="13">
        <f>4+19+16</f>
        <v>39</v>
      </c>
      <c r="I130" s="13">
        <f>4+23+35</f>
        <v>62</v>
      </c>
      <c r="J130" s="13">
        <f>(6.9+7.4+7.3)/3</f>
        <v>7.2</v>
      </c>
      <c r="K130" s="6">
        <f t="shared" si="20"/>
        <v>71</v>
      </c>
      <c r="L130" s="6">
        <f t="shared" si="21"/>
        <v>133</v>
      </c>
      <c r="M130" s="6">
        <f t="shared" si="22"/>
        <v>0.71717171717171713</v>
      </c>
      <c r="N130" s="6">
        <f t="shared" si="26"/>
        <v>1.3434343434343434</v>
      </c>
      <c r="O130">
        <f>1+1+1</f>
        <v>3</v>
      </c>
      <c r="P130" s="7">
        <f>1+1+1</f>
        <v>3</v>
      </c>
      <c r="Q130">
        <f>0+1+1</f>
        <v>2</v>
      </c>
      <c r="R130">
        <f>0+0+1</f>
        <v>1</v>
      </c>
      <c r="S130">
        <f>0+1+1+1</f>
        <v>3</v>
      </c>
      <c r="T130">
        <f>0+1+1</f>
        <v>2</v>
      </c>
      <c r="U130" s="7">
        <f>1+1+0</f>
        <v>2</v>
      </c>
      <c r="V130">
        <f>0</f>
        <v>0</v>
      </c>
      <c r="W130" s="8">
        <f t="shared" si="24"/>
        <v>13</v>
      </c>
      <c r="X130" s="13" t="s">
        <v>112</v>
      </c>
    </row>
    <row r="131" spans="3:24" x14ac:dyDescent="0.25">
      <c r="C131" s="13" t="s">
        <v>114</v>
      </c>
      <c r="D131" s="13">
        <f>33+38+42+41+20</f>
        <v>174</v>
      </c>
      <c r="E131" s="14" t="s">
        <v>96</v>
      </c>
      <c r="F131" s="14" t="s">
        <v>31</v>
      </c>
      <c r="G131" s="13">
        <f>3+8+5+8+3</f>
        <v>27</v>
      </c>
      <c r="H131" s="13">
        <f>4+2+5+5+1</f>
        <v>17</v>
      </c>
      <c r="I131" s="13">
        <f>16+17+17+19+11</f>
        <v>80</v>
      </c>
      <c r="J131" s="13">
        <f>(7.4+7.5+7.3+7.6+7.3)/5</f>
        <v>7.419999999999999</v>
      </c>
      <c r="K131" s="6">
        <f t="shared" si="20"/>
        <v>44</v>
      </c>
      <c r="L131" s="6">
        <f t="shared" si="21"/>
        <v>124</v>
      </c>
      <c r="M131" s="6">
        <f t="shared" si="22"/>
        <v>0.25287356321839083</v>
      </c>
      <c r="N131" s="6">
        <f t="shared" si="26"/>
        <v>0.71264367816091956</v>
      </c>
      <c r="O131">
        <f>1+1+1+1+0.5</f>
        <v>4.5</v>
      </c>
      <c r="P131" s="7">
        <f>1+0+1+1</f>
        <v>3</v>
      </c>
      <c r="Q131">
        <f>1+1</f>
        <v>2</v>
      </c>
      <c r="R131">
        <f>1+0</f>
        <v>1</v>
      </c>
      <c r="S131">
        <f>1+1+1</f>
        <v>3</v>
      </c>
      <c r="T131">
        <f>1+1+1</f>
        <v>3</v>
      </c>
      <c r="U131" s="7">
        <f>1+1+1</f>
        <v>3</v>
      </c>
      <c r="V131">
        <f>0</f>
        <v>0</v>
      </c>
      <c r="W131" s="8">
        <f t="shared" si="24"/>
        <v>15</v>
      </c>
      <c r="X131" s="13" t="s">
        <v>114</v>
      </c>
    </row>
    <row r="132" spans="3:24" x14ac:dyDescent="0.25">
      <c r="C132" s="15" t="s">
        <v>1412</v>
      </c>
      <c r="D132" s="13">
        <f>23+41+28+34+38</f>
        <v>164</v>
      </c>
      <c r="E132" s="14" t="s">
        <v>102</v>
      </c>
      <c r="F132" s="14" t="s">
        <v>59</v>
      </c>
      <c r="G132" s="13">
        <f>1+9+10+6+5</f>
        <v>31</v>
      </c>
      <c r="H132" s="13">
        <f>2+15+5+5+2</f>
        <v>29</v>
      </c>
      <c r="I132" s="13">
        <f>6+19+7+11+10</f>
        <v>53</v>
      </c>
      <c r="J132" s="13">
        <f>(6.4+7.2+6.9+7.2+6.8)/5</f>
        <v>6.9</v>
      </c>
      <c r="K132" s="6">
        <f t="shared" si="20"/>
        <v>60</v>
      </c>
      <c r="L132" s="6">
        <f t="shared" si="21"/>
        <v>113</v>
      </c>
      <c r="M132" s="6">
        <f t="shared" si="22"/>
        <v>0.36585365853658536</v>
      </c>
      <c r="N132" s="6">
        <f t="shared" si="26"/>
        <v>0.68902439024390238</v>
      </c>
      <c r="O132">
        <f>0.75+1+1+1+1</f>
        <v>4.75</v>
      </c>
      <c r="P132" s="7">
        <f>1+1+1+1+1</f>
        <v>5</v>
      </c>
      <c r="Q132">
        <f>1+0+1+1+0</f>
        <v>3</v>
      </c>
      <c r="R132">
        <f>1+1+0+1+1</f>
        <v>4</v>
      </c>
      <c r="S132">
        <f>0+0+1+1+0</f>
        <v>2</v>
      </c>
      <c r="T132">
        <f>1+1+1+1+1</f>
        <v>5</v>
      </c>
      <c r="U132" s="7">
        <f>1+1+1+1+1</f>
        <v>5</v>
      </c>
      <c r="V132">
        <f>0</f>
        <v>0</v>
      </c>
      <c r="W132" s="8">
        <f t="shared" si="24"/>
        <v>24</v>
      </c>
      <c r="X132" s="15" t="s">
        <v>1412</v>
      </c>
    </row>
    <row r="133" spans="3:24" x14ac:dyDescent="0.25">
      <c r="C133" s="102" t="s">
        <v>1375</v>
      </c>
      <c r="D133" s="13">
        <f>28+41+44</f>
        <v>113</v>
      </c>
      <c r="E133" s="14" t="s">
        <v>96</v>
      </c>
      <c r="F133" s="14" t="s">
        <v>79</v>
      </c>
      <c r="G133" s="13">
        <f>3+9+7</f>
        <v>19</v>
      </c>
      <c r="H133" s="13">
        <f>3+15+14</f>
        <v>32</v>
      </c>
      <c r="I133" s="13">
        <f>8+20+23</f>
        <v>51</v>
      </c>
      <c r="J133" s="13">
        <f>(7+7.6+7.5)/3</f>
        <v>7.3666666666666671</v>
      </c>
      <c r="K133" s="6">
        <f t="shared" si="20"/>
        <v>51</v>
      </c>
      <c r="L133" s="6">
        <f t="shared" si="21"/>
        <v>102</v>
      </c>
      <c r="M133" s="6">
        <f t="shared" si="22"/>
        <v>0.45132743362831856</v>
      </c>
      <c r="N133" s="6">
        <f t="shared" si="26"/>
        <v>0.90265486725663713</v>
      </c>
      <c r="O133" s="179">
        <f t="shared" ref="O133:U133" si="27">1+1+1</f>
        <v>3</v>
      </c>
      <c r="P133" s="7">
        <f t="shared" si="27"/>
        <v>3</v>
      </c>
      <c r="Q133">
        <f t="shared" si="27"/>
        <v>3</v>
      </c>
      <c r="R133">
        <f t="shared" si="27"/>
        <v>3</v>
      </c>
      <c r="S133">
        <f t="shared" si="27"/>
        <v>3</v>
      </c>
      <c r="T133">
        <f t="shared" si="27"/>
        <v>3</v>
      </c>
      <c r="U133" s="7">
        <f t="shared" si="27"/>
        <v>3</v>
      </c>
      <c r="V133">
        <f>0</f>
        <v>0</v>
      </c>
      <c r="W133" s="8">
        <f t="shared" si="24"/>
        <v>18</v>
      </c>
      <c r="X133" s="102" t="s">
        <v>1375</v>
      </c>
    </row>
    <row r="134" spans="3:24" x14ac:dyDescent="0.25">
      <c r="C134" s="13" t="s">
        <v>117</v>
      </c>
      <c r="D134" s="13">
        <f>19+17+27+41+40+39</f>
        <v>183</v>
      </c>
      <c r="E134" s="14" t="s">
        <v>94</v>
      </c>
      <c r="F134" s="14" t="s">
        <v>39</v>
      </c>
      <c r="G134" s="13">
        <f>0+1+3+3+9+3</f>
        <v>19</v>
      </c>
      <c r="H134" s="13">
        <f>4+4+9+5+6+9</f>
        <v>37</v>
      </c>
      <c r="I134" s="13">
        <f>3+1+2+11+16+11</f>
        <v>44</v>
      </c>
      <c r="J134" s="13">
        <f>(6.5+6.7+6.5+6.8+7+6.9)/6</f>
        <v>6.7333333333333334</v>
      </c>
      <c r="K134" s="6">
        <f t="shared" si="20"/>
        <v>56</v>
      </c>
      <c r="L134" s="6">
        <f t="shared" si="21"/>
        <v>100</v>
      </c>
      <c r="M134" s="6">
        <f t="shared" si="22"/>
        <v>0.30601092896174864</v>
      </c>
      <c r="N134" s="6">
        <f t="shared" si="26"/>
        <v>0.54644808743169404</v>
      </c>
      <c r="O134">
        <f>1+1+1+1+1+1</f>
        <v>6</v>
      </c>
      <c r="P134" s="7">
        <f>1+1+1+1+1+1</f>
        <v>6</v>
      </c>
      <c r="Q134">
        <f>1+0+0+0+1+1</f>
        <v>3</v>
      </c>
      <c r="R134">
        <f>1+0+1+0+1+1</f>
        <v>4</v>
      </c>
      <c r="S134">
        <f>1+1+1+1+1+0</f>
        <v>5</v>
      </c>
      <c r="T134">
        <f>1+0+1+0+1+1</f>
        <v>4</v>
      </c>
      <c r="U134" s="7">
        <f>1+1+1+1+1+1</f>
        <v>6</v>
      </c>
      <c r="V134">
        <f>0</f>
        <v>0</v>
      </c>
      <c r="W134" s="8">
        <f t="shared" si="24"/>
        <v>28</v>
      </c>
      <c r="X134" s="13" t="s">
        <v>117</v>
      </c>
    </row>
    <row r="135" spans="3:24" x14ac:dyDescent="0.25">
      <c r="C135" s="15" t="s">
        <v>1368</v>
      </c>
      <c r="D135" s="13">
        <f>1+14+9+30+36+37+37</f>
        <v>164</v>
      </c>
      <c r="E135" s="14" t="s">
        <v>91</v>
      </c>
      <c r="F135" s="14" t="s">
        <v>31</v>
      </c>
      <c r="G135" s="13">
        <f>1+0+5+8+9+7</f>
        <v>30</v>
      </c>
      <c r="H135" s="13">
        <f>0+1+8+5+6+9</f>
        <v>29</v>
      </c>
      <c r="I135" s="13">
        <f>0+3+4+10+8+11+5</f>
        <v>41</v>
      </c>
      <c r="J135" s="13">
        <f>(6.4+7+6.8+6.9+6.9)/5</f>
        <v>6.8</v>
      </c>
      <c r="K135" s="6">
        <f t="shared" si="20"/>
        <v>59</v>
      </c>
      <c r="L135" s="6">
        <f t="shared" si="21"/>
        <v>100</v>
      </c>
      <c r="M135" s="6">
        <f t="shared" si="22"/>
        <v>0.3597560975609756</v>
      </c>
      <c r="N135" s="6">
        <f t="shared" si="26"/>
        <v>0.6097560975609756</v>
      </c>
      <c r="O135">
        <f>0.125+1+1+1+1+1</f>
        <v>5.125</v>
      </c>
      <c r="P135" s="7">
        <f>1+1+1+1+1+1</f>
        <v>6</v>
      </c>
      <c r="Q135">
        <f>0+1+0+1+1+0</f>
        <v>3</v>
      </c>
      <c r="R135">
        <f>0+1+1+0+1+1</f>
        <v>4</v>
      </c>
      <c r="S135">
        <f>0+1+0+1+1+0</f>
        <v>3</v>
      </c>
      <c r="T135">
        <f>0+1+1+1+1+1</f>
        <v>5</v>
      </c>
      <c r="U135" s="7">
        <f>1+1+1+1+1+1</f>
        <v>6</v>
      </c>
      <c r="V135">
        <f>0</f>
        <v>0</v>
      </c>
      <c r="W135" s="8">
        <f t="shared" si="24"/>
        <v>27</v>
      </c>
      <c r="X135" s="15" t="s">
        <v>1368</v>
      </c>
    </row>
    <row r="136" spans="3:24" x14ac:dyDescent="0.25">
      <c r="C136" s="13" t="s">
        <v>118</v>
      </c>
      <c r="D136" s="13">
        <f>37+37+47</f>
        <v>121</v>
      </c>
      <c r="E136" s="14" t="s">
        <v>91</v>
      </c>
      <c r="F136" s="14" t="s">
        <v>31</v>
      </c>
      <c r="G136" s="13">
        <f>15+18+15</f>
        <v>48</v>
      </c>
      <c r="H136" s="13">
        <f>5+10+5</f>
        <v>20</v>
      </c>
      <c r="I136" s="13">
        <f>7+11+13</f>
        <v>31</v>
      </c>
      <c r="J136" s="13">
        <f>(7.2+7.4+7.1)/3</f>
        <v>7.2333333333333343</v>
      </c>
      <c r="K136" s="6">
        <f t="shared" si="20"/>
        <v>68</v>
      </c>
      <c r="L136" s="6">
        <f t="shared" si="21"/>
        <v>99</v>
      </c>
      <c r="M136" s="6">
        <f t="shared" si="22"/>
        <v>0.56198347107438018</v>
      </c>
      <c r="N136" s="6">
        <f t="shared" si="26"/>
        <v>0.81818181818181823</v>
      </c>
      <c r="O136">
        <f>1+1+1</f>
        <v>3</v>
      </c>
      <c r="P136" s="7">
        <f>1+1+1</f>
        <v>3</v>
      </c>
      <c r="Q136">
        <f>1+0+0</f>
        <v>1</v>
      </c>
      <c r="R136">
        <f>0+1+1</f>
        <v>2</v>
      </c>
      <c r="S136">
        <f>1+0+1</f>
        <v>2</v>
      </c>
      <c r="T136">
        <f>1+0+1</f>
        <v>2</v>
      </c>
      <c r="U136" s="7">
        <f>1+1+1</f>
        <v>3</v>
      </c>
      <c r="V136">
        <f>0</f>
        <v>0</v>
      </c>
      <c r="W136" s="8">
        <f t="shared" si="24"/>
        <v>13</v>
      </c>
      <c r="X136" s="13" t="s">
        <v>118</v>
      </c>
    </row>
    <row r="137" spans="3:24" x14ac:dyDescent="0.25">
      <c r="C137" s="15" t="s">
        <v>1387</v>
      </c>
      <c r="D137" s="13">
        <f>5+23+21+17+32+32</f>
        <v>130</v>
      </c>
      <c r="E137" s="14" t="s">
        <v>91</v>
      </c>
      <c r="F137" s="14" t="s">
        <v>192</v>
      </c>
      <c r="G137" s="13">
        <f>0+7+1+5+7+6</f>
        <v>26</v>
      </c>
      <c r="H137" s="13">
        <f>0+5+1+4+16+9</f>
        <v>35</v>
      </c>
      <c r="I137" s="13">
        <f>0+10+6+4+12+5</f>
        <v>37</v>
      </c>
      <c r="J137" s="13">
        <f>(7+6.7+7+7.3+6.6)/5</f>
        <v>6.92</v>
      </c>
      <c r="K137" s="6">
        <f t="shared" ref="K137:K168" si="28">SUM(G137:H137)</f>
        <v>61</v>
      </c>
      <c r="L137" s="6">
        <f t="shared" ref="L137:L168" si="29">SUM(G137:I137)</f>
        <v>98</v>
      </c>
      <c r="M137" s="6">
        <f t="shared" ref="M137:M168" si="30">(G137+H137)/D137</f>
        <v>0.46923076923076923</v>
      </c>
      <c r="N137" s="6">
        <f t="shared" si="26"/>
        <v>0.75384615384615383</v>
      </c>
      <c r="O137">
        <f>0.5+1+1+1+1+1</f>
        <v>5.5</v>
      </c>
      <c r="P137" s="7">
        <f>1+1+1+1+1+1</f>
        <v>6</v>
      </c>
      <c r="Q137">
        <f>1+1+0+1+1+0</f>
        <v>4</v>
      </c>
      <c r="R137">
        <f>1+1+1+0+1+1</f>
        <v>5</v>
      </c>
      <c r="S137">
        <f>0+1+0+1+1+0</f>
        <v>3</v>
      </c>
      <c r="T137">
        <f>0+1+1+1+1+1</f>
        <v>5</v>
      </c>
      <c r="U137" s="7">
        <f>1+1+1+1+1+1</f>
        <v>6</v>
      </c>
      <c r="V137">
        <f>0</f>
        <v>0</v>
      </c>
      <c r="W137" s="8">
        <f t="shared" ref="W137:W168" si="31">SUM(P137:V137)</f>
        <v>29</v>
      </c>
      <c r="X137" s="15" t="s">
        <v>1387</v>
      </c>
    </row>
    <row r="138" spans="3:24" x14ac:dyDescent="0.25">
      <c r="C138" s="13" t="s">
        <v>120</v>
      </c>
      <c r="D138" s="13">
        <f>19+44+40+18</f>
        <v>121</v>
      </c>
      <c r="E138" s="14" t="s">
        <v>94</v>
      </c>
      <c r="F138" s="14" t="s">
        <v>27</v>
      </c>
      <c r="G138" s="13">
        <f>1+15+5+7</f>
        <v>28</v>
      </c>
      <c r="H138" s="13">
        <f>11+11+15+4</f>
        <v>41</v>
      </c>
      <c r="I138" s="13">
        <f>4+5+10+2</f>
        <v>21</v>
      </c>
      <c r="J138" s="13">
        <f>(7+6.9+6.8+6.8)/4</f>
        <v>6.875</v>
      </c>
      <c r="K138" s="6">
        <f t="shared" si="28"/>
        <v>69</v>
      </c>
      <c r="L138" s="6">
        <f t="shared" si="29"/>
        <v>90</v>
      </c>
      <c r="M138" s="6">
        <f t="shared" si="30"/>
        <v>0.57024793388429751</v>
      </c>
      <c r="N138" s="6">
        <f t="shared" si="26"/>
        <v>0.74380165289256195</v>
      </c>
      <c r="O138">
        <f>1+1+1+0.5</f>
        <v>3.5</v>
      </c>
      <c r="P138" s="7">
        <f>1+1+1</f>
        <v>3</v>
      </c>
      <c r="Q138">
        <f>0+0+1</f>
        <v>1</v>
      </c>
      <c r="R138">
        <f>1+1+1</f>
        <v>3</v>
      </c>
      <c r="S138">
        <f>0+1+1+1</f>
        <v>3</v>
      </c>
      <c r="T138">
        <f>0+1+0+1</f>
        <v>2</v>
      </c>
      <c r="U138" s="7">
        <f>1+1+1</f>
        <v>3</v>
      </c>
      <c r="V138">
        <f>0</f>
        <v>0</v>
      </c>
      <c r="W138" s="8">
        <f t="shared" si="31"/>
        <v>15</v>
      </c>
      <c r="X138" s="13" t="s">
        <v>120</v>
      </c>
    </row>
    <row r="139" spans="3:24" x14ac:dyDescent="0.25">
      <c r="C139" s="13" t="s">
        <v>119</v>
      </c>
      <c r="D139" s="13">
        <f>1+20+16+23+32+36+32</f>
        <v>160</v>
      </c>
      <c r="E139" s="14" t="s">
        <v>96</v>
      </c>
      <c r="F139" s="14" t="s">
        <v>53</v>
      </c>
      <c r="G139" s="13">
        <f>0+3+4+3+6+4+4</f>
        <v>24</v>
      </c>
      <c r="H139" s="13">
        <f>0+2+6+1+8+6+5</f>
        <v>28</v>
      </c>
      <c r="I139" s="13">
        <f>1+7+2+3+11+5+4</f>
        <v>33</v>
      </c>
      <c r="J139" s="13">
        <f>(7.3+7.4+7+6.8)/4</f>
        <v>7.125</v>
      </c>
      <c r="K139" s="6">
        <f t="shared" si="28"/>
        <v>52</v>
      </c>
      <c r="L139" s="6">
        <f t="shared" si="29"/>
        <v>85</v>
      </c>
      <c r="M139" s="6">
        <f t="shared" si="30"/>
        <v>0.32500000000000001</v>
      </c>
      <c r="N139" s="6">
        <f>(G139+H139+I139)/D139</f>
        <v>0.53125</v>
      </c>
      <c r="O139">
        <f>1+1+1+1+1+1+1</f>
        <v>7</v>
      </c>
      <c r="P139" s="7">
        <f>1+1+1+1+1+1+1</f>
        <v>7</v>
      </c>
      <c r="Q139">
        <f>0+1+1+1+1+1+0</f>
        <v>5</v>
      </c>
      <c r="R139">
        <f>0+1+1+0+1+1+0</f>
        <v>4</v>
      </c>
      <c r="S139">
        <f>0+1+1+0+1+1+1</f>
        <v>5</v>
      </c>
      <c r="T139">
        <f>1+0+1+1+1+0</f>
        <v>4</v>
      </c>
      <c r="U139" s="7">
        <f>1+0+1+1+1+1+1</f>
        <v>6</v>
      </c>
      <c r="V139">
        <f>0</f>
        <v>0</v>
      </c>
      <c r="W139" s="8">
        <f t="shared" si="31"/>
        <v>31</v>
      </c>
      <c r="X139" s="13" t="s">
        <v>119</v>
      </c>
    </row>
    <row r="140" spans="3:24" x14ac:dyDescent="0.25">
      <c r="C140" s="102" t="s">
        <v>1448</v>
      </c>
      <c r="D140" s="13">
        <f>45+39+35+28</f>
        <v>147</v>
      </c>
      <c r="E140" s="14" t="s">
        <v>99</v>
      </c>
      <c r="F140" s="14" t="s">
        <v>31</v>
      </c>
      <c r="G140" s="13">
        <f>6+8+5+3</f>
        <v>22</v>
      </c>
      <c r="H140" s="13">
        <f>8+7+8+10</f>
        <v>33</v>
      </c>
      <c r="I140" s="13">
        <f>12+4+4+4</f>
        <v>24</v>
      </c>
      <c r="J140" s="13">
        <f>(6.8+6.5+6.5+6.7)/4</f>
        <v>6.625</v>
      </c>
      <c r="K140" s="6">
        <f t="shared" si="28"/>
        <v>55</v>
      </c>
      <c r="L140" s="6">
        <f t="shared" si="29"/>
        <v>79</v>
      </c>
      <c r="M140" s="6">
        <f t="shared" si="30"/>
        <v>0.37414965986394561</v>
      </c>
      <c r="N140" s="6">
        <f>(I140+H140+G140)/D140</f>
        <v>0.5374149659863946</v>
      </c>
      <c r="O140">
        <f>1+1+1+0.5</f>
        <v>3.5</v>
      </c>
      <c r="P140" s="7">
        <f>1+1+1</f>
        <v>3</v>
      </c>
      <c r="Q140">
        <f>1+0+1</f>
        <v>2</v>
      </c>
      <c r="R140">
        <f>1+1+0</f>
        <v>2</v>
      </c>
      <c r="S140">
        <f>0+0+1+1</f>
        <v>2</v>
      </c>
      <c r="T140">
        <f>1+1+1+1</f>
        <v>4</v>
      </c>
      <c r="U140" s="7">
        <f>1+1+1</f>
        <v>3</v>
      </c>
      <c r="V140">
        <f>0</f>
        <v>0</v>
      </c>
      <c r="W140" s="8">
        <f t="shared" si="31"/>
        <v>16</v>
      </c>
      <c r="X140" s="102" t="s">
        <v>1448</v>
      </c>
    </row>
    <row r="141" spans="3:24" x14ac:dyDescent="0.25">
      <c r="C141" s="102" t="s">
        <v>1239</v>
      </c>
      <c r="D141" s="13">
        <f>29+30+34</f>
        <v>93</v>
      </c>
      <c r="E141" s="14" t="s">
        <v>91</v>
      </c>
      <c r="F141" s="14" t="s">
        <v>75</v>
      </c>
      <c r="G141" s="13">
        <f>8+5+7</f>
        <v>20</v>
      </c>
      <c r="H141" s="13">
        <f>6+5+11</f>
        <v>22</v>
      </c>
      <c r="I141" s="13">
        <f>10+11+15</f>
        <v>36</v>
      </c>
      <c r="J141" s="13">
        <f>(6.8+6.7+7)/3</f>
        <v>6.833333333333333</v>
      </c>
      <c r="K141" s="6">
        <f t="shared" si="28"/>
        <v>42</v>
      </c>
      <c r="L141" s="6">
        <f t="shared" si="29"/>
        <v>78</v>
      </c>
      <c r="M141" s="6">
        <f t="shared" si="30"/>
        <v>0.45161290322580644</v>
      </c>
      <c r="N141" s="6">
        <f>(I141+H141+G141)/D141</f>
        <v>0.83870967741935487</v>
      </c>
      <c r="O141">
        <f>0.75+1+1</f>
        <v>2.75</v>
      </c>
      <c r="P141" s="7">
        <f>1+1+1</f>
        <v>3</v>
      </c>
      <c r="Q141">
        <f>1+1+1</f>
        <v>3</v>
      </c>
      <c r="R141">
        <f>1+0+1</f>
        <v>2</v>
      </c>
      <c r="S141">
        <f>0+0+1</f>
        <v>1</v>
      </c>
      <c r="T141">
        <f>0+0+1</f>
        <v>1</v>
      </c>
      <c r="U141" s="7">
        <f>1+1+1</f>
        <v>3</v>
      </c>
      <c r="V141">
        <f>0</f>
        <v>0</v>
      </c>
      <c r="W141" s="8">
        <f t="shared" si="31"/>
        <v>13</v>
      </c>
      <c r="X141" s="102" t="s">
        <v>1239</v>
      </c>
    </row>
    <row r="142" spans="3:24" x14ac:dyDescent="0.25">
      <c r="C142" s="15" t="s">
        <v>1410</v>
      </c>
      <c r="D142" s="13">
        <f>6+23+27+22+13+31</f>
        <v>122</v>
      </c>
      <c r="E142" s="14" t="s">
        <v>99</v>
      </c>
      <c r="F142" s="14" t="s">
        <v>59</v>
      </c>
      <c r="G142" s="13">
        <f>2+0+1+2+3+2</f>
        <v>10</v>
      </c>
      <c r="H142" s="13">
        <f>0+8+2+5+3+15</f>
        <v>33</v>
      </c>
      <c r="I142" s="13">
        <f>1+13+2+5+5+9</f>
        <v>35</v>
      </c>
      <c r="J142" s="13">
        <f>(6.8+7.1+6.3+6.6+7.1+6.8)/6</f>
        <v>6.7833333333333323</v>
      </c>
      <c r="K142" s="6">
        <f t="shared" si="28"/>
        <v>43</v>
      </c>
      <c r="L142" s="6">
        <f t="shared" si="29"/>
        <v>78</v>
      </c>
      <c r="M142" s="6">
        <f t="shared" si="30"/>
        <v>0.35245901639344263</v>
      </c>
      <c r="N142" s="6">
        <f>(I142+H142+G142)/D142</f>
        <v>0.63934426229508201</v>
      </c>
      <c r="O142">
        <f>0.25+1+1+1+1+1</f>
        <v>5.25</v>
      </c>
      <c r="P142" s="7">
        <f>1+1+1+1+1+1</f>
        <v>6</v>
      </c>
      <c r="Q142">
        <f>1+1+0+1+1+0</f>
        <v>4</v>
      </c>
      <c r="R142">
        <f>1+1+1+0+1+1</f>
        <v>5</v>
      </c>
      <c r="S142">
        <f>0+1+0+1+1+0</f>
        <v>3</v>
      </c>
      <c r="T142">
        <f>0+1+1+1+1+1</f>
        <v>5</v>
      </c>
      <c r="U142" s="7">
        <f>1+1+1+1+1+1</f>
        <v>6</v>
      </c>
      <c r="V142">
        <f>0</f>
        <v>0</v>
      </c>
      <c r="W142" s="8">
        <f t="shared" si="31"/>
        <v>29</v>
      </c>
      <c r="X142" s="15" t="s">
        <v>1411</v>
      </c>
    </row>
    <row r="143" spans="3:24" x14ac:dyDescent="0.25">
      <c r="C143" s="13" t="s">
        <v>121</v>
      </c>
      <c r="D143" s="13">
        <f>39+30+31</f>
        <v>100</v>
      </c>
      <c r="E143" s="14" t="s">
        <v>96</v>
      </c>
      <c r="F143" s="14" t="s">
        <v>37</v>
      </c>
      <c r="G143" s="13">
        <f>5+9+2</f>
        <v>16</v>
      </c>
      <c r="H143" s="13">
        <f>5+4+3</f>
        <v>12</v>
      </c>
      <c r="I143" s="13">
        <f>18+9+14</f>
        <v>41</v>
      </c>
      <c r="J143" s="13">
        <f>(7.5+7.5+7.3)/3</f>
        <v>7.4333333333333336</v>
      </c>
      <c r="K143" s="6">
        <f t="shared" si="28"/>
        <v>28</v>
      </c>
      <c r="L143" s="6">
        <f t="shared" si="29"/>
        <v>69</v>
      </c>
      <c r="M143" s="6">
        <f t="shared" si="30"/>
        <v>0.28000000000000003</v>
      </c>
      <c r="N143" s="6">
        <f>(G143+H143+I143)/D143</f>
        <v>0.69</v>
      </c>
      <c r="O143">
        <f>1+1+1</f>
        <v>3</v>
      </c>
      <c r="P143" s="7">
        <f>1+1+1</f>
        <v>3</v>
      </c>
      <c r="Q143">
        <f>1+1+1</f>
        <v>3</v>
      </c>
      <c r="R143">
        <f>1+1+0</f>
        <v>2</v>
      </c>
      <c r="S143">
        <f>0+1+0</f>
        <v>1</v>
      </c>
      <c r="T143">
        <f>0+0+1</f>
        <v>1</v>
      </c>
      <c r="U143" s="7">
        <f>0+1+1</f>
        <v>2</v>
      </c>
      <c r="V143">
        <f>0</f>
        <v>0</v>
      </c>
      <c r="W143" s="8">
        <f t="shared" si="31"/>
        <v>12</v>
      </c>
      <c r="X143" s="13" t="s">
        <v>121</v>
      </c>
    </row>
    <row r="144" spans="3:24" x14ac:dyDescent="0.25">
      <c r="C144" s="13" t="s">
        <v>802</v>
      </c>
      <c r="D144" s="13">
        <f>13+37+40+39</f>
        <v>129</v>
      </c>
      <c r="E144" s="14" t="s">
        <v>102</v>
      </c>
      <c r="F144" s="14" t="s">
        <v>79</v>
      </c>
      <c r="G144" s="13">
        <f>3+8+8+7</f>
        <v>26</v>
      </c>
      <c r="H144" s="13">
        <f>1+8+10+8</f>
        <v>27</v>
      </c>
      <c r="I144" s="13">
        <f>1+3+8+3</f>
        <v>15</v>
      </c>
      <c r="J144" s="13">
        <f>(6.6+6.7+7+6.5)/4</f>
        <v>6.7</v>
      </c>
      <c r="K144" s="6">
        <f t="shared" si="28"/>
        <v>53</v>
      </c>
      <c r="L144" s="6">
        <f t="shared" si="29"/>
        <v>68</v>
      </c>
      <c r="M144" s="6">
        <f t="shared" si="30"/>
        <v>0.41085271317829458</v>
      </c>
      <c r="N144" s="6">
        <f t="shared" ref="N144:N152" si="32">(I144+H144+G144)/D144</f>
        <v>0.52713178294573648</v>
      </c>
      <c r="O144">
        <f>0.5+1+1+1</f>
        <v>3.5</v>
      </c>
      <c r="P144" s="7">
        <f>1+1+1+1</f>
        <v>4</v>
      </c>
      <c r="Q144">
        <f>0+1+1+1</f>
        <v>3</v>
      </c>
      <c r="R144">
        <f>0+1+1+0</f>
        <v>2</v>
      </c>
      <c r="S144">
        <f>0+1+0+1</f>
        <v>2</v>
      </c>
      <c r="T144">
        <f>0+1+0+1</f>
        <v>2</v>
      </c>
      <c r="U144" s="7">
        <f>1+0+1+1</f>
        <v>3</v>
      </c>
      <c r="V144">
        <f>0</f>
        <v>0</v>
      </c>
      <c r="W144" s="8">
        <f t="shared" si="31"/>
        <v>16</v>
      </c>
      <c r="X144" s="13" t="s">
        <v>802</v>
      </c>
    </row>
    <row r="145" spans="3:24" x14ac:dyDescent="0.25">
      <c r="C145" s="15" t="s">
        <v>1504</v>
      </c>
      <c r="D145" s="13">
        <f>46+50</f>
        <v>96</v>
      </c>
      <c r="E145" s="14" t="s">
        <v>96</v>
      </c>
      <c r="F145" s="14" t="s">
        <v>31</v>
      </c>
      <c r="G145" s="13">
        <f>5+7</f>
        <v>12</v>
      </c>
      <c r="H145" s="13">
        <f>5+13</f>
        <v>18</v>
      </c>
      <c r="I145" s="13">
        <f>15+20</f>
        <v>35</v>
      </c>
      <c r="J145" s="13">
        <f>(7.3+7.3)/2</f>
        <v>7.3</v>
      </c>
      <c r="K145" s="6">
        <f t="shared" si="28"/>
        <v>30</v>
      </c>
      <c r="L145" s="6">
        <f t="shared" si="29"/>
        <v>65</v>
      </c>
      <c r="M145" s="6">
        <f t="shared" si="30"/>
        <v>0.3125</v>
      </c>
      <c r="N145" s="6">
        <f t="shared" si="32"/>
        <v>0.67708333333333337</v>
      </c>
      <c r="O145">
        <f>1+1</f>
        <v>2</v>
      </c>
      <c r="P145" s="7">
        <f>1+1</f>
        <v>2</v>
      </c>
      <c r="Q145">
        <f>1+0</f>
        <v>1</v>
      </c>
      <c r="R145">
        <f>1+1</f>
        <v>2</v>
      </c>
      <c r="S145">
        <f>1+0</f>
        <v>1</v>
      </c>
      <c r="T145">
        <f>1+1</f>
        <v>2</v>
      </c>
      <c r="U145" s="7">
        <f>1+1</f>
        <v>2</v>
      </c>
      <c r="V145">
        <f>0</f>
        <v>0</v>
      </c>
      <c r="W145" s="8">
        <f t="shared" si="31"/>
        <v>10</v>
      </c>
      <c r="X145" s="15" t="s">
        <v>1504</v>
      </c>
    </row>
    <row r="146" spans="3:24" x14ac:dyDescent="0.25">
      <c r="C146" s="13" t="s">
        <v>122</v>
      </c>
      <c r="D146" s="13">
        <f>32+32+27</f>
        <v>91</v>
      </c>
      <c r="E146" s="14" t="s">
        <v>96</v>
      </c>
      <c r="F146" s="14" t="s">
        <v>123</v>
      </c>
      <c r="G146" s="13">
        <f>1+3+7</f>
        <v>11</v>
      </c>
      <c r="H146" s="13">
        <f>4+4+4</f>
        <v>12</v>
      </c>
      <c r="I146" s="13">
        <f>13+13+14</f>
        <v>40</v>
      </c>
      <c r="J146" s="13">
        <f>(7+7.2+7.7)/3</f>
        <v>7.3</v>
      </c>
      <c r="K146" s="6">
        <f t="shared" si="28"/>
        <v>23</v>
      </c>
      <c r="L146" s="6">
        <f t="shared" si="29"/>
        <v>63</v>
      </c>
      <c r="M146" s="6">
        <f t="shared" si="30"/>
        <v>0.25274725274725274</v>
      </c>
      <c r="N146" s="6">
        <f t="shared" si="32"/>
        <v>0.69230769230769229</v>
      </c>
      <c r="O146">
        <f>1+1+1</f>
        <v>3</v>
      </c>
      <c r="P146" s="7">
        <f>0+1+1</f>
        <v>2</v>
      </c>
      <c r="Q146">
        <f>1+1</f>
        <v>2</v>
      </c>
      <c r="R146">
        <f>0+0</f>
        <v>0</v>
      </c>
      <c r="S146">
        <f>1+1+1</f>
        <v>3</v>
      </c>
      <c r="T146">
        <f>1+1</f>
        <v>2</v>
      </c>
      <c r="U146" s="7">
        <f>1+1+1</f>
        <v>3</v>
      </c>
      <c r="V146">
        <f>0</f>
        <v>0</v>
      </c>
      <c r="W146" s="8">
        <f t="shared" si="31"/>
        <v>12</v>
      </c>
      <c r="X146" s="13" t="s">
        <v>122</v>
      </c>
    </row>
    <row r="147" spans="3:24" x14ac:dyDescent="0.25">
      <c r="C147" s="13" t="s">
        <v>769</v>
      </c>
      <c r="D147" s="13">
        <f>18+18+19+25+20+12</f>
        <v>112</v>
      </c>
      <c r="E147" s="14" t="s">
        <v>102</v>
      </c>
      <c r="F147" s="14" t="s">
        <v>165</v>
      </c>
      <c r="G147" s="13">
        <f>4+1+3+3+2+2</f>
        <v>15</v>
      </c>
      <c r="H147" s="13">
        <f>0+3+2+5+3+2</f>
        <v>15</v>
      </c>
      <c r="I147" s="13">
        <f>3+5+5+5+6+4</f>
        <v>28</v>
      </c>
      <c r="J147" s="13">
        <f>(6.6+6.6+6.7+6.7+6.6+6.8)/6</f>
        <v>6.6666666666666652</v>
      </c>
      <c r="K147" s="6">
        <f t="shared" si="28"/>
        <v>30</v>
      </c>
      <c r="L147" s="6">
        <f t="shared" si="29"/>
        <v>58</v>
      </c>
      <c r="M147" s="6">
        <f t="shared" si="30"/>
        <v>0.26785714285714285</v>
      </c>
      <c r="N147" s="6">
        <f t="shared" si="32"/>
        <v>0.5178571428571429</v>
      </c>
      <c r="O147">
        <f>1+1+1+1+1+0.5</f>
        <v>5.5</v>
      </c>
      <c r="P147" s="7">
        <f>1+1+1+1+1</f>
        <v>5</v>
      </c>
      <c r="Q147">
        <f>1+0+1+1+1</f>
        <v>4</v>
      </c>
      <c r="R147">
        <f>0+0+1+1+0</f>
        <v>2</v>
      </c>
      <c r="S147">
        <f>1+1+1+0+1+1</f>
        <v>5</v>
      </c>
      <c r="T147">
        <f>1+1+1+0+1+1</f>
        <v>5</v>
      </c>
      <c r="U147" s="7">
        <f>1+1+0+1+1</f>
        <v>4</v>
      </c>
      <c r="V147">
        <f>0</f>
        <v>0</v>
      </c>
      <c r="W147" s="8">
        <f t="shared" si="31"/>
        <v>25</v>
      </c>
      <c r="X147" s="13" t="s">
        <v>769</v>
      </c>
    </row>
    <row r="148" spans="3:24" x14ac:dyDescent="0.25">
      <c r="C148" s="13" t="s">
        <v>147</v>
      </c>
      <c r="D148" s="13">
        <f>1+26+15+25+32</f>
        <v>99</v>
      </c>
      <c r="E148" s="14" t="s">
        <v>96</v>
      </c>
      <c r="F148" s="14" t="s">
        <v>31</v>
      </c>
      <c r="G148" s="13">
        <f>0+1+1+3+3</f>
        <v>8</v>
      </c>
      <c r="H148" s="13">
        <f>1+5+2+2+6</f>
        <v>16</v>
      </c>
      <c r="I148" s="13">
        <f>1+8+7+5+9</f>
        <v>30</v>
      </c>
      <c r="J148" s="13">
        <f>(7+6.6+6.7+6.8+6.6)/5</f>
        <v>6.74</v>
      </c>
      <c r="K148" s="6">
        <f t="shared" si="28"/>
        <v>24</v>
      </c>
      <c r="L148" s="6">
        <f t="shared" si="29"/>
        <v>54</v>
      </c>
      <c r="M148" s="6">
        <f t="shared" si="30"/>
        <v>0.24242424242424243</v>
      </c>
      <c r="N148" s="6">
        <f t="shared" si="32"/>
        <v>0.54545454545454541</v>
      </c>
      <c r="O148">
        <f>0.5+1+1+1+1</f>
        <v>4.5</v>
      </c>
      <c r="P148" s="7">
        <f>1+1+1+1+1</f>
        <v>5</v>
      </c>
      <c r="Q148">
        <f>0+1+1+0+1</f>
        <v>3</v>
      </c>
      <c r="R148">
        <f>1+1+0+0+0</f>
        <v>2</v>
      </c>
      <c r="S148">
        <f>0+1+1+1+1</f>
        <v>4</v>
      </c>
      <c r="T148">
        <f>0+0+1+1+1</f>
        <v>3</v>
      </c>
      <c r="U148" s="7">
        <f>1+1+1+1+1</f>
        <v>5</v>
      </c>
      <c r="V148">
        <f>0</f>
        <v>0</v>
      </c>
      <c r="W148" s="8">
        <f t="shared" si="31"/>
        <v>22</v>
      </c>
      <c r="X148" s="13" t="s">
        <v>147</v>
      </c>
    </row>
    <row r="149" spans="3:24" x14ac:dyDescent="0.25">
      <c r="C149" s="13" t="s">
        <v>124</v>
      </c>
      <c r="D149" s="13">
        <f>2+23+20+34</f>
        <v>79</v>
      </c>
      <c r="E149" s="14" t="s">
        <v>91</v>
      </c>
      <c r="F149" s="14" t="s">
        <v>125</v>
      </c>
      <c r="G149" s="13">
        <f>0+0+2+4</f>
        <v>6</v>
      </c>
      <c r="H149" s="13">
        <f>0+5+2+12</f>
        <v>19</v>
      </c>
      <c r="I149" s="13">
        <f>1+11+8+6</f>
        <v>26</v>
      </c>
      <c r="J149" s="13">
        <f>(7.2+7+6.8)/3</f>
        <v>7</v>
      </c>
      <c r="K149" s="6">
        <f t="shared" si="28"/>
        <v>25</v>
      </c>
      <c r="L149" s="6">
        <f t="shared" si="29"/>
        <v>51</v>
      </c>
      <c r="M149" s="6">
        <f t="shared" si="30"/>
        <v>0.31645569620253167</v>
      </c>
      <c r="N149" s="6">
        <f t="shared" si="32"/>
        <v>0.64556962025316456</v>
      </c>
      <c r="O149">
        <f>1+1+1+1</f>
        <v>4</v>
      </c>
      <c r="P149" s="7">
        <f>1+1+1+1</f>
        <v>4</v>
      </c>
      <c r="Q149">
        <f>0+1+1+1</f>
        <v>3</v>
      </c>
      <c r="R149">
        <f>0+0+1+1</f>
        <v>2</v>
      </c>
      <c r="S149">
        <f>0+1+1+1+1</f>
        <v>4</v>
      </c>
      <c r="T149">
        <f>0+1+1+1</f>
        <v>3</v>
      </c>
      <c r="U149" s="7">
        <f>1+1+0+1</f>
        <v>3</v>
      </c>
      <c r="V149">
        <f>0</f>
        <v>0</v>
      </c>
      <c r="W149" s="8">
        <f t="shared" si="31"/>
        <v>19</v>
      </c>
      <c r="X149" s="13" t="s">
        <v>124</v>
      </c>
    </row>
    <row r="150" spans="3:24" x14ac:dyDescent="0.25">
      <c r="C150" s="13" t="s">
        <v>126</v>
      </c>
      <c r="D150" s="13">
        <v>38</v>
      </c>
      <c r="E150" s="14" t="s">
        <v>99</v>
      </c>
      <c r="F150" s="14" t="s">
        <v>31</v>
      </c>
      <c r="G150" s="13">
        <v>19</v>
      </c>
      <c r="H150" s="13">
        <v>10</v>
      </c>
      <c r="I150" s="13">
        <v>19</v>
      </c>
      <c r="J150" s="13">
        <f>(7.4)/1</f>
        <v>7.4</v>
      </c>
      <c r="K150" s="6">
        <f t="shared" si="28"/>
        <v>29</v>
      </c>
      <c r="L150" s="6">
        <f t="shared" si="29"/>
        <v>48</v>
      </c>
      <c r="M150" s="6">
        <f t="shared" si="30"/>
        <v>0.76315789473684215</v>
      </c>
      <c r="N150" s="6">
        <f t="shared" si="32"/>
        <v>1.263157894736842</v>
      </c>
      <c r="O150">
        <f>1</f>
        <v>1</v>
      </c>
      <c r="P150" s="7">
        <f>1</f>
        <v>1</v>
      </c>
      <c r="Q150">
        <f>0</f>
        <v>0</v>
      </c>
      <c r="R150">
        <f>1</f>
        <v>1</v>
      </c>
      <c r="S150">
        <f>0</f>
        <v>0</v>
      </c>
      <c r="T150">
        <f>0</f>
        <v>0</v>
      </c>
      <c r="U150" s="7">
        <f>0</f>
        <v>0</v>
      </c>
      <c r="V150">
        <f>0</f>
        <v>0</v>
      </c>
      <c r="W150" s="8">
        <f t="shared" si="31"/>
        <v>2</v>
      </c>
      <c r="X150" s="13" t="s">
        <v>126</v>
      </c>
    </row>
    <row r="151" spans="3:24" x14ac:dyDescent="0.25">
      <c r="C151" s="15" t="s">
        <v>1369</v>
      </c>
      <c r="D151" s="13">
        <f>2+11+14+22+23</f>
        <v>72</v>
      </c>
      <c r="E151" s="14" t="s">
        <v>91</v>
      </c>
      <c r="F151" s="14" t="s">
        <v>747</v>
      </c>
      <c r="G151" s="13">
        <f>0+4+0+5+3</f>
        <v>12</v>
      </c>
      <c r="H151" s="13">
        <f>0+3+4+2+4</f>
        <v>13</v>
      </c>
      <c r="I151" s="13">
        <f>0+3+3+10+5</f>
        <v>21</v>
      </c>
      <c r="J151" s="13">
        <f>(6.5+6.7+6.8+6.2)/4</f>
        <v>6.55</v>
      </c>
      <c r="K151" s="6">
        <f t="shared" si="28"/>
        <v>25</v>
      </c>
      <c r="L151" s="6">
        <f t="shared" si="29"/>
        <v>46</v>
      </c>
      <c r="M151" s="6">
        <f t="shared" si="30"/>
        <v>0.34722222222222221</v>
      </c>
      <c r="N151" s="6">
        <f t="shared" si="32"/>
        <v>0.63888888888888884</v>
      </c>
      <c r="O151">
        <f>0.125+1+1+1+1</f>
        <v>4.125</v>
      </c>
      <c r="P151" s="7">
        <f>1+1+1+1+1</f>
        <v>5</v>
      </c>
      <c r="Q151">
        <f>0+1+1+1+0</f>
        <v>3</v>
      </c>
      <c r="R151">
        <f>0+1+1+1+1</f>
        <v>4</v>
      </c>
      <c r="S151">
        <f>0+1+1+1+0</f>
        <v>3</v>
      </c>
      <c r="T151">
        <f>0+1+1+1+1</f>
        <v>4</v>
      </c>
      <c r="U151" s="7">
        <f>1+1+1+1+1</f>
        <v>5</v>
      </c>
      <c r="V151">
        <f>0</f>
        <v>0</v>
      </c>
      <c r="W151" s="8">
        <f t="shared" si="31"/>
        <v>24</v>
      </c>
      <c r="X151" s="15" t="s">
        <v>1369</v>
      </c>
    </row>
    <row r="152" spans="3:24" x14ac:dyDescent="0.25">
      <c r="C152" s="13" t="s">
        <v>127</v>
      </c>
      <c r="D152" s="13">
        <f>24+29+20+25</f>
        <v>98</v>
      </c>
      <c r="E152" s="14" t="s">
        <v>91</v>
      </c>
      <c r="F152" s="14" t="s">
        <v>44</v>
      </c>
      <c r="G152" s="13">
        <f>0+1+6+4</f>
        <v>11</v>
      </c>
      <c r="H152" s="13">
        <f>4+5+3+7</f>
        <v>19</v>
      </c>
      <c r="I152" s="13">
        <f>5+0+2+6</f>
        <v>13</v>
      </c>
      <c r="J152" s="13">
        <f>(6.3+6.4+7.1+6.7)/4</f>
        <v>6.6249999999999991</v>
      </c>
      <c r="K152" s="6">
        <f t="shared" si="28"/>
        <v>30</v>
      </c>
      <c r="L152" s="6">
        <f t="shared" si="29"/>
        <v>43</v>
      </c>
      <c r="M152" s="6">
        <f t="shared" si="30"/>
        <v>0.30612244897959184</v>
      </c>
      <c r="N152" s="6">
        <f t="shared" si="32"/>
        <v>0.43877551020408162</v>
      </c>
      <c r="O152">
        <f>1+1+1+1</f>
        <v>4</v>
      </c>
      <c r="P152" s="7">
        <f>1+1+1+1</f>
        <v>4</v>
      </c>
      <c r="Q152">
        <f>0+1+0+1</f>
        <v>2</v>
      </c>
      <c r="R152">
        <f>0+0+0+0</f>
        <v>0</v>
      </c>
      <c r="S152">
        <f>0+1+1+0+1</f>
        <v>3</v>
      </c>
      <c r="T152">
        <f>0+1+1+1</f>
        <v>3</v>
      </c>
      <c r="U152" s="7">
        <f>1+1+0+1</f>
        <v>3</v>
      </c>
      <c r="V152">
        <f>0</f>
        <v>0</v>
      </c>
      <c r="W152" s="8">
        <f t="shared" si="31"/>
        <v>15</v>
      </c>
      <c r="X152" s="13" t="s">
        <v>127</v>
      </c>
    </row>
    <row r="153" spans="3:24" x14ac:dyDescent="0.25">
      <c r="C153" s="13" t="s">
        <v>128</v>
      </c>
      <c r="D153" s="13">
        <f>21+32+29</f>
        <v>82</v>
      </c>
      <c r="E153" s="14" t="s">
        <v>91</v>
      </c>
      <c r="F153" s="14" t="s">
        <v>27</v>
      </c>
      <c r="G153" s="13">
        <f>2+7+2</f>
        <v>11</v>
      </c>
      <c r="H153" s="13">
        <f>7+4+6</f>
        <v>17</v>
      </c>
      <c r="I153" s="13">
        <f>0+8+5</f>
        <v>13</v>
      </c>
      <c r="J153" s="13">
        <f>(7.4+6.9+6.6)/3</f>
        <v>6.9666666666666659</v>
      </c>
      <c r="K153" s="6">
        <f t="shared" si="28"/>
        <v>28</v>
      </c>
      <c r="L153" s="6">
        <f t="shared" si="29"/>
        <v>41</v>
      </c>
      <c r="M153" s="6">
        <f t="shared" si="30"/>
        <v>0.34146341463414637</v>
      </c>
      <c r="N153" s="6">
        <f>(G153+I153+H153)/D153</f>
        <v>0.5</v>
      </c>
      <c r="O153">
        <f>1+1+1</f>
        <v>3</v>
      </c>
      <c r="P153" s="7">
        <f>1+1+1</f>
        <v>3</v>
      </c>
      <c r="Q153">
        <f>1+1+0</f>
        <v>2</v>
      </c>
      <c r="R153">
        <f>1+1+0</f>
        <v>2</v>
      </c>
      <c r="S153">
        <f>0+1+1+1+1</f>
        <v>4</v>
      </c>
      <c r="T153">
        <f>0+1+0</f>
        <v>1</v>
      </c>
      <c r="U153" s="7">
        <f>0+1+1</f>
        <v>2</v>
      </c>
      <c r="V153">
        <f>0</f>
        <v>0</v>
      </c>
      <c r="W153" s="8">
        <f t="shared" si="31"/>
        <v>14</v>
      </c>
      <c r="X153" s="13" t="s">
        <v>128</v>
      </c>
    </row>
    <row r="154" spans="3:24" x14ac:dyDescent="0.25">
      <c r="C154" s="13" t="s">
        <v>129</v>
      </c>
      <c r="D154" s="13">
        <f>17+19</f>
        <v>36</v>
      </c>
      <c r="E154" s="14" t="s">
        <v>94</v>
      </c>
      <c r="F154" s="14" t="s">
        <v>130</v>
      </c>
      <c r="G154" s="13">
        <f>3+8</f>
        <v>11</v>
      </c>
      <c r="H154" s="13">
        <f>6+9</f>
        <v>15</v>
      </c>
      <c r="I154" s="13">
        <f>7+7</f>
        <v>14</v>
      </c>
      <c r="J154" s="13">
        <f>(7.1+7.4)/2</f>
        <v>7.25</v>
      </c>
      <c r="K154" s="6">
        <f t="shared" si="28"/>
        <v>26</v>
      </c>
      <c r="L154" s="6">
        <f t="shared" si="29"/>
        <v>40</v>
      </c>
      <c r="M154" s="6">
        <f t="shared" si="30"/>
        <v>0.72222222222222221</v>
      </c>
      <c r="N154" s="6">
        <f t="shared" ref="N154:N170" si="33">(I154+H154+G154)/D154</f>
        <v>1.1111111111111112</v>
      </c>
      <c r="O154">
        <f>1+0.5</f>
        <v>1.5</v>
      </c>
      <c r="P154" s="7">
        <f>1</f>
        <v>1</v>
      </c>
      <c r="Q154">
        <f>0</f>
        <v>0</v>
      </c>
      <c r="R154">
        <f>1</f>
        <v>1</v>
      </c>
      <c r="S154">
        <f>1</f>
        <v>1</v>
      </c>
      <c r="T154">
        <f>0</f>
        <v>0</v>
      </c>
      <c r="U154" s="7">
        <f>1</f>
        <v>1</v>
      </c>
      <c r="V154">
        <f>0</f>
        <v>0</v>
      </c>
      <c r="W154" s="8">
        <f t="shared" si="31"/>
        <v>4</v>
      </c>
      <c r="X154" s="13" t="s">
        <v>129</v>
      </c>
    </row>
    <row r="155" spans="3:24" x14ac:dyDescent="0.25">
      <c r="C155" s="13" t="s">
        <v>131</v>
      </c>
      <c r="D155" s="13">
        <f>8+8+11+12+30+33</f>
        <v>102</v>
      </c>
      <c r="E155" s="14" t="s">
        <v>91</v>
      </c>
      <c r="F155" s="14" t="s">
        <v>31</v>
      </c>
      <c r="G155" s="13">
        <f>1+2+1+0+8+6</f>
        <v>18</v>
      </c>
      <c r="H155" s="13">
        <f>1+2+0+3+3+4</f>
        <v>13</v>
      </c>
      <c r="I155" s="13">
        <f>0+0+1+0+3+5</f>
        <v>9</v>
      </c>
      <c r="J155" s="13">
        <f>(6.3+6.8+5.8+6.8+6.9+6.8)/6</f>
        <v>6.5666666666666664</v>
      </c>
      <c r="K155" s="6">
        <f t="shared" si="28"/>
        <v>31</v>
      </c>
      <c r="L155" s="6">
        <f t="shared" si="29"/>
        <v>40</v>
      </c>
      <c r="M155" s="6">
        <f t="shared" si="30"/>
        <v>0.30392156862745096</v>
      </c>
      <c r="N155" s="6">
        <f t="shared" si="33"/>
        <v>0.39215686274509803</v>
      </c>
      <c r="O155">
        <f>1+1+1+1+1+1</f>
        <v>6</v>
      </c>
      <c r="P155" s="7">
        <f>1+1+1+1+1+1</f>
        <v>6</v>
      </c>
      <c r="Q155">
        <f>1+0+0+0+1+1</f>
        <v>3</v>
      </c>
      <c r="R155">
        <f>1+0+1+0+1+1</f>
        <v>4</v>
      </c>
      <c r="S155">
        <f>1+1+1+1+1+0</f>
        <v>5</v>
      </c>
      <c r="T155">
        <f>1+0+1+0+1+1</f>
        <v>4</v>
      </c>
      <c r="U155" s="7">
        <f>1+1+1+1+1+1</f>
        <v>6</v>
      </c>
      <c r="V155">
        <f>0</f>
        <v>0</v>
      </c>
      <c r="W155" s="8">
        <f t="shared" si="31"/>
        <v>28</v>
      </c>
      <c r="X155" s="13" t="s">
        <v>131</v>
      </c>
    </row>
    <row r="156" spans="3:24" x14ac:dyDescent="0.25">
      <c r="C156" s="13" t="s">
        <v>132</v>
      </c>
      <c r="D156" s="13">
        <f>41+35+2</f>
        <v>78</v>
      </c>
      <c r="E156" s="14" t="s">
        <v>94</v>
      </c>
      <c r="F156" s="14" t="s">
        <v>31</v>
      </c>
      <c r="G156" s="13">
        <f>7+9</f>
        <v>16</v>
      </c>
      <c r="H156" s="13">
        <f>6+5</f>
        <v>11</v>
      </c>
      <c r="I156" s="13">
        <f>3+9+1</f>
        <v>13</v>
      </c>
      <c r="J156" s="13">
        <f>(6.8+6.9)/2</f>
        <v>6.85</v>
      </c>
      <c r="K156" s="6">
        <f t="shared" si="28"/>
        <v>27</v>
      </c>
      <c r="L156" s="6">
        <f t="shared" si="29"/>
        <v>40</v>
      </c>
      <c r="M156" s="6">
        <f t="shared" si="30"/>
        <v>0.34615384615384615</v>
      </c>
      <c r="N156" s="6">
        <f t="shared" si="33"/>
        <v>0.51282051282051277</v>
      </c>
      <c r="O156">
        <f>1+1</f>
        <v>2</v>
      </c>
      <c r="P156" s="7">
        <f>1+1</f>
        <v>2</v>
      </c>
      <c r="Q156">
        <f>1+0</f>
        <v>1</v>
      </c>
      <c r="R156">
        <f>1+1</f>
        <v>2</v>
      </c>
      <c r="S156">
        <f>0+0+1</f>
        <v>1</v>
      </c>
      <c r="T156">
        <f>1+0</f>
        <v>1</v>
      </c>
      <c r="U156" s="7">
        <f>1+1</f>
        <v>2</v>
      </c>
      <c r="V156">
        <f>0</f>
        <v>0</v>
      </c>
      <c r="W156" s="8">
        <f t="shared" si="31"/>
        <v>9</v>
      </c>
      <c r="X156" s="13" t="s">
        <v>132</v>
      </c>
    </row>
    <row r="157" spans="3:24" x14ac:dyDescent="0.25">
      <c r="C157" s="13" t="s">
        <v>133</v>
      </c>
      <c r="D157" s="13">
        <f>34+27</f>
        <v>61</v>
      </c>
      <c r="E157" s="14" t="s">
        <v>96</v>
      </c>
      <c r="F157" s="14" t="s">
        <v>31</v>
      </c>
      <c r="G157" s="13">
        <f>2+1</f>
        <v>3</v>
      </c>
      <c r="H157" s="13">
        <f>6+3</f>
        <v>9</v>
      </c>
      <c r="I157" s="13">
        <f>18+7</f>
        <v>25</v>
      </c>
      <c r="J157" s="13">
        <f>(7.3+6.9)/2</f>
        <v>7.1</v>
      </c>
      <c r="K157" s="6">
        <f t="shared" si="28"/>
        <v>12</v>
      </c>
      <c r="L157" s="6">
        <f t="shared" si="29"/>
        <v>37</v>
      </c>
      <c r="M157" s="6">
        <f t="shared" si="30"/>
        <v>0.19672131147540983</v>
      </c>
      <c r="N157" s="6">
        <f t="shared" si="33"/>
        <v>0.60655737704918034</v>
      </c>
      <c r="O157">
        <f>1+1</f>
        <v>2</v>
      </c>
      <c r="P157" s="7">
        <f>1+0</f>
        <v>1</v>
      </c>
      <c r="Q157">
        <f>1</f>
        <v>1</v>
      </c>
      <c r="R157">
        <f>1</f>
        <v>1</v>
      </c>
      <c r="S157">
        <f>1</f>
        <v>1</v>
      </c>
      <c r="T157">
        <f>0</f>
        <v>0</v>
      </c>
      <c r="U157" s="7">
        <f>1</f>
        <v>1</v>
      </c>
      <c r="V157">
        <f>0</f>
        <v>0</v>
      </c>
      <c r="W157" s="8">
        <f t="shared" si="31"/>
        <v>5</v>
      </c>
      <c r="X157" s="13" t="s">
        <v>133</v>
      </c>
    </row>
    <row r="158" spans="3:24" x14ac:dyDescent="0.25">
      <c r="C158" s="13" t="s">
        <v>134</v>
      </c>
      <c r="D158" s="13">
        <f>2+15+19+32+18</f>
        <v>86</v>
      </c>
      <c r="E158" s="14" t="s">
        <v>91</v>
      </c>
      <c r="F158" s="14" t="s">
        <v>125</v>
      </c>
      <c r="G158" s="13">
        <f>0+1+1+3+4</f>
        <v>9</v>
      </c>
      <c r="H158" s="13">
        <f>0+3+2+9+4</f>
        <v>18</v>
      </c>
      <c r="I158" s="13">
        <f>0+2+0+5+3</f>
        <v>10</v>
      </c>
      <c r="J158" s="13">
        <f>(6.9+6.3+6.5+6.8)/4</f>
        <v>6.625</v>
      </c>
      <c r="K158" s="6">
        <f t="shared" si="28"/>
        <v>27</v>
      </c>
      <c r="L158" s="6">
        <f t="shared" si="29"/>
        <v>37</v>
      </c>
      <c r="M158" s="6">
        <f t="shared" si="30"/>
        <v>0.31395348837209303</v>
      </c>
      <c r="N158" s="6">
        <f t="shared" si="33"/>
        <v>0.43023255813953487</v>
      </c>
      <c r="O158">
        <f>1+1+1+1+1</f>
        <v>5</v>
      </c>
      <c r="P158" s="7">
        <f>1+1+1+1+1</f>
        <v>5</v>
      </c>
      <c r="Q158">
        <f>0+1+1+1+1</f>
        <v>4</v>
      </c>
      <c r="R158">
        <f>0+1+0+1+1</f>
        <v>3</v>
      </c>
      <c r="S158">
        <f>0+1+1+0+1+1</f>
        <v>4</v>
      </c>
      <c r="T158">
        <f>0+1+1+1+1+1</f>
        <v>5</v>
      </c>
      <c r="U158" s="7">
        <f>1+0+1+1+1</f>
        <v>4</v>
      </c>
      <c r="V158">
        <f>0</f>
        <v>0</v>
      </c>
      <c r="W158" s="8">
        <f t="shared" si="31"/>
        <v>25</v>
      </c>
      <c r="X158" s="13" t="s">
        <v>134</v>
      </c>
    </row>
    <row r="159" spans="3:24" x14ac:dyDescent="0.25">
      <c r="C159" s="13" t="s">
        <v>135</v>
      </c>
      <c r="D159" s="13">
        <f>43+3</f>
        <v>46</v>
      </c>
      <c r="E159" s="14" t="s">
        <v>96</v>
      </c>
      <c r="F159" s="14" t="s">
        <v>105</v>
      </c>
      <c r="G159" s="13">
        <f>9+0</f>
        <v>9</v>
      </c>
      <c r="H159" s="13">
        <f>6+0</f>
        <v>6</v>
      </c>
      <c r="I159" s="13">
        <f>21+0</f>
        <v>21</v>
      </c>
      <c r="J159" s="13">
        <f>(7.4)/1</f>
        <v>7.4</v>
      </c>
      <c r="K159" s="6">
        <f t="shared" si="28"/>
        <v>15</v>
      </c>
      <c r="L159" s="6">
        <f t="shared" si="29"/>
        <v>36</v>
      </c>
      <c r="M159" s="6">
        <f t="shared" si="30"/>
        <v>0.32608695652173914</v>
      </c>
      <c r="N159" s="6">
        <f t="shared" si="33"/>
        <v>0.78260869565217395</v>
      </c>
      <c r="O159">
        <f>1+0.25</f>
        <v>1.25</v>
      </c>
      <c r="P159" s="7">
        <f>1</f>
        <v>1</v>
      </c>
      <c r="Q159">
        <f>0</f>
        <v>0</v>
      </c>
      <c r="R159">
        <f>1</f>
        <v>1</v>
      </c>
      <c r="S159">
        <f>0+1</f>
        <v>1</v>
      </c>
      <c r="T159">
        <f>0</f>
        <v>0</v>
      </c>
      <c r="U159" s="7">
        <f>1</f>
        <v>1</v>
      </c>
      <c r="V159">
        <f>0</f>
        <v>0</v>
      </c>
      <c r="W159" s="8">
        <f t="shared" si="31"/>
        <v>4</v>
      </c>
      <c r="X159" s="13" t="s">
        <v>135</v>
      </c>
    </row>
    <row r="160" spans="3:24" x14ac:dyDescent="0.25">
      <c r="C160" s="13" t="s">
        <v>298</v>
      </c>
      <c r="D160" s="13">
        <f>30+23+30</f>
        <v>83</v>
      </c>
      <c r="E160" s="14" t="s">
        <v>94</v>
      </c>
      <c r="F160" s="14" t="s">
        <v>47</v>
      </c>
      <c r="G160" s="13">
        <f>4+6+0</f>
        <v>10</v>
      </c>
      <c r="H160" s="13">
        <f>1+9+4</f>
        <v>14</v>
      </c>
      <c r="I160" s="13">
        <f>3+4+4</f>
        <v>11</v>
      </c>
      <c r="J160" s="13">
        <f>(6.3+6.5+6.4)/3</f>
        <v>6.4000000000000012</v>
      </c>
      <c r="K160" s="6">
        <f t="shared" si="28"/>
        <v>24</v>
      </c>
      <c r="L160" s="6">
        <f t="shared" si="29"/>
        <v>35</v>
      </c>
      <c r="M160" s="6">
        <f t="shared" si="30"/>
        <v>0.28915662650602408</v>
      </c>
      <c r="N160" s="6">
        <f t="shared" si="33"/>
        <v>0.42168674698795183</v>
      </c>
      <c r="O160">
        <f>1+1+1</f>
        <v>3</v>
      </c>
      <c r="P160" s="7">
        <f>1+1+1</f>
        <v>3</v>
      </c>
      <c r="Q160">
        <f>1+0+1</f>
        <v>2</v>
      </c>
      <c r="R160">
        <f>0+0+0</f>
        <v>0</v>
      </c>
      <c r="S160">
        <f>0+1+1</f>
        <v>2</v>
      </c>
      <c r="T160">
        <f>0+1+1</f>
        <v>2</v>
      </c>
      <c r="U160" s="7">
        <f>1+1+1</f>
        <v>3</v>
      </c>
      <c r="V160">
        <f>0</f>
        <v>0</v>
      </c>
      <c r="W160" s="8">
        <f t="shared" si="31"/>
        <v>12</v>
      </c>
      <c r="X160" s="13" t="s">
        <v>298</v>
      </c>
    </row>
    <row r="161" spans="3:24" x14ac:dyDescent="0.25">
      <c r="C161" s="13" t="s">
        <v>803</v>
      </c>
      <c r="D161" s="13">
        <f>23+26+32</f>
        <v>81</v>
      </c>
      <c r="E161" s="14" t="s">
        <v>102</v>
      </c>
      <c r="F161" s="14" t="s">
        <v>66</v>
      </c>
      <c r="G161" s="13">
        <f>2+3+5</f>
        <v>10</v>
      </c>
      <c r="H161" s="13">
        <f>5+3+4</f>
        <v>12</v>
      </c>
      <c r="I161" s="13">
        <f>3+5+5</f>
        <v>13</v>
      </c>
      <c r="J161" s="13">
        <f>(6.7+6.9+6.5)/3</f>
        <v>6.7</v>
      </c>
      <c r="K161" s="6">
        <f t="shared" si="28"/>
        <v>22</v>
      </c>
      <c r="L161" s="6">
        <f t="shared" si="29"/>
        <v>35</v>
      </c>
      <c r="M161" s="6">
        <f t="shared" si="30"/>
        <v>0.27160493827160492</v>
      </c>
      <c r="N161" s="6">
        <f t="shared" si="33"/>
        <v>0.43209876543209874</v>
      </c>
      <c r="O161">
        <f>0.5+1+1</f>
        <v>2.5</v>
      </c>
      <c r="P161" s="7">
        <f>1+1+1</f>
        <v>3</v>
      </c>
      <c r="Q161">
        <f>0+1+1</f>
        <v>2</v>
      </c>
      <c r="R161">
        <f>0+1+1</f>
        <v>2</v>
      </c>
      <c r="S161">
        <f>0+1+0</f>
        <v>1</v>
      </c>
      <c r="T161">
        <f>0+1+0</f>
        <v>1</v>
      </c>
      <c r="U161" s="7">
        <f>1+0+1</f>
        <v>2</v>
      </c>
      <c r="V161">
        <f>0</f>
        <v>0</v>
      </c>
      <c r="W161" s="8">
        <f t="shared" si="31"/>
        <v>11</v>
      </c>
      <c r="X161" s="13" t="s">
        <v>803</v>
      </c>
    </row>
    <row r="162" spans="3:24" x14ac:dyDescent="0.25">
      <c r="C162" s="102" t="s">
        <v>830</v>
      </c>
      <c r="D162" s="13">
        <f>20+14+21+22</f>
        <v>77</v>
      </c>
      <c r="E162" s="14" t="s">
        <v>99</v>
      </c>
      <c r="F162" s="14" t="s">
        <v>47</v>
      </c>
      <c r="G162" s="13">
        <f>1+0+0+5</f>
        <v>6</v>
      </c>
      <c r="H162" s="13">
        <f>1+1+1+2</f>
        <v>5</v>
      </c>
      <c r="I162" s="13">
        <f>9+3+7+5</f>
        <v>24</v>
      </c>
      <c r="J162" s="13">
        <f>(7+6.6+6.6+6.9)/4</f>
        <v>6.7750000000000004</v>
      </c>
      <c r="K162" s="6">
        <f t="shared" si="28"/>
        <v>11</v>
      </c>
      <c r="L162" s="6">
        <f t="shared" si="29"/>
        <v>35</v>
      </c>
      <c r="M162" s="6">
        <f t="shared" si="30"/>
        <v>0.14285714285714285</v>
      </c>
      <c r="N162" s="6">
        <f t="shared" si="33"/>
        <v>0.45454545454545453</v>
      </c>
      <c r="O162">
        <f>1+1+1+1</f>
        <v>4</v>
      </c>
      <c r="P162" s="7">
        <f>1+1+1+1</f>
        <v>4</v>
      </c>
      <c r="Q162">
        <f>1+1+0+1</f>
        <v>3</v>
      </c>
      <c r="R162">
        <f>1+0+1+0</f>
        <v>2</v>
      </c>
      <c r="S162">
        <f>0+1+1+1</f>
        <v>3</v>
      </c>
      <c r="T162">
        <f>0+1+1+1</f>
        <v>3</v>
      </c>
      <c r="U162" s="7">
        <f>1+1+1+1</f>
        <v>4</v>
      </c>
      <c r="V162">
        <f>0</f>
        <v>0</v>
      </c>
      <c r="W162" s="8">
        <f t="shared" si="31"/>
        <v>19</v>
      </c>
      <c r="X162" s="102" t="s">
        <v>830</v>
      </c>
    </row>
    <row r="163" spans="3:24" x14ac:dyDescent="0.25">
      <c r="C163" s="13" t="s">
        <v>141</v>
      </c>
      <c r="D163" s="13">
        <f>33+26+15</f>
        <v>74</v>
      </c>
      <c r="E163" s="14" t="s">
        <v>102</v>
      </c>
      <c r="F163" s="14" t="s">
        <v>31</v>
      </c>
      <c r="G163" s="13">
        <f>0+2+2</f>
        <v>4</v>
      </c>
      <c r="H163" s="13">
        <f>3+3+2</f>
        <v>8</v>
      </c>
      <c r="I163" s="13">
        <f>9+5+5</f>
        <v>19</v>
      </c>
      <c r="J163" s="13">
        <f>(6.6+6.7+6.9)/3</f>
        <v>6.7333333333333343</v>
      </c>
      <c r="K163" s="6">
        <f t="shared" si="28"/>
        <v>12</v>
      </c>
      <c r="L163" s="6">
        <f t="shared" si="29"/>
        <v>31</v>
      </c>
      <c r="M163" s="6">
        <f t="shared" si="30"/>
        <v>0.16216216216216217</v>
      </c>
      <c r="N163" s="6">
        <f t="shared" si="33"/>
        <v>0.41891891891891891</v>
      </c>
      <c r="O163">
        <f>1+1+0.5</f>
        <v>2.5</v>
      </c>
      <c r="P163" s="7">
        <f>1+1</f>
        <v>2</v>
      </c>
      <c r="Q163">
        <f>0+1</f>
        <v>1</v>
      </c>
      <c r="R163">
        <f>1+1</f>
        <v>2</v>
      </c>
      <c r="S163">
        <f>1+1+1</f>
        <v>3</v>
      </c>
      <c r="T163">
        <f>1+0+1</f>
        <v>2</v>
      </c>
      <c r="U163" s="7">
        <f>1+1</f>
        <v>2</v>
      </c>
      <c r="V163">
        <f>0</f>
        <v>0</v>
      </c>
      <c r="W163" s="8">
        <f t="shared" si="31"/>
        <v>12</v>
      </c>
      <c r="X163" s="13" t="s">
        <v>141</v>
      </c>
    </row>
    <row r="164" spans="3:24" x14ac:dyDescent="0.25">
      <c r="C164" s="102" t="s">
        <v>997</v>
      </c>
      <c r="D164" s="13">
        <f>11+23+26</f>
        <v>60</v>
      </c>
      <c r="E164" s="14" t="s">
        <v>96</v>
      </c>
      <c r="F164" s="14" t="s">
        <v>159</v>
      </c>
      <c r="G164" s="13">
        <f>0+0+2</f>
        <v>2</v>
      </c>
      <c r="H164" s="13">
        <f>3+1+2</f>
        <v>6</v>
      </c>
      <c r="I164" s="13">
        <f>4+6+12</f>
        <v>22</v>
      </c>
      <c r="J164" s="13">
        <f>(6.8+6.9+7.2)/3</f>
        <v>6.9666666666666659</v>
      </c>
      <c r="K164" s="6">
        <f t="shared" si="28"/>
        <v>8</v>
      </c>
      <c r="L164" s="6">
        <f t="shared" si="29"/>
        <v>30</v>
      </c>
      <c r="M164" s="6">
        <f t="shared" si="30"/>
        <v>0.13333333333333333</v>
      </c>
      <c r="N164" s="6">
        <f t="shared" si="33"/>
        <v>0.5</v>
      </c>
      <c r="O164">
        <f>0.5+1+1</f>
        <v>2.5</v>
      </c>
      <c r="P164" s="7">
        <f>1+1+1</f>
        <v>3</v>
      </c>
      <c r="Q164">
        <f>0+1+0</f>
        <v>1</v>
      </c>
      <c r="R164">
        <f>1+0+1</f>
        <v>2</v>
      </c>
      <c r="S164">
        <f>0+1+1</f>
        <v>2</v>
      </c>
      <c r="T164">
        <f>0+1+1</f>
        <v>2</v>
      </c>
      <c r="U164" s="7">
        <f>1+1+1</f>
        <v>3</v>
      </c>
      <c r="V164">
        <f>0</f>
        <v>0</v>
      </c>
      <c r="W164" s="8">
        <f t="shared" si="31"/>
        <v>13</v>
      </c>
      <c r="X164" s="102" t="s">
        <v>997</v>
      </c>
    </row>
    <row r="165" spans="3:24" x14ac:dyDescent="0.25">
      <c r="C165" s="13" t="s">
        <v>136</v>
      </c>
      <c r="D165" s="13">
        <f>30+21</f>
        <v>51</v>
      </c>
      <c r="E165" s="14" t="s">
        <v>102</v>
      </c>
      <c r="F165" s="14" t="s">
        <v>79</v>
      </c>
      <c r="G165" s="13">
        <f>3+2</f>
        <v>5</v>
      </c>
      <c r="H165" s="13">
        <f>5+1</f>
        <v>6</v>
      </c>
      <c r="I165" s="13">
        <f>12+5</f>
        <v>17</v>
      </c>
      <c r="J165" s="13">
        <f>(7+6.7)/2</f>
        <v>6.85</v>
      </c>
      <c r="K165" s="6">
        <f t="shared" si="28"/>
        <v>11</v>
      </c>
      <c r="L165" s="6">
        <f t="shared" si="29"/>
        <v>28</v>
      </c>
      <c r="M165" s="6">
        <f t="shared" si="30"/>
        <v>0.21568627450980393</v>
      </c>
      <c r="N165" s="6">
        <f t="shared" si="33"/>
        <v>0.5490196078431373</v>
      </c>
      <c r="O165">
        <f>1+0.5</f>
        <v>1.5</v>
      </c>
      <c r="P165" s="7">
        <f>0</f>
        <v>0</v>
      </c>
      <c r="Q165">
        <f>1</f>
        <v>1</v>
      </c>
      <c r="R165">
        <f>0</f>
        <v>0</v>
      </c>
      <c r="S165">
        <f>1</f>
        <v>1</v>
      </c>
      <c r="T165">
        <f>1</f>
        <v>1</v>
      </c>
      <c r="U165" s="7">
        <f>1</f>
        <v>1</v>
      </c>
      <c r="V165">
        <f>0</f>
        <v>0</v>
      </c>
      <c r="W165" s="8">
        <f t="shared" si="31"/>
        <v>4</v>
      </c>
      <c r="X165" s="13" t="s">
        <v>136</v>
      </c>
    </row>
    <row r="166" spans="3:24" x14ac:dyDescent="0.25">
      <c r="C166" s="102" t="s">
        <v>1365</v>
      </c>
      <c r="D166" s="13">
        <f>10+24+25</f>
        <v>59</v>
      </c>
      <c r="E166" s="14" t="s">
        <v>96</v>
      </c>
      <c r="F166" s="14" t="s">
        <v>44</v>
      </c>
      <c r="G166" s="13">
        <f>0+1+2</f>
        <v>3</v>
      </c>
      <c r="H166" s="13">
        <f>1+4+2</f>
        <v>7</v>
      </c>
      <c r="I166" s="13">
        <f>3+10+5</f>
        <v>18</v>
      </c>
      <c r="J166" s="13">
        <f>(6.2+6.8+6.8)/3</f>
        <v>6.6000000000000005</v>
      </c>
      <c r="K166" s="6">
        <f t="shared" si="28"/>
        <v>10</v>
      </c>
      <c r="L166" s="6">
        <f t="shared" si="29"/>
        <v>28</v>
      </c>
      <c r="M166" s="6">
        <f t="shared" si="30"/>
        <v>0.16949152542372881</v>
      </c>
      <c r="N166" s="6">
        <f t="shared" si="33"/>
        <v>0.47457627118644069</v>
      </c>
      <c r="O166">
        <f>0.5+1+1</f>
        <v>2.5</v>
      </c>
      <c r="P166" s="7">
        <f>1+1+1</f>
        <v>3</v>
      </c>
      <c r="Q166">
        <f>1+0+1</f>
        <v>2</v>
      </c>
      <c r="R166">
        <f>0+1+0</f>
        <v>1</v>
      </c>
      <c r="S166">
        <f>0+0+1</f>
        <v>1</v>
      </c>
      <c r="T166">
        <f>0+1+1</f>
        <v>2</v>
      </c>
      <c r="U166" s="7">
        <f>1+1+1</f>
        <v>3</v>
      </c>
      <c r="V166">
        <f>0</f>
        <v>0</v>
      </c>
      <c r="W166" s="8">
        <f t="shared" si="31"/>
        <v>12</v>
      </c>
      <c r="X166" s="102" t="s">
        <v>1365</v>
      </c>
    </row>
    <row r="167" spans="3:24" x14ac:dyDescent="0.25">
      <c r="C167" s="13" t="s">
        <v>137</v>
      </c>
      <c r="D167" s="13">
        <f>3+7+31+4</f>
        <v>45</v>
      </c>
      <c r="E167" s="14" t="s">
        <v>102</v>
      </c>
      <c r="F167" s="14" t="s">
        <v>31</v>
      </c>
      <c r="G167" s="13">
        <f>0+0+4</f>
        <v>4</v>
      </c>
      <c r="H167" s="13">
        <f>0+0+5+1</f>
        <v>6</v>
      </c>
      <c r="I167" s="13">
        <f>0+3+14</f>
        <v>17</v>
      </c>
      <c r="J167" s="13">
        <f>(6.7+6.8+7.1)/3</f>
        <v>6.8666666666666671</v>
      </c>
      <c r="K167" s="6">
        <f t="shared" si="28"/>
        <v>10</v>
      </c>
      <c r="L167" s="6">
        <f t="shared" si="29"/>
        <v>27</v>
      </c>
      <c r="M167" s="6">
        <f t="shared" si="30"/>
        <v>0.22222222222222221</v>
      </c>
      <c r="N167" s="6">
        <f t="shared" si="33"/>
        <v>0.6</v>
      </c>
      <c r="O167">
        <f>1+1+1+0.5</f>
        <v>3.5</v>
      </c>
      <c r="P167" s="7">
        <f>1+1+1</f>
        <v>3</v>
      </c>
      <c r="Q167">
        <f>0+0+1</f>
        <v>1</v>
      </c>
      <c r="R167">
        <f>0+1+1</f>
        <v>2</v>
      </c>
      <c r="S167">
        <f>1+1+0+1</f>
        <v>3</v>
      </c>
      <c r="T167">
        <f>0+1+1</f>
        <v>2</v>
      </c>
      <c r="U167" s="7">
        <f>1+1+1</f>
        <v>3</v>
      </c>
      <c r="V167">
        <f>0</f>
        <v>0</v>
      </c>
      <c r="W167" s="8">
        <f t="shared" si="31"/>
        <v>14</v>
      </c>
      <c r="X167" s="13" t="s">
        <v>137</v>
      </c>
    </row>
    <row r="168" spans="3:24" x14ac:dyDescent="0.25">
      <c r="C168" s="13" t="s">
        <v>138</v>
      </c>
      <c r="D168" s="13">
        <f>10+14+15+19</f>
        <v>58</v>
      </c>
      <c r="E168" s="14" t="s">
        <v>102</v>
      </c>
      <c r="F168" s="14" t="s">
        <v>31</v>
      </c>
      <c r="G168" s="13">
        <f>2+3+0+2</f>
        <v>7</v>
      </c>
      <c r="H168" s="13">
        <f>1+3+1+1</f>
        <v>6</v>
      </c>
      <c r="I168" s="13">
        <f>3+3+6+2</f>
        <v>14</v>
      </c>
      <c r="J168" s="13">
        <f>(7.1+7.2+6.8+6.8)/4</f>
        <v>6.9750000000000005</v>
      </c>
      <c r="K168" s="6">
        <f t="shared" si="28"/>
        <v>13</v>
      </c>
      <c r="L168" s="6">
        <f t="shared" si="29"/>
        <v>27</v>
      </c>
      <c r="M168" s="6">
        <f t="shared" si="30"/>
        <v>0.22413793103448276</v>
      </c>
      <c r="N168" s="6">
        <f t="shared" si="33"/>
        <v>0.46551724137931033</v>
      </c>
      <c r="O168">
        <f>1+1+1+1</f>
        <v>4</v>
      </c>
      <c r="P168" s="7">
        <f>1+1+1+1</f>
        <v>4</v>
      </c>
      <c r="Q168">
        <f>1+0+0+0</f>
        <v>1</v>
      </c>
      <c r="R168">
        <f>1+0+1+0</f>
        <v>2</v>
      </c>
      <c r="S168">
        <f>1+1+1+1</f>
        <v>4</v>
      </c>
      <c r="T168">
        <f>1+0+1+0</f>
        <v>2</v>
      </c>
      <c r="U168" s="7">
        <f>1+1+1+1</f>
        <v>4</v>
      </c>
      <c r="V168">
        <f>0</f>
        <v>0</v>
      </c>
      <c r="W168" s="8">
        <f t="shared" si="31"/>
        <v>17</v>
      </c>
      <c r="X168" s="13" t="s">
        <v>138</v>
      </c>
    </row>
    <row r="169" spans="3:24" x14ac:dyDescent="0.25">
      <c r="C169" s="13" t="s">
        <v>154</v>
      </c>
      <c r="D169" s="13">
        <f>30+16+19</f>
        <v>65</v>
      </c>
      <c r="E169" s="14" t="s">
        <v>91</v>
      </c>
      <c r="F169" s="14" t="s">
        <v>155</v>
      </c>
      <c r="G169" s="13">
        <f>5+2+1</f>
        <v>8</v>
      </c>
      <c r="H169" s="13">
        <f>3+2+5</f>
        <v>10</v>
      </c>
      <c r="I169" s="13">
        <f>3+5+1</f>
        <v>9</v>
      </c>
      <c r="J169" s="13">
        <f>(6.6+6.5+6.5)/3</f>
        <v>6.5333333333333341</v>
      </c>
      <c r="K169" s="6">
        <f t="shared" ref="K169:K200" si="34">SUM(G169:H169)</f>
        <v>18</v>
      </c>
      <c r="L169" s="6">
        <f t="shared" ref="L169:L200" si="35">SUM(G169:I169)</f>
        <v>27</v>
      </c>
      <c r="M169" s="6">
        <f t="shared" ref="M169:M200" si="36">(G169+H169)/D169</f>
        <v>0.27692307692307694</v>
      </c>
      <c r="N169" s="6">
        <f t="shared" si="33"/>
        <v>0.41538461538461541</v>
      </c>
      <c r="O169">
        <f>1+1+1</f>
        <v>3</v>
      </c>
      <c r="P169" s="7">
        <f>1+1+1</f>
        <v>3</v>
      </c>
      <c r="Q169">
        <f>1+1+0</f>
        <v>2</v>
      </c>
      <c r="R169">
        <f>1+0+0</f>
        <v>1</v>
      </c>
      <c r="S169">
        <f>1+1+1</f>
        <v>3</v>
      </c>
      <c r="T169">
        <f>0+1+1</f>
        <v>2</v>
      </c>
      <c r="U169" s="7">
        <f>1+1+1</f>
        <v>3</v>
      </c>
      <c r="V169">
        <f>0</f>
        <v>0</v>
      </c>
      <c r="W169" s="8">
        <f t="shared" ref="W169:W200" si="37">SUM(P169:V169)</f>
        <v>14</v>
      </c>
      <c r="X169" s="13" t="s">
        <v>154</v>
      </c>
    </row>
    <row r="170" spans="3:24" x14ac:dyDescent="0.25">
      <c r="C170" s="102" t="s">
        <v>1346</v>
      </c>
      <c r="D170" s="13">
        <f>12+31+12</f>
        <v>55</v>
      </c>
      <c r="E170" s="14" t="s">
        <v>96</v>
      </c>
      <c r="F170" s="14" t="s">
        <v>159</v>
      </c>
      <c r="G170" s="13">
        <f>0+0+1</f>
        <v>1</v>
      </c>
      <c r="H170" s="13">
        <f>2+6+2</f>
        <v>10</v>
      </c>
      <c r="I170" s="13">
        <f>2+9+5</f>
        <v>16</v>
      </c>
      <c r="J170" s="13">
        <f>(6.8+6.8+6.9)/3</f>
        <v>6.833333333333333</v>
      </c>
      <c r="K170" s="6">
        <f t="shared" si="34"/>
        <v>11</v>
      </c>
      <c r="L170" s="6">
        <f t="shared" si="35"/>
        <v>27</v>
      </c>
      <c r="M170" s="6">
        <f t="shared" si="36"/>
        <v>0.2</v>
      </c>
      <c r="N170" s="6">
        <f t="shared" si="33"/>
        <v>0.49090909090909091</v>
      </c>
      <c r="O170">
        <f>0.5+1+1</f>
        <v>2.5</v>
      </c>
      <c r="P170" s="7">
        <f>1+1+1</f>
        <v>3</v>
      </c>
      <c r="Q170">
        <f>1+1+1</f>
        <v>3</v>
      </c>
      <c r="R170">
        <f>1+0+1</f>
        <v>2</v>
      </c>
      <c r="S170">
        <f>0+1+1</f>
        <v>2</v>
      </c>
      <c r="T170">
        <f>0+1+1</f>
        <v>2</v>
      </c>
      <c r="U170" s="7">
        <f>1+1+1</f>
        <v>3</v>
      </c>
      <c r="V170">
        <f>0</f>
        <v>0</v>
      </c>
      <c r="W170" s="8">
        <f t="shared" si="37"/>
        <v>15</v>
      </c>
      <c r="X170" s="102" t="s">
        <v>1346</v>
      </c>
    </row>
    <row r="171" spans="3:24" x14ac:dyDescent="0.25">
      <c r="C171" s="13" t="s">
        <v>139</v>
      </c>
      <c r="D171" s="13">
        <f>23+8+21+6</f>
        <v>58</v>
      </c>
      <c r="E171" s="14" t="s">
        <v>102</v>
      </c>
      <c r="F171" s="14" t="s">
        <v>37</v>
      </c>
      <c r="G171" s="13">
        <f>0+0+0+1</f>
        <v>1</v>
      </c>
      <c r="H171" s="13">
        <f>4+2+1+0</f>
        <v>7</v>
      </c>
      <c r="I171" s="13">
        <f>6+1+9+1</f>
        <v>17</v>
      </c>
      <c r="J171" s="13">
        <f>(6.6+6.5+6.7+6.5)/4</f>
        <v>6.5750000000000002</v>
      </c>
      <c r="K171" s="6">
        <f t="shared" si="34"/>
        <v>8</v>
      </c>
      <c r="L171" s="6">
        <f t="shared" si="35"/>
        <v>25</v>
      </c>
      <c r="M171" s="6">
        <f t="shared" si="36"/>
        <v>0.13793103448275862</v>
      </c>
      <c r="N171" s="6">
        <f>(G171+H171+I171)/D171</f>
        <v>0.43103448275862066</v>
      </c>
      <c r="O171">
        <f>1+1+1+0.5</f>
        <v>3.5</v>
      </c>
      <c r="P171" s="7">
        <f>1+1+1</f>
        <v>3</v>
      </c>
      <c r="Q171">
        <f>1+1+1</f>
        <v>3</v>
      </c>
      <c r="R171">
        <f>1+0+1</f>
        <v>2</v>
      </c>
      <c r="S171">
        <f>0+0+1+1</f>
        <v>2</v>
      </c>
      <c r="T171">
        <f>0+1+1+1</f>
        <v>3</v>
      </c>
      <c r="U171" s="7">
        <f>1+1+1</f>
        <v>3</v>
      </c>
      <c r="V171">
        <f>0</f>
        <v>0</v>
      </c>
      <c r="W171" s="8">
        <f t="shared" si="37"/>
        <v>16</v>
      </c>
      <c r="X171" s="13" t="s">
        <v>139</v>
      </c>
    </row>
    <row r="172" spans="3:24" x14ac:dyDescent="0.25">
      <c r="C172" s="102" t="s">
        <v>1378</v>
      </c>
      <c r="D172" s="13">
        <f>30</f>
        <v>30</v>
      </c>
      <c r="E172" s="14" t="s">
        <v>91</v>
      </c>
      <c r="F172" s="14" t="s">
        <v>25</v>
      </c>
      <c r="G172" s="13">
        <f>8</f>
        <v>8</v>
      </c>
      <c r="H172" s="13">
        <f>10</f>
        <v>10</v>
      </c>
      <c r="I172" s="13">
        <f>7</f>
        <v>7</v>
      </c>
      <c r="J172" s="13">
        <f>(6.9)/1</f>
        <v>6.9</v>
      </c>
      <c r="K172" s="6">
        <f t="shared" si="34"/>
        <v>18</v>
      </c>
      <c r="L172" s="6">
        <f t="shared" si="35"/>
        <v>25</v>
      </c>
      <c r="M172" s="6">
        <f t="shared" si="36"/>
        <v>0.6</v>
      </c>
      <c r="N172" s="6">
        <f>(I172+H172+G172)/D172</f>
        <v>0.83333333333333337</v>
      </c>
      <c r="O172">
        <f>1</f>
        <v>1</v>
      </c>
      <c r="P172" s="7">
        <f>1</f>
        <v>1</v>
      </c>
      <c r="Q172">
        <f>1</f>
        <v>1</v>
      </c>
      <c r="R172">
        <f>1</f>
        <v>1</v>
      </c>
      <c r="S172">
        <f>1</f>
        <v>1</v>
      </c>
      <c r="T172">
        <f>1</f>
        <v>1</v>
      </c>
      <c r="U172" s="7">
        <f>1</f>
        <v>1</v>
      </c>
      <c r="V172">
        <f>0</f>
        <v>0</v>
      </c>
      <c r="W172" s="8">
        <f t="shared" si="37"/>
        <v>6</v>
      </c>
      <c r="X172" s="102" t="s">
        <v>1378</v>
      </c>
    </row>
    <row r="173" spans="3:24" x14ac:dyDescent="0.25">
      <c r="C173" s="13" t="s">
        <v>140</v>
      </c>
      <c r="D173" s="13">
        <v>34</v>
      </c>
      <c r="E173" s="14" t="s">
        <v>94</v>
      </c>
      <c r="F173" s="14" t="s">
        <v>31</v>
      </c>
      <c r="G173" s="13">
        <v>9</v>
      </c>
      <c r="H173" s="13">
        <v>7</v>
      </c>
      <c r="I173" s="13">
        <v>7</v>
      </c>
      <c r="J173" s="13">
        <f>(6.7)/1</f>
        <v>6.7</v>
      </c>
      <c r="K173" s="6">
        <f t="shared" si="34"/>
        <v>16</v>
      </c>
      <c r="L173" s="6">
        <f t="shared" si="35"/>
        <v>23</v>
      </c>
      <c r="M173" s="6">
        <f t="shared" si="36"/>
        <v>0.47058823529411764</v>
      </c>
      <c r="N173" s="6">
        <f>(I173+H173+G173)/D173</f>
        <v>0.67647058823529416</v>
      </c>
      <c r="O173">
        <f>1</f>
        <v>1</v>
      </c>
      <c r="P173" s="7">
        <f>1</f>
        <v>1</v>
      </c>
      <c r="Q173">
        <f>0</f>
        <v>0</v>
      </c>
      <c r="R173">
        <f>1</f>
        <v>1</v>
      </c>
      <c r="S173">
        <f>0</f>
        <v>0</v>
      </c>
      <c r="T173">
        <f>0</f>
        <v>0</v>
      </c>
      <c r="U173" s="7">
        <f>0</f>
        <v>0</v>
      </c>
      <c r="V173">
        <f>0</f>
        <v>0</v>
      </c>
      <c r="W173" s="8">
        <f t="shared" si="37"/>
        <v>2</v>
      </c>
      <c r="X173" s="13" t="s">
        <v>140</v>
      </c>
    </row>
    <row r="174" spans="3:24" x14ac:dyDescent="0.25">
      <c r="C174" s="102" t="s">
        <v>850</v>
      </c>
      <c r="D174" s="13">
        <f>12+19+32</f>
        <v>63</v>
      </c>
      <c r="E174" s="14" t="s">
        <v>102</v>
      </c>
      <c r="F174" s="14" t="s">
        <v>209</v>
      </c>
      <c r="G174" s="13">
        <f>0+2+3</f>
        <v>5</v>
      </c>
      <c r="H174" s="13">
        <f>0+3+5</f>
        <v>8</v>
      </c>
      <c r="I174" s="13">
        <f>0+3+6</f>
        <v>9</v>
      </c>
      <c r="J174" s="13">
        <f>(6.3+6.6+6.5)/3</f>
        <v>6.4666666666666659</v>
      </c>
      <c r="K174" s="6">
        <f t="shared" si="34"/>
        <v>13</v>
      </c>
      <c r="L174" s="6">
        <f t="shared" si="35"/>
        <v>22</v>
      </c>
      <c r="M174" s="6">
        <f t="shared" si="36"/>
        <v>0.20634920634920634</v>
      </c>
      <c r="N174" s="6">
        <f>(I174+H174+G174)/D174</f>
        <v>0.34920634920634919</v>
      </c>
      <c r="O174">
        <f>1+1+1</f>
        <v>3</v>
      </c>
      <c r="P174" s="7">
        <f>1+1+1</f>
        <v>3</v>
      </c>
      <c r="Q174">
        <f>1+0+1</f>
        <v>2</v>
      </c>
      <c r="R174">
        <f>0+1+0</f>
        <v>1</v>
      </c>
      <c r="S174">
        <f>1+1+1</f>
        <v>3</v>
      </c>
      <c r="T174">
        <f>1+1+1</f>
        <v>3</v>
      </c>
      <c r="U174" s="7">
        <f>1+1+1</f>
        <v>3</v>
      </c>
      <c r="V174">
        <f>0</f>
        <v>0</v>
      </c>
      <c r="W174" s="8">
        <f t="shared" si="37"/>
        <v>15</v>
      </c>
      <c r="X174" s="102" t="s">
        <v>850</v>
      </c>
    </row>
    <row r="175" spans="3:24" x14ac:dyDescent="0.25">
      <c r="C175" s="13" t="s">
        <v>143</v>
      </c>
      <c r="D175" s="13">
        <f>3+34+5</f>
        <v>42</v>
      </c>
      <c r="E175" s="14" t="s">
        <v>99</v>
      </c>
      <c r="F175" s="14" t="s">
        <v>44</v>
      </c>
      <c r="G175" s="13">
        <f>0+1+1</f>
        <v>2</v>
      </c>
      <c r="H175" s="13">
        <f>0+10</f>
        <v>10</v>
      </c>
      <c r="I175" s="13">
        <f>0+9+0</f>
        <v>9</v>
      </c>
      <c r="J175" s="13">
        <f>(6.6)/1</f>
        <v>6.6</v>
      </c>
      <c r="K175" s="6">
        <f t="shared" si="34"/>
        <v>12</v>
      </c>
      <c r="L175" s="6">
        <f t="shared" si="35"/>
        <v>21</v>
      </c>
      <c r="M175" s="6">
        <f t="shared" si="36"/>
        <v>0.2857142857142857</v>
      </c>
      <c r="N175" s="6">
        <f>(G175+H175+I175)/D175</f>
        <v>0.5</v>
      </c>
      <c r="O175">
        <f>1+1+0.5</f>
        <v>2.5</v>
      </c>
      <c r="P175" s="7">
        <f>1+1</f>
        <v>2</v>
      </c>
      <c r="Q175">
        <f>0+1</f>
        <v>1</v>
      </c>
      <c r="R175">
        <f>0+0</f>
        <v>0</v>
      </c>
      <c r="S175">
        <f>0+1+1</f>
        <v>2</v>
      </c>
      <c r="T175">
        <f>0+1+1</f>
        <v>2</v>
      </c>
      <c r="U175" s="7">
        <f>1+1</f>
        <v>2</v>
      </c>
      <c r="V175">
        <f>0</f>
        <v>0</v>
      </c>
      <c r="W175" s="8">
        <f t="shared" si="37"/>
        <v>9</v>
      </c>
      <c r="X175" s="13" t="s">
        <v>143</v>
      </c>
    </row>
    <row r="176" spans="3:24" x14ac:dyDescent="0.25">
      <c r="C176" s="13" t="s">
        <v>144</v>
      </c>
      <c r="D176" s="13">
        <f>18+1</f>
        <v>19</v>
      </c>
      <c r="E176" s="14" t="s">
        <v>96</v>
      </c>
      <c r="F176" s="14" t="s">
        <v>37</v>
      </c>
      <c r="G176" s="13">
        <f>2</f>
        <v>2</v>
      </c>
      <c r="H176" s="13">
        <f>4+1</f>
        <v>5</v>
      </c>
      <c r="I176" s="13">
        <f>12</f>
        <v>12</v>
      </c>
      <c r="J176" s="13">
        <f>(7)/1</f>
        <v>7</v>
      </c>
      <c r="K176" s="6">
        <f t="shared" si="34"/>
        <v>7</v>
      </c>
      <c r="L176" s="6">
        <f t="shared" si="35"/>
        <v>19</v>
      </c>
      <c r="M176" s="6">
        <f t="shared" si="36"/>
        <v>0.36842105263157893</v>
      </c>
      <c r="N176" s="6">
        <f>(I176+H176+G176)/D176</f>
        <v>1</v>
      </c>
      <c r="O176">
        <f>1+0.5</f>
        <v>1.5</v>
      </c>
      <c r="P176" s="7">
        <f>0</f>
        <v>0</v>
      </c>
      <c r="Q176">
        <f>1</f>
        <v>1</v>
      </c>
      <c r="R176">
        <f>0</f>
        <v>0</v>
      </c>
      <c r="S176">
        <f>1</f>
        <v>1</v>
      </c>
      <c r="T176">
        <f>0</f>
        <v>0</v>
      </c>
      <c r="U176" s="7">
        <f>1</f>
        <v>1</v>
      </c>
      <c r="V176">
        <f>0</f>
        <v>0</v>
      </c>
      <c r="W176" s="8">
        <f t="shared" si="37"/>
        <v>3</v>
      </c>
      <c r="X176" s="13" t="s">
        <v>144</v>
      </c>
    </row>
    <row r="177" spans="3:24" x14ac:dyDescent="0.25">
      <c r="C177" s="13" t="s">
        <v>145</v>
      </c>
      <c r="D177" s="13">
        <f>31+15</f>
        <v>46</v>
      </c>
      <c r="E177" s="14" t="s">
        <v>99</v>
      </c>
      <c r="F177" s="14" t="s">
        <v>31</v>
      </c>
      <c r="G177" s="13">
        <f>8+2</f>
        <v>10</v>
      </c>
      <c r="H177" s="13">
        <f>2+1</f>
        <v>3</v>
      </c>
      <c r="I177" s="13">
        <f>5+0</f>
        <v>5</v>
      </c>
      <c r="J177" s="13">
        <f>(6.4+6.1)/2</f>
        <v>6.25</v>
      </c>
      <c r="K177" s="6">
        <f t="shared" si="34"/>
        <v>13</v>
      </c>
      <c r="L177" s="6">
        <f t="shared" si="35"/>
        <v>18</v>
      </c>
      <c r="M177" s="6">
        <f t="shared" si="36"/>
        <v>0.28260869565217389</v>
      </c>
      <c r="N177" s="6">
        <f>(I177+H177+G177)/D177</f>
        <v>0.39130434782608697</v>
      </c>
      <c r="O177">
        <f>1+1</f>
        <v>2</v>
      </c>
      <c r="P177" s="7">
        <f>1+0</f>
        <v>1</v>
      </c>
      <c r="Q177">
        <f>1</f>
        <v>1</v>
      </c>
      <c r="R177">
        <f>1</f>
        <v>1</v>
      </c>
      <c r="S177">
        <f>1</f>
        <v>1</v>
      </c>
      <c r="T177">
        <f>0</f>
        <v>0</v>
      </c>
      <c r="U177" s="7">
        <f>1</f>
        <v>1</v>
      </c>
      <c r="V177">
        <f>0</f>
        <v>0</v>
      </c>
      <c r="W177" s="8">
        <f t="shared" si="37"/>
        <v>5</v>
      </c>
      <c r="X177" s="13" t="s">
        <v>145</v>
      </c>
    </row>
    <row r="178" spans="3:24" x14ac:dyDescent="0.25">
      <c r="C178" s="102" t="s">
        <v>1363</v>
      </c>
      <c r="D178" s="13">
        <f>8+24+3</f>
        <v>35</v>
      </c>
      <c r="E178" s="14" t="s">
        <v>91</v>
      </c>
      <c r="F178" s="14" t="s">
        <v>1364</v>
      </c>
      <c r="G178" s="13">
        <f>2+6+0</f>
        <v>8</v>
      </c>
      <c r="H178" s="13">
        <f>1+4+1</f>
        <v>6</v>
      </c>
      <c r="I178" s="13">
        <f>0+3+0</f>
        <v>3</v>
      </c>
      <c r="J178" s="13">
        <f>(6.7+6.5)/2</f>
        <v>6.6</v>
      </c>
      <c r="K178" s="6">
        <f t="shared" si="34"/>
        <v>14</v>
      </c>
      <c r="L178" s="6">
        <f t="shared" si="35"/>
        <v>17</v>
      </c>
      <c r="M178" s="6">
        <f t="shared" si="36"/>
        <v>0.4</v>
      </c>
      <c r="N178" s="6">
        <f>(I178+H178+G178)/D178</f>
        <v>0.48571428571428571</v>
      </c>
      <c r="O178">
        <f>0.5+1+0.25</f>
        <v>1.75</v>
      </c>
      <c r="P178" s="7">
        <f>1+1</f>
        <v>2</v>
      </c>
      <c r="Q178">
        <f>1+0</f>
        <v>1</v>
      </c>
      <c r="R178">
        <f>0+1</f>
        <v>1</v>
      </c>
      <c r="S178">
        <f>0+0+1</f>
        <v>1</v>
      </c>
      <c r="T178">
        <f>0+1+1</f>
        <v>2</v>
      </c>
      <c r="U178" s="7">
        <f>1+1</f>
        <v>2</v>
      </c>
      <c r="V178">
        <f>0</f>
        <v>0</v>
      </c>
      <c r="W178" s="8">
        <f t="shared" si="37"/>
        <v>9</v>
      </c>
      <c r="X178" s="102" t="s">
        <v>1363</v>
      </c>
    </row>
    <row r="179" spans="3:24" x14ac:dyDescent="0.25">
      <c r="C179" s="13" t="s">
        <v>146</v>
      </c>
      <c r="D179" s="13">
        <f>2+16+12</f>
        <v>30</v>
      </c>
      <c r="E179" s="14" t="s">
        <v>96</v>
      </c>
      <c r="F179" s="14" t="s">
        <v>125</v>
      </c>
      <c r="G179" s="13">
        <f>0+1+1</f>
        <v>2</v>
      </c>
      <c r="H179" s="13">
        <f>0+1+0</f>
        <v>1</v>
      </c>
      <c r="I179" s="13">
        <f>10+3</f>
        <v>13</v>
      </c>
      <c r="J179" s="13">
        <f>(7+6.9)/2</f>
        <v>6.95</v>
      </c>
      <c r="K179" s="6">
        <f t="shared" si="34"/>
        <v>3</v>
      </c>
      <c r="L179" s="6">
        <f t="shared" si="35"/>
        <v>16</v>
      </c>
      <c r="M179" s="6">
        <f t="shared" si="36"/>
        <v>0.1</v>
      </c>
      <c r="N179" s="6">
        <f>(I179+H179+G179)/D179</f>
        <v>0.53333333333333333</v>
      </c>
      <c r="O179">
        <f>1+1+1</f>
        <v>3</v>
      </c>
      <c r="P179" s="7">
        <f>1+1+1</f>
        <v>3</v>
      </c>
      <c r="Q179">
        <f>0+1+1</f>
        <v>2</v>
      </c>
      <c r="R179">
        <f>0+0+1</f>
        <v>1</v>
      </c>
      <c r="S179">
        <f>0+1+1</f>
        <v>2</v>
      </c>
      <c r="T179">
        <f>0+1+1</f>
        <v>2</v>
      </c>
      <c r="U179" s="7">
        <f>1+1+0</f>
        <v>2</v>
      </c>
      <c r="V179">
        <f>0</f>
        <v>0</v>
      </c>
      <c r="W179" s="8">
        <f t="shared" si="37"/>
        <v>12</v>
      </c>
      <c r="X179" s="13" t="s">
        <v>146</v>
      </c>
    </row>
    <row r="180" spans="3:24" x14ac:dyDescent="0.25">
      <c r="C180" s="13" t="s">
        <v>148</v>
      </c>
      <c r="D180" s="13">
        <f>13+14+22</f>
        <v>49</v>
      </c>
      <c r="E180" s="14" t="s">
        <v>91</v>
      </c>
      <c r="F180" s="14" t="s">
        <v>59</v>
      </c>
      <c r="G180" s="13">
        <f>2+1+2</f>
        <v>5</v>
      </c>
      <c r="H180" s="13">
        <f>2+1+2</f>
        <v>5</v>
      </c>
      <c r="I180" s="13">
        <f>0+1+4</f>
        <v>5</v>
      </c>
      <c r="J180" s="13">
        <f>(7.4+6.7+6.3)/3</f>
        <v>6.8000000000000007</v>
      </c>
      <c r="K180" s="6">
        <f t="shared" si="34"/>
        <v>10</v>
      </c>
      <c r="L180" s="6">
        <f t="shared" si="35"/>
        <v>15</v>
      </c>
      <c r="M180" s="6">
        <f t="shared" si="36"/>
        <v>0.20408163265306123</v>
      </c>
      <c r="N180" s="6">
        <f>(G180+H180+I180)/D180</f>
        <v>0.30612244897959184</v>
      </c>
      <c r="O180">
        <f>1+1+1</f>
        <v>3</v>
      </c>
      <c r="P180" s="7">
        <f>1+1+1</f>
        <v>3</v>
      </c>
      <c r="Q180">
        <f>1+1+1</f>
        <v>3</v>
      </c>
      <c r="R180">
        <f>1+0+1</f>
        <v>2</v>
      </c>
      <c r="S180">
        <f>0+1+1</f>
        <v>2</v>
      </c>
      <c r="T180">
        <f>0+1</f>
        <v>1</v>
      </c>
      <c r="U180" s="7">
        <f>0+1+1</f>
        <v>2</v>
      </c>
      <c r="V180">
        <f>0</f>
        <v>0</v>
      </c>
      <c r="W180" s="8">
        <f t="shared" si="37"/>
        <v>13</v>
      </c>
      <c r="X180" s="13" t="s">
        <v>148</v>
      </c>
    </row>
    <row r="181" spans="3:24" x14ac:dyDescent="0.25">
      <c r="C181" s="13" t="s">
        <v>838</v>
      </c>
      <c r="D181" s="13">
        <f>27+23</f>
        <v>50</v>
      </c>
      <c r="E181" s="14" t="s">
        <v>96</v>
      </c>
      <c r="F181" s="14" t="s">
        <v>37</v>
      </c>
      <c r="G181" s="13">
        <f>2+1</f>
        <v>3</v>
      </c>
      <c r="H181" s="13">
        <f>3+1</f>
        <v>4</v>
      </c>
      <c r="I181" s="13">
        <f>5+2</f>
        <v>7</v>
      </c>
      <c r="J181" s="13">
        <f>(6.5+5.9)/2</f>
        <v>6.2</v>
      </c>
      <c r="K181" s="6">
        <f t="shared" si="34"/>
        <v>7</v>
      </c>
      <c r="L181" s="6">
        <f t="shared" si="35"/>
        <v>14</v>
      </c>
      <c r="M181" s="6">
        <f t="shared" si="36"/>
        <v>0.14000000000000001</v>
      </c>
      <c r="N181" s="6">
        <f t="shared" ref="N181:N192" si="38">(I181+H181+G181)/D181</f>
        <v>0.28000000000000003</v>
      </c>
      <c r="O181">
        <f>1+1</f>
        <v>2</v>
      </c>
      <c r="P181" s="7">
        <f>1+1</f>
        <v>2</v>
      </c>
      <c r="Q181">
        <f>1+1</f>
        <v>2</v>
      </c>
      <c r="R181">
        <f>1+0</f>
        <v>1</v>
      </c>
      <c r="S181">
        <f>0+1</f>
        <v>1</v>
      </c>
      <c r="T181">
        <f>0+1</f>
        <v>1</v>
      </c>
      <c r="U181" s="7">
        <f>1+1</f>
        <v>2</v>
      </c>
      <c r="V181">
        <f>0</f>
        <v>0</v>
      </c>
      <c r="W181" s="8">
        <f t="shared" si="37"/>
        <v>9</v>
      </c>
      <c r="X181" s="13" t="s">
        <v>838</v>
      </c>
    </row>
    <row r="182" spans="3:24" x14ac:dyDescent="0.25">
      <c r="C182" s="102" t="s">
        <v>1218</v>
      </c>
      <c r="D182" s="13">
        <f>13+24</f>
        <v>37</v>
      </c>
      <c r="E182" s="14" t="s">
        <v>96</v>
      </c>
      <c r="F182" s="14" t="s">
        <v>31</v>
      </c>
      <c r="G182" s="13">
        <f>0+0</f>
        <v>0</v>
      </c>
      <c r="H182" s="13">
        <f>0+1</f>
        <v>1</v>
      </c>
      <c r="I182" s="13">
        <f>6+7</f>
        <v>13</v>
      </c>
      <c r="J182" s="13">
        <f>(6.7+6.6)/2</f>
        <v>6.65</v>
      </c>
      <c r="K182" s="6">
        <f t="shared" si="34"/>
        <v>1</v>
      </c>
      <c r="L182" s="6">
        <f t="shared" si="35"/>
        <v>14</v>
      </c>
      <c r="M182" s="6">
        <f t="shared" si="36"/>
        <v>2.7027027027027029E-2</v>
      </c>
      <c r="N182" s="6">
        <f t="shared" si="38"/>
        <v>0.3783783783783784</v>
      </c>
      <c r="O182">
        <f>0.5+1</f>
        <v>1.5</v>
      </c>
      <c r="P182" s="7">
        <f>1+1</f>
        <v>2</v>
      </c>
      <c r="Q182">
        <f>1+1</f>
        <v>2</v>
      </c>
      <c r="R182">
        <f>1+1</f>
        <v>2</v>
      </c>
      <c r="S182">
        <f>0+1</f>
        <v>1</v>
      </c>
      <c r="T182">
        <f>0+1</f>
        <v>1</v>
      </c>
      <c r="U182" s="7">
        <f>1+1</f>
        <v>2</v>
      </c>
      <c r="V182">
        <f>0</f>
        <v>0</v>
      </c>
      <c r="W182" s="8">
        <f t="shared" si="37"/>
        <v>10</v>
      </c>
      <c r="X182" s="102" t="s">
        <v>1218</v>
      </c>
    </row>
    <row r="183" spans="3:24" x14ac:dyDescent="0.25">
      <c r="C183" s="13" t="s">
        <v>149</v>
      </c>
      <c r="D183" s="13">
        <f>25+18</f>
        <v>43</v>
      </c>
      <c r="E183" s="14" t="s">
        <v>99</v>
      </c>
      <c r="F183" s="14" t="s">
        <v>31</v>
      </c>
      <c r="G183" s="13">
        <f>1+0</f>
        <v>1</v>
      </c>
      <c r="H183" s="13">
        <f>5+4</f>
        <v>9</v>
      </c>
      <c r="I183" s="13">
        <f>2+1</f>
        <v>3</v>
      </c>
      <c r="J183" s="13">
        <f>(6.4+6.4)/2</f>
        <v>6.4</v>
      </c>
      <c r="K183" s="6">
        <f t="shared" si="34"/>
        <v>10</v>
      </c>
      <c r="L183" s="6">
        <f t="shared" si="35"/>
        <v>13</v>
      </c>
      <c r="M183" s="6">
        <f t="shared" si="36"/>
        <v>0.23255813953488372</v>
      </c>
      <c r="N183" s="6">
        <f t="shared" si="38"/>
        <v>0.30232558139534882</v>
      </c>
      <c r="O183">
        <f>1+1</f>
        <v>2</v>
      </c>
      <c r="P183" s="7">
        <f>1+0</f>
        <v>1</v>
      </c>
      <c r="Q183">
        <f>1</f>
        <v>1</v>
      </c>
      <c r="R183">
        <f>1</f>
        <v>1</v>
      </c>
      <c r="S183">
        <f>1</f>
        <v>1</v>
      </c>
      <c r="T183">
        <f>0</f>
        <v>0</v>
      </c>
      <c r="U183" s="7">
        <f>1</f>
        <v>1</v>
      </c>
      <c r="V183">
        <f>0</f>
        <v>0</v>
      </c>
      <c r="W183" s="8">
        <f t="shared" si="37"/>
        <v>5</v>
      </c>
      <c r="X183" s="13" t="s">
        <v>149</v>
      </c>
    </row>
    <row r="184" spans="3:24" x14ac:dyDescent="0.25">
      <c r="C184" s="13" t="s">
        <v>150</v>
      </c>
      <c r="D184" s="13">
        <f>36</f>
        <v>36</v>
      </c>
      <c r="E184" s="14" t="s">
        <v>96</v>
      </c>
      <c r="F184" s="14" t="s">
        <v>151</v>
      </c>
      <c r="G184" s="13">
        <f>3</f>
        <v>3</v>
      </c>
      <c r="H184" s="13">
        <f>3</f>
        <v>3</v>
      </c>
      <c r="I184" s="13">
        <f>7</f>
        <v>7</v>
      </c>
      <c r="J184" s="13">
        <f>(6.7)/1</f>
        <v>6.7</v>
      </c>
      <c r="K184" s="6">
        <f t="shared" si="34"/>
        <v>6</v>
      </c>
      <c r="L184" s="6">
        <f t="shared" si="35"/>
        <v>13</v>
      </c>
      <c r="M184" s="6">
        <f t="shared" si="36"/>
        <v>0.16666666666666666</v>
      </c>
      <c r="N184" s="6">
        <f t="shared" si="38"/>
        <v>0.3611111111111111</v>
      </c>
      <c r="O184">
        <f>1</f>
        <v>1</v>
      </c>
      <c r="P184" s="7">
        <f>1</f>
        <v>1</v>
      </c>
      <c r="Q184">
        <f>0</f>
        <v>0</v>
      </c>
      <c r="R184">
        <f>1</f>
        <v>1</v>
      </c>
      <c r="S184">
        <f>0</f>
        <v>0</v>
      </c>
      <c r="T184">
        <f>1</f>
        <v>1</v>
      </c>
      <c r="U184" s="7">
        <f>1</f>
        <v>1</v>
      </c>
      <c r="V184">
        <f>0</f>
        <v>0</v>
      </c>
      <c r="W184" s="8">
        <f t="shared" si="37"/>
        <v>4</v>
      </c>
      <c r="X184" s="13" t="s">
        <v>150</v>
      </c>
    </row>
    <row r="185" spans="3:24" x14ac:dyDescent="0.25">
      <c r="C185" s="13" t="s">
        <v>152</v>
      </c>
      <c r="D185" s="13">
        <f>9+13+10</f>
        <v>32</v>
      </c>
      <c r="E185" s="14" t="s">
        <v>102</v>
      </c>
      <c r="F185" s="14" t="s">
        <v>153</v>
      </c>
      <c r="G185" s="13">
        <f>1+3+0</f>
        <v>4</v>
      </c>
      <c r="H185" s="13">
        <f>1+0+2</f>
        <v>3</v>
      </c>
      <c r="I185" s="13">
        <f>1+2+2</f>
        <v>5</v>
      </c>
      <c r="J185" s="13">
        <f>(6.4+6.6+6.6)/3</f>
        <v>6.5333333333333341</v>
      </c>
      <c r="K185" s="6">
        <f t="shared" si="34"/>
        <v>7</v>
      </c>
      <c r="L185" s="6">
        <f t="shared" si="35"/>
        <v>12</v>
      </c>
      <c r="M185" s="6">
        <f t="shared" si="36"/>
        <v>0.21875</v>
      </c>
      <c r="N185" s="6">
        <f t="shared" si="38"/>
        <v>0.375</v>
      </c>
      <c r="O185">
        <f>1+1+0.5</f>
        <v>2.5</v>
      </c>
      <c r="P185" s="7">
        <f>1+1</f>
        <v>2</v>
      </c>
      <c r="Q185">
        <f>1+0</f>
        <v>1</v>
      </c>
      <c r="R185">
        <f>1+0</f>
        <v>1</v>
      </c>
      <c r="S185">
        <f>1+1+1</f>
        <v>3</v>
      </c>
      <c r="T185">
        <f>1+0+1</f>
        <v>2</v>
      </c>
      <c r="U185" s="7">
        <f>1+1</f>
        <v>2</v>
      </c>
      <c r="V185">
        <f>0</f>
        <v>0</v>
      </c>
      <c r="W185" s="8">
        <f t="shared" si="37"/>
        <v>11</v>
      </c>
      <c r="X185" s="13" t="s">
        <v>152</v>
      </c>
    </row>
    <row r="186" spans="3:24" x14ac:dyDescent="0.25">
      <c r="C186" s="15" t="s">
        <v>1413</v>
      </c>
      <c r="D186" s="13">
        <f>22</f>
        <v>22</v>
      </c>
      <c r="E186" s="14" t="s">
        <v>91</v>
      </c>
      <c r="F186" s="14" t="s">
        <v>747</v>
      </c>
      <c r="G186" s="13">
        <f>3</f>
        <v>3</v>
      </c>
      <c r="H186" s="13">
        <f>4</f>
        <v>4</v>
      </c>
      <c r="I186" s="13">
        <f>5</f>
        <v>5</v>
      </c>
      <c r="J186" s="13">
        <f>(6.7)/1</f>
        <v>6.7</v>
      </c>
      <c r="K186" s="6">
        <f t="shared" si="34"/>
        <v>7</v>
      </c>
      <c r="L186" s="6">
        <f t="shared" si="35"/>
        <v>12</v>
      </c>
      <c r="M186" s="6">
        <f t="shared" si="36"/>
        <v>0.31818181818181818</v>
      </c>
      <c r="N186" s="6">
        <f t="shared" si="38"/>
        <v>0.54545454545454541</v>
      </c>
      <c r="O186">
        <f>0.75</f>
        <v>0.75</v>
      </c>
      <c r="P186" s="7">
        <f>1</f>
        <v>1</v>
      </c>
      <c r="Q186">
        <f>1</f>
        <v>1</v>
      </c>
      <c r="R186">
        <f>1</f>
        <v>1</v>
      </c>
      <c r="S186">
        <f>0</f>
        <v>0</v>
      </c>
      <c r="T186">
        <f>1</f>
        <v>1</v>
      </c>
      <c r="U186" s="7">
        <f>1</f>
        <v>1</v>
      </c>
      <c r="V186">
        <f>0</f>
        <v>0</v>
      </c>
      <c r="W186" s="8">
        <f t="shared" si="37"/>
        <v>5</v>
      </c>
      <c r="X186" s="15" t="s">
        <v>1413</v>
      </c>
    </row>
    <row r="187" spans="3:24" x14ac:dyDescent="0.25">
      <c r="C187" s="13" t="s">
        <v>822</v>
      </c>
      <c r="D187" s="13">
        <f>27</f>
        <v>27</v>
      </c>
      <c r="E187" s="14" t="s">
        <v>91</v>
      </c>
      <c r="F187" s="14" t="s">
        <v>27</v>
      </c>
      <c r="G187" s="13">
        <f>5</f>
        <v>5</v>
      </c>
      <c r="H187" s="13">
        <f>4</f>
        <v>4</v>
      </c>
      <c r="I187" s="13">
        <f>2</f>
        <v>2</v>
      </c>
      <c r="J187" s="13">
        <f>(6.7)/1</f>
        <v>6.7</v>
      </c>
      <c r="K187" s="6">
        <f t="shared" si="34"/>
        <v>9</v>
      </c>
      <c r="L187" s="6">
        <f t="shared" si="35"/>
        <v>11</v>
      </c>
      <c r="M187" s="6">
        <f t="shared" si="36"/>
        <v>0.33333333333333331</v>
      </c>
      <c r="N187" s="6">
        <f t="shared" si="38"/>
        <v>0.40740740740740738</v>
      </c>
      <c r="O187">
        <f>0.5</f>
        <v>0.5</v>
      </c>
      <c r="P187" s="7">
        <f>1</f>
        <v>1</v>
      </c>
      <c r="Q187">
        <f>1</f>
        <v>1</v>
      </c>
      <c r="R187">
        <f>1</f>
        <v>1</v>
      </c>
      <c r="S187">
        <f>0</f>
        <v>0</v>
      </c>
      <c r="T187">
        <f>0</f>
        <v>0</v>
      </c>
      <c r="U187" s="7">
        <f>0</f>
        <v>0</v>
      </c>
      <c r="V187">
        <f>0</f>
        <v>0</v>
      </c>
      <c r="W187" s="8">
        <f t="shared" si="37"/>
        <v>3</v>
      </c>
      <c r="X187" s="13" t="s">
        <v>822</v>
      </c>
    </row>
    <row r="188" spans="3:24" x14ac:dyDescent="0.25">
      <c r="C188" s="13" t="s">
        <v>156</v>
      </c>
      <c r="D188" s="13">
        <f>17+16</f>
        <v>33</v>
      </c>
      <c r="E188" s="14" t="s">
        <v>96</v>
      </c>
      <c r="F188" s="14" t="s">
        <v>31</v>
      </c>
      <c r="G188" s="13">
        <f>0+1</f>
        <v>1</v>
      </c>
      <c r="H188" s="13">
        <f>0+1</f>
        <v>1</v>
      </c>
      <c r="I188" s="13">
        <f>8+0</f>
        <v>8</v>
      </c>
      <c r="J188" s="13">
        <f>(7.3+6.4)/2</f>
        <v>6.85</v>
      </c>
      <c r="K188" s="6">
        <f t="shared" si="34"/>
        <v>2</v>
      </c>
      <c r="L188" s="6">
        <f t="shared" si="35"/>
        <v>10</v>
      </c>
      <c r="M188" s="6">
        <f t="shared" si="36"/>
        <v>6.0606060606060608E-2</v>
      </c>
      <c r="N188" s="6">
        <f t="shared" si="38"/>
        <v>0.30303030303030304</v>
      </c>
      <c r="O188">
        <f>1+1</f>
        <v>2</v>
      </c>
      <c r="P188" s="7">
        <f>1</f>
        <v>1</v>
      </c>
      <c r="Q188">
        <f>1</f>
        <v>1</v>
      </c>
      <c r="R188">
        <v>1</v>
      </c>
      <c r="S188">
        <f>1</f>
        <v>1</v>
      </c>
      <c r="T188">
        <f>0</f>
        <v>0</v>
      </c>
      <c r="U188" s="7">
        <f>1</f>
        <v>1</v>
      </c>
      <c r="V188">
        <f>0</f>
        <v>0</v>
      </c>
      <c r="W188" s="8">
        <f t="shared" si="37"/>
        <v>5</v>
      </c>
      <c r="X188" s="13" t="s">
        <v>156</v>
      </c>
    </row>
    <row r="189" spans="3:24" x14ac:dyDescent="0.25">
      <c r="C189" s="13" t="s">
        <v>771</v>
      </c>
      <c r="D189" s="13">
        <f>12+12</f>
        <v>24</v>
      </c>
      <c r="E189" s="14" t="s">
        <v>102</v>
      </c>
      <c r="F189" s="14" t="s">
        <v>773</v>
      </c>
      <c r="G189" s="13">
        <f>0+2</f>
        <v>2</v>
      </c>
      <c r="H189" s="13">
        <f>1+0</f>
        <v>1</v>
      </c>
      <c r="I189" s="13">
        <f>3+4</f>
        <v>7</v>
      </c>
      <c r="J189" s="13">
        <f>(6.7+6.5)/2</f>
        <v>6.6</v>
      </c>
      <c r="K189" s="6">
        <f t="shared" si="34"/>
        <v>3</v>
      </c>
      <c r="L189" s="6">
        <f t="shared" si="35"/>
        <v>10</v>
      </c>
      <c r="M189" s="6">
        <f t="shared" si="36"/>
        <v>0.125</v>
      </c>
      <c r="N189" s="6">
        <f t="shared" si="38"/>
        <v>0.41666666666666669</v>
      </c>
      <c r="O189">
        <f>1+1</f>
        <v>2</v>
      </c>
      <c r="P189" s="7">
        <f>1+1</f>
        <v>2</v>
      </c>
      <c r="Q189">
        <f>1+0</f>
        <v>1</v>
      </c>
      <c r="R189">
        <f>0+0</f>
        <v>0</v>
      </c>
      <c r="S189">
        <f>1+1</f>
        <v>2</v>
      </c>
      <c r="T189">
        <f>1+1</f>
        <v>2</v>
      </c>
      <c r="U189" s="7">
        <f>1+1</f>
        <v>2</v>
      </c>
      <c r="V189">
        <f>0</f>
        <v>0</v>
      </c>
      <c r="W189" s="8">
        <f t="shared" si="37"/>
        <v>9</v>
      </c>
      <c r="X189" s="13" t="s">
        <v>771</v>
      </c>
    </row>
    <row r="190" spans="3:24" x14ac:dyDescent="0.25">
      <c r="C190" s="13" t="s">
        <v>157</v>
      </c>
      <c r="D190" s="13">
        <f>7+18</f>
        <v>25</v>
      </c>
      <c r="E190" s="14" t="s">
        <v>96</v>
      </c>
      <c r="F190" s="14" t="s">
        <v>31</v>
      </c>
      <c r="G190" s="13">
        <f>1+0</f>
        <v>1</v>
      </c>
      <c r="H190" s="13">
        <f>2+3</f>
        <v>5</v>
      </c>
      <c r="I190" s="13">
        <f>1+2</f>
        <v>3</v>
      </c>
      <c r="J190" s="13">
        <f>(6.9+6.4)/2</f>
        <v>6.65</v>
      </c>
      <c r="K190" s="6">
        <f t="shared" si="34"/>
        <v>6</v>
      </c>
      <c r="L190" s="6">
        <f t="shared" si="35"/>
        <v>9</v>
      </c>
      <c r="M190" s="6">
        <f t="shared" si="36"/>
        <v>0.24</v>
      </c>
      <c r="N190" s="6">
        <f t="shared" si="38"/>
        <v>0.36</v>
      </c>
      <c r="O190">
        <f>1+1</f>
        <v>2</v>
      </c>
      <c r="P190" s="7">
        <f>1+1</f>
        <v>2</v>
      </c>
      <c r="Q190">
        <f>0+1</f>
        <v>1</v>
      </c>
      <c r="R190">
        <f>1+0</f>
        <v>1</v>
      </c>
      <c r="S190">
        <f>0+1</f>
        <v>1</v>
      </c>
      <c r="T190">
        <f>0+1</f>
        <v>1</v>
      </c>
      <c r="U190" s="7">
        <f>1+1</f>
        <v>2</v>
      </c>
      <c r="V190">
        <f>0</f>
        <v>0</v>
      </c>
      <c r="W190" s="8">
        <f t="shared" si="37"/>
        <v>8</v>
      </c>
      <c r="X190" s="13" t="s">
        <v>157</v>
      </c>
    </row>
    <row r="191" spans="3:24" x14ac:dyDescent="0.25">
      <c r="C191" s="13" t="s">
        <v>158</v>
      </c>
      <c r="D191" s="13">
        <f>16</f>
        <v>16</v>
      </c>
      <c r="E191" s="14" t="s">
        <v>99</v>
      </c>
      <c r="F191" s="14" t="s">
        <v>159</v>
      </c>
      <c r="G191" s="13">
        <f>2</f>
        <v>2</v>
      </c>
      <c r="H191" s="13">
        <f>3</f>
        <v>3</v>
      </c>
      <c r="I191" s="13">
        <f>3</f>
        <v>3</v>
      </c>
      <c r="J191" s="13">
        <f>(6.7)/1</f>
        <v>6.7</v>
      </c>
      <c r="K191" s="6">
        <f t="shared" si="34"/>
        <v>5</v>
      </c>
      <c r="L191" s="6">
        <f t="shared" si="35"/>
        <v>8</v>
      </c>
      <c r="M191" s="6">
        <f t="shared" si="36"/>
        <v>0.3125</v>
      </c>
      <c r="N191" s="6">
        <f t="shared" si="38"/>
        <v>0.5</v>
      </c>
      <c r="O191">
        <f>1</f>
        <v>1</v>
      </c>
      <c r="P191" s="7">
        <f>1</f>
        <v>1</v>
      </c>
      <c r="Q191">
        <f>1</f>
        <v>1</v>
      </c>
      <c r="R191">
        <f>0</f>
        <v>0</v>
      </c>
      <c r="S191">
        <f>1</f>
        <v>1</v>
      </c>
      <c r="T191">
        <f>1</f>
        <v>1</v>
      </c>
      <c r="U191" s="7">
        <f>1</f>
        <v>1</v>
      </c>
      <c r="V191">
        <f>0</f>
        <v>0</v>
      </c>
      <c r="W191" s="8">
        <f t="shared" si="37"/>
        <v>5</v>
      </c>
      <c r="X191" s="13" t="s">
        <v>158</v>
      </c>
    </row>
    <row r="192" spans="3:24" x14ac:dyDescent="0.25">
      <c r="C192" s="13" t="s">
        <v>160</v>
      </c>
      <c r="D192" s="13">
        <f>15+6</f>
        <v>21</v>
      </c>
      <c r="E192" s="14" t="s">
        <v>96</v>
      </c>
      <c r="F192" s="14" t="s">
        <v>31</v>
      </c>
      <c r="G192" s="13">
        <f>1+0</f>
        <v>1</v>
      </c>
      <c r="H192" s="13">
        <f>0+0</f>
        <v>0</v>
      </c>
      <c r="I192" s="13">
        <f>7+0</f>
        <v>7</v>
      </c>
      <c r="J192" s="13">
        <f>(6.6+6.8)/2</f>
        <v>6.6999999999999993</v>
      </c>
      <c r="K192" s="6">
        <f t="shared" si="34"/>
        <v>1</v>
      </c>
      <c r="L192" s="6">
        <f t="shared" si="35"/>
        <v>8</v>
      </c>
      <c r="M192" s="6">
        <f t="shared" si="36"/>
        <v>4.7619047619047616E-2</v>
      </c>
      <c r="N192" s="6">
        <f t="shared" si="38"/>
        <v>0.38095238095238093</v>
      </c>
      <c r="O192">
        <f>1+1</f>
        <v>2</v>
      </c>
      <c r="P192" s="7">
        <f>1</f>
        <v>1</v>
      </c>
      <c r="Q192">
        <f>1</f>
        <v>1</v>
      </c>
      <c r="R192">
        <f>1</f>
        <v>1</v>
      </c>
      <c r="S192">
        <f>1</f>
        <v>1</v>
      </c>
      <c r="T192">
        <f>0</f>
        <v>0</v>
      </c>
      <c r="U192" s="7">
        <f>1</f>
        <v>1</v>
      </c>
      <c r="V192">
        <f>0</f>
        <v>0</v>
      </c>
      <c r="W192" s="8">
        <f t="shared" si="37"/>
        <v>5</v>
      </c>
      <c r="X192" s="13" t="s">
        <v>160</v>
      </c>
    </row>
    <row r="193" spans="1:24" x14ac:dyDescent="0.25">
      <c r="C193" s="13" t="s">
        <v>161</v>
      </c>
      <c r="D193" s="13">
        <f>15+6+1</f>
        <v>22</v>
      </c>
      <c r="E193" s="14" t="s">
        <v>102</v>
      </c>
      <c r="F193" s="14" t="s">
        <v>31</v>
      </c>
      <c r="G193" s="13">
        <f>0+0</f>
        <v>0</v>
      </c>
      <c r="H193" s="13">
        <f>0+1</f>
        <v>1</v>
      </c>
      <c r="I193" s="13">
        <f>7+0</f>
        <v>7</v>
      </c>
      <c r="J193" s="13">
        <f>(6.8+6.4)/2</f>
        <v>6.6</v>
      </c>
      <c r="K193" s="6">
        <f t="shared" si="34"/>
        <v>1</v>
      </c>
      <c r="L193" s="6">
        <f t="shared" si="35"/>
        <v>8</v>
      </c>
      <c r="M193" s="6">
        <f t="shared" si="36"/>
        <v>4.5454545454545456E-2</v>
      </c>
      <c r="N193" s="6">
        <f>(G193+H193+I193)/D193</f>
        <v>0.36363636363636365</v>
      </c>
      <c r="O193">
        <f>1+1+0.5</f>
        <v>2.5</v>
      </c>
      <c r="P193" s="7">
        <f>1+1</f>
        <v>2</v>
      </c>
      <c r="Q193">
        <f>1+1</f>
        <v>2</v>
      </c>
      <c r="R193">
        <f>1+0</f>
        <v>1</v>
      </c>
      <c r="S193">
        <f>0+1+0+1</f>
        <v>2</v>
      </c>
      <c r="T193">
        <f>0+1+1</f>
        <v>2</v>
      </c>
      <c r="U193" s="7">
        <f>0+1</f>
        <v>1</v>
      </c>
      <c r="V193">
        <f>0</f>
        <v>0</v>
      </c>
      <c r="W193" s="8">
        <f t="shared" si="37"/>
        <v>10</v>
      </c>
      <c r="X193" s="13" t="s">
        <v>161</v>
      </c>
    </row>
    <row r="194" spans="1:24" x14ac:dyDescent="0.25">
      <c r="C194" s="13" t="s">
        <v>162</v>
      </c>
      <c r="D194" s="13">
        <f>25+10</f>
        <v>35</v>
      </c>
      <c r="E194" s="14" t="s">
        <v>94</v>
      </c>
      <c r="F194" s="14" t="s">
        <v>159</v>
      </c>
      <c r="G194" s="13">
        <f>0+4</f>
        <v>4</v>
      </c>
      <c r="H194" s="13">
        <f>2+1</f>
        <v>3</v>
      </c>
      <c r="I194" s="13">
        <f>1+0</f>
        <v>1</v>
      </c>
      <c r="J194" s="13">
        <f>(6.3+6.8)/2</f>
        <v>6.55</v>
      </c>
      <c r="K194" s="6">
        <f t="shared" si="34"/>
        <v>7</v>
      </c>
      <c r="L194" s="6">
        <f t="shared" si="35"/>
        <v>8</v>
      </c>
      <c r="M194" s="6">
        <f t="shared" si="36"/>
        <v>0.2</v>
      </c>
      <c r="N194" s="6">
        <f>(G194+H194+I194)/D194</f>
        <v>0.22857142857142856</v>
      </c>
      <c r="O194">
        <f>1+1</f>
        <v>2</v>
      </c>
      <c r="P194" s="7">
        <f>1+1</f>
        <v>2</v>
      </c>
      <c r="Q194">
        <f>1+1</f>
        <v>2</v>
      </c>
      <c r="R194">
        <f>1+0</f>
        <v>1</v>
      </c>
      <c r="S194">
        <f>0+0+1</f>
        <v>1</v>
      </c>
      <c r="T194">
        <f>0+1+1</f>
        <v>2</v>
      </c>
      <c r="U194" s="7">
        <f>1+1</f>
        <v>2</v>
      </c>
      <c r="V194">
        <f>0</f>
        <v>0</v>
      </c>
      <c r="W194" s="8">
        <f t="shared" si="37"/>
        <v>10</v>
      </c>
      <c r="X194" s="13" t="s">
        <v>162</v>
      </c>
    </row>
    <row r="195" spans="1:24" x14ac:dyDescent="0.25">
      <c r="C195" s="13" t="s">
        <v>163</v>
      </c>
      <c r="D195" s="13">
        <f>1+19</f>
        <v>20</v>
      </c>
      <c r="E195" s="14" t="s">
        <v>99</v>
      </c>
      <c r="F195" s="14" t="s">
        <v>37</v>
      </c>
      <c r="G195" s="13">
        <f>0+2</f>
        <v>2</v>
      </c>
      <c r="H195" s="13">
        <f>0+5</f>
        <v>5</v>
      </c>
      <c r="I195" s="13">
        <f>0</f>
        <v>0</v>
      </c>
      <c r="J195" s="13">
        <f>6.9</f>
        <v>6.9</v>
      </c>
      <c r="K195" s="6">
        <f t="shared" si="34"/>
        <v>7</v>
      </c>
      <c r="L195" s="6">
        <f t="shared" si="35"/>
        <v>7</v>
      </c>
      <c r="M195" s="6">
        <f t="shared" si="36"/>
        <v>0.35</v>
      </c>
      <c r="N195" s="6">
        <f t="shared" ref="N195:N201" si="39">(I195+H195+G195)/D195</f>
        <v>0.35</v>
      </c>
      <c r="O195">
        <f>1</f>
        <v>1</v>
      </c>
      <c r="P195" s="7">
        <f>1</f>
        <v>1</v>
      </c>
      <c r="Q195">
        <f>0</f>
        <v>0</v>
      </c>
      <c r="R195">
        <f>0</f>
        <v>0</v>
      </c>
      <c r="S195">
        <f>0+1</f>
        <v>1</v>
      </c>
      <c r="T195">
        <f>0</f>
        <v>0</v>
      </c>
      <c r="U195" s="7">
        <f>0</f>
        <v>0</v>
      </c>
      <c r="V195">
        <f>0</f>
        <v>0</v>
      </c>
      <c r="W195" s="8">
        <f t="shared" si="37"/>
        <v>2</v>
      </c>
      <c r="X195" s="13" t="s">
        <v>163</v>
      </c>
    </row>
    <row r="196" spans="1:24" x14ac:dyDescent="0.25">
      <c r="C196" s="13" t="s">
        <v>752</v>
      </c>
      <c r="D196" s="13">
        <f>2+23</f>
        <v>25</v>
      </c>
      <c r="E196" s="14" t="s">
        <v>91</v>
      </c>
      <c r="F196" s="14" t="s">
        <v>31</v>
      </c>
      <c r="G196" s="13">
        <f>0+0</f>
        <v>0</v>
      </c>
      <c r="H196" s="13">
        <f>1+0</f>
        <v>1</v>
      </c>
      <c r="I196" s="13">
        <f>6</f>
        <v>6</v>
      </c>
      <c r="J196" s="13">
        <f>(6.5)/1</f>
        <v>6.5</v>
      </c>
      <c r="K196" s="6">
        <f t="shared" si="34"/>
        <v>1</v>
      </c>
      <c r="L196" s="6">
        <f t="shared" si="35"/>
        <v>7</v>
      </c>
      <c r="M196" s="6">
        <f t="shared" si="36"/>
        <v>0.04</v>
      </c>
      <c r="N196" s="6">
        <f t="shared" si="39"/>
        <v>0.28000000000000003</v>
      </c>
      <c r="O196">
        <f>1</f>
        <v>1</v>
      </c>
      <c r="P196" s="7">
        <f>1</f>
        <v>1</v>
      </c>
      <c r="Q196">
        <f>1</f>
        <v>1</v>
      </c>
      <c r="R196">
        <f>0</f>
        <v>0</v>
      </c>
      <c r="S196">
        <f>1</f>
        <v>1</v>
      </c>
      <c r="T196">
        <f>1</f>
        <v>1</v>
      </c>
      <c r="U196" s="7">
        <f>1</f>
        <v>1</v>
      </c>
      <c r="V196">
        <f>0</f>
        <v>0</v>
      </c>
      <c r="W196" s="8">
        <f t="shared" si="37"/>
        <v>5</v>
      </c>
      <c r="X196" s="13" t="s">
        <v>752</v>
      </c>
    </row>
    <row r="197" spans="1:24" x14ac:dyDescent="0.25">
      <c r="C197" s="13" t="s">
        <v>164</v>
      </c>
      <c r="D197" s="13">
        <f>8</f>
        <v>8</v>
      </c>
      <c r="E197" s="14" t="s">
        <v>96</v>
      </c>
      <c r="F197" s="14" t="s">
        <v>165</v>
      </c>
      <c r="G197" s="13">
        <f>0</f>
        <v>0</v>
      </c>
      <c r="H197" s="13">
        <f>0</f>
        <v>0</v>
      </c>
      <c r="I197" s="13">
        <f>4</f>
        <v>4</v>
      </c>
      <c r="J197" s="13">
        <f>(6.6)/1</f>
        <v>6.6</v>
      </c>
      <c r="K197" s="6">
        <f t="shared" si="34"/>
        <v>0</v>
      </c>
      <c r="L197" s="6">
        <f t="shared" si="35"/>
        <v>4</v>
      </c>
      <c r="M197" s="6">
        <f t="shared" si="36"/>
        <v>0</v>
      </c>
      <c r="N197" s="6">
        <f t="shared" si="39"/>
        <v>0.5</v>
      </c>
      <c r="O197">
        <f>1</f>
        <v>1</v>
      </c>
      <c r="P197" s="7">
        <f>1</f>
        <v>1</v>
      </c>
      <c r="Q197">
        <f>1</f>
        <v>1</v>
      </c>
      <c r="R197">
        <f>1</f>
        <v>1</v>
      </c>
      <c r="S197">
        <f>1+1</f>
        <v>2</v>
      </c>
      <c r="T197">
        <f>1</f>
        <v>1</v>
      </c>
      <c r="U197" s="7">
        <f>1</f>
        <v>1</v>
      </c>
      <c r="V197">
        <f>0</f>
        <v>0</v>
      </c>
      <c r="W197" s="8">
        <f t="shared" si="37"/>
        <v>7</v>
      </c>
      <c r="X197" s="13" t="s">
        <v>164</v>
      </c>
    </row>
    <row r="198" spans="1:24" x14ac:dyDescent="0.25">
      <c r="A198" t="s">
        <v>235</v>
      </c>
      <c r="C198" s="13" t="s">
        <v>166</v>
      </c>
      <c r="D198" s="13">
        <f>5+14</f>
        <v>19</v>
      </c>
      <c r="E198" s="14" t="s">
        <v>91</v>
      </c>
      <c r="F198" s="14" t="s">
        <v>31</v>
      </c>
      <c r="G198" s="13">
        <f>1+1</f>
        <v>2</v>
      </c>
      <c r="H198" s="13">
        <f>0+1</f>
        <v>1</v>
      </c>
      <c r="I198" s="13">
        <f>0+1</f>
        <v>1</v>
      </c>
      <c r="J198" s="13">
        <f>(6.1+6.8)/2</f>
        <v>6.4499999999999993</v>
      </c>
      <c r="K198" s="6">
        <f t="shared" si="34"/>
        <v>3</v>
      </c>
      <c r="L198" s="6">
        <f t="shared" si="35"/>
        <v>4</v>
      </c>
      <c r="M198" s="6">
        <f t="shared" si="36"/>
        <v>0.15789473684210525</v>
      </c>
      <c r="N198" s="6">
        <f t="shared" si="39"/>
        <v>0.21052631578947367</v>
      </c>
      <c r="O198">
        <f>1+1</f>
        <v>2</v>
      </c>
      <c r="P198" s="7">
        <f>1+1</f>
        <v>2</v>
      </c>
      <c r="Q198">
        <f>1+0</f>
        <v>1</v>
      </c>
      <c r="R198">
        <f>1+0</f>
        <v>1</v>
      </c>
      <c r="S198">
        <f>1+1</f>
        <v>2</v>
      </c>
      <c r="T198">
        <f>1+0</f>
        <v>1</v>
      </c>
      <c r="U198" s="7">
        <f>1+1</f>
        <v>2</v>
      </c>
      <c r="V198">
        <f>0</f>
        <v>0</v>
      </c>
      <c r="W198" s="8">
        <f t="shared" si="37"/>
        <v>9</v>
      </c>
      <c r="X198" s="13" t="s">
        <v>166</v>
      </c>
    </row>
    <row r="199" spans="1:24" x14ac:dyDescent="0.25">
      <c r="C199" s="13" t="s">
        <v>748</v>
      </c>
      <c r="D199" s="13">
        <f>14</f>
        <v>14</v>
      </c>
      <c r="E199" s="14" t="s">
        <v>99</v>
      </c>
      <c r="F199" s="14" t="s">
        <v>31</v>
      </c>
      <c r="G199" s="13">
        <f>1</f>
        <v>1</v>
      </c>
      <c r="H199" s="13">
        <f>2</f>
        <v>2</v>
      </c>
      <c r="I199" s="13">
        <f>1</f>
        <v>1</v>
      </c>
      <c r="J199" s="13">
        <f>(6.2)/1</f>
        <v>6.2</v>
      </c>
      <c r="K199" s="6">
        <f t="shared" si="34"/>
        <v>3</v>
      </c>
      <c r="L199" s="6">
        <f t="shared" si="35"/>
        <v>4</v>
      </c>
      <c r="M199" s="6">
        <f t="shared" si="36"/>
        <v>0.21428571428571427</v>
      </c>
      <c r="N199" s="6">
        <f t="shared" si="39"/>
        <v>0.2857142857142857</v>
      </c>
      <c r="O199">
        <f>0.5</f>
        <v>0.5</v>
      </c>
      <c r="P199" s="7">
        <f>1</f>
        <v>1</v>
      </c>
      <c r="Q199">
        <f>0</f>
        <v>0</v>
      </c>
      <c r="R199">
        <f>0</f>
        <v>0</v>
      </c>
      <c r="S199">
        <f>0</f>
        <v>0</v>
      </c>
      <c r="T199">
        <f>0</f>
        <v>0</v>
      </c>
      <c r="U199" s="7">
        <f>1</f>
        <v>1</v>
      </c>
      <c r="V199">
        <f>0</f>
        <v>0</v>
      </c>
      <c r="W199" s="8">
        <f t="shared" si="37"/>
        <v>2</v>
      </c>
      <c r="X199" s="13" t="s">
        <v>748</v>
      </c>
    </row>
    <row r="200" spans="1:24" x14ac:dyDescent="0.25">
      <c r="C200" s="13" t="s">
        <v>795</v>
      </c>
      <c r="D200" s="13">
        <f>1</f>
        <v>1</v>
      </c>
      <c r="E200" s="14" t="s">
        <v>96</v>
      </c>
      <c r="F200" s="14" t="s">
        <v>31</v>
      </c>
      <c r="G200" s="13">
        <f>1</f>
        <v>1</v>
      </c>
      <c r="H200" s="13">
        <f>1</f>
        <v>1</v>
      </c>
      <c r="I200" s="13">
        <f>2</f>
        <v>2</v>
      </c>
      <c r="J200" s="13">
        <f>(6.5)/1</f>
        <v>6.5</v>
      </c>
      <c r="K200" s="6">
        <f t="shared" si="34"/>
        <v>2</v>
      </c>
      <c r="L200" s="6">
        <f t="shared" si="35"/>
        <v>4</v>
      </c>
      <c r="M200" s="6">
        <f t="shared" si="36"/>
        <v>2</v>
      </c>
      <c r="N200" s="6">
        <f t="shared" si="39"/>
        <v>4</v>
      </c>
      <c r="O200">
        <f>1</f>
        <v>1</v>
      </c>
      <c r="P200" s="7">
        <f>1</f>
        <v>1</v>
      </c>
      <c r="Q200">
        <f>0</f>
        <v>0</v>
      </c>
      <c r="R200">
        <f>0</f>
        <v>0</v>
      </c>
      <c r="S200">
        <f>1</f>
        <v>1</v>
      </c>
      <c r="T200">
        <f>1</f>
        <v>1</v>
      </c>
      <c r="U200" s="7">
        <f>1</f>
        <v>1</v>
      </c>
      <c r="V200">
        <f>0</f>
        <v>0</v>
      </c>
      <c r="W200" s="8">
        <f t="shared" si="37"/>
        <v>4</v>
      </c>
      <c r="X200" s="13" t="s">
        <v>795</v>
      </c>
    </row>
    <row r="201" spans="1:24" x14ac:dyDescent="0.25">
      <c r="C201" s="13" t="s">
        <v>168</v>
      </c>
      <c r="D201" s="13">
        <f>8</f>
        <v>8</v>
      </c>
      <c r="E201" s="14" t="s">
        <v>102</v>
      </c>
      <c r="F201" s="14" t="s">
        <v>31</v>
      </c>
      <c r="G201" s="13">
        <f>1</f>
        <v>1</v>
      </c>
      <c r="H201" s="13">
        <f>1</f>
        <v>1</v>
      </c>
      <c r="I201" s="13">
        <f>1</f>
        <v>1</v>
      </c>
      <c r="J201" s="13">
        <f>(6.6)/1</f>
        <v>6.6</v>
      </c>
      <c r="K201" s="6">
        <f t="shared" ref="K201:K217" si="40">SUM(G201:H201)</f>
        <v>2</v>
      </c>
      <c r="L201" s="6">
        <f t="shared" ref="L201:L217" si="41">SUM(G201:I201)</f>
        <v>3</v>
      </c>
      <c r="M201" s="6">
        <f t="shared" ref="M201:M217" si="42">(G201+H201)/D201</f>
        <v>0.25</v>
      </c>
      <c r="N201" s="6">
        <f t="shared" si="39"/>
        <v>0.375</v>
      </c>
      <c r="O201">
        <f>1</f>
        <v>1</v>
      </c>
      <c r="P201" s="7">
        <f>1</f>
        <v>1</v>
      </c>
      <c r="Q201">
        <f>1</f>
        <v>1</v>
      </c>
      <c r="R201">
        <f>1</f>
        <v>1</v>
      </c>
      <c r="S201">
        <f>1</f>
        <v>1</v>
      </c>
      <c r="T201">
        <f>1</f>
        <v>1</v>
      </c>
      <c r="U201" s="7">
        <f>1</f>
        <v>1</v>
      </c>
      <c r="V201">
        <f>0</f>
        <v>0</v>
      </c>
      <c r="W201" s="8">
        <f t="shared" ref="W201:W232" si="43">SUM(P201:V201)</f>
        <v>6</v>
      </c>
      <c r="X201" s="13" t="s">
        <v>168</v>
      </c>
    </row>
    <row r="202" spans="1:24" x14ac:dyDescent="0.25">
      <c r="C202" s="13" t="s">
        <v>169</v>
      </c>
      <c r="D202" s="13">
        <f>9</f>
        <v>9</v>
      </c>
      <c r="E202" s="14" t="s">
        <v>91</v>
      </c>
      <c r="F202" s="14" t="s">
        <v>39</v>
      </c>
      <c r="G202" s="13">
        <f>1</f>
        <v>1</v>
      </c>
      <c r="H202" s="13">
        <f>2</f>
        <v>2</v>
      </c>
      <c r="I202" s="13">
        <f>0</f>
        <v>0</v>
      </c>
      <c r="J202" s="13">
        <f>(6.7)/1</f>
        <v>6.7</v>
      </c>
      <c r="K202" s="6">
        <f t="shared" si="40"/>
        <v>3</v>
      </c>
      <c r="L202" s="6">
        <f t="shared" si="41"/>
        <v>3</v>
      </c>
      <c r="M202" s="6">
        <f t="shared" si="42"/>
        <v>0.33333333333333331</v>
      </c>
      <c r="N202" s="6">
        <f>(G202+H202+I202)/D202</f>
        <v>0.33333333333333331</v>
      </c>
      <c r="O202">
        <f>0.5</f>
        <v>0.5</v>
      </c>
      <c r="P202" s="7"/>
      <c r="S202">
        <f>1</f>
        <v>1</v>
      </c>
      <c r="T202">
        <f>1</f>
        <v>1</v>
      </c>
      <c r="U202" s="7"/>
      <c r="V202">
        <f>0</f>
        <v>0</v>
      </c>
      <c r="W202" s="8">
        <f t="shared" si="43"/>
        <v>2</v>
      </c>
      <c r="X202" s="13" t="s">
        <v>169</v>
      </c>
    </row>
    <row r="203" spans="1:24" x14ac:dyDescent="0.25">
      <c r="C203" s="102" t="s">
        <v>1154</v>
      </c>
      <c r="D203" s="13">
        <f>13</f>
        <v>13</v>
      </c>
      <c r="E203" s="14" t="s">
        <v>99</v>
      </c>
      <c r="F203" s="14" t="s">
        <v>1155</v>
      </c>
      <c r="G203" s="13">
        <f>0</f>
        <v>0</v>
      </c>
      <c r="H203" s="13">
        <f>3</f>
        <v>3</v>
      </c>
      <c r="I203" s="13">
        <f>0</f>
        <v>0</v>
      </c>
      <c r="J203" s="13">
        <f>(6.3)/1</f>
        <v>6.3</v>
      </c>
      <c r="K203" s="6">
        <f t="shared" si="40"/>
        <v>3</v>
      </c>
      <c r="L203" s="6">
        <f t="shared" si="41"/>
        <v>3</v>
      </c>
      <c r="M203" s="6">
        <f t="shared" si="42"/>
        <v>0.23076923076923078</v>
      </c>
      <c r="N203" s="6">
        <f t="shared" ref="N203:N217" si="44">(I203+H203+G203)/D203</f>
        <v>0.23076923076923078</v>
      </c>
      <c r="O203">
        <f>0.5</f>
        <v>0.5</v>
      </c>
      <c r="P203" s="7">
        <f>1</f>
        <v>1</v>
      </c>
      <c r="Q203">
        <f>1</f>
        <v>1</v>
      </c>
      <c r="R203">
        <f>0</f>
        <v>0</v>
      </c>
      <c r="S203">
        <f>0</f>
        <v>0</v>
      </c>
      <c r="T203">
        <f>0</f>
        <v>0</v>
      </c>
      <c r="U203" s="7">
        <f>1</f>
        <v>1</v>
      </c>
      <c r="V203">
        <f>0</f>
        <v>0</v>
      </c>
      <c r="W203" s="8">
        <f t="shared" si="43"/>
        <v>3</v>
      </c>
      <c r="X203" s="102" t="s">
        <v>1154</v>
      </c>
    </row>
    <row r="204" spans="1:24" x14ac:dyDescent="0.25">
      <c r="C204" s="13" t="s">
        <v>170</v>
      </c>
      <c r="D204" s="13">
        <f>5</f>
        <v>5</v>
      </c>
      <c r="E204" s="14" t="s">
        <v>96</v>
      </c>
      <c r="F204" s="14" t="s">
        <v>171</v>
      </c>
      <c r="G204" s="13">
        <f>0</f>
        <v>0</v>
      </c>
      <c r="H204" s="13">
        <f>1</f>
        <v>1</v>
      </c>
      <c r="I204" s="13">
        <f>1</f>
        <v>1</v>
      </c>
      <c r="J204" s="13">
        <f>(6.5)/1</f>
        <v>6.5</v>
      </c>
      <c r="K204" s="6">
        <f t="shared" si="40"/>
        <v>1</v>
      </c>
      <c r="L204" s="6">
        <f t="shared" si="41"/>
        <v>2</v>
      </c>
      <c r="M204" s="6">
        <f t="shared" si="42"/>
        <v>0.2</v>
      </c>
      <c r="N204" s="6">
        <f t="shared" si="44"/>
        <v>0.4</v>
      </c>
      <c r="O204">
        <f>1</f>
        <v>1</v>
      </c>
      <c r="P204" s="7">
        <f>1</f>
        <v>1</v>
      </c>
      <c r="Q204">
        <f>1</f>
        <v>1</v>
      </c>
      <c r="R204">
        <f>1</f>
        <v>1</v>
      </c>
      <c r="S204">
        <f>1+1</f>
        <v>2</v>
      </c>
      <c r="T204">
        <f>1</f>
        <v>1</v>
      </c>
      <c r="U204" s="7">
        <f>1</f>
        <v>1</v>
      </c>
      <c r="V204">
        <f>0</f>
        <v>0</v>
      </c>
      <c r="W204" s="8">
        <f t="shared" si="43"/>
        <v>7</v>
      </c>
      <c r="X204" s="13" t="s">
        <v>172</v>
      </c>
    </row>
    <row r="205" spans="1:24" x14ac:dyDescent="0.25">
      <c r="C205" s="102" t="s">
        <v>835</v>
      </c>
      <c r="D205" s="13">
        <f>8+12</f>
        <v>20</v>
      </c>
      <c r="E205" s="14" t="s">
        <v>91</v>
      </c>
      <c r="F205" s="14" t="s">
        <v>47</v>
      </c>
      <c r="G205" s="13">
        <f>0+0</f>
        <v>0</v>
      </c>
      <c r="H205" s="13">
        <f>0+1</f>
        <v>1</v>
      </c>
      <c r="I205" s="13">
        <f>1+0</f>
        <v>1</v>
      </c>
      <c r="J205" s="13">
        <f>(6.5+6.4)/2</f>
        <v>6.45</v>
      </c>
      <c r="K205" s="6">
        <f t="shared" si="40"/>
        <v>1</v>
      </c>
      <c r="L205" s="6">
        <f t="shared" si="41"/>
        <v>2</v>
      </c>
      <c r="M205" s="6">
        <f t="shared" si="42"/>
        <v>0.05</v>
      </c>
      <c r="N205" s="6">
        <f t="shared" si="44"/>
        <v>0.1</v>
      </c>
      <c r="O205">
        <f>1+1</f>
        <v>2</v>
      </c>
      <c r="P205" s="7">
        <f>1+1</f>
        <v>2</v>
      </c>
      <c r="Q205">
        <f>1+1</f>
        <v>2</v>
      </c>
      <c r="R205">
        <f>1+0</f>
        <v>1</v>
      </c>
      <c r="S205">
        <f>0+1</f>
        <v>1</v>
      </c>
      <c r="T205">
        <f>0+1</f>
        <v>1</v>
      </c>
      <c r="U205" s="7">
        <f>1+1</f>
        <v>2</v>
      </c>
      <c r="V205">
        <f>0</f>
        <v>0</v>
      </c>
      <c r="W205" s="8">
        <f t="shared" si="43"/>
        <v>9</v>
      </c>
      <c r="X205" s="102" t="s">
        <v>835</v>
      </c>
    </row>
    <row r="206" spans="1:24" x14ac:dyDescent="0.25">
      <c r="C206" s="13" t="s">
        <v>173</v>
      </c>
      <c r="D206" s="13"/>
      <c r="E206" s="14" t="s">
        <v>94</v>
      </c>
      <c r="F206" s="14" t="s">
        <v>31</v>
      </c>
      <c r="G206" s="13">
        <f>1</f>
        <v>1</v>
      </c>
      <c r="H206" s="13"/>
      <c r="I206" s="13"/>
      <c r="J206" s="13"/>
      <c r="K206" s="6">
        <f t="shared" si="40"/>
        <v>1</v>
      </c>
      <c r="L206" s="6">
        <f t="shared" si="41"/>
        <v>1</v>
      </c>
      <c r="M206" s="6" t="e">
        <f t="shared" si="42"/>
        <v>#DIV/0!</v>
      </c>
      <c r="N206" s="6" t="e">
        <f t="shared" si="44"/>
        <v>#DIV/0!</v>
      </c>
      <c r="P206" s="7"/>
      <c r="S206">
        <f>1+1+1+1</f>
        <v>4</v>
      </c>
      <c r="U206" s="7"/>
      <c r="V206">
        <f>0</f>
        <v>0</v>
      </c>
      <c r="W206" s="8">
        <f t="shared" si="43"/>
        <v>4</v>
      </c>
      <c r="X206" s="13" t="s">
        <v>173</v>
      </c>
    </row>
    <row r="207" spans="1:24" x14ac:dyDescent="0.25">
      <c r="C207" s="13" t="s">
        <v>174</v>
      </c>
      <c r="D207" s="13">
        <f>1</f>
        <v>1</v>
      </c>
      <c r="E207" s="14" t="s">
        <v>96</v>
      </c>
      <c r="F207" s="14" t="s">
        <v>44</v>
      </c>
      <c r="G207" s="13">
        <f>0</f>
        <v>0</v>
      </c>
      <c r="H207" s="13">
        <f>0</f>
        <v>0</v>
      </c>
      <c r="I207" s="13">
        <f>0</f>
        <v>0</v>
      </c>
      <c r="J207" s="13"/>
      <c r="K207" s="6">
        <f t="shared" si="40"/>
        <v>0</v>
      </c>
      <c r="L207" s="6">
        <f t="shared" si="41"/>
        <v>0</v>
      </c>
      <c r="M207" s="6">
        <f t="shared" si="42"/>
        <v>0</v>
      </c>
      <c r="N207" s="6">
        <f t="shared" si="44"/>
        <v>0</v>
      </c>
      <c r="O207">
        <f>1</f>
        <v>1</v>
      </c>
      <c r="P207" s="7">
        <f>1</f>
        <v>1</v>
      </c>
      <c r="Q207">
        <f>0</f>
        <v>0</v>
      </c>
      <c r="R207">
        <f>0</f>
        <v>0</v>
      </c>
      <c r="S207">
        <f>0+1+1</f>
        <v>2</v>
      </c>
      <c r="T207">
        <f>0+1</f>
        <v>1</v>
      </c>
      <c r="U207" s="7">
        <f>1</f>
        <v>1</v>
      </c>
      <c r="V207">
        <f>0</f>
        <v>0</v>
      </c>
      <c r="W207" s="8">
        <f t="shared" si="43"/>
        <v>5</v>
      </c>
      <c r="X207" s="13" t="s">
        <v>174</v>
      </c>
    </row>
    <row r="208" spans="1:24" x14ac:dyDescent="0.25">
      <c r="C208" s="102" t="s">
        <v>1338</v>
      </c>
      <c r="D208" s="13">
        <f>2</f>
        <v>2</v>
      </c>
      <c r="E208" s="14" t="s">
        <v>94</v>
      </c>
      <c r="F208" s="14" t="s">
        <v>739</v>
      </c>
      <c r="G208" s="13">
        <f>0</f>
        <v>0</v>
      </c>
      <c r="H208" s="13">
        <f>0</f>
        <v>0</v>
      </c>
      <c r="I208" s="13">
        <f>0</f>
        <v>0</v>
      </c>
      <c r="J208" s="13"/>
      <c r="K208" s="6">
        <f t="shared" si="40"/>
        <v>0</v>
      </c>
      <c r="L208" s="6">
        <f t="shared" si="41"/>
        <v>0</v>
      </c>
      <c r="M208" s="6">
        <f t="shared" si="42"/>
        <v>0</v>
      </c>
      <c r="N208" s="6">
        <f t="shared" si="44"/>
        <v>0</v>
      </c>
      <c r="O208">
        <f>0.125</f>
        <v>0.125</v>
      </c>
      <c r="P208" s="7">
        <f>1</f>
        <v>1</v>
      </c>
      <c r="Q208">
        <f>0</f>
        <v>0</v>
      </c>
      <c r="R208">
        <f>0</f>
        <v>0</v>
      </c>
      <c r="S208">
        <f>0</f>
        <v>0</v>
      </c>
      <c r="T208">
        <f>0</f>
        <v>0</v>
      </c>
      <c r="U208" s="7">
        <f>1</f>
        <v>1</v>
      </c>
      <c r="V208">
        <f>0</f>
        <v>0</v>
      </c>
      <c r="W208" s="8">
        <f t="shared" si="43"/>
        <v>2</v>
      </c>
      <c r="X208" s="102" t="s">
        <v>1338</v>
      </c>
    </row>
    <row r="209" spans="3:24" x14ac:dyDescent="0.25">
      <c r="C209" s="15"/>
      <c r="D209" s="13"/>
      <c r="E209" s="14"/>
      <c r="F209" s="14"/>
      <c r="G209" s="13"/>
      <c r="H209" s="13"/>
      <c r="I209" s="13"/>
      <c r="J209" s="13"/>
      <c r="K209" s="6">
        <f t="shared" si="40"/>
        <v>0</v>
      </c>
      <c r="L209" s="6">
        <f t="shared" si="41"/>
        <v>0</v>
      </c>
      <c r="M209" s="6" t="e">
        <f t="shared" si="42"/>
        <v>#DIV/0!</v>
      </c>
      <c r="N209" s="6" t="e">
        <f t="shared" si="44"/>
        <v>#DIV/0!</v>
      </c>
      <c r="P209" s="7"/>
      <c r="U209" s="7"/>
      <c r="V209">
        <f>0</f>
        <v>0</v>
      </c>
      <c r="W209" s="8">
        <f t="shared" si="43"/>
        <v>0</v>
      </c>
      <c r="X209" s="15"/>
    </row>
    <row r="210" spans="3:24" x14ac:dyDescent="0.25">
      <c r="C210" s="15"/>
      <c r="D210" s="13"/>
      <c r="E210" s="14"/>
      <c r="F210" s="14"/>
      <c r="G210" s="13"/>
      <c r="H210" s="13"/>
      <c r="I210" s="13"/>
      <c r="J210" s="13"/>
      <c r="K210" s="6">
        <f t="shared" si="40"/>
        <v>0</v>
      </c>
      <c r="L210" s="6">
        <f t="shared" si="41"/>
        <v>0</v>
      </c>
      <c r="M210" s="6" t="e">
        <f t="shared" si="42"/>
        <v>#DIV/0!</v>
      </c>
      <c r="N210" s="6" t="e">
        <f t="shared" si="44"/>
        <v>#DIV/0!</v>
      </c>
      <c r="P210" s="7"/>
      <c r="U210" s="7"/>
      <c r="V210">
        <f>0</f>
        <v>0</v>
      </c>
      <c r="W210" s="8">
        <f t="shared" si="43"/>
        <v>0</v>
      </c>
      <c r="X210" s="15"/>
    </row>
    <row r="211" spans="3:24" x14ac:dyDescent="0.25">
      <c r="C211" s="15"/>
      <c r="D211" s="13"/>
      <c r="E211" s="14"/>
      <c r="F211" s="14"/>
      <c r="G211" s="13"/>
      <c r="H211" s="13"/>
      <c r="I211" s="13"/>
      <c r="J211" s="13"/>
      <c r="K211" s="6">
        <f t="shared" si="40"/>
        <v>0</v>
      </c>
      <c r="L211" s="6">
        <f t="shared" si="41"/>
        <v>0</v>
      </c>
      <c r="M211" s="6" t="e">
        <f t="shared" si="42"/>
        <v>#DIV/0!</v>
      </c>
      <c r="N211" s="6" t="e">
        <f t="shared" si="44"/>
        <v>#DIV/0!</v>
      </c>
      <c r="P211" s="7"/>
      <c r="U211" s="7"/>
      <c r="V211">
        <f>0</f>
        <v>0</v>
      </c>
      <c r="W211" s="8">
        <f t="shared" si="43"/>
        <v>0</v>
      </c>
      <c r="X211" s="15"/>
    </row>
    <row r="212" spans="3:24" x14ac:dyDescent="0.25">
      <c r="C212" s="15"/>
      <c r="D212" s="13"/>
      <c r="E212" s="14"/>
      <c r="F212" s="14"/>
      <c r="G212" s="13"/>
      <c r="H212" s="13"/>
      <c r="I212" s="13"/>
      <c r="J212" s="13"/>
      <c r="K212" s="6">
        <f t="shared" si="40"/>
        <v>0</v>
      </c>
      <c r="L212" s="6">
        <f t="shared" si="41"/>
        <v>0</v>
      </c>
      <c r="M212" s="6" t="e">
        <f t="shared" si="42"/>
        <v>#DIV/0!</v>
      </c>
      <c r="N212" s="6" t="e">
        <f t="shared" si="44"/>
        <v>#DIV/0!</v>
      </c>
      <c r="P212" s="7"/>
      <c r="U212" s="7"/>
      <c r="V212">
        <f>0</f>
        <v>0</v>
      </c>
      <c r="W212" s="8">
        <f t="shared" si="43"/>
        <v>0</v>
      </c>
      <c r="X212" s="15"/>
    </row>
    <row r="213" spans="3:24" x14ac:dyDescent="0.25">
      <c r="C213" s="15"/>
      <c r="D213" s="13"/>
      <c r="E213" s="14"/>
      <c r="F213" s="14"/>
      <c r="G213" s="13"/>
      <c r="H213" s="13"/>
      <c r="I213" s="13"/>
      <c r="J213" s="13"/>
      <c r="K213" s="6">
        <f t="shared" si="40"/>
        <v>0</v>
      </c>
      <c r="L213" s="6">
        <f t="shared" si="41"/>
        <v>0</v>
      </c>
      <c r="M213" s="6" t="e">
        <f t="shared" si="42"/>
        <v>#DIV/0!</v>
      </c>
      <c r="N213" s="6" t="e">
        <f t="shared" si="44"/>
        <v>#DIV/0!</v>
      </c>
      <c r="P213" s="7"/>
      <c r="U213" s="7"/>
      <c r="V213">
        <f>0</f>
        <v>0</v>
      </c>
      <c r="W213" s="8">
        <f t="shared" si="43"/>
        <v>0</v>
      </c>
      <c r="X213" s="15"/>
    </row>
    <row r="214" spans="3:24" x14ac:dyDescent="0.25">
      <c r="C214" s="15"/>
      <c r="D214" s="13"/>
      <c r="E214" s="14"/>
      <c r="F214" s="14"/>
      <c r="G214" s="13"/>
      <c r="H214" s="13"/>
      <c r="I214" s="13"/>
      <c r="J214" s="13"/>
      <c r="K214" s="6">
        <f t="shared" si="40"/>
        <v>0</v>
      </c>
      <c r="L214" s="6">
        <f t="shared" si="41"/>
        <v>0</v>
      </c>
      <c r="M214" s="6" t="e">
        <f t="shared" si="42"/>
        <v>#DIV/0!</v>
      </c>
      <c r="N214" s="6" t="e">
        <f t="shared" si="44"/>
        <v>#DIV/0!</v>
      </c>
      <c r="P214" s="7"/>
      <c r="U214" s="7"/>
      <c r="V214">
        <f>0</f>
        <v>0</v>
      </c>
      <c r="W214" s="8">
        <f t="shared" si="43"/>
        <v>0</v>
      </c>
      <c r="X214" s="15"/>
    </row>
    <row r="215" spans="3:24" x14ac:dyDescent="0.25">
      <c r="C215" s="15"/>
      <c r="D215" s="13"/>
      <c r="E215" s="14"/>
      <c r="F215" s="14"/>
      <c r="G215" s="13"/>
      <c r="H215" s="13"/>
      <c r="I215" s="13"/>
      <c r="J215" s="13"/>
      <c r="K215" s="6">
        <f t="shared" si="40"/>
        <v>0</v>
      </c>
      <c r="L215" s="6">
        <f t="shared" si="41"/>
        <v>0</v>
      </c>
      <c r="M215" s="6" t="e">
        <f t="shared" si="42"/>
        <v>#DIV/0!</v>
      </c>
      <c r="N215" s="6" t="e">
        <f t="shared" si="44"/>
        <v>#DIV/0!</v>
      </c>
      <c r="P215" s="7"/>
      <c r="U215" s="7"/>
      <c r="V215">
        <f>0</f>
        <v>0</v>
      </c>
      <c r="W215" s="8">
        <f t="shared" si="43"/>
        <v>0</v>
      </c>
      <c r="X215" s="15"/>
    </row>
    <row r="216" spans="3:24" x14ac:dyDescent="0.25">
      <c r="C216" s="15"/>
      <c r="D216" s="13"/>
      <c r="E216" s="14"/>
      <c r="F216" s="14"/>
      <c r="G216" s="13"/>
      <c r="H216" s="13"/>
      <c r="I216" s="13"/>
      <c r="J216" s="13"/>
      <c r="K216" s="6">
        <f t="shared" si="40"/>
        <v>0</v>
      </c>
      <c r="L216" s="6">
        <f t="shared" si="41"/>
        <v>0</v>
      </c>
      <c r="M216" s="6" t="e">
        <f t="shared" si="42"/>
        <v>#DIV/0!</v>
      </c>
      <c r="N216" s="6" t="e">
        <f t="shared" si="44"/>
        <v>#DIV/0!</v>
      </c>
      <c r="P216" s="7"/>
      <c r="U216" s="7"/>
      <c r="V216">
        <f>0</f>
        <v>0</v>
      </c>
      <c r="W216" s="8">
        <f t="shared" si="43"/>
        <v>0</v>
      </c>
      <c r="X216" s="15"/>
    </row>
    <row r="217" spans="3:24" x14ac:dyDescent="0.25">
      <c r="C217" s="15"/>
      <c r="D217" s="13"/>
      <c r="E217" s="14"/>
      <c r="F217" s="14"/>
      <c r="G217" s="13"/>
      <c r="H217" s="13"/>
      <c r="I217" s="13"/>
      <c r="J217" s="13"/>
      <c r="K217" s="6">
        <f t="shared" si="40"/>
        <v>0</v>
      </c>
      <c r="L217" s="6">
        <f t="shared" si="41"/>
        <v>0</v>
      </c>
      <c r="M217" s="6" t="e">
        <f t="shared" si="42"/>
        <v>#DIV/0!</v>
      </c>
      <c r="N217" s="6" t="e">
        <f t="shared" si="44"/>
        <v>#DIV/0!</v>
      </c>
      <c r="P217" s="7"/>
      <c r="U217" s="7"/>
      <c r="V217">
        <f>0</f>
        <v>0</v>
      </c>
      <c r="W217" s="8">
        <f t="shared" si="43"/>
        <v>0</v>
      </c>
      <c r="X217" s="15"/>
    </row>
    <row r="218" spans="3:24" x14ac:dyDescent="0.25">
      <c r="E218" s="16"/>
    </row>
    <row r="219" spans="3:24" x14ac:dyDescent="0.25">
      <c r="C219" s="17" t="s">
        <v>175</v>
      </c>
    </row>
    <row r="220" spans="3:24" x14ac:dyDescent="0.25">
      <c r="C220" s="3" t="s">
        <v>2</v>
      </c>
      <c r="D220" s="3" t="s">
        <v>3</v>
      </c>
      <c r="E220" s="3" t="s">
        <v>4</v>
      </c>
      <c r="F220" s="3" t="s">
        <v>5</v>
      </c>
      <c r="G220" s="3" t="s">
        <v>6</v>
      </c>
      <c r="H220" s="3" t="s">
        <v>7</v>
      </c>
      <c r="I220" s="3" t="s">
        <v>8</v>
      </c>
      <c r="J220" s="3" t="s">
        <v>9</v>
      </c>
      <c r="K220" s="3" t="s">
        <v>41</v>
      </c>
      <c r="L220" s="3" t="s">
        <v>11</v>
      </c>
      <c r="M220" s="3" t="s">
        <v>12</v>
      </c>
      <c r="N220" s="3" t="s">
        <v>13</v>
      </c>
      <c r="O220" s="3" t="s">
        <v>14</v>
      </c>
      <c r="P220" s="4" t="s">
        <v>15</v>
      </c>
      <c r="Q220" s="4" t="s">
        <v>16</v>
      </c>
      <c r="R220" s="4" t="s">
        <v>17</v>
      </c>
      <c r="S220" s="4" t="s">
        <v>18</v>
      </c>
      <c r="T220" s="4" t="s">
        <v>19</v>
      </c>
      <c r="U220" s="4" t="s">
        <v>20</v>
      </c>
      <c r="V220" s="4" t="s">
        <v>21</v>
      </c>
      <c r="W220" s="4" t="s">
        <v>22</v>
      </c>
      <c r="X220" s="3" t="s">
        <v>2</v>
      </c>
    </row>
    <row r="221" spans="3:24" x14ac:dyDescent="0.25">
      <c r="C221" s="103" t="s">
        <v>213</v>
      </c>
      <c r="D221" s="17">
        <f>25+30+27+24+28+32+38+43+43+48+50+50+46+47+49+43+47+25+36+43+30</f>
        <v>804</v>
      </c>
      <c r="E221" s="18" t="s">
        <v>177</v>
      </c>
      <c r="F221" s="18" t="s">
        <v>159</v>
      </c>
      <c r="G221" s="17">
        <f>6+7+16+10+15+24+54+40+40+61+40+52+46+36+39+36+35+17+20+20+23</f>
        <v>637</v>
      </c>
      <c r="H221" s="17">
        <f>1+3+5+4+9+6+13+19+20+21+16+15+14+17+12+6+8+1+12+8+6</f>
        <v>216</v>
      </c>
      <c r="I221" s="17">
        <f>1+3+0+3+3+6+17+17+23+20+22+19+14+26+19+10+7+5+5+8+6</f>
        <v>234</v>
      </c>
      <c r="J221" s="17">
        <f>(6.4+6.5+7+6.7+7.1+7.2+8.3+7.9+7.9+8+7.4+7.8+7.9+7.6+7.4+7.4+7.4+7.1+7.1+6.8+7.2)/21</f>
        <v>7.3380952380952396</v>
      </c>
      <c r="K221" s="6">
        <f t="shared" ref="K221:K267" si="45">SUM(G221:H221)</f>
        <v>853</v>
      </c>
      <c r="L221" s="6">
        <f t="shared" ref="L221:L267" si="46">SUM(G221:I221)</f>
        <v>1087</v>
      </c>
      <c r="M221" s="6">
        <f t="shared" ref="M221:M241" si="47">(G221+H221)/D221</f>
        <v>1.0609452736318408</v>
      </c>
      <c r="N221" s="6">
        <f>(G221+H221+I221)/D221</f>
        <v>1.3519900497512438</v>
      </c>
      <c r="O221">
        <f>1+1+1+1+1+1+1+1+1+1+1+1+1+1+1+1+1+1+1+1+1</f>
        <v>21</v>
      </c>
      <c r="P221" s="7">
        <f>1+1+1+1+1+1+1+1+1+1+1+1+1+1+1+1+1+1+1+1+1</f>
        <v>21</v>
      </c>
      <c r="Q221">
        <f>1+1+0+1+0+1+1+1+0+1+0+1+1+1+1+1+1+1+1+1+0</f>
        <v>16</v>
      </c>
      <c r="R221">
        <f>1+0+0+0+0+1+1+0+1+0+1+1+1+0+1+1+0+1+1+1+1</f>
        <v>13</v>
      </c>
      <c r="S221">
        <f>1+1+1+1+1+1+0+1+1+1+1+0+1+0+1+1+1+0+1+1+0</f>
        <v>16</v>
      </c>
      <c r="T221">
        <f>0+1+1+1+1+1+0+1+1+1+1+1+1+0+1+1+1+0+1+1+1</f>
        <v>17</v>
      </c>
      <c r="U221" s="7">
        <f>1+1+1+1+1+0+1+1+1+1+1+1+1+1+1+1+1+1+1+1+1</f>
        <v>20</v>
      </c>
      <c r="V221">
        <f>0</f>
        <v>0</v>
      </c>
      <c r="W221" s="8">
        <f t="shared" ref="W221:W267" si="48">SUM(P221:V221)</f>
        <v>103</v>
      </c>
      <c r="X221" s="103" t="s">
        <v>213</v>
      </c>
    </row>
    <row r="222" spans="3:24" x14ac:dyDescent="0.25">
      <c r="C222" s="17" t="s">
        <v>179</v>
      </c>
      <c r="D222" s="17">
        <f>15+15+14+10+27+23+35+46+53+37+41+40+38+40+24</f>
        <v>458</v>
      </c>
      <c r="E222" s="18" t="s">
        <v>180</v>
      </c>
      <c r="F222" s="18" t="s">
        <v>31</v>
      </c>
      <c r="G222" s="17">
        <f>7+7+12+8+30+24+40+53+52+53+69+56+67+52+39</f>
        <v>569</v>
      </c>
      <c r="H222" s="17">
        <f>4+2+5+1+8+7+13+11+23+11+16+21+10+16+12</f>
        <v>160</v>
      </c>
      <c r="I222" s="17">
        <f>2+1+1+1+5+13+11+15+12+13+20+15+14+14+12</f>
        <v>149</v>
      </c>
      <c r="J222" s="17">
        <f>(6.8+6.8+7.5+7.2+7.8+7.8+7.9+8.1+7.8+8.3+8.6+8.3+8.6+8.2+8.5)/15</f>
        <v>7.879999999999999</v>
      </c>
      <c r="K222" s="6">
        <f t="shared" si="45"/>
        <v>729</v>
      </c>
      <c r="L222" s="6">
        <f t="shared" si="46"/>
        <v>878</v>
      </c>
      <c r="M222" s="6">
        <f t="shared" si="47"/>
        <v>1.5917030567685591</v>
      </c>
      <c r="N222" s="6">
        <f>(G222+H222+I222)/D222</f>
        <v>1.9170305676855894</v>
      </c>
      <c r="O222">
        <f>1+1+1+1+1+1+1+1+1+1+1+1+1+1+0.5</f>
        <v>14.5</v>
      </c>
      <c r="P222" s="7">
        <f>1+1+1+1+1+1+1+1+1+1+1+1+1+1</f>
        <v>14</v>
      </c>
      <c r="Q222">
        <f>1+0+0+0+1+1+1+0+0+1+1+0+1+0</f>
        <v>7</v>
      </c>
      <c r="R222">
        <f>1+0+1+0+1+1+0+1+1+1+0+0+0+0</f>
        <v>7</v>
      </c>
      <c r="S222">
        <f>1+1+1+1+1+0+1+0+1+1+1+1+1+1+1</f>
        <v>13</v>
      </c>
      <c r="T222">
        <f>1+0+1+0+1+1+1+0+1+0+1+1+1+1+1</f>
        <v>11</v>
      </c>
      <c r="U222" s="7">
        <f>1+1+1+1+1+1+1+1+1+1+1+1+1+1</f>
        <v>14</v>
      </c>
      <c r="V222">
        <f>0</f>
        <v>0</v>
      </c>
      <c r="W222" s="8">
        <f t="shared" si="48"/>
        <v>66</v>
      </c>
      <c r="X222" s="17" t="s">
        <v>179</v>
      </c>
    </row>
    <row r="223" spans="3:24" x14ac:dyDescent="0.25">
      <c r="C223" s="103" t="s">
        <v>754</v>
      </c>
      <c r="D223" s="17">
        <f>18+28+32+34+35+44+47+48+45+45+43+50+47+50+49</f>
        <v>615</v>
      </c>
      <c r="E223" s="18" t="s">
        <v>177</v>
      </c>
      <c r="F223" s="18" t="s">
        <v>31</v>
      </c>
      <c r="G223" s="17">
        <f>12+10+13+24+29+30+34+46+46+40+35+40+40+47+51</f>
        <v>497</v>
      </c>
      <c r="H223" s="17">
        <f>0+3+7+13+7+13+13+18+13+14+15+17+13+16+20</f>
        <v>182</v>
      </c>
      <c r="I223" s="17">
        <f>6+3+7+12+7+13+18+20+20+14+23+28+20+27+24</f>
        <v>242</v>
      </c>
      <c r="J223" s="17">
        <f>(7+6.7+6.7+7.6+7.6+7.3+7.6+7.7+7.8+7.8+7.8+7.7+7.7+7.6+7.9)/15</f>
        <v>7.5</v>
      </c>
      <c r="K223" s="6">
        <f t="shared" si="45"/>
        <v>679</v>
      </c>
      <c r="L223" s="6">
        <f t="shared" si="46"/>
        <v>921</v>
      </c>
      <c r="M223" s="6">
        <f t="shared" si="47"/>
        <v>1.1040650406504064</v>
      </c>
      <c r="N223" s="6">
        <f>(G223+H223+I223)/D223</f>
        <v>1.4975609756097561</v>
      </c>
      <c r="O223">
        <f>1+1+1+1+1+1+1+1+1+1+1+1+1+1+1</f>
        <v>15</v>
      </c>
      <c r="P223" s="7">
        <f>1+1+1+1+1+1+1+1+1+1+1+1+1+1+1</f>
        <v>15</v>
      </c>
      <c r="Q223">
        <f>1+0+1+1+1+0+1+0+1+1+1+1+1+1+1</f>
        <v>12</v>
      </c>
      <c r="R223">
        <f>0+0+1+1+0+1+0+1+1+1+0+1+1+0+1</f>
        <v>9</v>
      </c>
      <c r="S223">
        <f>1+1+1+0+1+1+1+1+0+1+0+1+1+1+1</f>
        <v>12</v>
      </c>
      <c r="T223">
        <f>1+1+1+0+1+1+1+1+1+1+0+1+1+1+1</f>
        <v>13</v>
      </c>
      <c r="U223" s="7">
        <f>1+1+0+1+1+1+1+1+1+1+1+1+1+1+1</f>
        <v>14</v>
      </c>
      <c r="V223">
        <f>0</f>
        <v>0</v>
      </c>
      <c r="W223" s="8">
        <f t="shared" si="48"/>
        <v>75</v>
      </c>
      <c r="X223" s="103" t="s">
        <v>754</v>
      </c>
    </row>
    <row r="224" spans="3:24" x14ac:dyDescent="0.25">
      <c r="C224" s="17" t="s">
        <v>176</v>
      </c>
      <c r="D224" s="17">
        <f>41+40+43+41+41+44+45+55+42+4</f>
        <v>396</v>
      </c>
      <c r="E224" s="18" t="s">
        <v>177</v>
      </c>
      <c r="F224" s="18" t="s">
        <v>178</v>
      </c>
      <c r="G224" s="17">
        <f>52+43+60+45+46+46+79+75+53+8</f>
        <v>507</v>
      </c>
      <c r="H224" s="17">
        <f>12+13+20+13+14+21+21+22+8+3</f>
        <v>147</v>
      </c>
      <c r="I224" s="17">
        <f>18+20+20+13+12+20+21+20+15</f>
        <v>159</v>
      </c>
      <c r="J224" s="17">
        <f>(8.1+8.1+8.4+8+8+8.2+8.7+8.3+7.9)/9</f>
        <v>8.18888888888889</v>
      </c>
      <c r="K224" s="6">
        <f t="shared" si="45"/>
        <v>654</v>
      </c>
      <c r="L224" s="6">
        <f t="shared" si="46"/>
        <v>813</v>
      </c>
      <c r="M224" s="6">
        <f t="shared" si="47"/>
        <v>1.6515151515151516</v>
      </c>
      <c r="N224" s="6">
        <f>(G224+H224+I224)/D224</f>
        <v>2.0530303030303032</v>
      </c>
      <c r="O224">
        <f>1+1+1+1+1+1+1+1+1+0.5</f>
        <v>9.5</v>
      </c>
      <c r="P224" s="7">
        <f>1+1+1+1+1+1+1+1+1</f>
        <v>9</v>
      </c>
      <c r="Q224">
        <f>1+1+1+1+0+0+0+1+1</f>
        <v>6</v>
      </c>
      <c r="R224">
        <f>1+0+1+1+0+1+0+1+1</f>
        <v>6</v>
      </c>
      <c r="S224">
        <f>1+0+1+1+1+1+1+1+0+1</f>
        <v>8</v>
      </c>
      <c r="T224">
        <f>0+1+1+1+0+1+0+1+1+1</f>
        <v>7</v>
      </c>
      <c r="U224" s="7">
        <f>1+1+1+1+1+1+1+1+1</f>
        <v>9</v>
      </c>
      <c r="V224">
        <f>0</f>
        <v>0</v>
      </c>
      <c r="W224" s="8">
        <f t="shared" si="48"/>
        <v>45</v>
      </c>
      <c r="X224" s="17" t="s">
        <v>176</v>
      </c>
    </row>
    <row r="225" spans="2:24" x14ac:dyDescent="0.25">
      <c r="C225" s="17" t="s">
        <v>106</v>
      </c>
      <c r="D225" s="17">
        <f>13+26+42+47+44+47+40+43+49+54+48+51+49</f>
        <v>553</v>
      </c>
      <c r="E225" s="18" t="s">
        <v>190</v>
      </c>
      <c r="F225" s="18" t="s">
        <v>107</v>
      </c>
      <c r="G225" s="17">
        <f>0+7+12+31+19+22+17+24+40+27+29+34+22</f>
        <v>284</v>
      </c>
      <c r="H225" s="17">
        <f>1+8+19+30+18+25+29+37+28+41+24+26+26</f>
        <v>312</v>
      </c>
      <c r="I225" s="17">
        <f>0+3+12+18+17+23+11+14+16+17+17+19+23</f>
        <v>190</v>
      </c>
      <c r="J225" s="17">
        <f>(6.7+6.9+7.2+7.8+7.4+7.8+7.9+8+8+7.9+7.8+8+7.5)/13</f>
        <v>7.6076923076923073</v>
      </c>
      <c r="K225" s="6">
        <f t="shared" si="45"/>
        <v>596</v>
      </c>
      <c r="L225" s="6">
        <f t="shared" si="46"/>
        <v>786</v>
      </c>
      <c r="M225" s="6">
        <f t="shared" si="47"/>
        <v>1.0777576853526221</v>
      </c>
      <c r="N225" s="6">
        <f>(I225+H225+G225)/D225</f>
        <v>1.4213381555153708</v>
      </c>
      <c r="O225">
        <f>1+1+1+1+1+1+1+1+1+1+1+1+1</f>
        <v>13</v>
      </c>
      <c r="P225" s="7">
        <f>1+1+1+1+1+1+1+1+1+1+1+1+1</f>
        <v>13</v>
      </c>
      <c r="Q225">
        <f>0+1+0+0+1+1+0+1+0+1+1+1+0</f>
        <v>7</v>
      </c>
      <c r="R225">
        <f>0+0+1+1+1+0+0+0+0+1+1+0+1</f>
        <v>6</v>
      </c>
      <c r="S225">
        <f>1+1+0+1+1+1+1+1+1+1+0+1+1</f>
        <v>11</v>
      </c>
      <c r="T225">
        <f>0+1+0+1+0+1+1+1+1+1+0+1+1</f>
        <v>9</v>
      </c>
      <c r="U225" s="7">
        <f>1+1+1+1+1+1+1+1+1+0+1+1+1</f>
        <v>12</v>
      </c>
      <c r="V225">
        <f>0</f>
        <v>0</v>
      </c>
      <c r="W225" s="8">
        <f t="shared" si="48"/>
        <v>58</v>
      </c>
      <c r="X225" s="17" t="s">
        <v>106</v>
      </c>
    </row>
    <row r="226" spans="2:24" x14ac:dyDescent="0.25">
      <c r="C226" s="103" t="s">
        <v>1189</v>
      </c>
      <c r="D226" s="17">
        <f>37+36+40+41+60+48+46+43+44+24</f>
        <v>419</v>
      </c>
      <c r="E226" s="18" t="s">
        <v>177</v>
      </c>
      <c r="F226" s="18" t="s">
        <v>37</v>
      </c>
      <c r="G226" s="17">
        <f>20+23+27+23+33+48+58+40+68+37</f>
        <v>377</v>
      </c>
      <c r="H226" s="17">
        <f>10+7+12+16+20+23+28+30+24+12</f>
        <v>182</v>
      </c>
      <c r="I226" s="17">
        <f>13+13+11+10+20+21+22+21+19+11</f>
        <v>161</v>
      </c>
      <c r="J226" s="17">
        <f>(7.3+7.4+7.3+7.2+7.2+7.8+8.2+8.3+8.6+8.5)/10</f>
        <v>7.7799999999999985</v>
      </c>
      <c r="K226" s="6">
        <f t="shared" si="45"/>
        <v>559</v>
      </c>
      <c r="L226" s="6">
        <f t="shared" si="46"/>
        <v>720</v>
      </c>
      <c r="M226" s="6">
        <f t="shared" si="47"/>
        <v>1.334128878281623</v>
      </c>
      <c r="N226" s="6">
        <f>(G226+H226+I226)/D226</f>
        <v>1.7183770883054892</v>
      </c>
      <c r="O226">
        <f>1+1+1+1+1+1+1+1+1+0.5</f>
        <v>9.5</v>
      </c>
      <c r="P226" s="7">
        <f>1+1+1+1+1+1+1+1+1</f>
        <v>9</v>
      </c>
      <c r="Q226">
        <f>0+1+1+1+1+1+1+1+1</f>
        <v>8</v>
      </c>
      <c r="R226">
        <f>1+1+1+0+1+1+0+1+1</f>
        <v>7</v>
      </c>
      <c r="S226">
        <f>1+0+1+0+1+1+1+1+1+1</f>
        <v>8</v>
      </c>
      <c r="T226">
        <f>1+1+1+0+1+1+1+1+1+1</f>
        <v>9</v>
      </c>
      <c r="U226" s="7">
        <f>1+1+1+1+1+1+1+1+1</f>
        <v>9</v>
      </c>
      <c r="V226">
        <f>0</f>
        <v>0</v>
      </c>
      <c r="W226" s="8">
        <f t="shared" si="48"/>
        <v>50</v>
      </c>
      <c r="X226" s="103" t="s">
        <v>1189</v>
      </c>
    </row>
    <row r="227" spans="2:24" x14ac:dyDescent="0.25">
      <c r="C227" s="17" t="s">
        <v>98</v>
      </c>
      <c r="D227" s="17">
        <f>9+8+15+24+23+26+28+42+53+33+41+39+40+32+38+41+42</f>
        <v>534</v>
      </c>
      <c r="E227" s="18" t="s">
        <v>183</v>
      </c>
      <c r="F227" s="18" t="s">
        <v>100</v>
      </c>
      <c r="G227" s="17">
        <f>3+1+3+2+5+9+5+17+24+16+20+20+20+10+14+15+15</f>
        <v>199</v>
      </c>
      <c r="H227" s="17">
        <f>2+2+3+4+13+5+12+26+23+24+30+25+31+15+10+15+27</f>
        <v>267</v>
      </c>
      <c r="I227" s="17">
        <f>2+1+1+3+5+10+6+19+14+13+16+15+14+10+17+13+17</f>
        <v>176</v>
      </c>
      <c r="J227" s="17">
        <f>(6.9+6.6+6.5+6.7+7.4+6.9+7.3+7.6+7.5+7.7+7.7+7.7+8.1+7.5+7.1+7.3+7.5)/17</f>
        <v>7.2941176470588225</v>
      </c>
      <c r="K227" s="6">
        <f t="shared" si="45"/>
        <v>466</v>
      </c>
      <c r="L227" s="6">
        <f t="shared" si="46"/>
        <v>642</v>
      </c>
      <c r="M227" s="6">
        <f t="shared" si="47"/>
        <v>0.87265917602996257</v>
      </c>
      <c r="N227" s="6">
        <f>(I227+H227+G227)/D227</f>
        <v>1.202247191011236</v>
      </c>
      <c r="O227">
        <f>1+1+1+1+1+1+1+1+1+1+1+1+1+1+1+1+1</f>
        <v>17</v>
      </c>
      <c r="P227" s="7">
        <f>1+1+1+1+1+1+1+1+1+1+1+1+1+1+1+1+1</f>
        <v>17</v>
      </c>
      <c r="Q227">
        <f>1+0+0+0+1+1+1+0+0+1+1+0+1+0+1+1+1</f>
        <v>10</v>
      </c>
      <c r="R227">
        <f>1+0+1+0+1+1+0+1+1+1+0+0+0+0+1+1+0</f>
        <v>9</v>
      </c>
      <c r="S227">
        <f>1+1+1+1+1+0+1+0+1+1+1+1+1+1+1+0+1</f>
        <v>14</v>
      </c>
      <c r="T227">
        <f>1+0+1+0+1+1+1+0+1+0+1+1+1+1+1+0+1</f>
        <v>12</v>
      </c>
      <c r="U227" s="7">
        <f>1+1+1+1+1+1+1+1+1+1+1+1+1+1+0+1+1</f>
        <v>16</v>
      </c>
      <c r="V227">
        <f>0</f>
        <v>0</v>
      </c>
      <c r="W227" s="8">
        <f t="shared" si="48"/>
        <v>78</v>
      </c>
      <c r="X227" s="17" t="s">
        <v>98</v>
      </c>
    </row>
    <row r="228" spans="2:24" x14ac:dyDescent="0.25">
      <c r="C228" s="19" t="s">
        <v>1384</v>
      </c>
      <c r="D228" s="17">
        <f>26+34+47+43+43+52+53</f>
        <v>298</v>
      </c>
      <c r="E228" s="18" t="s">
        <v>177</v>
      </c>
      <c r="F228" s="18" t="s">
        <v>178</v>
      </c>
      <c r="G228" s="17">
        <f>15+23+36+42+65+74+70</f>
        <v>325</v>
      </c>
      <c r="H228" s="17">
        <f>5+12+12+15+18+15+19</f>
        <v>96</v>
      </c>
      <c r="I228" s="17">
        <f>5+9+19+15+16+15+19</f>
        <v>98</v>
      </c>
      <c r="J228" s="17">
        <f>(7+7.3+7.5+8+8.6+8.2+8.1)/7</f>
        <v>7.8142857142857141</v>
      </c>
      <c r="K228" s="6">
        <f t="shared" si="45"/>
        <v>421</v>
      </c>
      <c r="L228" s="6">
        <f t="shared" si="46"/>
        <v>519</v>
      </c>
      <c r="M228" s="6">
        <f t="shared" si="47"/>
        <v>1.412751677852349</v>
      </c>
      <c r="N228" s="6">
        <f>(G228+H228+I228)/D228</f>
        <v>1.7416107382550337</v>
      </c>
      <c r="O228">
        <f>1+1+1+1+1+1+1</f>
        <v>7</v>
      </c>
      <c r="P228" s="7">
        <f>1+1+1+1+1+1+1</f>
        <v>7</v>
      </c>
      <c r="Q228">
        <f>1+1+1+0+1+1+0</f>
        <v>5</v>
      </c>
      <c r="R228">
        <f>1+1+1+1+0+1+1</f>
        <v>6</v>
      </c>
      <c r="S228">
        <f>1+1+1+0+1+1+0</f>
        <v>5</v>
      </c>
      <c r="T228">
        <f>1+1+1+1+1+1+1</f>
        <v>7</v>
      </c>
      <c r="U228" s="7">
        <f>1+1+1+1+1+1+1</f>
        <v>7</v>
      </c>
      <c r="V228">
        <f>0</f>
        <v>0</v>
      </c>
      <c r="W228" s="8">
        <f t="shared" si="48"/>
        <v>37</v>
      </c>
      <c r="X228" s="19" t="s">
        <v>1384</v>
      </c>
    </row>
    <row r="229" spans="2:24" x14ac:dyDescent="0.25">
      <c r="C229" s="103" t="s">
        <v>1269</v>
      </c>
      <c r="D229" s="17">
        <f>16+46+48+42+43+41+48+49+43+5</f>
        <v>381</v>
      </c>
      <c r="E229" s="18" t="s">
        <v>183</v>
      </c>
      <c r="F229" s="18" t="s">
        <v>1270</v>
      </c>
      <c r="G229" s="17">
        <f>3+9+6+10+11+21+22+27+24+1</f>
        <v>134</v>
      </c>
      <c r="H229" s="17">
        <f>4+31+22+21+13+27+26+21+19+4</f>
        <v>188</v>
      </c>
      <c r="I229" s="17">
        <f>5+21+21+16+8+17+24+17+16+3</f>
        <v>148</v>
      </c>
      <c r="J229" s="17">
        <f>(7.4+7.6+7.4+7.4+7.3+8+7.9+7.8+7.5)/9</f>
        <v>7.5888888888888868</v>
      </c>
      <c r="K229" s="6">
        <f t="shared" si="45"/>
        <v>322</v>
      </c>
      <c r="L229" s="6">
        <f t="shared" si="46"/>
        <v>470</v>
      </c>
      <c r="M229" s="6">
        <f t="shared" si="47"/>
        <v>0.84514435695538059</v>
      </c>
      <c r="N229" s="6">
        <f>(I229+H229+G229)/D229</f>
        <v>1.2335958005249343</v>
      </c>
      <c r="O229">
        <f>0.5+1+1+1+1+1+1+1+1+0.25</f>
        <v>8.75</v>
      </c>
      <c r="P229" s="7">
        <f>1+1+1+1+1+1+1+1+1</f>
        <v>9</v>
      </c>
      <c r="Q229">
        <f>1+1+1+1+1+1+1+0+1</f>
        <v>8</v>
      </c>
      <c r="R229">
        <f>0+1+1+0+1+1+1+1+0</f>
        <v>6</v>
      </c>
      <c r="S229">
        <f>0+1+1+1+1+1+1+0+1+1</f>
        <v>8</v>
      </c>
      <c r="T229">
        <f>0+1+1+1+1+1+1+1+1+1</f>
        <v>9</v>
      </c>
      <c r="U229" s="7">
        <f>1+1+1+1+1+1+1+1+1</f>
        <v>9</v>
      </c>
      <c r="V229">
        <f>0</f>
        <v>0</v>
      </c>
      <c r="W229" s="8">
        <f t="shared" si="48"/>
        <v>49</v>
      </c>
      <c r="X229" s="103" t="s">
        <v>1269</v>
      </c>
    </row>
    <row r="230" spans="2:24" x14ac:dyDescent="0.25">
      <c r="C230" s="17" t="s">
        <v>93</v>
      </c>
      <c r="D230" s="17">
        <f>18+39+39+41+47+44+26</f>
        <v>254</v>
      </c>
      <c r="E230" s="18" t="s">
        <v>183</v>
      </c>
      <c r="F230" s="18" t="s">
        <v>66</v>
      </c>
      <c r="G230" s="17">
        <f>5+7+7+15+16+13+6</f>
        <v>69</v>
      </c>
      <c r="H230" s="17">
        <f>3+27+29+40+40+45+16</f>
        <v>200</v>
      </c>
      <c r="I230" s="17">
        <f>4+12+20+17+17+21+6</f>
        <v>97</v>
      </c>
      <c r="J230" s="17">
        <f>(6.7+7.3+7.6+8+7.9+8+7.4)/7</f>
        <v>7.5571428571428569</v>
      </c>
      <c r="K230" s="6">
        <f t="shared" si="45"/>
        <v>269</v>
      </c>
      <c r="L230" s="6">
        <f t="shared" si="46"/>
        <v>366</v>
      </c>
      <c r="M230" s="6">
        <f t="shared" si="47"/>
        <v>1.0590551181102361</v>
      </c>
      <c r="N230" s="6">
        <f>(I230+H230+G230)/D230</f>
        <v>1.4409448818897639</v>
      </c>
      <c r="O230">
        <f>0.5+1+1+1+1+1+0.5</f>
        <v>6</v>
      </c>
      <c r="P230" s="7">
        <f>1+1+1+1+1+1</f>
        <v>6</v>
      </c>
      <c r="Q230">
        <f>1+0+0+0+1+1</f>
        <v>3</v>
      </c>
      <c r="R230">
        <f>1+0+1+0+1+1</f>
        <v>4</v>
      </c>
      <c r="S230">
        <f>0+1+1+1+1+0+1</f>
        <v>5</v>
      </c>
      <c r="T230">
        <f>0+0+1+0+1+1+1</f>
        <v>4</v>
      </c>
      <c r="U230" s="7">
        <f>1+1+1+1+1+1</f>
        <v>6</v>
      </c>
      <c r="V230">
        <f>0</f>
        <v>0</v>
      </c>
      <c r="W230" s="8">
        <f t="shared" si="48"/>
        <v>28</v>
      </c>
      <c r="X230" s="17" t="s">
        <v>93</v>
      </c>
    </row>
    <row r="231" spans="2:24" x14ac:dyDescent="0.25">
      <c r="C231" s="103" t="s">
        <v>750</v>
      </c>
      <c r="D231" s="17">
        <f>14+21+25+32+33+29+43+36+47+46+46+50</f>
        <v>422</v>
      </c>
      <c r="E231" s="18" t="s">
        <v>190</v>
      </c>
      <c r="F231" s="18" t="s">
        <v>31</v>
      </c>
      <c r="G231" s="17">
        <f>4+3+6+2+6+5+23+20+27+17+21+17</f>
        <v>151</v>
      </c>
      <c r="H231" s="17">
        <f>4+0+10+5+9+16+7+12+13+13+12+11</f>
        <v>112</v>
      </c>
      <c r="I231" s="17">
        <f>3+8+7+8+9+4+12+12+14+17+13+9</f>
        <v>116</v>
      </c>
      <c r="J231" s="17">
        <f>(6.8+6.7+7+6.5+6.5+6.8+7+7.4+7.3+7.1+7.2+7)/12</f>
        <v>6.9416666666666664</v>
      </c>
      <c r="K231" s="6">
        <f t="shared" si="45"/>
        <v>263</v>
      </c>
      <c r="L231" s="6">
        <f t="shared" si="46"/>
        <v>379</v>
      </c>
      <c r="M231" s="6">
        <f t="shared" si="47"/>
        <v>0.62322274881516593</v>
      </c>
      <c r="N231" s="6">
        <f t="shared" ref="N231:N238" si="49">(G231+H231+I231)/D231</f>
        <v>0.8981042654028436</v>
      </c>
      <c r="O231">
        <f>0.5+1+1+1+1+1+1+1+1+1+1+1</f>
        <v>11.5</v>
      </c>
      <c r="P231" s="7">
        <f>1+1+1+1+1+1+1+1+1+1+1+1</f>
        <v>12</v>
      </c>
      <c r="Q231">
        <f>0+1+0+1+1+1+0+1+0+1+1+1</f>
        <v>8</v>
      </c>
      <c r="R231">
        <f>0+0+0+1+1+0+1+0+1+1+1+0</f>
        <v>6</v>
      </c>
      <c r="S231">
        <f>0+1+1+1+0+1+1+1+1+0+1+0</f>
        <v>8</v>
      </c>
      <c r="T231">
        <f>0+1+1+1+0+1+1+1+1+1+1+0</f>
        <v>9</v>
      </c>
      <c r="U231" s="7">
        <f>1+1+1+0+1+1+1+1+1+1+1+1</f>
        <v>11</v>
      </c>
      <c r="V231">
        <f>0</f>
        <v>0</v>
      </c>
      <c r="W231" s="8">
        <f t="shared" si="48"/>
        <v>54</v>
      </c>
      <c r="X231" s="103" t="s">
        <v>750</v>
      </c>
    </row>
    <row r="232" spans="2:24" x14ac:dyDescent="0.25">
      <c r="C232" s="17" t="s">
        <v>181</v>
      </c>
      <c r="D232" s="17">
        <f>34+40+36+37+37</f>
        <v>184</v>
      </c>
      <c r="E232" s="18" t="s">
        <v>177</v>
      </c>
      <c r="F232" s="18" t="s">
        <v>31</v>
      </c>
      <c r="G232" s="17">
        <f>31+43+38+28+35</f>
        <v>175</v>
      </c>
      <c r="H232" s="17">
        <f>10+13+14+9+14</f>
        <v>60</v>
      </c>
      <c r="I232" s="17">
        <f>4+7+4+3+10</f>
        <v>28</v>
      </c>
      <c r="J232" s="17">
        <f>(7.6+7.9+7.7+7.4+7.8)/5</f>
        <v>7.68</v>
      </c>
      <c r="K232" s="6">
        <f t="shared" si="45"/>
        <v>235</v>
      </c>
      <c r="L232" s="6">
        <f t="shared" si="46"/>
        <v>263</v>
      </c>
      <c r="M232" s="6">
        <f t="shared" si="47"/>
        <v>1.2771739130434783</v>
      </c>
      <c r="N232" s="6">
        <f t="shared" si="49"/>
        <v>1.4293478260869565</v>
      </c>
      <c r="O232">
        <f>1+1+1+1+1</f>
        <v>5</v>
      </c>
      <c r="P232" s="7">
        <f>1+1+1+1+1</f>
        <v>5</v>
      </c>
      <c r="Q232">
        <f>1+1+1+0+0</f>
        <v>3</v>
      </c>
      <c r="R232">
        <f>0+1+1+0+1</f>
        <v>3</v>
      </c>
      <c r="S232">
        <f>0+1+1+1+1</f>
        <v>4</v>
      </c>
      <c r="T232">
        <f>1+1+1+0+1</f>
        <v>4</v>
      </c>
      <c r="U232" s="7">
        <f>1+1+1+1+1</f>
        <v>5</v>
      </c>
      <c r="V232">
        <f>0</f>
        <v>0</v>
      </c>
      <c r="W232" s="8">
        <f t="shared" si="48"/>
        <v>24</v>
      </c>
      <c r="X232" s="17" t="s">
        <v>181</v>
      </c>
    </row>
    <row r="233" spans="2:24" x14ac:dyDescent="0.25">
      <c r="C233" s="17" t="s">
        <v>182</v>
      </c>
      <c r="D233" s="17">
        <f>7+25+32+34+31+21+45+45+45+19</f>
        <v>304</v>
      </c>
      <c r="E233" s="18" t="s">
        <v>183</v>
      </c>
      <c r="F233" s="18" t="s">
        <v>184</v>
      </c>
      <c r="G233" s="17">
        <f>0+4+5+8+4+3+17+20+22+12</f>
        <v>95</v>
      </c>
      <c r="H233" s="17">
        <f>0+10+15+9+4+7+28+18+25+14</f>
        <v>130</v>
      </c>
      <c r="I233" s="17">
        <f>1+1+5+10+6+3+21+20+10+8</f>
        <v>85</v>
      </c>
      <c r="J233" s="17">
        <f>(7.3+7+6.9+6.9+6.7+6.9+7.6+7.7+7.7+8.1)/10</f>
        <v>7.2799999999999994</v>
      </c>
      <c r="K233" s="6">
        <f t="shared" si="45"/>
        <v>225</v>
      </c>
      <c r="L233" s="6">
        <f t="shared" si="46"/>
        <v>310</v>
      </c>
      <c r="M233" s="6">
        <f t="shared" si="47"/>
        <v>0.74013157894736847</v>
      </c>
      <c r="N233" s="6">
        <f t="shared" si="49"/>
        <v>1.0197368421052631</v>
      </c>
      <c r="O233">
        <f>1+1+1+1+1+1+1+1+1+0.5</f>
        <v>9.5</v>
      </c>
      <c r="P233" s="7">
        <f>1+1+1+1+1+1+1+1+1</f>
        <v>9</v>
      </c>
      <c r="Q233">
        <f>1+1+1+0+0+0+1+1+1</f>
        <v>6</v>
      </c>
      <c r="R233">
        <f>1+0+1+0+1+0+1+1+0</f>
        <v>5</v>
      </c>
      <c r="S233">
        <f>0+0+1+1+1+1+1+1+1</f>
        <v>7</v>
      </c>
      <c r="T233">
        <f>0+1+1+0+1+0+1+1+1</f>
        <v>6</v>
      </c>
      <c r="U233" s="7">
        <f>0+1+1+1+1+1+1+1+1</f>
        <v>8</v>
      </c>
      <c r="V233">
        <f>0</f>
        <v>0</v>
      </c>
      <c r="W233" s="8">
        <f t="shared" si="48"/>
        <v>41</v>
      </c>
      <c r="X233" s="17" t="s">
        <v>182</v>
      </c>
    </row>
    <row r="234" spans="2:24" x14ac:dyDescent="0.25">
      <c r="C234" s="103" t="s">
        <v>208</v>
      </c>
      <c r="D234" s="17">
        <f>9+35+27+28+30+45+37+37+41+50</f>
        <v>339</v>
      </c>
      <c r="E234" s="18" t="s">
        <v>183</v>
      </c>
      <c r="F234" s="18" t="s">
        <v>209</v>
      </c>
      <c r="G234" s="17">
        <f>3+5+2+8+2+4+9+9+12+15</f>
        <v>69</v>
      </c>
      <c r="H234" s="17">
        <f>4+3+8+5+10+13+15+16+14+19</f>
        <v>107</v>
      </c>
      <c r="I234" s="17">
        <f>1+2+7+6+11+9+7+12+12+18</f>
        <v>85</v>
      </c>
      <c r="J234" s="17">
        <f>(7.3+6.1+6.8+6.8+6.8+6.6+7.1+6.8+7+7.1)/10</f>
        <v>6.839999999999999</v>
      </c>
      <c r="K234" s="6">
        <f t="shared" si="45"/>
        <v>176</v>
      </c>
      <c r="L234" s="6">
        <f t="shared" si="46"/>
        <v>261</v>
      </c>
      <c r="M234" s="6">
        <f t="shared" si="47"/>
        <v>0.5191740412979351</v>
      </c>
      <c r="N234" s="6">
        <f t="shared" si="49"/>
        <v>0.76991150442477874</v>
      </c>
      <c r="O234">
        <f>0.5+1+1+1+1+1+1+1+1+1</f>
        <v>9.5</v>
      </c>
      <c r="P234" s="7">
        <f>1+1+1+1+1+1+1+1+1+1</f>
        <v>10</v>
      </c>
      <c r="Q234">
        <f>0+1+1+0+1+0+1+1+1+0</f>
        <v>6</v>
      </c>
      <c r="R234">
        <f>1+1+0+0+0+0+1+1+0+1</f>
        <v>5</v>
      </c>
      <c r="S234">
        <f>0+1+1+1+1+1+1+0+1+1</f>
        <v>8</v>
      </c>
      <c r="T234">
        <f>0+0+1+1+1+1+1+0+1+1</f>
        <v>7</v>
      </c>
      <c r="U234" s="7">
        <f>1+1+1+1+1+1+0+1+1+1</f>
        <v>9</v>
      </c>
      <c r="V234">
        <f>0</f>
        <v>0</v>
      </c>
      <c r="W234" s="8">
        <f t="shared" si="48"/>
        <v>45</v>
      </c>
      <c r="X234" s="103" t="s">
        <v>208</v>
      </c>
    </row>
    <row r="235" spans="2:24" x14ac:dyDescent="0.25">
      <c r="C235" s="17" t="s">
        <v>185</v>
      </c>
      <c r="D235" s="17">
        <f>48+42+45+45</f>
        <v>180</v>
      </c>
      <c r="E235" s="18" t="s">
        <v>183</v>
      </c>
      <c r="F235" s="18" t="s">
        <v>66</v>
      </c>
      <c r="G235" s="17">
        <f>19+23+15+21</f>
        <v>78</v>
      </c>
      <c r="H235" s="17">
        <f>23+22+21+31</f>
        <v>97</v>
      </c>
      <c r="I235" s="17">
        <f>12+19+22+20</f>
        <v>73</v>
      </c>
      <c r="J235" s="17">
        <f>(7.4+7.7+7.5+7.9)/4</f>
        <v>7.625</v>
      </c>
      <c r="K235" s="6">
        <f t="shared" si="45"/>
        <v>175</v>
      </c>
      <c r="L235" s="6">
        <f t="shared" si="46"/>
        <v>248</v>
      </c>
      <c r="M235" s="6">
        <f t="shared" si="47"/>
        <v>0.97222222222222221</v>
      </c>
      <c r="N235" s="6">
        <f t="shared" si="49"/>
        <v>1.3777777777777778</v>
      </c>
      <c r="O235">
        <f>1+1+1+1</f>
        <v>4</v>
      </c>
      <c r="P235" s="7">
        <f>1+1+1+1</f>
        <v>4</v>
      </c>
      <c r="Q235">
        <f>1+0+0+0</f>
        <v>1</v>
      </c>
      <c r="R235">
        <f>1+0+1+0</f>
        <v>2</v>
      </c>
      <c r="S235">
        <f>1+1+1+1</f>
        <v>4</v>
      </c>
      <c r="T235">
        <f>1+0+1+0</f>
        <v>2</v>
      </c>
      <c r="U235" s="7">
        <f>1+1+1+1</f>
        <v>4</v>
      </c>
      <c r="V235">
        <f>0</f>
        <v>0</v>
      </c>
      <c r="W235" s="8">
        <f t="shared" si="48"/>
        <v>17</v>
      </c>
      <c r="X235" s="17" t="s">
        <v>185</v>
      </c>
    </row>
    <row r="236" spans="2:24" x14ac:dyDescent="0.25">
      <c r="C236" s="17" t="s">
        <v>186</v>
      </c>
      <c r="D236" s="17">
        <f>37+38+40+45+41</f>
        <v>201</v>
      </c>
      <c r="E236" s="18" t="s">
        <v>183</v>
      </c>
      <c r="F236" s="18" t="s">
        <v>79</v>
      </c>
      <c r="G236" s="17">
        <f>12+12+16+15+16</f>
        <v>71</v>
      </c>
      <c r="H236" s="17">
        <f>23+18+20+27+14</f>
        <v>102</v>
      </c>
      <c r="I236" s="17">
        <f>19+17+12+20+14</f>
        <v>82</v>
      </c>
      <c r="J236" s="17">
        <f>(7.5+7.7+7.5+7.4)/4</f>
        <v>7.5250000000000004</v>
      </c>
      <c r="K236" s="6">
        <f t="shared" si="45"/>
        <v>173</v>
      </c>
      <c r="L236" s="6">
        <f t="shared" si="46"/>
        <v>255</v>
      </c>
      <c r="M236" s="6">
        <f t="shared" si="47"/>
        <v>0.86069651741293529</v>
      </c>
      <c r="N236" s="6">
        <f t="shared" si="49"/>
        <v>1.2686567164179106</v>
      </c>
      <c r="O236">
        <f>1+1+1+1+1</f>
        <v>5</v>
      </c>
      <c r="P236" s="7">
        <f>1+1+1+1+1</f>
        <v>5</v>
      </c>
      <c r="Q236">
        <f>1+1+1+1+1</f>
        <v>5</v>
      </c>
      <c r="R236">
        <f>1+1+0+1+1</f>
        <v>4</v>
      </c>
      <c r="S236">
        <f>0+1+0+1+1</f>
        <v>3</v>
      </c>
      <c r="T236">
        <f>0+0+1+1+1</f>
        <v>3</v>
      </c>
      <c r="U236" s="7">
        <f>0+1+1+1+1</f>
        <v>4</v>
      </c>
      <c r="V236">
        <f>0</f>
        <v>0</v>
      </c>
      <c r="W236" s="8">
        <f t="shared" si="48"/>
        <v>24</v>
      </c>
      <c r="X236" s="17" t="s">
        <v>186</v>
      </c>
    </row>
    <row r="237" spans="2:24" x14ac:dyDescent="0.25">
      <c r="C237" s="17" t="s">
        <v>187</v>
      </c>
      <c r="D237" s="17">
        <f>4+20+20+40+42+39+39+35</f>
        <v>239</v>
      </c>
      <c r="E237" s="18" t="s">
        <v>177</v>
      </c>
      <c r="F237" s="18" t="s">
        <v>188</v>
      </c>
      <c r="G237" s="17">
        <f>0+9+7+20+17+24+15+16</f>
        <v>108</v>
      </c>
      <c r="H237" s="17">
        <f>1+3+5+8+14+9+11+10</f>
        <v>61</v>
      </c>
      <c r="I237" s="17">
        <f>0+2+0+10+9+14+6+2</f>
        <v>43</v>
      </c>
      <c r="J237" s="17">
        <f>(6.3+6.8+7+7.1+7+7.2+7.1+7.1)/8</f>
        <v>6.9500000000000011</v>
      </c>
      <c r="K237" s="6">
        <f t="shared" si="45"/>
        <v>169</v>
      </c>
      <c r="L237" s="6">
        <f t="shared" si="46"/>
        <v>212</v>
      </c>
      <c r="M237" s="6">
        <f t="shared" si="47"/>
        <v>0.70711297071129708</v>
      </c>
      <c r="N237" s="6">
        <f t="shared" si="49"/>
        <v>0.88702928870292885</v>
      </c>
      <c r="O237">
        <f>1+1+1+1+1+1+1+1</f>
        <v>8</v>
      </c>
      <c r="P237" s="7">
        <f>1+1+1+1+1+1+1+1</f>
        <v>8</v>
      </c>
      <c r="Q237">
        <f>0+1+1+0+0+1+1+0</f>
        <v>4</v>
      </c>
      <c r="R237">
        <f>1+1+0+1+1+1+0+0</f>
        <v>5</v>
      </c>
      <c r="S237">
        <f>0+0+1+0+1+1+1+1</f>
        <v>5</v>
      </c>
      <c r="T237">
        <f>0+1+1+0+1+0+1+1</f>
        <v>5</v>
      </c>
      <c r="U237" s="7">
        <f>1+1+1+1+1+1+1+1</f>
        <v>8</v>
      </c>
      <c r="V237">
        <f>0</f>
        <v>0</v>
      </c>
      <c r="W237" s="8">
        <f t="shared" si="48"/>
        <v>35</v>
      </c>
      <c r="X237" s="17" t="s">
        <v>187</v>
      </c>
    </row>
    <row r="238" spans="2:24" x14ac:dyDescent="0.25">
      <c r="C238" s="19" t="s">
        <v>1470</v>
      </c>
      <c r="D238" s="17">
        <f>12+23+34+45</f>
        <v>114</v>
      </c>
      <c r="E238" s="18" t="s">
        <v>177</v>
      </c>
      <c r="F238" s="18" t="s">
        <v>1471</v>
      </c>
      <c r="G238" s="17">
        <f>8+16+34+31</f>
        <v>89</v>
      </c>
      <c r="H238" s="17">
        <f>9+11+16+7</f>
        <v>43</v>
      </c>
      <c r="I238" s="17">
        <f>4+5+11+8</f>
        <v>28</v>
      </c>
      <c r="J238" s="17">
        <f>(7.7+7.7+7.9+7.3)/4</f>
        <v>7.65</v>
      </c>
      <c r="K238" s="6">
        <f t="shared" si="45"/>
        <v>132</v>
      </c>
      <c r="L238" s="6">
        <f t="shared" si="46"/>
        <v>160</v>
      </c>
      <c r="M238" s="6">
        <f t="shared" si="47"/>
        <v>1.1578947368421053</v>
      </c>
      <c r="N238" s="6">
        <f t="shared" si="49"/>
        <v>1.4035087719298245</v>
      </c>
      <c r="O238">
        <f>1+1+1+1</f>
        <v>4</v>
      </c>
      <c r="P238" s="7">
        <f>1+1+1+1</f>
        <v>4</v>
      </c>
      <c r="Q238">
        <f>0+1+1+0</f>
        <v>2</v>
      </c>
      <c r="R238">
        <f>1+0+1+1</f>
        <v>3</v>
      </c>
      <c r="S238">
        <f>0+1+1+0</f>
        <v>2</v>
      </c>
      <c r="T238">
        <f>1+1+1+1</f>
        <v>4</v>
      </c>
      <c r="U238" s="7">
        <f>1+1+1+1</f>
        <v>4</v>
      </c>
      <c r="V238">
        <f>0</f>
        <v>0</v>
      </c>
      <c r="W238" s="8">
        <f t="shared" si="48"/>
        <v>19</v>
      </c>
      <c r="X238" s="19" t="s">
        <v>1470</v>
      </c>
    </row>
    <row r="239" spans="2:24" x14ac:dyDescent="0.25">
      <c r="C239" s="17" t="s">
        <v>108</v>
      </c>
      <c r="D239" s="17">
        <f>18+48+34+36+39</f>
        <v>175</v>
      </c>
      <c r="E239" s="18" t="s">
        <v>99</v>
      </c>
      <c r="F239" s="18" t="s">
        <v>61</v>
      </c>
      <c r="G239" s="17">
        <f>5+15+11+7+11</f>
        <v>49</v>
      </c>
      <c r="H239" s="17">
        <f>5+25+10+13+16</f>
        <v>69</v>
      </c>
      <c r="I239" s="17">
        <f>6+22+14+11+17</f>
        <v>70</v>
      </c>
      <c r="J239" s="17">
        <f>(7.1+7.5+7.2+7.2+7.3)/5</f>
        <v>7.26</v>
      </c>
      <c r="K239" s="6">
        <f t="shared" si="45"/>
        <v>118</v>
      </c>
      <c r="L239" s="6">
        <f t="shared" si="46"/>
        <v>188</v>
      </c>
      <c r="M239" s="6">
        <f t="shared" si="47"/>
        <v>0.67428571428571427</v>
      </c>
      <c r="N239" s="6">
        <f>(I239+H239+G239)/D239</f>
        <v>1.0742857142857143</v>
      </c>
      <c r="O239">
        <f>1+1+1+1+1</f>
        <v>5</v>
      </c>
      <c r="P239" s="7">
        <f>1+1+1+1+1</f>
        <v>5</v>
      </c>
      <c r="Q239">
        <f>0+1+1+1+1</f>
        <v>4</v>
      </c>
      <c r="R239">
        <f>0+0+1+1+0</f>
        <v>2</v>
      </c>
      <c r="S239">
        <f>0+1+1+1+0</f>
        <v>3</v>
      </c>
      <c r="T239">
        <f>0+1+1+0+1</f>
        <v>3</v>
      </c>
      <c r="U239" s="7">
        <f>1+1+0+1+1</f>
        <v>4</v>
      </c>
      <c r="V239">
        <f>0</f>
        <v>0</v>
      </c>
      <c r="W239" s="8">
        <f t="shared" si="48"/>
        <v>21</v>
      </c>
      <c r="X239" s="17" t="s">
        <v>108</v>
      </c>
    </row>
    <row r="240" spans="2:24" x14ac:dyDescent="0.25">
      <c r="B240" s="59"/>
      <c r="C240" s="103" t="s">
        <v>1290</v>
      </c>
      <c r="D240" s="17">
        <f>41+33+35+38+4</f>
        <v>151</v>
      </c>
      <c r="E240" s="18" t="s">
        <v>177</v>
      </c>
      <c r="F240" s="18" t="s">
        <v>103</v>
      </c>
      <c r="G240" s="17">
        <f>19+18+17+21+1</f>
        <v>76</v>
      </c>
      <c r="H240" s="17">
        <f>6+14+12+8+1</f>
        <v>41</v>
      </c>
      <c r="I240" s="17">
        <f>15+7+8+7+1</f>
        <v>38</v>
      </c>
      <c r="J240" s="17">
        <f>(7.1+7.5+7.3+7)/4</f>
        <v>7.2249999999999996</v>
      </c>
      <c r="K240" s="6">
        <f t="shared" si="45"/>
        <v>117</v>
      </c>
      <c r="L240" s="6">
        <f t="shared" si="46"/>
        <v>155</v>
      </c>
      <c r="M240" s="6">
        <f t="shared" si="47"/>
        <v>0.77483443708609268</v>
      </c>
      <c r="N240" s="6">
        <f t="shared" ref="N240:N267" si="50">(G240+H240+I240)/D240</f>
        <v>1.0264900662251655</v>
      </c>
      <c r="O240">
        <f>1+1+1+1+0.25</f>
        <v>4.25</v>
      </c>
      <c r="P240" s="7">
        <f>1+1+1+1</f>
        <v>4</v>
      </c>
      <c r="Q240">
        <f>1+1+1+1</f>
        <v>4</v>
      </c>
      <c r="R240">
        <f>1+1+0+1</f>
        <v>3</v>
      </c>
      <c r="S240">
        <f>1+1+1+1+1</f>
        <v>5</v>
      </c>
      <c r="T240">
        <f>1+1+1+1</f>
        <v>4</v>
      </c>
      <c r="U240" s="7">
        <f>1+1+1+1</f>
        <v>4</v>
      </c>
      <c r="V240">
        <f>0</f>
        <v>0</v>
      </c>
      <c r="W240" s="8">
        <f t="shared" si="48"/>
        <v>24</v>
      </c>
      <c r="X240" s="103" t="s">
        <v>1290</v>
      </c>
    </row>
    <row r="241" spans="3:24" x14ac:dyDescent="0.25">
      <c r="C241" s="17" t="s">
        <v>189</v>
      </c>
      <c r="D241" s="17">
        <f>31+35+36+40+30+19</f>
        <v>191</v>
      </c>
      <c r="E241" s="18" t="s">
        <v>190</v>
      </c>
      <c r="F241" s="18" t="s">
        <v>25</v>
      </c>
      <c r="G241" s="17">
        <f>6+14+5+14+10+8</f>
        <v>57</v>
      </c>
      <c r="H241" s="17">
        <f>6+8+7+12+10+8</f>
        <v>51</v>
      </c>
      <c r="I241" s="17">
        <f>9+21+15+8+10+9</f>
        <v>72</v>
      </c>
      <c r="J241" s="17">
        <f>(6.6+7.1+6.8+7+6.9+7.1)/6</f>
        <v>6.916666666666667</v>
      </c>
      <c r="K241" s="6">
        <f t="shared" si="45"/>
        <v>108</v>
      </c>
      <c r="L241" s="6">
        <f t="shared" si="46"/>
        <v>180</v>
      </c>
      <c r="M241" s="6">
        <f t="shared" si="47"/>
        <v>0.56544502617801051</v>
      </c>
      <c r="N241" s="6">
        <f t="shared" si="50"/>
        <v>0.94240837696335078</v>
      </c>
      <c r="O241">
        <f>1+1+1+1+1+0.5</f>
        <v>5.5</v>
      </c>
      <c r="P241" s="7">
        <f>1+0+1+1+1</f>
        <v>4</v>
      </c>
      <c r="Q241">
        <f>1+1+1</f>
        <v>3</v>
      </c>
      <c r="R241">
        <f>1+0+1</f>
        <v>2</v>
      </c>
      <c r="S241">
        <f>1+1+1+1</f>
        <v>4</v>
      </c>
      <c r="T241">
        <f>1+1+1</f>
        <v>3</v>
      </c>
      <c r="U241" s="7">
        <f>1+1+1+0</f>
        <v>3</v>
      </c>
      <c r="V241">
        <f>0</f>
        <v>0</v>
      </c>
      <c r="W241" s="8">
        <f t="shared" si="48"/>
        <v>19</v>
      </c>
      <c r="X241" s="17" t="s">
        <v>189</v>
      </c>
    </row>
    <row r="242" spans="3:24" x14ac:dyDescent="0.25">
      <c r="C242" s="17" t="s">
        <v>191</v>
      </c>
      <c r="D242" s="17">
        <f>39+43+40</f>
        <v>122</v>
      </c>
      <c r="E242" s="18" t="s">
        <v>180</v>
      </c>
      <c r="F242" s="18" t="s">
        <v>192</v>
      </c>
      <c r="G242" s="17">
        <f>14+21+39</f>
        <v>74</v>
      </c>
      <c r="H242" s="17">
        <f>6+3+15</f>
        <v>24</v>
      </c>
      <c r="I242" s="17">
        <f>20+14+20</f>
        <v>54</v>
      </c>
      <c r="J242" s="17">
        <f>(7.1+6.8+7.9)/3</f>
        <v>7.2666666666666657</v>
      </c>
      <c r="K242" s="6">
        <f t="shared" si="45"/>
        <v>98</v>
      </c>
      <c r="L242" s="6">
        <f t="shared" si="46"/>
        <v>152</v>
      </c>
      <c r="M242" s="6">
        <f>(H242+G242)/D242</f>
        <v>0.80327868852459017</v>
      </c>
      <c r="N242" s="6">
        <f t="shared" si="50"/>
        <v>1.2459016393442623</v>
      </c>
      <c r="O242">
        <f>1+1+1</f>
        <v>3</v>
      </c>
      <c r="P242" s="7">
        <f>0+1</f>
        <v>1</v>
      </c>
      <c r="Q242">
        <f>1</f>
        <v>1</v>
      </c>
      <c r="R242">
        <f>0</f>
        <v>0</v>
      </c>
      <c r="S242">
        <f>0+1</f>
        <v>1</v>
      </c>
      <c r="T242">
        <f>1+1</f>
        <v>2</v>
      </c>
      <c r="U242" s="7">
        <f>1+1</f>
        <v>2</v>
      </c>
      <c r="V242">
        <f>0</f>
        <v>0</v>
      </c>
      <c r="W242" s="8">
        <f t="shared" si="48"/>
        <v>7</v>
      </c>
      <c r="X242" s="17" t="s">
        <v>191</v>
      </c>
    </row>
    <row r="243" spans="3:24" x14ac:dyDescent="0.25">
      <c r="C243" s="103" t="s">
        <v>749</v>
      </c>
      <c r="D243" s="17">
        <f>6+27+17+25+26+26+34+35</f>
        <v>196</v>
      </c>
      <c r="E243" s="18" t="s">
        <v>183</v>
      </c>
      <c r="F243" s="18" t="s">
        <v>747</v>
      </c>
      <c r="G243" s="17">
        <f>2+3+1+3+5+6+8+17</f>
        <v>45</v>
      </c>
      <c r="H243" s="17">
        <f>1+6+1+6+5+5+10+10</f>
        <v>44</v>
      </c>
      <c r="I243" s="17">
        <f>0+3+2+2+4+0+8+13</f>
        <v>32</v>
      </c>
      <c r="J243" s="17">
        <f>(6.5+6.6+6+6.4+6.6+6.5+6.8+7)/8</f>
        <v>6.55</v>
      </c>
      <c r="K243" s="6">
        <f t="shared" si="45"/>
        <v>89</v>
      </c>
      <c r="L243" s="6">
        <f t="shared" si="46"/>
        <v>121</v>
      </c>
      <c r="M243" s="6">
        <f>(G243+H243)/D243</f>
        <v>0.45408163265306123</v>
      </c>
      <c r="N243" s="6">
        <f t="shared" si="50"/>
        <v>0.61734693877551017</v>
      </c>
      <c r="O243">
        <f>0.5+1+1+1+1+1+1+1</f>
        <v>7.5</v>
      </c>
      <c r="P243" s="7">
        <f>1+1+1+1+1+1+1+1</f>
        <v>8</v>
      </c>
      <c r="Q243">
        <f>0+1+0+1+1+1+0+1</f>
        <v>5</v>
      </c>
      <c r="R243">
        <f>0+0+0+1+1+0+1+0</f>
        <v>3</v>
      </c>
      <c r="S243">
        <f>0+1+1+1+0+1+1+1</f>
        <v>6</v>
      </c>
      <c r="T243">
        <f>0+1+1+1+0+1+1+1</f>
        <v>6</v>
      </c>
      <c r="U243" s="7">
        <f>1+1+1+0+1+1+1+1</f>
        <v>7</v>
      </c>
      <c r="V243">
        <f>0</f>
        <v>0</v>
      </c>
      <c r="W243" s="8">
        <f t="shared" si="48"/>
        <v>35</v>
      </c>
      <c r="X243" s="103" t="s">
        <v>749</v>
      </c>
    </row>
    <row r="244" spans="3:24" x14ac:dyDescent="0.25">
      <c r="C244" s="103" t="s">
        <v>1469</v>
      </c>
      <c r="D244" s="17">
        <f>32+37+46</f>
        <v>115</v>
      </c>
      <c r="E244" s="18" t="s">
        <v>183</v>
      </c>
      <c r="F244" s="18" t="s">
        <v>79</v>
      </c>
      <c r="G244" s="17">
        <f>9+10+11</f>
        <v>30</v>
      </c>
      <c r="H244" s="17">
        <f>14+23+16</f>
        <v>53</v>
      </c>
      <c r="I244" s="17">
        <f>7+13+17</f>
        <v>37</v>
      </c>
      <c r="J244" s="17">
        <f>(7.1+7.3+7.2)/3</f>
        <v>7.1999999999999993</v>
      </c>
      <c r="K244" s="6">
        <f t="shared" si="45"/>
        <v>83</v>
      </c>
      <c r="L244" s="6">
        <f t="shared" si="46"/>
        <v>120</v>
      </c>
      <c r="M244" s="6">
        <f>(G244+H244)/D244</f>
        <v>0.72173913043478266</v>
      </c>
      <c r="N244" s="6">
        <f t="shared" si="50"/>
        <v>1.0434782608695652</v>
      </c>
      <c r="O244">
        <f>1+1+1</f>
        <v>3</v>
      </c>
      <c r="P244" s="7">
        <f>1+1+1</f>
        <v>3</v>
      </c>
      <c r="Q244">
        <f>0+1+1</f>
        <v>2</v>
      </c>
      <c r="R244">
        <f>1+0+1</f>
        <v>2</v>
      </c>
      <c r="S244">
        <f>0+1+1</f>
        <v>2</v>
      </c>
      <c r="T244">
        <f>1+1+1</f>
        <v>3</v>
      </c>
      <c r="U244" s="7">
        <f>1+1+1</f>
        <v>3</v>
      </c>
      <c r="V244">
        <f>0</f>
        <v>0</v>
      </c>
      <c r="W244" s="8">
        <f t="shared" si="48"/>
        <v>15</v>
      </c>
      <c r="X244" s="103" t="s">
        <v>1469</v>
      </c>
    </row>
    <row r="245" spans="3:24" x14ac:dyDescent="0.25">
      <c r="C245" s="19" t="s">
        <v>1385</v>
      </c>
      <c r="D245" s="17">
        <f>10+33+47+46</f>
        <v>136</v>
      </c>
      <c r="E245" s="18" t="s">
        <v>183</v>
      </c>
      <c r="F245" s="18" t="s">
        <v>44</v>
      </c>
      <c r="G245" s="17">
        <f>2+7+12+13</f>
        <v>34</v>
      </c>
      <c r="H245" s="17">
        <f>3+13+20+13</f>
        <v>49</v>
      </c>
      <c r="I245" s="17">
        <f>1+6+9+17</f>
        <v>33</v>
      </c>
      <c r="J245" s="17">
        <f>(6.6+6.9+7.1+7.2)/4</f>
        <v>6.95</v>
      </c>
      <c r="K245" s="6">
        <f t="shared" si="45"/>
        <v>83</v>
      </c>
      <c r="L245" s="6">
        <f t="shared" si="46"/>
        <v>116</v>
      </c>
      <c r="M245" s="6">
        <f>(G245+H245)/D245</f>
        <v>0.61029411764705888</v>
      </c>
      <c r="N245" s="6">
        <f t="shared" si="50"/>
        <v>0.8529411764705882</v>
      </c>
      <c r="O245">
        <f>0.5+1+1+1</f>
        <v>3.5</v>
      </c>
      <c r="P245" s="7">
        <f>1+1+1+1</f>
        <v>4</v>
      </c>
      <c r="Q245">
        <f>1+1+1+0</f>
        <v>3</v>
      </c>
      <c r="R245">
        <f>1+0+1+1</f>
        <v>3</v>
      </c>
      <c r="S245">
        <f>0+1+1+0</f>
        <v>2</v>
      </c>
      <c r="T245">
        <f>0+1+1+1</f>
        <v>3</v>
      </c>
      <c r="U245" s="7">
        <f>1+1+1+1</f>
        <v>4</v>
      </c>
      <c r="V245">
        <f>0</f>
        <v>0</v>
      </c>
      <c r="W245" s="8">
        <f t="shared" si="48"/>
        <v>19</v>
      </c>
      <c r="X245" s="19" t="s">
        <v>1385</v>
      </c>
    </row>
    <row r="246" spans="3:24" x14ac:dyDescent="0.25">
      <c r="C246" s="17" t="s">
        <v>193</v>
      </c>
      <c r="D246" s="17">
        <f>9+40+24+33+32+35+37+29</f>
        <v>239</v>
      </c>
      <c r="E246" s="18" t="s">
        <v>190</v>
      </c>
      <c r="F246" s="18" t="s">
        <v>59</v>
      </c>
      <c r="G246" s="17">
        <f>1+2+1+6+6+3+6+5</f>
        <v>30</v>
      </c>
      <c r="H246" s="17">
        <f>1+4+7+2+9+9+15+4</f>
        <v>51</v>
      </c>
      <c r="I246" s="17">
        <f>0+3+1+1+1+4+8+6</f>
        <v>24</v>
      </c>
      <c r="J246" s="17">
        <f>(6.6+6.1+6.5+6.4+6.9+6.7+6.8+6.6)/8</f>
        <v>6.5750000000000002</v>
      </c>
      <c r="K246" s="6">
        <f t="shared" si="45"/>
        <v>81</v>
      </c>
      <c r="L246" s="6">
        <f t="shared" si="46"/>
        <v>105</v>
      </c>
      <c r="M246" s="6">
        <f>(G246+H246)/D246</f>
        <v>0.33891213389121339</v>
      </c>
      <c r="N246" s="6">
        <f t="shared" si="50"/>
        <v>0.43933054393305437</v>
      </c>
      <c r="O246">
        <f>1+1+1+1+1+1+1+1</f>
        <v>8</v>
      </c>
      <c r="P246" s="7">
        <f>1+1+1+1+1+1+1+1</f>
        <v>8</v>
      </c>
      <c r="Q246">
        <f>1+1+1+0+0+0+1+1</f>
        <v>5</v>
      </c>
      <c r="R246">
        <f>1+1+1+0+1+0+1+1</f>
        <v>6</v>
      </c>
      <c r="S246">
        <f>0+1+1+1+1+1+1+0</f>
        <v>6</v>
      </c>
      <c r="T246">
        <f>0+0+1+0+1+0+1+1</f>
        <v>4</v>
      </c>
      <c r="U246" s="7">
        <f>0+1+1+1+1+1+1+1</f>
        <v>7</v>
      </c>
      <c r="V246">
        <f>0</f>
        <v>0</v>
      </c>
      <c r="W246" s="8">
        <f t="shared" si="48"/>
        <v>36</v>
      </c>
      <c r="X246" s="17" t="s">
        <v>193</v>
      </c>
    </row>
    <row r="247" spans="3:24" x14ac:dyDescent="0.25">
      <c r="C247" s="17" t="s">
        <v>194</v>
      </c>
      <c r="D247" s="17">
        <f>18+38+51+36</f>
        <v>143</v>
      </c>
      <c r="E247" s="18" t="s">
        <v>177</v>
      </c>
      <c r="F247" s="18" t="s">
        <v>195</v>
      </c>
      <c r="G247" s="17">
        <f>1+3+19+23</f>
        <v>46</v>
      </c>
      <c r="H247" s="17">
        <f>2+7+4+14</f>
        <v>27</v>
      </c>
      <c r="I247" s="17">
        <f>4+4+2+11</f>
        <v>21</v>
      </c>
      <c r="J247" s="17">
        <f>(6.5+6.4+6.7+7.5)/4</f>
        <v>6.7750000000000004</v>
      </c>
      <c r="K247" s="6">
        <f t="shared" si="45"/>
        <v>73</v>
      </c>
      <c r="L247" s="6">
        <f t="shared" si="46"/>
        <v>94</v>
      </c>
      <c r="M247" s="6">
        <f>(H247+G247)/D247</f>
        <v>0.51048951048951052</v>
      </c>
      <c r="N247" s="6">
        <f t="shared" si="50"/>
        <v>0.65734265734265729</v>
      </c>
      <c r="O247">
        <f>1+1+1</f>
        <v>3</v>
      </c>
      <c r="P247" s="7">
        <f>0+1+1</f>
        <v>2</v>
      </c>
      <c r="Q247">
        <f>1+1</f>
        <v>2</v>
      </c>
      <c r="R247">
        <f>0+1</f>
        <v>1</v>
      </c>
      <c r="S247">
        <f>0+1+1</f>
        <v>2</v>
      </c>
      <c r="T247">
        <f>1+1</f>
        <v>2</v>
      </c>
      <c r="U247" s="7">
        <f>1+1+0</f>
        <v>2</v>
      </c>
      <c r="V247">
        <f>0</f>
        <v>0</v>
      </c>
      <c r="W247" s="8">
        <f t="shared" si="48"/>
        <v>11</v>
      </c>
      <c r="X247" s="17" t="s">
        <v>194</v>
      </c>
    </row>
    <row r="248" spans="3:24" x14ac:dyDescent="0.25">
      <c r="C248" s="17" t="s">
        <v>196</v>
      </c>
      <c r="D248" s="17">
        <f>35+41+50+36</f>
        <v>162</v>
      </c>
      <c r="E248" s="18" t="s">
        <v>180</v>
      </c>
      <c r="F248" s="18" t="s">
        <v>37</v>
      </c>
      <c r="G248" s="17">
        <f>11+10+5+3</f>
        <v>29</v>
      </c>
      <c r="H248" s="17">
        <f>6+5+16+8</f>
        <v>35</v>
      </c>
      <c r="I248" s="17">
        <f>6+0+4+0</f>
        <v>10</v>
      </c>
      <c r="J248" s="17">
        <f>(6.7+6.5+6.7+6.5)/4</f>
        <v>6.6</v>
      </c>
      <c r="K248" s="6">
        <f t="shared" si="45"/>
        <v>64</v>
      </c>
      <c r="L248" s="6">
        <f t="shared" si="46"/>
        <v>74</v>
      </c>
      <c r="M248" s="6">
        <f t="shared" ref="M248:M254" si="51">(G248+H248)/D248</f>
        <v>0.39506172839506171</v>
      </c>
      <c r="N248" s="6">
        <f t="shared" si="50"/>
        <v>0.4567901234567901</v>
      </c>
      <c r="O248">
        <f>1+1+1+1</f>
        <v>4</v>
      </c>
      <c r="P248" s="7">
        <f>1+1+1+1</f>
        <v>4</v>
      </c>
      <c r="Q248">
        <f>1+1+1+1</f>
        <v>4</v>
      </c>
      <c r="R248">
        <f>1+0+1+1</f>
        <v>3</v>
      </c>
      <c r="S248">
        <f>1+0+1+1</f>
        <v>3</v>
      </c>
      <c r="T248">
        <f>0+1+1+1</f>
        <v>3</v>
      </c>
      <c r="U248" s="7">
        <f>1+1+1+1</f>
        <v>4</v>
      </c>
      <c r="V248">
        <f>0</f>
        <v>0</v>
      </c>
      <c r="W248" s="8">
        <f t="shared" si="48"/>
        <v>21</v>
      </c>
      <c r="X248" s="17" t="s">
        <v>196</v>
      </c>
    </row>
    <row r="249" spans="3:24" x14ac:dyDescent="0.25">
      <c r="C249" s="17" t="s">
        <v>197</v>
      </c>
      <c r="D249" s="17">
        <f>16+44+2</f>
        <v>62</v>
      </c>
      <c r="E249" s="18" t="s">
        <v>177</v>
      </c>
      <c r="F249" s="18" t="s">
        <v>25</v>
      </c>
      <c r="G249" s="17">
        <f>13+24</f>
        <v>37</v>
      </c>
      <c r="H249" s="17">
        <f>6+12+2</f>
        <v>20</v>
      </c>
      <c r="I249" s="17">
        <f>7+12</f>
        <v>19</v>
      </c>
      <c r="J249" s="17">
        <f>(8+7.2)/2</f>
        <v>7.6</v>
      </c>
      <c r="K249" s="6">
        <f t="shared" si="45"/>
        <v>57</v>
      </c>
      <c r="L249" s="6">
        <f t="shared" si="46"/>
        <v>76</v>
      </c>
      <c r="M249" s="6">
        <f t="shared" si="51"/>
        <v>0.91935483870967738</v>
      </c>
      <c r="N249" s="6">
        <f t="shared" si="50"/>
        <v>1.2258064516129032</v>
      </c>
      <c r="O249">
        <f>1+1</f>
        <v>2</v>
      </c>
      <c r="P249" s="7">
        <f>1+0</f>
        <v>1</v>
      </c>
      <c r="Q249">
        <f>1</f>
        <v>1</v>
      </c>
      <c r="R249">
        <f>1</f>
        <v>1</v>
      </c>
      <c r="S249">
        <f>1</f>
        <v>1</v>
      </c>
      <c r="T249">
        <f>0</f>
        <v>0</v>
      </c>
      <c r="U249" s="7">
        <f>1</f>
        <v>1</v>
      </c>
      <c r="V249">
        <f>0</f>
        <v>0</v>
      </c>
      <c r="W249" s="8">
        <f t="shared" si="48"/>
        <v>5</v>
      </c>
      <c r="X249" s="17" t="s">
        <v>197</v>
      </c>
    </row>
    <row r="250" spans="3:24" x14ac:dyDescent="0.25">
      <c r="C250" s="17" t="s">
        <v>198</v>
      </c>
      <c r="D250" s="17">
        <f>15+25+37+1</f>
        <v>78</v>
      </c>
      <c r="E250" s="18" t="s">
        <v>177</v>
      </c>
      <c r="F250" s="18" t="s">
        <v>31</v>
      </c>
      <c r="G250" s="17">
        <f>4+15+21</f>
        <v>40</v>
      </c>
      <c r="H250" s="17">
        <f>3+4+7</f>
        <v>14</v>
      </c>
      <c r="I250" s="17">
        <f>6+6+17</f>
        <v>29</v>
      </c>
      <c r="J250" s="17">
        <f>(6.8+7.1+7.2)/3</f>
        <v>7.0333333333333323</v>
      </c>
      <c r="K250" s="6">
        <f t="shared" si="45"/>
        <v>54</v>
      </c>
      <c r="L250" s="6">
        <f t="shared" si="46"/>
        <v>83</v>
      </c>
      <c r="M250" s="6">
        <f t="shared" si="51"/>
        <v>0.69230769230769229</v>
      </c>
      <c r="N250" s="6">
        <f t="shared" si="50"/>
        <v>1.0641025641025641</v>
      </c>
      <c r="O250">
        <f>1+1+1</f>
        <v>3</v>
      </c>
      <c r="P250" s="7">
        <f>1+0+1</f>
        <v>2</v>
      </c>
      <c r="Q250">
        <f>1</f>
        <v>1</v>
      </c>
      <c r="R250">
        <f>1</f>
        <v>1</v>
      </c>
      <c r="S250">
        <f>1+1</f>
        <v>2</v>
      </c>
      <c r="T250">
        <f>1</f>
        <v>1</v>
      </c>
      <c r="U250" s="7">
        <f>1+1</f>
        <v>2</v>
      </c>
      <c r="V250">
        <f>0</f>
        <v>0</v>
      </c>
      <c r="W250" s="8">
        <f t="shared" si="48"/>
        <v>9</v>
      </c>
      <c r="X250" s="17" t="s">
        <v>198</v>
      </c>
    </row>
    <row r="251" spans="3:24" x14ac:dyDescent="0.25">
      <c r="C251" s="17" t="s">
        <v>199</v>
      </c>
      <c r="D251" s="17">
        <f>32+19</f>
        <v>51</v>
      </c>
      <c r="E251" s="18" t="s">
        <v>177</v>
      </c>
      <c r="F251" s="18" t="s">
        <v>59</v>
      </c>
      <c r="G251" s="17">
        <f>16+19</f>
        <v>35</v>
      </c>
      <c r="H251" s="17">
        <f>1+5</f>
        <v>6</v>
      </c>
      <c r="I251" s="17">
        <f>10+15</f>
        <v>25</v>
      </c>
      <c r="J251" s="17">
        <f>(6.8+7.6)/2</f>
        <v>7.1999999999999993</v>
      </c>
      <c r="K251" s="6">
        <f t="shared" si="45"/>
        <v>41</v>
      </c>
      <c r="L251" s="6">
        <f t="shared" si="46"/>
        <v>66</v>
      </c>
      <c r="M251" s="6">
        <f t="shared" si="51"/>
        <v>0.80392156862745101</v>
      </c>
      <c r="N251" s="6">
        <f t="shared" si="50"/>
        <v>1.2941176470588236</v>
      </c>
      <c r="O251">
        <f>1+0.5</f>
        <v>1.5</v>
      </c>
      <c r="P251" s="7">
        <f>1</f>
        <v>1</v>
      </c>
      <c r="Q251">
        <f>1</f>
        <v>1</v>
      </c>
      <c r="R251">
        <f>0</f>
        <v>0</v>
      </c>
      <c r="S251">
        <f>0+1</f>
        <v>1</v>
      </c>
      <c r="T251">
        <f>1</f>
        <v>1</v>
      </c>
      <c r="U251" s="7">
        <f>1</f>
        <v>1</v>
      </c>
      <c r="V251">
        <f>0</f>
        <v>0</v>
      </c>
      <c r="W251" s="8">
        <f t="shared" si="48"/>
        <v>5</v>
      </c>
      <c r="X251" s="17" t="s">
        <v>199</v>
      </c>
    </row>
    <row r="252" spans="3:24" x14ac:dyDescent="0.25">
      <c r="C252" s="19" t="s">
        <v>1414</v>
      </c>
      <c r="D252" s="17">
        <f>22+15+36</f>
        <v>73</v>
      </c>
      <c r="E252" s="18" t="s">
        <v>177</v>
      </c>
      <c r="F252" s="18" t="s">
        <v>31</v>
      </c>
      <c r="G252" s="17">
        <f>5+6+5</f>
        <v>16</v>
      </c>
      <c r="H252" s="17">
        <f>4+4+12</f>
        <v>20</v>
      </c>
      <c r="I252" s="17">
        <f>3+3+6</f>
        <v>12</v>
      </c>
      <c r="J252" s="17">
        <f>(6.1+6.9+6.8)/3</f>
        <v>6.6000000000000005</v>
      </c>
      <c r="K252" s="6">
        <f t="shared" si="45"/>
        <v>36</v>
      </c>
      <c r="L252" s="6">
        <f t="shared" si="46"/>
        <v>48</v>
      </c>
      <c r="M252" s="6">
        <f t="shared" si="51"/>
        <v>0.49315068493150682</v>
      </c>
      <c r="N252" s="6">
        <f t="shared" si="50"/>
        <v>0.65753424657534243</v>
      </c>
      <c r="O252">
        <f>1+0.5+1</f>
        <v>2.5</v>
      </c>
      <c r="P252" s="7">
        <f>1+1+1</f>
        <v>3</v>
      </c>
      <c r="Q252">
        <f>1+1+0</f>
        <v>2</v>
      </c>
      <c r="R252">
        <f>1+0+1</f>
        <v>2</v>
      </c>
      <c r="S252">
        <f>1+1+0</f>
        <v>2</v>
      </c>
      <c r="T252">
        <f>1+1+1</f>
        <v>3</v>
      </c>
      <c r="U252" s="7">
        <f>1+1+1</f>
        <v>3</v>
      </c>
      <c r="V252">
        <f>0</f>
        <v>0</v>
      </c>
      <c r="W252" s="8">
        <f t="shared" si="48"/>
        <v>15</v>
      </c>
      <c r="X252" s="19" t="s">
        <v>1414</v>
      </c>
    </row>
    <row r="253" spans="3:24" x14ac:dyDescent="0.25">
      <c r="C253" s="17" t="s">
        <v>200</v>
      </c>
      <c r="D253" s="17">
        <f>15+33</f>
        <v>48</v>
      </c>
      <c r="E253" s="18" t="s">
        <v>177</v>
      </c>
      <c r="F253" s="18" t="s">
        <v>66</v>
      </c>
      <c r="G253" s="17">
        <f>14+16</f>
        <v>30</v>
      </c>
      <c r="H253" s="17">
        <f>1+4</f>
        <v>5</v>
      </c>
      <c r="I253" s="17">
        <f>3+3</f>
        <v>6</v>
      </c>
      <c r="J253" s="17">
        <f>(6.9+7)/2</f>
        <v>6.95</v>
      </c>
      <c r="K253" s="6">
        <f t="shared" si="45"/>
        <v>35</v>
      </c>
      <c r="L253" s="6">
        <f t="shared" si="46"/>
        <v>41</v>
      </c>
      <c r="M253" s="6">
        <f t="shared" si="51"/>
        <v>0.72916666666666663</v>
      </c>
      <c r="N253" s="6">
        <f t="shared" si="50"/>
        <v>0.85416666666666663</v>
      </c>
      <c r="O253">
        <f>1+1</f>
        <v>2</v>
      </c>
      <c r="P253" s="7">
        <f>1+1</f>
        <v>2</v>
      </c>
      <c r="Q253">
        <f>1+1</f>
        <v>2</v>
      </c>
      <c r="R253">
        <f>1+1</f>
        <v>2</v>
      </c>
      <c r="S253">
        <f>0+1</f>
        <v>1</v>
      </c>
      <c r="T253">
        <f>0+0</f>
        <v>0</v>
      </c>
      <c r="U253" s="7">
        <f>0+1</f>
        <v>1</v>
      </c>
      <c r="V253">
        <f>0</f>
        <v>0</v>
      </c>
      <c r="W253" s="8">
        <f t="shared" si="48"/>
        <v>8</v>
      </c>
      <c r="X253" s="17" t="s">
        <v>200</v>
      </c>
    </row>
    <row r="254" spans="3:24" x14ac:dyDescent="0.25">
      <c r="C254" s="17" t="s">
        <v>201</v>
      </c>
      <c r="D254" s="17">
        <f>34+33+26</f>
        <v>93</v>
      </c>
      <c r="E254" s="18" t="s">
        <v>183</v>
      </c>
      <c r="F254" s="18" t="s">
        <v>202</v>
      </c>
      <c r="G254" s="17">
        <f>5+4+2</f>
        <v>11</v>
      </c>
      <c r="H254" s="17">
        <f>10+8+4</f>
        <v>22</v>
      </c>
      <c r="I254" s="17">
        <f>8+13+4</f>
        <v>25</v>
      </c>
      <c r="J254" s="17">
        <f>(6.6+6.7+6.5)/3</f>
        <v>6.6000000000000005</v>
      </c>
      <c r="K254" s="6">
        <f t="shared" si="45"/>
        <v>33</v>
      </c>
      <c r="L254" s="6">
        <f t="shared" si="46"/>
        <v>58</v>
      </c>
      <c r="M254" s="6">
        <f t="shared" si="51"/>
        <v>0.35483870967741937</v>
      </c>
      <c r="N254" s="6">
        <f t="shared" si="50"/>
        <v>0.62365591397849462</v>
      </c>
      <c r="O254">
        <f>1+1+1</f>
        <v>3</v>
      </c>
      <c r="P254" s="7">
        <f>1+0+1</f>
        <v>2</v>
      </c>
      <c r="Q254">
        <f>1</f>
        <v>1</v>
      </c>
      <c r="R254">
        <f>1</f>
        <v>1</v>
      </c>
      <c r="S254">
        <f>1</f>
        <v>1</v>
      </c>
      <c r="T254">
        <f>1</f>
        <v>1</v>
      </c>
      <c r="U254" s="7">
        <f>1+1</f>
        <v>2</v>
      </c>
      <c r="V254">
        <f>0</f>
        <v>0</v>
      </c>
      <c r="W254" s="8">
        <f t="shared" si="48"/>
        <v>8</v>
      </c>
      <c r="X254" s="17" t="s">
        <v>201</v>
      </c>
    </row>
    <row r="255" spans="3:24" x14ac:dyDescent="0.25">
      <c r="C255" s="17" t="s">
        <v>203</v>
      </c>
      <c r="D255" s="17">
        <f>31+39</f>
        <v>70</v>
      </c>
      <c r="E255" s="18" t="s">
        <v>177</v>
      </c>
      <c r="F255" s="18" t="s">
        <v>107</v>
      </c>
      <c r="G255" s="17">
        <f>4+12</f>
        <v>16</v>
      </c>
      <c r="H255" s="17">
        <f>10+4</f>
        <v>14</v>
      </c>
      <c r="I255" s="17">
        <f>11+5</f>
        <v>16</v>
      </c>
      <c r="J255" s="17">
        <f>(6.7+6.5)/2</f>
        <v>6.6</v>
      </c>
      <c r="K255" s="6">
        <f t="shared" si="45"/>
        <v>30</v>
      </c>
      <c r="L255" s="6">
        <f t="shared" si="46"/>
        <v>46</v>
      </c>
      <c r="M255" s="6">
        <f>(H255+G255)/D255</f>
        <v>0.42857142857142855</v>
      </c>
      <c r="N255" s="6">
        <f t="shared" si="50"/>
        <v>0.65714285714285714</v>
      </c>
      <c r="O255">
        <f>1+1</f>
        <v>2</v>
      </c>
      <c r="P255" s="7">
        <f>0+1</f>
        <v>1</v>
      </c>
      <c r="Q255">
        <f>1</f>
        <v>1</v>
      </c>
      <c r="R255">
        <f>0</f>
        <v>0</v>
      </c>
      <c r="S255">
        <f>0</f>
        <v>0</v>
      </c>
      <c r="T255">
        <f>1</f>
        <v>1</v>
      </c>
      <c r="U255" s="7">
        <f>1+1</f>
        <v>2</v>
      </c>
      <c r="V255">
        <f>0</f>
        <v>0</v>
      </c>
      <c r="W255" s="8">
        <f t="shared" si="48"/>
        <v>5</v>
      </c>
      <c r="X255" s="17" t="s">
        <v>203</v>
      </c>
    </row>
    <row r="256" spans="3:24" x14ac:dyDescent="0.25">
      <c r="C256" s="17" t="s">
        <v>204</v>
      </c>
      <c r="D256" s="17">
        <f>36</f>
        <v>36</v>
      </c>
      <c r="E256" s="18" t="s">
        <v>177</v>
      </c>
      <c r="F256" s="18" t="s">
        <v>130</v>
      </c>
      <c r="G256" s="17">
        <f>25</f>
        <v>25</v>
      </c>
      <c r="H256" s="17">
        <f>5</f>
        <v>5</v>
      </c>
      <c r="I256" s="17">
        <f>5</f>
        <v>5</v>
      </c>
      <c r="J256" s="17">
        <f>(7.3)/1</f>
        <v>7.3</v>
      </c>
      <c r="K256" s="6">
        <f t="shared" si="45"/>
        <v>30</v>
      </c>
      <c r="L256" s="6">
        <f t="shared" si="46"/>
        <v>35</v>
      </c>
      <c r="M256" s="6">
        <f t="shared" ref="M256:M267" si="52">(G256+H256)/D256</f>
        <v>0.83333333333333337</v>
      </c>
      <c r="N256" s="6">
        <f t="shared" si="50"/>
        <v>0.97222222222222221</v>
      </c>
      <c r="O256">
        <f>1</f>
        <v>1</v>
      </c>
      <c r="P256" s="7">
        <f>1</f>
        <v>1</v>
      </c>
      <c r="Q256">
        <f>1</f>
        <v>1</v>
      </c>
      <c r="R256">
        <f>0</f>
        <v>0</v>
      </c>
      <c r="S256">
        <f>1</f>
        <v>1</v>
      </c>
      <c r="T256">
        <f>1</f>
        <v>1</v>
      </c>
      <c r="U256" s="7">
        <f>1</f>
        <v>1</v>
      </c>
      <c r="V256">
        <f>0</f>
        <v>0</v>
      </c>
      <c r="W256" s="8">
        <f t="shared" si="48"/>
        <v>5</v>
      </c>
      <c r="X256" s="17" t="s">
        <v>204</v>
      </c>
    </row>
    <row r="257" spans="3:24" x14ac:dyDescent="0.25">
      <c r="C257" s="17" t="s">
        <v>205</v>
      </c>
      <c r="D257" s="17">
        <f>35+47</f>
        <v>82</v>
      </c>
      <c r="E257" s="18" t="s">
        <v>180</v>
      </c>
      <c r="F257" s="18" t="s">
        <v>31</v>
      </c>
      <c r="G257" s="17">
        <f>10+5</f>
        <v>15</v>
      </c>
      <c r="H257" s="17">
        <f>5+7</f>
        <v>12</v>
      </c>
      <c r="I257" s="17">
        <f>15+1</f>
        <v>16</v>
      </c>
      <c r="J257" s="17">
        <f>(6.9+6.2)/2</f>
        <v>6.5500000000000007</v>
      </c>
      <c r="K257" s="6">
        <f t="shared" si="45"/>
        <v>27</v>
      </c>
      <c r="L257" s="6">
        <f t="shared" si="46"/>
        <v>43</v>
      </c>
      <c r="M257" s="6">
        <f t="shared" si="52"/>
        <v>0.32926829268292684</v>
      </c>
      <c r="N257" s="6">
        <f t="shared" si="50"/>
        <v>0.52439024390243905</v>
      </c>
      <c r="O257">
        <f>1+1</f>
        <v>2</v>
      </c>
      <c r="P257" s="7">
        <f>1+0</f>
        <v>1</v>
      </c>
      <c r="Q257">
        <f>1</f>
        <v>1</v>
      </c>
      <c r="R257">
        <f>1</f>
        <v>1</v>
      </c>
      <c r="S257">
        <f>1</f>
        <v>1</v>
      </c>
      <c r="T257">
        <f>0</f>
        <v>0</v>
      </c>
      <c r="U257" s="7">
        <f>1</f>
        <v>1</v>
      </c>
      <c r="V257">
        <f>0</f>
        <v>0</v>
      </c>
      <c r="W257" s="8">
        <f t="shared" si="48"/>
        <v>5</v>
      </c>
      <c r="X257" s="17" t="s">
        <v>205</v>
      </c>
    </row>
    <row r="258" spans="3:24" x14ac:dyDescent="0.25">
      <c r="C258" s="17" t="s">
        <v>206</v>
      </c>
      <c r="D258" s="17">
        <f>16+33</f>
        <v>49</v>
      </c>
      <c r="E258" s="18" t="s">
        <v>190</v>
      </c>
      <c r="F258" s="18" t="s">
        <v>207</v>
      </c>
      <c r="G258" s="17">
        <f>3+5</f>
        <v>8</v>
      </c>
      <c r="H258" s="17">
        <f>11+7</f>
        <v>18</v>
      </c>
      <c r="I258" s="17">
        <f>7+13</f>
        <v>20</v>
      </c>
      <c r="J258" s="17">
        <f>(7.7+6.9)/2</f>
        <v>7.3000000000000007</v>
      </c>
      <c r="K258" s="6">
        <f t="shared" si="45"/>
        <v>26</v>
      </c>
      <c r="L258" s="6">
        <f t="shared" si="46"/>
        <v>46</v>
      </c>
      <c r="M258" s="6">
        <f t="shared" si="52"/>
        <v>0.53061224489795922</v>
      </c>
      <c r="N258" s="6">
        <f t="shared" si="50"/>
        <v>0.93877551020408168</v>
      </c>
      <c r="O258">
        <f>1+1</f>
        <v>2</v>
      </c>
      <c r="P258" s="7">
        <f>1+1</f>
        <v>2</v>
      </c>
      <c r="Q258">
        <f>1+1</f>
        <v>2</v>
      </c>
      <c r="R258">
        <f>1+0</f>
        <v>1</v>
      </c>
      <c r="S258">
        <f>0+0</f>
        <v>0</v>
      </c>
      <c r="T258">
        <f>0+1</f>
        <v>1</v>
      </c>
      <c r="U258" s="7">
        <f>1+1</f>
        <v>2</v>
      </c>
      <c r="V258">
        <f>0</f>
        <v>0</v>
      </c>
      <c r="W258" s="8">
        <f t="shared" si="48"/>
        <v>8</v>
      </c>
      <c r="X258" s="17" t="s">
        <v>206</v>
      </c>
    </row>
    <row r="259" spans="3:24" x14ac:dyDescent="0.25">
      <c r="C259" s="103" t="s">
        <v>1199</v>
      </c>
      <c r="D259" s="17">
        <f>7+25+26</f>
        <v>58</v>
      </c>
      <c r="E259" s="18" t="s">
        <v>190</v>
      </c>
      <c r="F259" s="18" t="s">
        <v>31</v>
      </c>
      <c r="G259" s="17">
        <f>1+2+2</f>
        <v>5</v>
      </c>
      <c r="H259" s="17">
        <f>0+7+8</f>
        <v>15</v>
      </c>
      <c r="I259" s="17">
        <f>0+6+12</f>
        <v>18</v>
      </c>
      <c r="J259" s="17">
        <f>(6.5+6.7)/2</f>
        <v>6.6</v>
      </c>
      <c r="K259" s="6">
        <f t="shared" si="45"/>
        <v>20</v>
      </c>
      <c r="L259" s="6">
        <f t="shared" si="46"/>
        <v>38</v>
      </c>
      <c r="M259" s="6">
        <f t="shared" si="52"/>
        <v>0.34482758620689657</v>
      </c>
      <c r="N259" s="6">
        <f t="shared" si="50"/>
        <v>0.65517241379310343</v>
      </c>
      <c r="O259">
        <f>0.25+1+1</f>
        <v>2.25</v>
      </c>
      <c r="P259" s="7">
        <f>1+1+1</f>
        <v>3</v>
      </c>
      <c r="Q259">
        <f>0+1+1</f>
        <v>2</v>
      </c>
      <c r="R259">
        <f>1+1+1</f>
        <v>3</v>
      </c>
      <c r="S259">
        <f>0+0+1</f>
        <v>1</v>
      </c>
      <c r="T259">
        <f>0+1+1</f>
        <v>2</v>
      </c>
      <c r="U259" s="7">
        <f>1+1+1</f>
        <v>3</v>
      </c>
      <c r="V259">
        <f>0</f>
        <v>0</v>
      </c>
      <c r="W259" s="8">
        <f t="shared" si="48"/>
        <v>14</v>
      </c>
      <c r="X259" s="103" t="s">
        <v>1199</v>
      </c>
    </row>
    <row r="260" spans="3:24" x14ac:dyDescent="0.25">
      <c r="C260" s="103" t="s">
        <v>1449</v>
      </c>
      <c r="D260" s="17">
        <f>20</f>
        <v>20</v>
      </c>
      <c r="E260" s="18" t="s">
        <v>177</v>
      </c>
      <c r="F260" s="18" t="s">
        <v>66</v>
      </c>
      <c r="G260" s="17">
        <f>9</f>
        <v>9</v>
      </c>
      <c r="H260" s="17">
        <f>5</f>
        <v>5</v>
      </c>
      <c r="I260" s="17">
        <f>12</f>
        <v>12</v>
      </c>
      <c r="J260" s="17">
        <f>(7.2)/1</f>
        <v>7.2</v>
      </c>
      <c r="K260" s="6">
        <f t="shared" si="45"/>
        <v>14</v>
      </c>
      <c r="L260" s="6">
        <f t="shared" si="46"/>
        <v>26</v>
      </c>
      <c r="M260" s="6">
        <f t="shared" si="52"/>
        <v>0.7</v>
      </c>
      <c r="N260" s="6">
        <f t="shared" si="50"/>
        <v>1.3</v>
      </c>
      <c r="O260">
        <f>0.5</f>
        <v>0.5</v>
      </c>
      <c r="P260" s="7">
        <f>1</f>
        <v>1</v>
      </c>
      <c r="Q260">
        <f>1</f>
        <v>1</v>
      </c>
      <c r="R260">
        <f>1</f>
        <v>1</v>
      </c>
      <c r="S260">
        <f>0</f>
        <v>0</v>
      </c>
      <c r="T260">
        <f>0</f>
        <v>0</v>
      </c>
      <c r="U260" s="7">
        <f>1</f>
        <v>1</v>
      </c>
      <c r="V260">
        <f>0</f>
        <v>0</v>
      </c>
      <c r="W260" s="8">
        <f t="shared" si="48"/>
        <v>4</v>
      </c>
      <c r="X260" s="103" t="s">
        <v>1449</v>
      </c>
    </row>
    <row r="261" spans="3:24" x14ac:dyDescent="0.25">
      <c r="C261" s="17" t="s">
        <v>210</v>
      </c>
      <c r="D261" s="17">
        <f>23</f>
        <v>23</v>
      </c>
      <c r="E261" s="18" t="s">
        <v>177</v>
      </c>
      <c r="F261" s="18" t="s">
        <v>211</v>
      </c>
      <c r="G261" s="17">
        <f>12</f>
        <v>12</v>
      </c>
      <c r="H261" s="17">
        <f>2</f>
        <v>2</v>
      </c>
      <c r="I261" s="17">
        <f>1</f>
        <v>1</v>
      </c>
      <c r="J261" s="17">
        <f>(7.2)/1</f>
        <v>7.2</v>
      </c>
      <c r="K261" s="6">
        <f t="shared" si="45"/>
        <v>14</v>
      </c>
      <c r="L261" s="6">
        <f t="shared" si="46"/>
        <v>15</v>
      </c>
      <c r="M261" s="6">
        <f t="shared" si="52"/>
        <v>0.60869565217391308</v>
      </c>
      <c r="N261" s="6">
        <f t="shared" si="50"/>
        <v>0.65217391304347827</v>
      </c>
      <c r="O261">
        <f>1</f>
        <v>1</v>
      </c>
      <c r="P261" s="7">
        <f>1</f>
        <v>1</v>
      </c>
      <c r="Q261">
        <f>0</f>
        <v>0</v>
      </c>
      <c r="R261">
        <f>0</f>
        <v>0</v>
      </c>
      <c r="S261">
        <f>1+1</f>
        <v>2</v>
      </c>
      <c r="T261">
        <f>0</f>
        <v>0</v>
      </c>
      <c r="U261" s="7">
        <f>1</f>
        <v>1</v>
      </c>
      <c r="V261">
        <f>0</f>
        <v>0</v>
      </c>
      <c r="W261" s="8">
        <f t="shared" si="48"/>
        <v>4</v>
      </c>
      <c r="X261" s="17" t="s">
        <v>210</v>
      </c>
    </row>
    <row r="262" spans="3:24" x14ac:dyDescent="0.25">
      <c r="C262" s="17" t="s">
        <v>212</v>
      </c>
      <c r="D262" s="17">
        <v>21</v>
      </c>
      <c r="E262" s="18" t="s">
        <v>183</v>
      </c>
      <c r="F262" s="18" t="s">
        <v>31</v>
      </c>
      <c r="G262" s="17">
        <v>3</v>
      </c>
      <c r="H262" s="17">
        <v>7</v>
      </c>
      <c r="I262" s="17">
        <v>9</v>
      </c>
      <c r="J262" s="17">
        <f>(6.8)/1</f>
        <v>6.8</v>
      </c>
      <c r="K262" s="6">
        <f t="shared" si="45"/>
        <v>10</v>
      </c>
      <c r="L262" s="6">
        <f t="shared" si="46"/>
        <v>19</v>
      </c>
      <c r="M262" s="6">
        <f t="shared" si="52"/>
        <v>0.47619047619047616</v>
      </c>
      <c r="N262" s="6">
        <f t="shared" si="50"/>
        <v>0.90476190476190477</v>
      </c>
      <c r="O262">
        <f>1</f>
        <v>1</v>
      </c>
      <c r="P262" s="7">
        <f>1</f>
        <v>1</v>
      </c>
      <c r="Q262">
        <f>0</f>
        <v>0</v>
      </c>
      <c r="R262">
        <f>1</f>
        <v>1</v>
      </c>
      <c r="S262">
        <f>0</f>
        <v>0</v>
      </c>
      <c r="T262">
        <f>0</f>
        <v>0</v>
      </c>
      <c r="U262" s="7">
        <f>0</f>
        <v>0</v>
      </c>
      <c r="V262">
        <f>0</f>
        <v>0</v>
      </c>
      <c r="W262" s="8">
        <f t="shared" si="48"/>
        <v>2</v>
      </c>
      <c r="X262" s="17" t="s">
        <v>212</v>
      </c>
    </row>
    <row r="263" spans="3:24" x14ac:dyDescent="0.25">
      <c r="C263" s="17" t="s">
        <v>214</v>
      </c>
      <c r="D263" s="17">
        <f>7</f>
        <v>7</v>
      </c>
      <c r="E263" s="18" t="s">
        <v>177</v>
      </c>
      <c r="F263" s="18" t="s">
        <v>215</v>
      </c>
      <c r="G263" s="17">
        <f>5</f>
        <v>5</v>
      </c>
      <c r="H263" s="17">
        <f>1</f>
        <v>1</v>
      </c>
      <c r="I263" s="17">
        <f>1</f>
        <v>1</v>
      </c>
      <c r="J263" s="17">
        <f>(7.1)/1</f>
        <v>7.1</v>
      </c>
      <c r="K263" s="6">
        <f t="shared" si="45"/>
        <v>6</v>
      </c>
      <c r="L263" s="6">
        <f t="shared" si="46"/>
        <v>7</v>
      </c>
      <c r="M263" s="6">
        <f t="shared" si="52"/>
        <v>0.8571428571428571</v>
      </c>
      <c r="N263" s="6">
        <f t="shared" si="50"/>
        <v>1</v>
      </c>
      <c r="O263">
        <f>1</f>
        <v>1</v>
      </c>
      <c r="P263" s="7">
        <f>1</f>
        <v>1</v>
      </c>
      <c r="Q263">
        <f>1</f>
        <v>1</v>
      </c>
      <c r="R263">
        <f>1</f>
        <v>1</v>
      </c>
      <c r="S263">
        <f>0</f>
        <v>0</v>
      </c>
      <c r="T263">
        <f>0</f>
        <v>0</v>
      </c>
      <c r="U263" s="7">
        <f>0</f>
        <v>0</v>
      </c>
      <c r="V263">
        <v>0</v>
      </c>
      <c r="W263" s="8">
        <f t="shared" si="48"/>
        <v>3</v>
      </c>
      <c r="X263" s="17" t="s">
        <v>214</v>
      </c>
    </row>
    <row r="264" spans="3:24" x14ac:dyDescent="0.25">
      <c r="C264" s="17" t="s">
        <v>216</v>
      </c>
      <c r="D264" s="17">
        <v>15</v>
      </c>
      <c r="E264" s="18" t="s">
        <v>177</v>
      </c>
      <c r="F264" s="18" t="s">
        <v>31</v>
      </c>
      <c r="G264" s="17">
        <v>2</v>
      </c>
      <c r="H264" s="17">
        <v>2</v>
      </c>
      <c r="I264" s="17">
        <v>0</v>
      </c>
      <c r="J264" s="17">
        <f>(6.3)/1</f>
        <v>6.3</v>
      </c>
      <c r="K264" s="6">
        <f t="shared" si="45"/>
        <v>4</v>
      </c>
      <c r="L264" s="6">
        <f t="shared" si="46"/>
        <v>4</v>
      </c>
      <c r="M264" s="6">
        <f t="shared" si="52"/>
        <v>0.26666666666666666</v>
      </c>
      <c r="N264" s="6">
        <f t="shared" si="50"/>
        <v>0.26666666666666666</v>
      </c>
      <c r="O264">
        <f>1</f>
        <v>1</v>
      </c>
      <c r="P264" s="7">
        <f>1</f>
        <v>1</v>
      </c>
      <c r="Q264">
        <f>0</f>
        <v>0</v>
      </c>
      <c r="R264">
        <f>1</f>
        <v>1</v>
      </c>
      <c r="S264">
        <f>0</f>
        <v>0</v>
      </c>
      <c r="T264">
        <f>0</f>
        <v>0</v>
      </c>
      <c r="U264" s="7">
        <f>0</f>
        <v>0</v>
      </c>
      <c r="V264">
        <f>0</f>
        <v>0</v>
      </c>
      <c r="W264" s="8">
        <f t="shared" si="48"/>
        <v>2</v>
      </c>
      <c r="X264" s="17" t="s">
        <v>216</v>
      </c>
    </row>
    <row r="265" spans="3:24" x14ac:dyDescent="0.25">
      <c r="C265" s="19" t="s">
        <v>1528</v>
      </c>
      <c r="D265" s="17">
        <f>2</f>
        <v>2</v>
      </c>
      <c r="E265" s="18" t="s">
        <v>190</v>
      </c>
      <c r="F265" s="18" t="s">
        <v>195</v>
      </c>
      <c r="G265" s="17">
        <f>0</f>
        <v>0</v>
      </c>
      <c r="H265" s="17">
        <f>0</f>
        <v>0</v>
      </c>
      <c r="I265" s="17">
        <f>0</f>
        <v>0</v>
      </c>
      <c r="J265" s="17"/>
      <c r="K265" s="6">
        <f t="shared" si="45"/>
        <v>0</v>
      </c>
      <c r="L265" s="6">
        <f t="shared" si="46"/>
        <v>0</v>
      </c>
      <c r="M265" s="6">
        <f t="shared" si="52"/>
        <v>0</v>
      </c>
      <c r="N265" s="6">
        <f t="shared" si="50"/>
        <v>0</v>
      </c>
      <c r="O265">
        <f>0.125</f>
        <v>0.125</v>
      </c>
      <c r="P265" s="7">
        <f>1</f>
        <v>1</v>
      </c>
      <c r="Q265">
        <f>0</f>
        <v>0</v>
      </c>
      <c r="R265">
        <f>0</f>
        <v>0</v>
      </c>
      <c r="S265">
        <f>0</f>
        <v>0</v>
      </c>
      <c r="T265">
        <f>0</f>
        <v>0</v>
      </c>
      <c r="U265" s="7">
        <f>1</f>
        <v>1</v>
      </c>
      <c r="V265">
        <f>0</f>
        <v>0</v>
      </c>
      <c r="W265" s="8">
        <f t="shared" si="48"/>
        <v>2</v>
      </c>
      <c r="X265" s="19" t="s">
        <v>1528</v>
      </c>
    </row>
    <row r="266" spans="3:24" x14ac:dyDescent="0.25">
      <c r="C266" s="19"/>
      <c r="D266" s="17"/>
      <c r="E266" s="18"/>
      <c r="F266" s="18"/>
      <c r="G266" s="17"/>
      <c r="H266" s="17"/>
      <c r="I266" s="17"/>
      <c r="J266" s="17"/>
      <c r="K266" s="6">
        <f t="shared" si="45"/>
        <v>0</v>
      </c>
      <c r="L266" s="6">
        <f t="shared" si="46"/>
        <v>0</v>
      </c>
      <c r="M266" s="6" t="e">
        <f t="shared" si="52"/>
        <v>#DIV/0!</v>
      </c>
      <c r="N266" s="6" t="e">
        <f t="shared" si="50"/>
        <v>#DIV/0!</v>
      </c>
      <c r="P266" s="7"/>
      <c r="U266" s="7"/>
      <c r="V266">
        <f>0</f>
        <v>0</v>
      </c>
      <c r="W266" s="8">
        <f t="shared" si="48"/>
        <v>0</v>
      </c>
      <c r="X266" s="19"/>
    </row>
    <row r="267" spans="3:24" x14ac:dyDescent="0.25">
      <c r="C267" s="19"/>
      <c r="D267" s="17"/>
      <c r="E267" s="18"/>
      <c r="F267" s="18"/>
      <c r="G267" s="17"/>
      <c r="H267" s="17"/>
      <c r="I267" s="17"/>
      <c r="J267" s="17"/>
      <c r="K267" s="6">
        <f t="shared" si="45"/>
        <v>0</v>
      </c>
      <c r="L267" s="6">
        <f t="shared" si="46"/>
        <v>0</v>
      </c>
      <c r="M267" s="6" t="e">
        <f t="shared" si="52"/>
        <v>#DIV/0!</v>
      </c>
      <c r="N267" s="6" t="e">
        <f t="shared" si="50"/>
        <v>#DIV/0!</v>
      </c>
      <c r="P267" s="7"/>
      <c r="U267" s="7"/>
      <c r="V267">
        <f>0</f>
        <v>0</v>
      </c>
      <c r="W267" s="8">
        <f t="shared" si="48"/>
        <v>0</v>
      </c>
      <c r="X267" s="19"/>
    </row>
    <row r="270" spans="3:24" x14ac:dyDescent="0.25">
      <c r="C270" s="3" t="s">
        <v>2</v>
      </c>
      <c r="D270" s="3" t="s">
        <v>217</v>
      </c>
      <c r="E270" s="3" t="s">
        <v>4</v>
      </c>
      <c r="F270" s="3" t="s">
        <v>5</v>
      </c>
      <c r="G270" s="3" t="s">
        <v>218</v>
      </c>
    </row>
    <row r="271" spans="3:24" x14ac:dyDescent="0.25">
      <c r="C271" s="20" t="s">
        <v>124</v>
      </c>
      <c r="D271" s="20" t="s">
        <v>219</v>
      </c>
      <c r="E271" t="s">
        <v>91</v>
      </c>
      <c r="F271" t="s">
        <v>125</v>
      </c>
      <c r="G271" t="s">
        <v>220</v>
      </c>
      <c r="M271" s="16"/>
    </row>
    <row r="272" spans="3:24" x14ac:dyDescent="0.25">
      <c r="C272" s="21" t="s">
        <v>146</v>
      </c>
      <c r="D272" s="21" t="s">
        <v>221</v>
      </c>
      <c r="E272" t="s">
        <v>96</v>
      </c>
      <c r="F272" t="s">
        <v>125</v>
      </c>
      <c r="G272" t="s">
        <v>220</v>
      </c>
      <c r="M272" s="16"/>
    </row>
    <row r="273" spans="3:13" x14ac:dyDescent="0.25">
      <c r="C273" s="22" t="s">
        <v>143</v>
      </c>
      <c r="D273" s="22" t="s">
        <v>222</v>
      </c>
      <c r="E273" s="23" t="s">
        <v>99</v>
      </c>
      <c r="F273" s="23" t="s">
        <v>44</v>
      </c>
      <c r="G273" s="23" t="s">
        <v>220</v>
      </c>
      <c r="M273" s="16"/>
    </row>
    <row r="274" spans="3:13" x14ac:dyDescent="0.25">
      <c r="C274" s="20" t="s">
        <v>128</v>
      </c>
      <c r="D274" s="20" t="s">
        <v>219</v>
      </c>
      <c r="E274" t="s">
        <v>91</v>
      </c>
      <c r="F274" t="s">
        <v>27</v>
      </c>
      <c r="G274" t="s">
        <v>223</v>
      </c>
      <c r="M274" s="16"/>
    </row>
    <row r="275" spans="3:13" x14ac:dyDescent="0.25">
      <c r="C275" s="17" t="s">
        <v>161</v>
      </c>
      <c r="D275" s="17" t="s">
        <v>224</v>
      </c>
      <c r="E275" t="s">
        <v>102</v>
      </c>
      <c r="F275" t="s">
        <v>31</v>
      </c>
      <c r="G275" t="s">
        <v>223</v>
      </c>
    </row>
    <row r="276" spans="3:13" x14ac:dyDescent="0.25">
      <c r="C276" s="20" t="s">
        <v>109</v>
      </c>
      <c r="D276" s="20" t="s">
        <v>225</v>
      </c>
      <c r="E276" t="s">
        <v>94</v>
      </c>
      <c r="F276" t="s">
        <v>53</v>
      </c>
      <c r="G276" t="s">
        <v>223</v>
      </c>
    </row>
    <row r="277" spans="3:13" x14ac:dyDescent="0.25">
      <c r="C277" s="20" t="s">
        <v>193</v>
      </c>
      <c r="D277" s="20" t="s">
        <v>226</v>
      </c>
      <c r="E277" t="s">
        <v>190</v>
      </c>
      <c r="F277" t="s">
        <v>59</v>
      </c>
      <c r="G277" t="s">
        <v>223</v>
      </c>
    </row>
    <row r="278" spans="3:13" x14ac:dyDescent="0.25">
      <c r="C278" s="15" t="s">
        <v>182</v>
      </c>
      <c r="D278" s="13" t="s">
        <v>227</v>
      </c>
      <c r="E278" t="s">
        <v>183</v>
      </c>
      <c r="F278" t="s">
        <v>184</v>
      </c>
      <c r="G278" t="s">
        <v>223</v>
      </c>
    </row>
    <row r="279" spans="3:13" x14ac:dyDescent="0.25">
      <c r="C279" s="15" t="s">
        <v>52</v>
      </c>
      <c r="D279" s="13" t="s">
        <v>227</v>
      </c>
      <c r="E279" t="s">
        <v>49</v>
      </c>
      <c r="F279" t="s">
        <v>53</v>
      </c>
      <c r="G279" t="s">
        <v>223</v>
      </c>
    </row>
    <row r="280" spans="3:13" x14ac:dyDescent="0.25">
      <c r="C280" s="20" t="s">
        <v>163</v>
      </c>
      <c r="D280" s="20" t="s">
        <v>228</v>
      </c>
      <c r="E280" t="s">
        <v>99</v>
      </c>
      <c r="F280" t="s">
        <v>37</v>
      </c>
      <c r="G280" t="s">
        <v>223</v>
      </c>
    </row>
    <row r="281" spans="3:13" x14ac:dyDescent="0.25">
      <c r="C281" s="13" t="s">
        <v>139</v>
      </c>
      <c r="D281" s="13" t="s">
        <v>229</v>
      </c>
      <c r="E281" t="s">
        <v>102</v>
      </c>
      <c r="F281" t="s">
        <v>37</v>
      </c>
      <c r="G281" t="s">
        <v>223</v>
      </c>
    </row>
    <row r="282" spans="3:13" x14ac:dyDescent="0.25">
      <c r="C282" s="24" t="s">
        <v>162</v>
      </c>
      <c r="D282" s="24" t="s">
        <v>230</v>
      </c>
      <c r="E282" s="23" t="s">
        <v>94</v>
      </c>
      <c r="F282" s="23" t="s">
        <v>159</v>
      </c>
      <c r="G282" s="23" t="s">
        <v>223</v>
      </c>
    </row>
    <row r="283" spans="3:13" x14ac:dyDescent="0.25">
      <c r="C283" s="20" t="s">
        <v>231</v>
      </c>
      <c r="D283" s="20" t="s">
        <v>228</v>
      </c>
      <c r="E283" t="s">
        <v>102</v>
      </c>
      <c r="F283" t="s">
        <v>31</v>
      </c>
      <c r="G283" t="s">
        <v>232</v>
      </c>
    </row>
    <row r="284" spans="3:13" x14ac:dyDescent="0.25">
      <c r="C284" s="13" t="s">
        <v>168</v>
      </c>
      <c r="D284" s="13" t="s">
        <v>230</v>
      </c>
      <c r="E284" t="s">
        <v>102</v>
      </c>
      <c r="F284" t="s">
        <v>31</v>
      </c>
      <c r="G284" t="s">
        <v>232</v>
      </c>
    </row>
    <row r="285" spans="3:13" x14ac:dyDescent="0.25">
      <c r="C285" s="20" t="s">
        <v>173</v>
      </c>
      <c r="D285" s="20" t="s">
        <v>233</v>
      </c>
      <c r="E285" t="s">
        <v>94</v>
      </c>
      <c r="F285" t="s">
        <v>31</v>
      </c>
      <c r="G285" t="s">
        <v>232</v>
      </c>
    </row>
    <row r="286" spans="3:13" x14ac:dyDescent="0.25">
      <c r="C286" s="13" t="s">
        <v>169</v>
      </c>
      <c r="D286" s="13" t="s">
        <v>224</v>
      </c>
      <c r="E286" t="s">
        <v>91</v>
      </c>
      <c r="F286" t="s">
        <v>39</v>
      </c>
      <c r="G286" t="s">
        <v>232</v>
      </c>
    </row>
    <row r="287" spans="3:13" x14ac:dyDescent="0.25">
      <c r="C287" s="81" t="s">
        <v>179</v>
      </c>
      <c r="D287" s="20" t="s">
        <v>226</v>
      </c>
      <c r="E287" t="s">
        <v>180</v>
      </c>
      <c r="F287" t="s">
        <v>31</v>
      </c>
      <c r="G287" t="s">
        <v>232</v>
      </c>
    </row>
    <row r="288" spans="3:13" x14ac:dyDescent="0.25">
      <c r="C288" s="20" t="s">
        <v>164</v>
      </c>
      <c r="D288" s="20" t="s">
        <v>234</v>
      </c>
      <c r="E288" t="s">
        <v>96</v>
      </c>
      <c r="F288" t="s">
        <v>165</v>
      </c>
      <c r="G288" t="s">
        <v>232</v>
      </c>
    </row>
    <row r="289" spans="3:43" x14ac:dyDescent="0.25">
      <c r="C289" s="81" t="s">
        <v>45</v>
      </c>
      <c r="D289" s="20" t="s">
        <v>219</v>
      </c>
      <c r="E289" t="s">
        <v>46</v>
      </c>
      <c r="F289" t="s">
        <v>47</v>
      </c>
      <c r="G289" t="s">
        <v>232</v>
      </c>
      <c r="AG289" t="s">
        <v>768</v>
      </c>
    </row>
    <row r="290" spans="3:43" x14ac:dyDescent="0.25">
      <c r="C290" s="20" t="s">
        <v>166</v>
      </c>
      <c r="D290" s="20" t="s">
        <v>234</v>
      </c>
      <c r="E290" t="s">
        <v>91</v>
      </c>
      <c r="F290" t="s">
        <v>31</v>
      </c>
      <c r="G290" t="s">
        <v>232</v>
      </c>
      <c r="AG290" s="28" t="s">
        <v>2</v>
      </c>
      <c r="AH290" s="28" t="s">
        <v>4</v>
      </c>
      <c r="AI290" s="28" t="s">
        <v>246</v>
      </c>
      <c r="AJ290" s="28" t="s">
        <v>5</v>
      </c>
      <c r="AK290" s="28" t="s">
        <v>3</v>
      </c>
      <c r="AL290" s="28" t="s">
        <v>248</v>
      </c>
      <c r="AM290" s="28" t="s">
        <v>252</v>
      </c>
      <c r="AN290" s="28" t="s">
        <v>8</v>
      </c>
      <c r="AO290" s="28" t="s">
        <v>775</v>
      </c>
      <c r="AP290" s="28" t="s">
        <v>249</v>
      </c>
      <c r="AQ290" s="28" t="s">
        <v>218</v>
      </c>
    </row>
    <row r="291" spans="3:43" x14ac:dyDescent="0.25">
      <c r="C291" s="25" t="s">
        <v>131</v>
      </c>
      <c r="D291" s="25" t="s">
        <v>225</v>
      </c>
      <c r="E291" s="23" t="s">
        <v>91</v>
      </c>
      <c r="F291" s="23" t="s">
        <v>31</v>
      </c>
      <c r="G291" s="23" t="s">
        <v>232</v>
      </c>
      <c r="AG291" s="31" t="s">
        <v>754</v>
      </c>
      <c r="AH291" s="31" t="s">
        <v>177</v>
      </c>
      <c r="AI291" s="31">
        <v>21</v>
      </c>
      <c r="AJ291" s="31" t="s">
        <v>31</v>
      </c>
      <c r="AK291" s="31">
        <f>35</f>
        <v>35</v>
      </c>
      <c r="AL291" s="31">
        <f>29</f>
        <v>29</v>
      </c>
      <c r="AM291" s="31">
        <f>7</f>
        <v>7</v>
      </c>
      <c r="AN291" s="31" t="s">
        <v>254</v>
      </c>
      <c r="AO291" s="32">
        <f t="shared" ref="AO291" si="53">AL291+AM291</f>
        <v>36</v>
      </c>
      <c r="AP291" s="32">
        <f t="shared" ref="AP291:AP304" si="54">AO291/AK291</f>
        <v>1.0285714285714285</v>
      </c>
      <c r="AQ291" s="31" t="s">
        <v>845</v>
      </c>
    </row>
    <row r="292" spans="3:43" x14ac:dyDescent="0.25">
      <c r="C292" s="20" t="s">
        <v>172</v>
      </c>
      <c r="D292" s="20" t="s">
        <v>233</v>
      </c>
      <c r="E292" t="s">
        <v>49</v>
      </c>
      <c r="F292" t="s">
        <v>171</v>
      </c>
      <c r="G292" t="s">
        <v>236</v>
      </c>
      <c r="AG292" s="31" t="s">
        <v>1384</v>
      </c>
      <c r="AH292" s="31" t="s">
        <v>177</v>
      </c>
      <c r="AI292" s="31">
        <v>21</v>
      </c>
      <c r="AJ292" s="31" t="s">
        <v>178</v>
      </c>
      <c r="AK292" s="31">
        <f>34</f>
        <v>34</v>
      </c>
      <c r="AL292" s="31">
        <f>23</f>
        <v>23</v>
      </c>
      <c r="AM292" s="31">
        <f>12</f>
        <v>12</v>
      </c>
      <c r="AN292" s="31">
        <f>9</f>
        <v>9</v>
      </c>
      <c r="AO292" s="32">
        <f>AL292+AM292+AN292</f>
        <v>44</v>
      </c>
      <c r="AP292" s="32">
        <f t="shared" si="54"/>
        <v>1.2941176470588236</v>
      </c>
      <c r="AQ292" s="31" t="s">
        <v>1415</v>
      </c>
    </row>
    <row r="293" spans="3:43" x14ac:dyDescent="0.25">
      <c r="C293" s="15" t="s">
        <v>57</v>
      </c>
      <c r="D293" s="13" t="s">
        <v>222</v>
      </c>
      <c r="E293" t="s">
        <v>46</v>
      </c>
      <c r="F293" t="s">
        <v>237</v>
      </c>
      <c r="G293" t="s">
        <v>236</v>
      </c>
      <c r="AG293" s="31" t="s">
        <v>1469</v>
      </c>
      <c r="AH293" s="31" t="s">
        <v>183</v>
      </c>
      <c r="AI293" s="31">
        <v>21</v>
      </c>
      <c r="AJ293" s="31" t="s">
        <v>79</v>
      </c>
      <c r="AK293" s="31">
        <f>37</f>
        <v>37</v>
      </c>
      <c r="AL293" s="31">
        <f>10</f>
        <v>10</v>
      </c>
      <c r="AM293" s="31">
        <f>23</f>
        <v>23</v>
      </c>
      <c r="AN293" s="31">
        <f>12</f>
        <v>12</v>
      </c>
      <c r="AO293" s="32">
        <f t="shared" ref="AO293:AO304" si="55">AL293+AM293+AN293</f>
        <v>45</v>
      </c>
      <c r="AP293" s="32">
        <f t="shared" si="54"/>
        <v>1.2162162162162162</v>
      </c>
      <c r="AQ293" s="31" t="s">
        <v>1443</v>
      </c>
    </row>
    <row r="294" spans="3:43" x14ac:dyDescent="0.25">
      <c r="C294" s="20" t="s">
        <v>238</v>
      </c>
      <c r="D294" s="20" t="s">
        <v>219</v>
      </c>
      <c r="E294" t="s">
        <v>102</v>
      </c>
      <c r="F294" t="s">
        <v>153</v>
      </c>
      <c r="G294" t="s">
        <v>236</v>
      </c>
      <c r="Y294" t="s">
        <v>242</v>
      </c>
      <c r="AG294" s="31" t="s">
        <v>1470</v>
      </c>
      <c r="AH294" s="31" t="s">
        <v>177</v>
      </c>
      <c r="AI294" s="31">
        <v>21</v>
      </c>
      <c r="AJ294" s="31" t="s">
        <v>1494</v>
      </c>
      <c r="AK294" s="31">
        <f>23</f>
        <v>23</v>
      </c>
      <c r="AL294" s="31">
        <f>16</f>
        <v>16</v>
      </c>
      <c r="AM294" s="31">
        <f>11</f>
        <v>11</v>
      </c>
      <c r="AN294" s="31">
        <f>5</f>
        <v>5</v>
      </c>
      <c r="AO294" s="32">
        <f t="shared" si="55"/>
        <v>32</v>
      </c>
      <c r="AP294" s="32">
        <f t="shared" si="54"/>
        <v>1.3913043478260869</v>
      </c>
      <c r="AQ294" s="31" t="s">
        <v>1443</v>
      </c>
    </row>
    <row r="295" spans="3:43" x14ac:dyDescent="0.25">
      <c r="C295" s="82" t="s">
        <v>98</v>
      </c>
      <c r="D295" s="25" t="s">
        <v>228</v>
      </c>
      <c r="E295" s="23" t="s">
        <v>99</v>
      </c>
      <c r="F295" s="23" t="s">
        <v>100</v>
      </c>
      <c r="G295" s="23" t="s">
        <v>236</v>
      </c>
      <c r="M295" s="26"/>
      <c r="Y295" s="28" t="s">
        <v>247</v>
      </c>
      <c r="Z295" s="28" t="s">
        <v>2</v>
      </c>
      <c r="AA295" s="28" t="s">
        <v>250</v>
      </c>
      <c r="AB295" s="28" t="s">
        <v>3</v>
      </c>
      <c r="AC295" s="28" t="s">
        <v>249</v>
      </c>
      <c r="AD295" s="28" t="s">
        <v>251</v>
      </c>
      <c r="AG295" s="31" t="s">
        <v>1387</v>
      </c>
      <c r="AH295" s="31" t="s">
        <v>91</v>
      </c>
      <c r="AI295" s="31">
        <v>21</v>
      </c>
      <c r="AJ295" s="31" t="s">
        <v>192</v>
      </c>
      <c r="AK295" s="31">
        <v>32</v>
      </c>
      <c r="AL295" s="31">
        <v>7</v>
      </c>
      <c r="AM295" s="31">
        <v>16</v>
      </c>
      <c r="AN295" s="31">
        <v>12</v>
      </c>
      <c r="AO295" s="32">
        <f t="shared" si="55"/>
        <v>35</v>
      </c>
      <c r="AP295" s="32">
        <f t="shared" si="54"/>
        <v>1.09375</v>
      </c>
      <c r="AQ295" s="31" t="s">
        <v>1467</v>
      </c>
    </row>
    <row r="296" spans="3:43" x14ac:dyDescent="0.25">
      <c r="C296" s="81" t="s">
        <v>104</v>
      </c>
      <c r="D296" s="20" t="s">
        <v>226</v>
      </c>
      <c r="E296" t="s">
        <v>102</v>
      </c>
      <c r="F296" t="s">
        <v>105</v>
      </c>
      <c r="G296" t="s">
        <v>239</v>
      </c>
      <c r="K296" t="s">
        <v>240</v>
      </c>
      <c r="M296" s="26"/>
      <c r="S296" t="s">
        <v>241</v>
      </c>
      <c r="Y296" s="31" t="s">
        <v>255</v>
      </c>
      <c r="Z296" s="100" t="str">
        <f>VLOOKUP(AA296,K7:X267,14,)</f>
        <v>Daniel Erdmann</v>
      </c>
      <c r="AA296" s="31">
        <f>MAX(K27:K267)</f>
        <v>853</v>
      </c>
      <c r="AB296" s="31">
        <f>VLOOKUP(Z296,C7:D267,2,)</f>
        <v>804</v>
      </c>
      <c r="AC296" s="31">
        <f>AA296/AB296</f>
        <v>1.0609452736318408</v>
      </c>
      <c r="AD296" s="31" t="str">
        <f>VLOOKUP(Z296,C7:E267, 3,)</f>
        <v>ST</v>
      </c>
      <c r="AG296" s="31"/>
      <c r="AH296" s="31"/>
      <c r="AI296" s="31"/>
      <c r="AJ296" s="31"/>
      <c r="AK296" s="31"/>
      <c r="AL296" s="31"/>
      <c r="AM296" s="31"/>
      <c r="AN296" s="31"/>
      <c r="AO296" s="32">
        <f t="shared" si="55"/>
        <v>0</v>
      </c>
      <c r="AP296" s="32" t="e">
        <f t="shared" si="54"/>
        <v>#DIV/0!</v>
      </c>
      <c r="AQ296" s="31"/>
    </row>
    <row r="297" spans="3:43" x14ac:dyDescent="0.25">
      <c r="C297" s="20" t="s">
        <v>137</v>
      </c>
      <c r="D297" s="20" t="s">
        <v>219</v>
      </c>
      <c r="E297" t="s">
        <v>102</v>
      </c>
      <c r="F297" t="s">
        <v>31</v>
      </c>
      <c r="G297" t="s">
        <v>239</v>
      </c>
      <c r="K297" s="27" t="s">
        <v>243</v>
      </c>
      <c r="L297" s="28" t="s">
        <v>244</v>
      </c>
      <c r="M297" s="28" t="s">
        <v>245</v>
      </c>
      <c r="N297" s="28" t="s">
        <v>4</v>
      </c>
      <c r="O297" s="28" t="s">
        <v>246</v>
      </c>
      <c r="P297" s="28" t="s">
        <v>5</v>
      </c>
      <c r="Q297" s="28" t="s">
        <v>218</v>
      </c>
      <c r="S297" s="28" t="s">
        <v>247</v>
      </c>
      <c r="T297" s="28" t="s">
        <v>2</v>
      </c>
      <c r="U297" s="28" t="s">
        <v>248</v>
      </c>
      <c r="V297" s="28" t="s">
        <v>3</v>
      </c>
      <c r="W297" s="28" t="s">
        <v>249</v>
      </c>
      <c r="Y297" s="31" t="s">
        <v>258</v>
      </c>
      <c r="Z297" s="100" t="str">
        <f>VLOOKUP(AA297, K7:X267, 14,)</f>
        <v>Thomas Bernard</v>
      </c>
      <c r="AA297" s="31">
        <f>LARGE(K27:K267, 2)</f>
        <v>729</v>
      </c>
      <c r="AB297" s="31">
        <f>VLOOKUP(Z297, C7:D267,2,)</f>
        <v>458</v>
      </c>
      <c r="AC297" s="31">
        <f t="shared" ref="AC297:AC305" si="56">AA297/AB297</f>
        <v>1.5917030567685591</v>
      </c>
      <c r="AD297" s="31" t="str">
        <f>VLOOKUP(Z297,C7:E267, 3,)</f>
        <v>MS</v>
      </c>
      <c r="AG297" s="31"/>
      <c r="AH297" s="31"/>
      <c r="AI297" s="31"/>
      <c r="AJ297" s="31"/>
      <c r="AK297" s="31"/>
      <c r="AL297" s="31"/>
      <c r="AM297" s="31"/>
      <c r="AN297" s="31"/>
      <c r="AO297" s="32">
        <f t="shared" si="55"/>
        <v>0</v>
      </c>
      <c r="AP297" s="32" t="e">
        <f t="shared" si="54"/>
        <v>#DIV/0!</v>
      </c>
      <c r="AQ297" s="31"/>
    </row>
    <row r="298" spans="3:43" x14ac:dyDescent="0.25">
      <c r="C298" s="20" t="s">
        <v>110</v>
      </c>
      <c r="D298" s="20" t="s">
        <v>219</v>
      </c>
      <c r="E298" t="s">
        <v>99</v>
      </c>
      <c r="F298" t="s">
        <v>31</v>
      </c>
      <c r="G298" t="s">
        <v>239</v>
      </c>
      <c r="K298" s="29" t="s">
        <v>253</v>
      </c>
      <c r="L298" s="31" t="str">
        <f>VLOOKUP(M298,D7:X267, 21,FALSE)</f>
        <v>Daniel Erdmann</v>
      </c>
      <c r="M298" s="31">
        <f>MAX(D7:D267)</f>
        <v>804</v>
      </c>
      <c r="N298" s="31" t="str">
        <f>VLOOKUP(L298,C7:E267, 3,FALSE)</f>
        <v>ST</v>
      </c>
      <c r="O298" s="31"/>
      <c r="P298" s="31" t="str">
        <f>VLOOKUP(L298,C7:F267, 4,FALSE)</f>
        <v>Deutschland</v>
      </c>
      <c r="Q298" s="31" t="s">
        <v>254</v>
      </c>
      <c r="S298" s="31" t="s">
        <v>255</v>
      </c>
      <c r="T298" s="100" t="str">
        <f>VLOOKUP(U298,G27:X267, 18,FALSE)</f>
        <v>Daniel Erdmann</v>
      </c>
      <c r="U298" s="31">
        <f>MAX(G27:G267)</f>
        <v>637</v>
      </c>
      <c r="V298" s="31">
        <f>VLOOKUP(T298,C27:D267, 2,)</f>
        <v>804</v>
      </c>
      <c r="W298" s="31">
        <f>U298/V298</f>
        <v>0.79228855721393032</v>
      </c>
      <c r="Y298" s="31" t="s">
        <v>261</v>
      </c>
      <c r="Z298" s="100" t="str">
        <f>VLOOKUP(AA298, K7:X267, 14,)</f>
        <v>Jérémy Astier</v>
      </c>
      <c r="AA298" s="31">
        <f>LARGE(K27:K267, 3)</f>
        <v>679</v>
      </c>
      <c r="AB298" s="31">
        <f>VLOOKUP(Z298,C7:D267,2,)</f>
        <v>615</v>
      </c>
      <c r="AC298" s="31">
        <f t="shared" si="56"/>
        <v>1.1040650406504064</v>
      </c>
      <c r="AD298" s="31" t="str">
        <f>VLOOKUP(Z298,C7:E267, 3,)</f>
        <v>ST</v>
      </c>
      <c r="AG298" s="31"/>
      <c r="AH298" s="31"/>
      <c r="AI298" s="31"/>
      <c r="AJ298" s="31"/>
      <c r="AK298" s="31"/>
      <c r="AL298" s="31"/>
      <c r="AM298" s="31"/>
      <c r="AN298" s="31"/>
      <c r="AO298" s="32">
        <f t="shared" si="55"/>
        <v>0</v>
      </c>
      <c r="AP298" s="32" t="e">
        <f t="shared" si="54"/>
        <v>#DIV/0!</v>
      </c>
      <c r="AQ298" s="31"/>
    </row>
    <row r="299" spans="3:43" x14ac:dyDescent="0.25">
      <c r="C299" s="81" t="s">
        <v>256</v>
      </c>
      <c r="D299" s="20" t="s">
        <v>225</v>
      </c>
      <c r="E299" t="s">
        <v>24</v>
      </c>
      <c r="F299" t="s">
        <v>29</v>
      </c>
      <c r="G299" t="s">
        <v>239</v>
      </c>
      <c r="K299" s="29" t="s">
        <v>257</v>
      </c>
      <c r="L299" s="31" t="str">
        <f>VLOOKUP(M299, G7:X267, 18,FALSE)</f>
        <v>Daniel Erdmann</v>
      </c>
      <c r="M299" s="31">
        <f>MAX(G7:G267)</f>
        <v>637</v>
      </c>
      <c r="N299" s="31" t="str">
        <f>VLOOKUP(L299,C7:E267, 3,FALSE)</f>
        <v>ST</v>
      </c>
      <c r="O299" s="31"/>
      <c r="P299" s="31" t="str">
        <f>VLOOKUP(L299,C7:F267, 4,FALSE)</f>
        <v>Deutschland</v>
      </c>
      <c r="Q299" s="31" t="s">
        <v>254</v>
      </c>
      <c r="S299" s="31" t="s">
        <v>258</v>
      </c>
      <c r="T299" s="100" t="str">
        <f>VLOOKUP(U299,G27:X267, 18,FALSE)</f>
        <v>Thomas Bernard</v>
      </c>
      <c r="U299" s="31">
        <f>LARGE(G27:G267, 2)</f>
        <v>569</v>
      </c>
      <c r="V299" s="31">
        <f>VLOOKUP(T299,C27:D267, 2,)</f>
        <v>458</v>
      </c>
      <c r="W299" s="31">
        <f t="shared" ref="W299:W307" si="57">U299/V299</f>
        <v>1.24235807860262</v>
      </c>
      <c r="Y299" s="31" t="s">
        <v>263</v>
      </c>
      <c r="Z299" s="100" t="str">
        <f>VLOOKUP(AA299,K7:X267, 14,)</f>
        <v>Jesper Hallberg</v>
      </c>
      <c r="AA299" s="31">
        <f>LARGE(K27:K267, 4)</f>
        <v>654</v>
      </c>
      <c r="AB299" s="31">
        <f>VLOOKUP(Z299,C7:D267,2,)</f>
        <v>396</v>
      </c>
      <c r="AC299" s="31">
        <f t="shared" si="56"/>
        <v>1.6515151515151516</v>
      </c>
      <c r="AD299" s="31" t="str">
        <f>VLOOKUP(Z299,C7:E267, 3,)</f>
        <v>ST</v>
      </c>
      <c r="AG299" s="31"/>
      <c r="AH299" s="31"/>
      <c r="AI299" s="31"/>
      <c r="AJ299" s="31"/>
      <c r="AK299" s="31"/>
      <c r="AL299" s="31"/>
      <c r="AM299" s="31"/>
      <c r="AN299" s="31"/>
      <c r="AO299" s="32">
        <f t="shared" si="55"/>
        <v>0</v>
      </c>
      <c r="AP299" s="32" t="e">
        <f t="shared" si="54"/>
        <v>#DIV/0!</v>
      </c>
      <c r="AQ299" s="31"/>
    </row>
    <row r="300" spans="3:43" x14ac:dyDescent="0.25">
      <c r="C300" s="20" t="s">
        <v>158</v>
      </c>
      <c r="D300" s="20" t="s">
        <v>259</v>
      </c>
      <c r="E300" t="s">
        <v>99</v>
      </c>
      <c r="F300" t="s">
        <v>159</v>
      </c>
      <c r="G300" t="s">
        <v>239</v>
      </c>
      <c r="K300" s="29" t="s">
        <v>260</v>
      </c>
      <c r="L300" s="100" t="str">
        <f>VLOOKUP(M300,H6:X267, 17,FALSE)</f>
        <v>Javi Villar</v>
      </c>
      <c r="M300" s="31">
        <f>MAX(H7:H267)</f>
        <v>312</v>
      </c>
      <c r="N300" s="31" t="str">
        <f>VLOOKUP(L300,C7:E267, 3,FALSE)</f>
        <v>LF</v>
      </c>
      <c r="O300" s="31"/>
      <c r="P300" s="31" t="str">
        <f>VLOOKUP(L300,C7:F267, 4,FALSE)</f>
        <v>Venezuela</v>
      </c>
      <c r="Q300" s="31" t="s">
        <v>254</v>
      </c>
      <c r="S300" s="31" t="s">
        <v>261</v>
      </c>
      <c r="T300" s="100" t="str">
        <f>VLOOKUP(U300,G27:X267, 18,FALSE)</f>
        <v>Jesper Hallberg</v>
      </c>
      <c r="U300" s="31">
        <f>LARGE(G27:G267, 3)</f>
        <v>507</v>
      </c>
      <c r="V300" s="31">
        <f>VLOOKUP(T300,C27:D267, 2,)</f>
        <v>396</v>
      </c>
      <c r="W300" s="31">
        <f t="shared" si="57"/>
        <v>1.2803030303030303</v>
      </c>
      <c r="Y300" s="31" t="s">
        <v>265</v>
      </c>
      <c r="Z300" s="100" t="str">
        <f>VLOOKUP(AA300,K7:X267, 14,)</f>
        <v>Javi Villar</v>
      </c>
      <c r="AA300" s="31">
        <f>LARGE(K27:K267, 5)</f>
        <v>596</v>
      </c>
      <c r="AB300" s="31">
        <f>VLOOKUP(Z300,C7:D267,2,)</f>
        <v>553</v>
      </c>
      <c r="AC300" s="31">
        <f t="shared" si="56"/>
        <v>1.0777576853526221</v>
      </c>
      <c r="AD300" s="31" t="str">
        <f>VLOOKUP(Z300,C7:E267, 3,)</f>
        <v>LF</v>
      </c>
      <c r="AG300" s="31"/>
      <c r="AH300" s="31"/>
      <c r="AI300" s="31"/>
      <c r="AJ300" s="31"/>
      <c r="AK300" s="31"/>
      <c r="AL300" s="31"/>
      <c r="AM300" s="31"/>
      <c r="AN300" s="31"/>
      <c r="AO300" s="32">
        <f t="shared" si="55"/>
        <v>0</v>
      </c>
      <c r="AP300" s="32" t="e">
        <f t="shared" si="54"/>
        <v>#DIV/0!</v>
      </c>
      <c r="AQ300" s="31"/>
    </row>
    <row r="301" spans="3:43" x14ac:dyDescent="0.25">
      <c r="C301" s="81" t="s">
        <v>115</v>
      </c>
      <c r="D301" s="20" t="s">
        <v>230</v>
      </c>
      <c r="E301" t="s">
        <v>102</v>
      </c>
      <c r="F301" t="s">
        <v>105</v>
      </c>
      <c r="G301" t="s">
        <v>239</v>
      </c>
      <c r="K301" s="29" t="s">
        <v>262</v>
      </c>
      <c r="L301" s="31" t="str">
        <f>VLOOKUP(M301,I6:X267, 16,FALSE)</f>
        <v>Thomas Mendes</v>
      </c>
      <c r="M301" s="31">
        <f>MAX(I7:I267)</f>
        <v>307</v>
      </c>
      <c r="N301" s="31" t="str">
        <f>VLOOKUP(L301,C7:E267, 3,FALSE)</f>
        <v>TW</v>
      </c>
      <c r="O301" s="31"/>
      <c r="P301" s="31" t="str">
        <f>VLOOKUP(L301,C7:F267, 4,FALSE)</f>
        <v>Frankreich</v>
      </c>
      <c r="Q301" s="31" t="s">
        <v>254</v>
      </c>
      <c r="S301" s="31" t="s">
        <v>263</v>
      </c>
      <c r="T301" s="100" t="str">
        <f>VLOOKUP(U301,G27:X267, 18,FALSE)</f>
        <v>Jérémy Astier</v>
      </c>
      <c r="U301" s="31">
        <f>LARGE(G27:G267, 4)</f>
        <v>497</v>
      </c>
      <c r="V301" s="31">
        <f>VLOOKUP(T301,C27:D267, 2,)</f>
        <v>615</v>
      </c>
      <c r="W301" s="31">
        <f t="shared" si="57"/>
        <v>0.80813008130081299</v>
      </c>
      <c r="Y301" s="31" t="s">
        <v>269</v>
      </c>
      <c r="Z301" s="100" t="str">
        <f>VLOOKUP(AA301,K7:X267, 14,)</f>
        <v>Danilo Luiz Pires Ribeiro</v>
      </c>
      <c r="AA301" s="31">
        <f>LARGE(K27:K267, 6)</f>
        <v>559</v>
      </c>
      <c r="AB301" s="31">
        <f>VLOOKUP(Z301,C7:D267,2,)</f>
        <v>419</v>
      </c>
      <c r="AC301" s="31">
        <f t="shared" si="56"/>
        <v>1.334128878281623</v>
      </c>
      <c r="AD301" s="31" t="str">
        <f>VLOOKUP(Z301,C7:E267, 3,)</f>
        <v>ST</v>
      </c>
      <c r="AG301" s="31"/>
      <c r="AH301" s="31"/>
      <c r="AI301" s="31"/>
      <c r="AJ301" s="31"/>
      <c r="AK301" s="31"/>
      <c r="AL301" s="31"/>
      <c r="AM301" s="31"/>
      <c r="AN301" s="31"/>
      <c r="AO301" s="32">
        <f t="shared" si="55"/>
        <v>0</v>
      </c>
      <c r="AP301" s="32" t="e">
        <f t="shared" si="54"/>
        <v>#DIV/0!</v>
      </c>
      <c r="AQ301" s="31"/>
    </row>
    <row r="302" spans="3:43" x14ac:dyDescent="0.25">
      <c r="C302" s="81" t="s">
        <v>106</v>
      </c>
      <c r="D302" s="20" t="s">
        <v>230</v>
      </c>
      <c r="E302" t="s">
        <v>94</v>
      </c>
      <c r="F302" t="s">
        <v>107</v>
      </c>
      <c r="G302" t="s">
        <v>239</v>
      </c>
      <c r="K302" s="29" t="s">
        <v>264</v>
      </c>
      <c r="L302" s="31" t="str">
        <f>VLOOKUP(M302,J6:X267, 15,)</f>
        <v>Jesper Hallberg</v>
      </c>
      <c r="M302" s="31">
        <f>MAX(J7:J267)</f>
        <v>8.18888888888889</v>
      </c>
      <c r="N302" s="31" t="str">
        <f>VLOOKUP(L302,C7:E267, 3,FALSE)</f>
        <v>ST</v>
      </c>
      <c r="O302" s="31"/>
      <c r="P302" s="31" t="str">
        <f>VLOOKUP(L302,C7:F267, 4,FALSE)</f>
        <v>Schweden</v>
      </c>
      <c r="Q302" s="31" t="s">
        <v>254</v>
      </c>
      <c r="S302" s="31" t="s">
        <v>265</v>
      </c>
      <c r="T302" s="100" t="str">
        <f>VLOOKUP(U302,G27:X267, 18,FALSE)</f>
        <v>Danilo Luiz Pires Ribeiro</v>
      </c>
      <c r="U302" s="31">
        <f>LARGE(G27:G267, 5)</f>
        <v>377</v>
      </c>
      <c r="V302" s="31">
        <f>VLOOKUP(T302,C27:D267, 2,)</f>
        <v>419</v>
      </c>
      <c r="W302" s="31">
        <f t="shared" si="57"/>
        <v>0.89976133651551315</v>
      </c>
      <c r="Y302" s="31" t="s">
        <v>272</v>
      </c>
      <c r="Z302" s="30" t="str">
        <f>VLOOKUP(AA302,K7:X267, 14,)</f>
        <v>Aykut Cigerci</v>
      </c>
      <c r="AA302" s="31">
        <f>LARGE(K27:K267, 7)</f>
        <v>533</v>
      </c>
      <c r="AB302" s="31">
        <f>VLOOKUP(Z302,C7:D267,2,)</f>
        <v>704</v>
      </c>
      <c r="AC302" s="31">
        <f t="shared" si="56"/>
        <v>0.75710227272727271</v>
      </c>
      <c r="AD302" s="31" t="str">
        <f>VLOOKUP(Z302,C7:E267, 3,)</f>
        <v>ZM</v>
      </c>
      <c r="AG302" s="31"/>
      <c r="AH302" s="31"/>
      <c r="AI302" s="31"/>
      <c r="AJ302" s="31"/>
      <c r="AK302" s="31"/>
      <c r="AL302" s="31"/>
      <c r="AM302" s="31"/>
      <c r="AN302" s="31"/>
      <c r="AO302" s="32">
        <f t="shared" si="55"/>
        <v>0</v>
      </c>
      <c r="AP302" s="32" t="e">
        <f t="shared" si="54"/>
        <v>#DIV/0!</v>
      </c>
      <c r="AQ302" s="31"/>
    </row>
    <row r="303" spans="3:43" x14ac:dyDescent="0.25">
      <c r="C303" s="25" t="s">
        <v>132</v>
      </c>
      <c r="D303" s="25" t="s">
        <v>230</v>
      </c>
      <c r="E303" s="23" t="s">
        <v>94</v>
      </c>
      <c r="F303" s="23" t="s">
        <v>31</v>
      </c>
      <c r="G303" s="23" t="s">
        <v>239</v>
      </c>
      <c r="K303" s="29" t="s">
        <v>266</v>
      </c>
      <c r="L303" s="31" t="s">
        <v>1172</v>
      </c>
      <c r="M303" s="31" t="s">
        <v>1362</v>
      </c>
      <c r="N303" s="31" t="s">
        <v>254</v>
      </c>
      <c r="O303" s="31" t="s">
        <v>254</v>
      </c>
      <c r="P303" s="31" t="s">
        <v>254</v>
      </c>
      <c r="Q303" s="31" t="s">
        <v>1349</v>
      </c>
      <c r="S303" s="31" t="s">
        <v>269</v>
      </c>
      <c r="T303" s="30" t="str">
        <f>VLOOKUP(U303,G27:X267, 18,FALSE)</f>
        <v>Mans Wikström</v>
      </c>
      <c r="U303" s="31">
        <f>LARGE(G27:G267, 6)</f>
        <v>325</v>
      </c>
      <c r="V303" s="31">
        <f>VLOOKUP(T303,C27:D267, 2,)</f>
        <v>298</v>
      </c>
      <c r="W303" s="31">
        <f t="shared" si="57"/>
        <v>1.0906040268456376</v>
      </c>
      <c r="Y303" s="31" t="s">
        <v>275</v>
      </c>
      <c r="Z303" s="100" t="str">
        <f>VLOOKUP(AA303, K7:X267, 14,)</f>
        <v>Javier Fernandez</v>
      </c>
      <c r="AA303" s="31">
        <f>LARGE(K27:K267, 8)</f>
        <v>466</v>
      </c>
      <c r="AB303" s="31">
        <f>VLOOKUP(Z303,C7:D267,2,)</f>
        <v>534</v>
      </c>
      <c r="AC303" s="31">
        <f t="shared" si="56"/>
        <v>0.87265917602996257</v>
      </c>
      <c r="AD303" s="31" t="str">
        <f>VLOOKUP(Z303,C7:E267, 3,)</f>
        <v>RF</v>
      </c>
      <c r="AG303" s="31"/>
      <c r="AH303" s="31"/>
      <c r="AI303" s="31"/>
      <c r="AJ303" s="31"/>
      <c r="AK303" s="31"/>
      <c r="AL303" s="31"/>
      <c r="AM303" s="31"/>
      <c r="AN303" s="31"/>
      <c r="AO303" s="32">
        <f t="shared" si="55"/>
        <v>0</v>
      </c>
      <c r="AP303" s="32" t="e">
        <f t="shared" si="54"/>
        <v>#DIV/0!</v>
      </c>
      <c r="AQ303" s="31"/>
    </row>
    <row r="304" spans="3:43" x14ac:dyDescent="0.25">
      <c r="C304" s="20" t="s">
        <v>157</v>
      </c>
      <c r="D304" s="20" t="s">
        <v>227</v>
      </c>
      <c r="E304" t="s">
        <v>96</v>
      </c>
      <c r="F304" t="s">
        <v>31</v>
      </c>
      <c r="G304" t="s">
        <v>270</v>
      </c>
      <c r="K304" s="29" t="s">
        <v>271</v>
      </c>
      <c r="L304" s="31" t="s">
        <v>367</v>
      </c>
      <c r="M304" s="183" t="s">
        <v>480</v>
      </c>
      <c r="N304" s="31" t="s">
        <v>254</v>
      </c>
      <c r="O304" s="31" t="s">
        <v>254</v>
      </c>
      <c r="P304" s="31" t="s">
        <v>254</v>
      </c>
      <c r="Q304" s="31" t="s">
        <v>1443</v>
      </c>
      <c r="S304" s="31" t="s">
        <v>272</v>
      </c>
      <c r="T304" s="100" t="str">
        <f>VLOOKUP(U304,G27:X267, 18,FALSE)</f>
        <v>Javi Villar</v>
      </c>
      <c r="U304" s="31">
        <f>LARGE(G27:G267, 7)</f>
        <v>284</v>
      </c>
      <c r="V304" s="31">
        <f>VLOOKUP(T304,C27:D267, 2,)</f>
        <v>553</v>
      </c>
      <c r="W304" s="31">
        <f t="shared" si="57"/>
        <v>0.51356238698010848</v>
      </c>
      <c r="Y304" s="31" t="s">
        <v>279</v>
      </c>
      <c r="Z304" s="30" t="str">
        <f>VLOOKUP(AA304, K7:X267, 14,)</f>
        <v>Mans Wikström</v>
      </c>
      <c r="AA304" s="31">
        <f>LARGE(K27:K267, 9)</f>
        <v>421</v>
      </c>
      <c r="AB304" s="31">
        <f>VLOOKUP(Z304,C7:D267,2,)</f>
        <v>298</v>
      </c>
      <c r="AC304" s="31">
        <f t="shared" si="56"/>
        <v>1.412751677852349</v>
      </c>
      <c r="AD304" s="31" t="str">
        <f>VLOOKUP(Z304,C7:E267, 3,)</f>
        <v>ST</v>
      </c>
      <c r="AG304" s="31"/>
      <c r="AH304" s="31"/>
      <c r="AI304" s="31"/>
      <c r="AJ304" s="31"/>
      <c r="AK304" s="31"/>
      <c r="AL304" s="31"/>
      <c r="AM304" s="31"/>
      <c r="AN304" s="31"/>
      <c r="AO304" s="32">
        <f t="shared" si="55"/>
        <v>0</v>
      </c>
      <c r="AP304" s="32" t="e">
        <f t="shared" si="54"/>
        <v>#DIV/0!</v>
      </c>
      <c r="AQ304" s="31"/>
    </row>
    <row r="305" spans="3:40" ht="15.75" thickBot="1" x14ac:dyDescent="0.3">
      <c r="C305" s="83" t="s">
        <v>187</v>
      </c>
      <c r="D305" s="69" t="s">
        <v>226</v>
      </c>
      <c r="E305" s="70" t="s">
        <v>177</v>
      </c>
      <c r="F305" s="70" t="s">
        <v>188</v>
      </c>
      <c r="G305" s="70" t="s">
        <v>270</v>
      </c>
      <c r="K305" s="29" t="s">
        <v>273</v>
      </c>
      <c r="L305" s="31" t="s">
        <v>90</v>
      </c>
      <c r="M305" s="31" t="s">
        <v>274</v>
      </c>
      <c r="N305" s="31" t="str">
        <f>VLOOKUP(L305,C7:E267, 3,FALSE)</f>
        <v>ZOM</v>
      </c>
      <c r="O305" s="31">
        <f>22</f>
        <v>22</v>
      </c>
      <c r="P305" s="31" t="str">
        <f>VLOOKUP(L305,C7:F267, 4,FALSE)</f>
        <v>Schweiz</v>
      </c>
      <c r="Q305" s="31" t="s">
        <v>268</v>
      </c>
      <c r="S305" s="31" t="s">
        <v>275</v>
      </c>
      <c r="T305" s="30" t="str">
        <f>VLOOKUP(U305,G27:X267, 18,FALSE)</f>
        <v>Aykut Cigerci</v>
      </c>
      <c r="U305" s="31">
        <f>LARGE(G27:G267, 8)</f>
        <v>278</v>
      </c>
      <c r="V305" s="31">
        <f>VLOOKUP(T305,C27:D267, 2,)</f>
        <v>704</v>
      </c>
      <c r="W305" s="31">
        <f t="shared" si="57"/>
        <v>0.39488636363636365</v>
      </c>
      <c r="Y305" s="31" t="s">
        <v>283</v>
      </c>
      <c r="Z305" s="100" t="str">
        <f>VLOOKUP(AA305,K7:X267, 14,)</f>
        <v>Lassane Bangoura</v>
      </c>
      <c r="AA305" s="31">
        <f>LARGE(K27:K267, 10)</f>
        <v>322</v>
      </c>
      <c r="AB305" s="31">
        <f>VLOOKUP(Z305,C7:D267,2,)</f>
        <v>381</v>
      </c>
      <c r="AC305" s="31">
        <f t="shared" si="56"/>
        <v>0.84514435695538059</v>
      </c>
      <c r="AD305" s="31" t="str">
        <f>VLOOKUP(Z305,C7:E267, 3,)</f>
        <v>RF</v>
      </c>
    </row>
    <row r="306" spans="3:40" x14ac:dyDescent="0.25">
      <c r="C306" s="81" t="s">
        <v>77</v>
      </c>
      <c r="D306" s="20" t="s">
        <v>228</v>
      </c>
      <c r="E306" t="s">
        <v>49</v>
      </c>
      <c r="F306" t="s">
        <v>31</v>
      </c>
      <c r="G306" t="s">
        <v>276</v>
      </c>
      <c r="K306" s="29" t="s">
        <v>273</v>
      </c>
      <c r="L306" s="31" t="s">
        <v>176</v>
      </c>
      <c r="M306" s="31" t="s">
        <v>277</v>
      </c>
      <c r="N306" s="31" t="str">
        <f>VLOOKUP(L306,C7:E267, 3,FALSE)</f>
        <v>ST</v>
      </c>
      <c r="O306" s="31">
        <v>28</v>
      </c>
      <c r="P306" s="31" t="str">
        <f>VLOOKUP(L306,C7:F267, 4,FALSE)</f>
        <v>Schweden</v>
      </c>
      <c r="Q306" s="31" t="s">
        <v>278</v>
      </c>
      <c r="S306" s="31" t="s">
        <v>279</v>
      </c>
      <c r="T306" s="100" t="str">
        <f>VLOOKUP(U306,G27:X267, 18,FALSE)</f>
        <v>Javier Fernandez</v>
      </c>
      <c r="U306" s="31">
        <f>LARGE(G27:G267, 9)</f>
        <v>199</v>
      </c>
      <c r="V306" s="31">
        <f>VLOOKUP(T306,C27:D267, 2,)</f>
        <v>534</v>
      </c>
      <c r="W306" s="31">
        <f t="shared" si="57"/>
        <v>0.37265917602996257</v>
      </c>
      <c r="AG306" t="s">
        <v>864</v>
      </c>
      <c r="AK306" t="s">
        <v>1438</v>
      </c>
    </row>
    <row r="307" spans="3:40" x14ac:dyDescent="0.25">
      <c r="C307" s="81" t="s">
        <v>36</v>
      </c>
      <c r="D307" s="20" t="s">
        <v>225</v>
      </c>
      <c r="E307" t="s">
        <v>24</v>
      </c>
      <c r="F307" t="s">
        <v>37</v>
      </c>
      <c r="G307" t="s">
        <v>276</v>
      </c>
      <c r="K307" s="29" t="s">
        <v>273</v>
      </c>
      <c r="L307" s="31" t="s">
        <v>179</v>
      </c>
      <c r="M307" s="31" t="s">
        <v>730</v>
      </c>
      <c r="N307" s="31" t="s">
        <v>177</v>
      </c>
      <c r="O307" s="31">
        <v>29</v>
      </c>
      <c r="P307" s="31" t="s">
        <v>31</v>
      </c>
      <c r="Q307" s="31" t="s">
        <v>295</v>
      </c>
      <c r="S307" s="31" t="s">
        <v>283</v>
      </c>
      <c r="T307" s="100" t="str">
        <f>VLOOKUP(U307,G27:X267, 18,FALSE)</f>
        <v>Malik Babiloni</v>
      </c>
      <c r="U307" s="31">
        <f>LARGE(G27:G267, 10)</f>
        <v>175</v>
      </c>
      <c r="V307" s="31">
        <f>VLOOKUP(T307,C27:D267, 2,)</f>
        <v>184</v>
      </c>
      <c r="W307" s="31">
        <f t="shared" si="57"/>
        <v>0.95108695652173914</v>
      </c>
      <c r="AG307" s="28" t="s">
        <v>2</v>
      </c>
      <c r="AH307" s="28" t="s">
        <v>863</v>
      </c>
      <c r="AI307" s="28" t="s">
        <v>218</v>
      </c>
      <c r="AK307" s="28" t="s">
        <v>2</v>
      </c>
      <c r="AL307" s="28" t="s">
        <v>1301</v>
      </c>
      <c r="AM307" s="28" t="s">
        <v>218</v>
      </c>
      <c r="AN307" s="28" t="s">
        <v>863</v>
      </c>
    </row>
    <row r="308" spans="3:40" x14ac:dyDescent="0.25">
      <c r="C308" s="99" t="s">
        <v>147</v>
      </c>
      <c r="D308" s="20" t="s">
        <v>228</v>
      </c>
      <c r="E308" t="s">
        <v>96</v>
      </c>
      <c r="F308" t="s">
        <v>31</v>
      </c>
      <c r="G308" t="s">
        <v>276</v>
      </c>
      <c r="K308" s="29" t="s">
        <v>280</v>
      </c>
      <c r="L308" s="31" t="s">
        <v>42</v>
      </c>
      <c r="M308" s="31" t="s">
        <v>281</v>
      </c>
      <c r="N308" s="31" t="s">
        <v>43</v>
      </c>
      <c r="O308" s="31">
        <f>18</f>
        <v>18</v>
      </c>
      <c r="P308" s="31" t="str">
        <f>VLOOKUP(L308,C7:F267, 4,FALSE)</f>
        <v>Süd-Korea</v>
      </c>
      <c r="Q308" s="31" t="s">
        <v>282</v>
      </c>
      <c r="Y308" t="s">
        <v>289</v>
      </c>
      <c r="AG308" s="31" t="s">
        <v>176</v>
      </c>
      <c r="AH308" s="31" t="s">
        <v>865</v>
      </c>
      <c r="AI308" s="31" t="s">
        <v>232</v>
      </c>
      <c r="AK308" s="31" t="s">
        <v>1302</v>
      </c>
      <c r="AL308" s="31" t="s">
        <v>130</v>
      </c>
      <c r="AM308" s="31" t="s">
        <v>1284</v>
      </c>
      <c r="AN308" s="31" t="s">
        <v>1300</v>
      </c>
    </row>
    <row r="309" spans="3:40" x14ac:dyDescent="0.25">
      <c r="C309" s="82" t="s">
        <v>213</v>
      </c>
      <c r="D309" s="25" t="s">
        <v>228</v>
      </c>
      <c r="E309" s="23" t="s">
        <v>177</v>
      </c>
      <c r="F309" s="23" t="s">
        <v>159</v>
      </c>
      <c r="G309" s="23" t="s">
        <v>276</v>
      </c>
      <c r="K309" s="29" t="s">
        <v>284</v>
      </c>
      <c r="L309" s="31" t="str">
        <f>VLOOKUP(M309,W7:X267, 2,)</f>
        <v>Daniel Erdmann</v>
      </c>
      <c r="M309" s="31">
        <f>MAX(V7:W267)</f>
        <v>103</v>
      </c>
      <c r="N309" s="31" t="str">
        <f>VLOOKUP(L309,C7:E267, 3,FALSE)</f>
        <v>ST</v>
      </c>
      <c r="O309" s="31"/>
      <c r="P309" s="31" t="str">
        <f>VLOOKUP(L309,C7:F267, 4,FALSE)</f>
        <v>Deutschland</v>
      </c>
      <c r="Q309" s="31" t="s">
        <v>254</v>
      </c>
      <c r="Y309" s="28" t="s">
        <v>247</v>
      </c>
      <c r="Z309" s="28" t="s">
        <v>2</v>
      </c>
      <c r="AA309" s="28" t="s">
        <v>292</v>
      </c>
      <c r="AB309" s="28" t="s">
        <v>3</v>
      </c>
      <c r="AC309" s="28" t="s">
        <v>249</v>
      </c>
      <c r="AD309" s="28" t="s">
        <v>4</v>
      </c>
      <c r="AG309" s="31" t="s">
        <v>176</v>
      </c>
      <c r="AH309" s="31" t="s">
        <v>865</v>
      </c>
      <c r="AI309" s="31" t="s">
        <v>239</v>
      </c>
      <c r="AK309" s="31" t="s">
        <v>1185</v>
      </c>
      <c r="AL309" s="31" t="s">
        <v>130</v>
      </c>
      <c r="AM309" s="31" t="s">
        <v>1284</v>
      </c>
      <c r="AN309" s="31" t="s">
        <v>1300</v>
      </c>
    </row>
    <row r="310" spans="3:40" x14ac:dyDescent="0.25">
      <c r="C310" s="81" t="s">
        <v>167</v>
      </c>
      <c r="D310" s="20" t="s">
        <v>227</v>
      </c>
      <c r="E310" t="s">
        <v>102</v>
      </c>
      <c r="F310" t="s">
        <v>155</v>
      </c>
      <c r="G310" t="s">
        <v>286</v>
      </c>
      <c r="K310" s="29" t="s">
        <v>285</v>
      </c>
      <c r="L310" s="31" t="str">
        <f>VLOOKUP(M310,W221:X267, 2,)</f>
        <v>Daniel Erdmann</v>
      </c>
      <c r="M310" s="31">
        <f>MAX(W221:W267)</f>
        <v>103</v>
      </c>
      <c r="N310" s="31" t="str">
        <f>VLOOKUP(L310,C7:E267, 3,FALSE)</f>
        <v>ST</v>
      </c>
      <c r="O310" s="31">
        <v>27</v>
      </c>
      <c r="P310" s="31" t="str">
        <f>VLOOKUP(L310,C7:F267, 4,FALSE)</f>
        <v>Deutschland</v>
      </c>
      <c r="Q310" s="31" t="s">
        <v>254</v>
      </c>
      <c r="S310" t="s">
        <v>288</v>
      </c>
      <c r="Y310" s="31" t="s">
        <v>255</v>
      </c>
      <c r="Z310" s="100" t="str">
        <f>VLOOKUP(AA310,L7:X267, 13,)</f>
        <v>Daniel Erdmann</v>
      </c>
      <c r="AA310" s="31">
        <f>MAX(L7:L267)</f>
        <v>1087</v>
      </c>
      <c r="AB310" s="31">
        <f>VLOOKUP(Z310,C7:D267, 2,)</f>
        <v>804</v>
      </c>
      <c r="AC310" s="31">
        <f t="shared" ref="AC310:AC341" si="58">AA310/AB310</f>
        <v>1.3519900497512438</v>
      </c>
      <c r="AD310" s="31" t="str">
        <f>VLOOKUP(Z310, C7:E267,3,)</f>
        <v>ST</v>
      </c>
      <c r="AG310" s="31" t="s">
        <v>176</v>
      </c>
      <c r="AH310" s="31" t="s">
        <v>865</v>
      </c>
      <c r="AI310" s="31" t="s">
        <v>270</v>
      </c>
      <c r="AK310" s="31" t="s">
        <v>846</v>
      </c>
      <c r="AL310" s="31" t="s">
        <v>31</v>
      </c>
      <c r="AM310" s="31" t="s">
        <v>1415</v>
      </c>
      <c r="AN310" s="31" t="s">
        <v>1300</v>
      </c>
    </row>
    <row r="311" spans="3:40" x14ac:dyDescent="0.25">
      <c r="C311" s="20" t="s">
        <v>154</v>
      </c>
      <c r="D311" s="20" t="s">
        <v>290</v>
      </c>
      <c r="E311" t="s">
        <v>91</v>
      </c>
      <c r="F311" t="s">
        <v>155</v>
      </c>
      <c r="G311" t="s">
        <v>286</v>
      </c>
      <c r="K311" s="29" t="s">
        <v>287</v>
      </c>
      <c r="L311" s="31" t="str">
        <f>VLOOKUP(M311,W105:X217, 2,)</f>
        <v>Aykut Cigerci</v>
      </c>
      <c r="M311" s="31">
        <f>MAX(W105:W217)</f>
        <v>73</v>
      </c>
      <c r="N311" s="31" t="str">
        <f>VLOOKUP(L311,C7:E267, 3,FALSE)</f>
        <v>ZM</v>
      </c>
      <c r="O311" s="31"/>
      <c r="P311" s="31" t="str">
        <f>VLOOKUP(L311,C7:F267, 4,FALSE)</f>
        <v>Türkei</v>
      </c>
      <c r="Q311" s="31" t="s">
        <v>254</v>
      </c>
      <c r="S311" s="28" t="s">
        <v>247</v>
      </c>
      <c r="T311" s="28" t="s">
        <v>2</v>
      </c>
      <c r="U311" s="28" t="s">
        <v>252</v>
      </c>
      <c r="V311" s="28" t="s">
        <v>3</v>
      </c>
      <c r="W311" s="28" t="s">
        <v>249</v>
      </c>
      <c r="Y311" s="31" t="s">
        <v>258</v>
      </c>
      <c r="Z311" s="100" t="str">
        <f>VLOOKUP(AA311,L7:X267, 13,)</f>
        <v>Jérémy Astier</v>
      </c>
      <c r="AA311" s="31">
        <f>LARGE(L7:L267, 2)</f>
        <v>921</v>
      </c>
      <c r="AB311" s="31">
        <f>VLOOKUP(Z311,C7:D267, 2,)</f>
        <v>615</v>
      </c>
      <c r="AC311" s="31">
        <f t="shared" si="58"/>
        <v>1.4975609756097561</v>
      </c>
      <c r="AD311" s="31" t="str">
        <f>VLOOKUP(Z311, C7:E267,3,)</f>
        <v>ST</v>
      </c>
      <c r="AG311" s="31" t="s">
        <v>176</v>
      </c>
      <c r="AH311" s="31" t="s">
        <v>865</v>
      </c>
      <c r="AI311" s="31" t="s">
        <v>315</v>
      </c>
      <c r="AK311" s="31" t="s">
        <v>1254</v>
      </c>
      <c r="AL311" s="31" t="s">
        <v>37</v>
      </c>
      <c r="AM311" s="31" t="s">
        <v>1436</v>
      </c>
      <c r="AN311" s="31" t="s">
        <v>1439</v>
      </c>
    </row>
    <row r="312" spans="3:40" x14ac:dyDescent="0.25">
      <c r="C312" s="82" t="s">
        <v>142</v>
      </c>
      <c r="D312" s="25" t="s">
        <v>293</v>
      </c>
      <c r="E312" s="23" t="s">
        <v>91</v>
      </c>
      <c r="F312" s="23" t="s">
        <v>31</v>
      </c>
      <c r="G312" s="23" t="s">
        <v>286</v>
      </c>
      <c r="K312" s="29" t="s">
        <v>291</v>
      </c>
      <c r="L312" s="31" t="str">
        <f>VLOOKUP(M312,W27:X100, 2,)</f>
        <v>Yong Tae Park</v>
      </c>
      <c r="M312" s="31">
        <f>MAX(W27:W100)</f>
        <v>91</v>
      </c>
      <c r="N312" s="31" t="str">
        <f>VLOOKUP(L312,C7:E267, 3,FALSE)</f>
        <v>LV</v>
      </c>
      <c r="O312" s="31"/>
      <c r="P312" s="31" t="str">
        <f>VLOOKUP(L312,C7:F267, 4,FALSE)</f>
        <v>Süd-Korea</v>
      </c>
      <c r="Q312" s="31" t="s">
        <v>254</v>
      </c>
      <c r="S312" s="31" t="s">
        <v>255</v>
      </c>
      <c r="T312" s="100" t="str">
        <f>VLOOKUP(U312,H27:X267, 17,FALSE)</f>
        <v>Javi Villar</v>
      </c>
      <c r="U312" s="31">
        <f>MAX(H27:H267)</f>
        <v>312</v>
      </c>
      <c r="V312" s="31">
        <f>VLOOKUP(T312,C27:D267, 2,FALSE)</f>
        <v>553</v>
      </c>
      <c r="W312" s="31">
        <f>U312/V312</f>
        <v>0.56419529837251359</v>
      </c>
      <c r="Y312" s="31" t="s">
        <v>261</v>
      </c>
      <c r="Z312" s="100" t="str">
        <f>VLOOKUP(AA312,L7:X267, 13,)</f>
        <v>Thomas Bernard</v>
      </c>
      <c r="AA312" s="31">
        <f>LARGE(L7:L267, 3)</f>
        <v>878</v>
      </c>
      <c r="AB312" s="31">
        <f>VLOOKUP(Z312,C7:D267, 2,)</f>
        <v>458</v>
      </c>
      <c r="AC312" s="31">
        <f t="shared" si="58"/>
        <v>1.9170305676855894</v>
      </c>
      <c r="AD312" s="31" t="str">
        <f>VLOOKUP(Z312, C7:E267,3,)</f>
        <v>MS</v>
      </c>
      <c r="AG312" s="31" t="s">
        <v>176</v>
      </c>
      <c r="AH312" s="31" t="s">
        <v>865</v>
      </c>
      <c r="AI312" s="31" t="s">
        <v>347</v>
      </c>
      <c r="AK312" s="31" t="s">
        <v>846</v>
      </c>
      <c r="AL312" s="31" t="s">
        <v>31</v>
      </c>
      <c r="AM312" s="31" t="s">
        <v>1442</v>
      </c>
      <c r="AN312" s="31" t="s">
        <v>1464</v>
      </c>
    </row>
    <row r="313" spans="3:40" x14ac:dyDescent="0.25">
      <c r="C313" s="20" t="s">
        <v>87</v>
      </c>
      <c r="D313" s="20" t="s">
        <v>227</v>
      </c>
      <c r="E313" t="s">
        <v>43</v>
      </c>
      <c r="F313" t="s">
        <v>88</v>
      </c>
      <c r="G313" t="s">
        <v>295</v>
      </c>
      <c r="K313" s="29" t="s">
        <v>294</v>
      </c>
      <c r="L313" s="31" t="str">
        <f>VLOOKUP(M313,W7:X23, 2,)</f>
        <v>Thomas Mendes</v>
      </c>
      <c r="M313" s="31">
        <f>MAX(W7:W23)</f>
        <v>88</v>
      </c>
      <c r="N313" s="31" t="str">
        <f>VLOOKUP(L313,C7:E267, 3,FALSE)</f>
        <v>TW</v>
      </c>
      <c r="O313" s="31"/>
      <c r="P313" s="31" t="str">
        <f>VLOOKUP(L313,C7:F267, 4,FALSE)</f>
        <v>Frankreich</v>
      </c>
      <c r="Q313" s="31" t="s">
        <v>254</v>
      </c>
      <c r="S313" s="31" t="s">
        <v>258</v>
      </c>
      <c r="T313" s="31" t="str">
        <f>VLOOKUP(U313,H27:X267, 17,FALSE)</f>
        <v>Javier Fernandez</v>
      </c>
      <c r="U313" s="31">
        <f>LARGE(H27:H267, 2)</f>
        <v>267</v>
      </c>
      <c r="V313" s="31">
        <f>VLOOKUP(T313,C27:D267, 2,FALSE)</f>
        <v>534</v>
      </c>
      <c r="W313" s="31">
        <f t="shared" ref="W313:W321" si="59">U313/V313</f>
        <v>0.5</v>
      </c>
      <c r="Y313" s="31" t="s">
        <v>263</v>
      </c>
      <c r="Z313" s="100" t="str">
        <f>VLOOKUP(AA313,L7:X267, 13,)</f>
        <v>Jesper Hallberg</v>
      </c>
      <c r="AA313" s="31">
        <f>LARGE(L7:L267, 4)</f>
        <v>813</v>
      </c>
      <c r="AB313" s="31">
        <f>VLOOKUP(Z313,C7:D267, 2,)</f>
        <v>396</v>
      </c>
      <c r="AC313" s="31">
        <f t="shared" si="58"/>
        <v>2.0530303030303032</v>
      </c>
      <c r="AD313" s="31" t="str">
        <f>VLOOKUP(Z313, C7:E267,3,)</f>
        <v>ST</v>
      </c>
      <c r="AG313" s="31" t="s">
        <v>179</v>
      </c>
      <c r="AH313" s="31" t="s">
        <v>865</v>
      </c>
      <c r="AI313" s="31" t="s">
        <v>295</v>
      </c>
      <c r="AK313" s="31" t="s">
        <v>1448</v>
      </c>
      <c r="AL313" s="31" t="s">
        <v>31</v>
      </c>
      <c r="AM313" s="31" t="s">
        <v>1442</v>
      </c>
      <c r="AN313" s="31" t="s">
        <v>1464</v>
      </c>
    </row>
    <row r="314" spans="3:40" x14ac:dyDescent="0.25">
      <c r="C314" s="170" t="s">
        <v>38</v>
      </c>
      <c r="D314" s="121" t="s">
        <v>234</v>
      </c>
      <c r="E314" s="126" t="s">
        <v>24</v>
      </c>
      <c r="F314" s="126" t="s">
        <v>39</v>
      </c>
      <c r="G314" s="126" t="s">
        <v>295</v>
      </c>
      <c r="K314" s="29" t="s">
        <v>296</v>
      </c>
      <c r="L314" s="31" t="str">
        <f>VLOOKUP(M314,K7:X267, 14,FALSE)</f>
        <v>Daniel Erdmann</v>
      </c>
      <c r="M314" s="31">
        <f>MAX(K7:K267)</f>
        <v>853</v>
      </c>
      <c r="N314" s="31" t="str">
        <f>VLOOKUP(L314,C7:E267, 3,FALSE)</f>
        <v>ST</v>
      </c>
      <c r="O314" s="31">
        <v>26</v>
      </c>
      <c r="P314" s="31" t="str">
        <f>VLOOKUP(L314,C7:F267, 4,FALSE)</f>
        <v>Deutschland</v>
      </c>
      <c r="Q314" s="31" t="s">
        <v>254</v>
      </c>
      <c r="S314" s="31" t="s">
        <v>261</v>
      </c>
      <c r="T314" s="30" t="str">
        <f>VLOOKUP(U314,H27:X267, 17,FALSE)</f>
        <v>Aykut Cigerci</v>
      </c>
      <c r="U314" s="31">
        <f>LARGE(H27:H267, 3)</f>
        <v>255</v>
      </c>
      <c r="V314" s="31">
        <f>VLOOKUP(T314,C27:D267, 2,FALSE)</f>
        <v>704</v>
      </c>
      <c r="W314" s="31">
        <f t="shared" si="59"/>
        <v>0.36221590909090912</v>
      </c>
      <c r="Y314" s="31" t="s">
        <v>265</v>
      </c>
      <c r="Z314" s="30" t="str">
        <f>VLOOKUP(AA314,L7:X267, 13,)</f>
        <v>Aykut Cigerci</v>
      </c>
      <c r="AA314" s="31">
        <f>LARGE(L7:L267, 5)</f>
        <v>798</v>
      </c>
      <c r="AB314" s="31">
        <f>VLOOKUP(Z314,C7:D267, 2,)</f>
        <v>704</v>
      </c>
      <c r="AC314" s="31">
        <f t="shared" si="58"/>
        <v>1.1335227272727273</v>
      </c>
      <c r="AD314" s="31" t="str">
        <f>VLOOKUP(Z314, C7:E267,3,)</f>
        <v>ZM</v>
      </c>
      <c r="AG314" s="31" t="s">
        <v>179</v>
      </c>
      <c r="AH314" s="31" t="s">
        <v>865</v>
      </c>
      <c r="AI314" s="31" t="s">
        <v>742</v>
      </c>
      <c r="AK314" s="31"/>
      <c r="AL314" s="31"/>
      <c r="AM314" s="31"/>
      <c r="AN314" s="31"/>
    </row>
    <row r="315" spans="3:40" x14ac:dyDescent="0.25">
      <c r="C315" s="20" t="s">
        <v>298</v>
      </c>
      <c r="D315" s="20" t="s">
        <v>299</v>
      </c>
      <c r="E315" t="s">
        <v>94</v>
      </c>
      <c r="F315" t="s">
        <v>47</v>
      </c>
      <c r="G315" t="s">
        <v>295</v>
      </c>
      <c r="K315" s="29" t="s">
        <v>297</v>
      </c>
      <c r="L315" s="31" t="str">
        <f>VLOOKUP(M315,L7:X267, 13,FALSE)</f>
        <v>Daniel Erdmann</v>
      </c>
      <c r="M315" s="31">
        <f>MAX(L7:L267)</f>
        <v>1087</v>
      </c>
      <c r="N315" s="31" t="str">
        <f>VLOOKUP(L315,C7:E267, 3,FALSE)</f>
        <v>ST</v>
      </c>
      <c r="O315" s="31">
        <v>26</v>
      </c>
      <c r="P315" s="31" t="str">
        <f>VLOOKUP(L315,C7:F267, 4,FALSE)</f>
        <v>Deutschland</v>
      </c>
      <c r="Q315" s="31" t="s">
        <v>254</v>
      </c>
      <c r="S315" s="31" t="s">
        <v>263</v>
      </c>
      <c r="T315" s="100" t="str">
        <f>VLOOKUP(U315,H27:X267, 17,FALSE)</f>
        <v>Daniel Erdmann</v>
      </c>
      <c r="U315" s="31">
        <f>LARGE(H27:H267, 4)</f>
        <v>216</v>
      </c>
      <c r="V315" s="31">
        <f>VLOOKUP(T315,C27:D267, 2,FALSE)</f>
        <v>804</v>
      </c>
      <c r="W315" s="31">
        <f t="shared" si="59"/>
        <v>0.26865671641791045</v>
      </c>
      <c r="Y315" s="31" t="s">
        <v>269</v>
      </c>
      <c r="Z315" s="100" t="str">
        <f>VLOOKUP(AA315,L7:X267, 13,)</f>
        <v>Javi Villar</v>
      </c>
      <c r="AA315" s="31">
        <f>LARGE(L7:L267, 6)</f>
        <v>786</v>
      </c>
      <c r="AB315" s="31">
        <f>VLOOKUP(Z315,C7:D267, 2,)</f>
        <v>553</v>
      </c>
      <c r="AC315" s="31">
        <f t="shared" si="58"/>
        <v>1.4213381555153708</v>
      </c>
      <c r="AD315" s="31" t="str">
        <f>VLOOKUP(Z315, C7:E267,3,)</f>
        <v>LF</v>
      </c>
      <c r="AG315" s="31" t="s">
        <v>179</v>
      </c>
      <c r="AH315" s="31" t="s">
        <v>865</v>
      </c>
      <c r="AI315" s="31" t="s">
        <v>796</v>
      </c>
      <c r="AK315" s="31"/>
      <c r="AL315" s="31"/>
      <c r="AM315" s="31"/>
      <c r="AN315" s="31"/>
    </row>
    <row r="316" spans="3:40" x14ac:dyDescent="0.25">
      <c r="C316" s="82" t="s">
        <v>301</v>
      </c>
      <c r="D316" s="25" t="s">
        <v>302</v>
      </c>
      <c r="E316" s="23" t="s">
        <v>49</v>
      </c>
      <c r="F316" s="23" t="s">
        <v>303</v>
      </c>
      <c r="G316" s="23" t="s">
        <v>295</v>
      </c>
      <c r="K316" s="29" t="s">
        <v>300</v>
      </c>
      <c r="L316" s="31" t="s">
        <v>179</v>
      </c>
      <c r="M316" s="31">
        <f>COUNTIF(L377:L541,L426)</f>
        <v>58</v>
      </c>
      <c r="N316" s="31" t="str">
        <f>VLOOKUP(L316,C7:E267, 3,FALSE)</f>
        <v>MS</v>
      </c>
      <c r="O316" s="31"/>
      <c r="P316" s="31" t="str">
        <f>VLOOKUP(L316,C7:F267, 4,FALSE)</f>
        <v>Frankreich</v>
      </c>
      <c r="Q316" s="31" t="s">
        <v>254</v>
      </c>
      <c r="S316" s="31" t="s">
        <v>265</v>
      </c>
      <c r="T316" s="100" t="str">
        <f>VLOOKUP(U316,H27:X267, 17,FALSE)</f>
        <v>Antonio Battocchio</v>
      </c>
      <c r="U316" s="31">
        <f>LARGE(H27:H267, 5)</f>
        <v>200</v>
      </c>
      <c r="V316" s="31">
        <f>VLOOKUP(T316,C27:D267, 2,FALSE)</f>
        <v>254</v>
      </c>
      <c r="W316" s="31">
        <f t="shared" si="59"/>
        <v>0.78740157480314965</v>
      </c>
      <c r="Y316" s="31" t="s">
        <v>272</v>
      </c>
      <c r="Z316" s="100" t="str">
        <f>VLOOKUP(AA316,L7:X267, 13,)</f>
        <v>Danilo Luiz Pires Ribeiro</v>
      </c>
      <c r="AA316" s="31">
        <f>LARGE(L7:L267, 7)</f>
        <v>720</v>
      </c>
      <c r="AB316" s="31">
        <f>VLOOKUP(Z316,C7:D267, 2,)</f>
        <v>419</v>
      </c>
      <c r="AC316" s="31">
        <f t="shared" si="58"/>
        <v>1.7183770883054892</v>
      </c>
      <c r="AD316" s="31" t="str">
        <f>VLOOKUP(Z316, C7:E267,3,)</f>
        <v>ST</v>
      </c>
      <c r="AG316" s="31" t="s">
        <v>179</v>
      </c>
      <c r="AH316" s="31" t="s">
        <v>865</v>
      </c>
      <c r="AI316" s="31" t="s">
        <v>800</v>
      </c>
      <c r="AK316" s="31"/>
      <c r="AL316" s="31"/>
      <c r="AM316" s="31"/>
      <c r="AN316" s="31"/>
    </row>
    <row r="317" spans="3:40" x14ac:dyDescent="0.25">
      <c r="C317" s="20" t="s">
        <v>746</v>
      </c>
      <c r="D317" s="20" t="s">
        <v>302</v>
      </c>
      <c r="E317" t="s">
        <v>99</v>
      </c>
      <c r="F317" t="s">
        <v>151</v>
      </c>
      <c r="G317" t="s">
        <v>742</v>
      </c>
      <c r="K317" s="29" t="s">
        <v>304</v>
      </c>
      <c r="L317" s="31" t="s">
        <v>213</v>
      </c>
      <c r="M317" s="31" t="s">
        <v>1465</v>
      </c>
      <c r="N317" s="31" t="str">
        <f>VLOOKUP(L317,C7:E267, 3,FALSE)</f>
        <v>ST</v>
      </c>
      <c r="O317" s="31"/>
      <c r="P317" s="31" t="str">
        <f>VLOOKUP(L317,C7:F267, 4,FALSE)</f>
        <v>Deutschland</v>
      </c>
      <c r="Q317" s="31" t="s">
        <v>254</v>
      </c>
      <c r="S317" s="31" t="s">
        <v>269</v>
      </c>
      <c r="T317" s="100" t="str">
        <f>VLOOKUP(U317,H27:X267, 17,FALSE)</f>
        <v>Muhammet Kadah</v>
      </c>
      <c r="U317" s="31">
        <f>LARGE(H27:H267, 6)</f>
        <v>191</v>
      </c>
      <c r="V317" s="31">
        <f>VLOOKUP(T317,C27:D267, 2,FALSE)</f>
        <v>447</v>
      </c>
      <c r="W317" s="31">
        <f t="shared" si="59"/>
        <v>0.42729306487695751</v>
      </c>
      <c r="Y317" s="31" t="s">
        <v>275</v>
      </c>
      <c r="Z317" s="100" t="str">
        <f>VLOOKUP(AA317,L7:X267, 13,)</f>
        <v>Javier Fernandez</v>
      </c>
      <c r="AA317" s="31">
        <f>LARGE(L7:L267, 8)</f>
        <v>642</v>
      </c>
      <c r="AB317" s="31">
        <f>VLOOKUP(Z317,C7:D267, 2,)</f>
        <v>534</v>
      </c>
      <c r="AC317" s="31">
        <f t="shared" si="58"/>
        <v>1.202247191011236</v>
      </c>
      <c r="AD317" s="31" t="str">
        <f>VLOOKUP(Z317, C7:E267,3,)</f>
        <v>RF</v>
      </c>
      <c r="AG317" s="31" t="s">
        <v>213</v>
      </c>
      <c r="AH317" s="31" t="s">
        <v>865</v>
      </c>
      <c r="AI317" s="31" t="s">
        <v>1013</v>
      </c>
      <c r="AK317" s="31"/>
      <c r="AL317" s="31"/>
      <c r="AM317" s="31"/>
      <c r="AN317" s="31"/>
    </row>
    <row r="318" spans="3:40" x14ac:dyDescent="0.25">
      <c r="C318" s="81" t="s">
        <v>749</v>
      </c>
      <c r="D318" s="20" t="s">
        <v>226</v>
      </c>
      <c r="E318" t="s">
        <v>183</v>
      </c>
      <c r="F318" t="s">
        <v>747</v>
      </c>
      <c r="G318" t="s">
        <v>742</v>
      </c>
      <c r="K318" s="29" t="s">
        <v>305</v>
      </c>
      <c r="L318" s="31" t="s">
        <v>181</v>
      </c>
      <c r="M318" s="33">
        <f>MAX(G365:G666)</f>
        <v>100000000</v>
      </c>
      <c r="N318" s="31" t="str">
        <f>VLOOKUP(L318,C7:E267, 3,FALSE)</f>
        <v>ST</v>
      </c>
      <c r="O318" s="31">
        <v>26</v>
      </c>
      <c r="P318" s="31" t="str">
        <f>VLOOKUP(L318,C7:F267, 4,FALSE)</f>
        <v>Frankreich</v>
      </c>
      <c r="Q318" s="31" t="s">
        <v>236</v>
      </c>
      <c r="S318" s="31" t="s">
        <v>272</v>
      </c>
      <c r="T318" s="100" t="str">
        <f>VLOOKUP(U318,H27:X267, 17,FALSE)</f>
        <v>Lassane Bangoura</v>
      </c>
      <c r="U318" s="31">
        <f>LARGE(H27:H267, 7)</f>
        <v>188</v>
      </c>
      <c r="V318" s="31">
        <f>VLOOKUP(T318,C27:D267, 2,FALSE)</f>
        <v>381</v>
      </c>
      <c r="W318" s="31">
        <f t="shared" si="59"/>
        <v>0.49343832020997375</v>
      </c>
      <c r="Y318" s="31" t="s">
        <v>279</v>
      </c>
      <c r="Z318" s="30" t="str">
        <f>VLOOKUP(AA318,L7:X267, 13,)</f>
        <v>Mans Wikström</v>
      </c>
      <c r="AA318" s="31">
        <f>LARGE(L7:L267, 9)</f>
        <v>519</v>
      </c>
      <c r="AB318" s="31">
        <f>VLOOKUP(Z318,C7:D267, 2,)</f>
        <v>298</v>
      </c>
      <c r="AC318" s="31">
        <f t="shared" si="58"/>
        <v>1.7416107382550337</v>
      </c>
      <c r="AD318" s="31" t="str">
        <f>VLOOKUP(Z318, C7:E267,3,)</f>
        <v>ST</v>
      </c>
      <c r="AG318" s="31" t="s">
        <v>1269</v>
      </c>
      <c r="AH318" s="31" t="s">
        <v>865</v>
      </c>
      <c r="AI318" s="31" t="s">
        <v>1284</v>
      </c>
    </row>
    <row r="319" spans="3:40" x14ac:dyDescent="0.25">
      <c r="C319" s="20" t="s">
        <v>748</v>
      </c>
      <c r="D319" s="20" t="s">
        <v>219</v>
      </c>
      <c r="E319" t="s">
        <v>99</v>
      </c>
      <c r="F319" t="s">
        <v>31</v>
      </c>
      <c r="G319" t="s">
        <v>742</v>
      </c>
      <c r="K319" s="29" t="s">
        <v>306</v>
      </c>
      <c r="L319" s="31" t="s">
        <v>213</v>
      </c>
      <c r="M319" s="34">
        <f>MIN(G365:G666)</f>
        <v>-85000000</v>
      </c>
      <c r="N319" s="31" t="str">
        <f>VLOOKUP(L319,C7:E267, 3,FALSE)</f>
        <v>ST</v>
      </c>
      <c r="O319" s="31">
        <v>21</v>
      </c>
      <c r="P319" s="31" t="str">
        <f>VLOOKUP(L319,C7:F267, 4,FALSE)</f>
        <v>Deutschland</v>
      </c>
      <c r="Q319" s="31" t="s">
        <v>1374</v>
      </c>
      <c r="S319" s="31" t="s">
        <v>275</v>
      </c>
      <c r="T319" s="100" t="str">
        <f>VLOOKUP(U319,H27:X267, 17,FALSE)</f>
        <v>Jérémy Astier</v>
      </c>
      <c r="U319" s="31">
        <f>LARGE(H27:H267, 8)</f>
        <v>182</v>
      </c>
      <c r="V319" s="31">
        <f>VLOOKUP(T319,C27:D267, 2,FALSE)</f>
        <v>615</v>
      </c>
      <c r="W319" s="31">
        <f t="shared" si="59"/>
        <v>0.29593495934959352</v>
      </c>
      <c r="Y319" s="31" t="s">
        <v>283</v>
      </c>
      <c r="Z319" s="100" t="str">
        <f>VLOOKUP(AA319,L7:X267, 13,)</f>
        <v>Muhammet Kadah</v>
      </c>
      <c r="AA319" s="31">
        <f>LARGE(L7:L267, 10)</f>
        <v>494</v>
      </c>
      <c r="AB319" s="31">
        <f>VLOOKUP(Z319,C7:D267, 2,)</f>
        <v>447</v>
      </c>
      <c r="AC319" s="31">
        <f t="shared" si="58"/>
        <v>1.1051454138702461</v>
      </c>
      <c r="AD319" s="31" t="str">
        <f>VLOOKUP(Z319, C7:E267,3,)</f>
        <v>LM</v>
      </c>
      <c r="AG319" s="31" t="s">
        <v>1156</v>
      </c>
      <c r="AH319" s="31" t="s">
        <v>865</v>
      </c>
      <c r="AI319" s="31" t="s">
        <v>1415</v>
      </c>
    </row>
    <row r="320" spans="3:40" x14ac:dyDescent="0.25">
      <c r="C320" s="81" t="s">
        <v>750</v>
      </c>
      <c r="D320" s="20" t="s">
        <v>228</v>
      </c>
      <c r="E320" t="s">
        <v>190</v>
      </c>
      <c r="F320" t="s">
        <v>31</v>
      </c>
      <c r="G320" t="s">
        <v>742</v>
      </c>
      <c r="K320" s="29" t="s">
        <v>307</v>
      </c>
      <c r="L320" s="31" t="s">
        <v>308</v>
      </c>
      <c r="M320" s="31" t="s">
        <v>309</v>
      </c>
      <c r="N320" s="31" t="s">
        <v>254</v>
      </c>
      <c r="O320" s="31" t="s">
        <v>310</v>
      </c>
      <c r="P320" s="31" t="s">
        <v>254</v>
      </c>
      <c r="Q320" s="31" t="s">
        <v>311</v>
      </c>
      <c r="S320" s="31" t="s">
        <v>279</v>
      </c>
      <c r="T320" s="100" t="str">
        <f>VLOOKUP(U320,H27:X267, 17,FALSE)</f>
        <v>Jérémy Astier</v>
      </c>
      <c r="U320" s="31">
        <f>LARGE(H27:H267, 9)</f>
        <v>182</v>
      </c>
      <c r="V320" s="31">
        <f>VLOOKUP(T320,C27:D267, 2,FALSE)</f>
        <v>615</v>
      </c>
      <c r="W320" s="31">
        <f t="shared" si="59"/>
        <v>0.29593495934959352</v>
      </c>
      <c r="Y320" s="31" t="s">
        <v>316</v>
      </c>
      <c r="Z320" s="100" t="str">
        <f>VLOOKUP(AA320,L7:X267, 13,)</f>
        <v>Layvin Martin</v>
      </c>
      <c r="AA320" s="31">
        <f>LARGE(L7:L267, 11)</f>
        <v>487</v>
      </c>
      <c r="AB320" s="31">
        <f>VLOOKUP(Z320,C7:D267, 2,)</f>
        <v>476</v>
      </c>
      <c r="AC320" s="31">
        <f t="shared" si="58"/>
        <v>1.0231092436974789</v>
      </c>
      <c r="AD320" s="31" t="str">
        <f>VLOOKUP(Z320, C7:E267,3,)</f>
        <v>ZOM</v>
      </c>
      <c r="AG320" s="31" t="s">
        <v>1254</v>
      </c>
      <c r="AH320" s="31" t="s">
        <v>865</v>
      </c>
      <c r="AI320" s="31" t="s">
        <v>1436</v>
      </c>
    </row>
    <row r="321" spans="3:35" x14ac:dyDescent="0.25">
      <c r="C321" s="81" t="s">
        <v>751</v>
      </c>
      <c r="D321" s="20" t="s">
        <v>299</v>
      </c>
      <c r="E321" t="s">
        <v>102</v>
      </c>
      <c r="F321" t="s">
        <v>303</v>
      </c>
      <c r="G321" t="s">
        <v>742</v>
      </c>
      <c r="K321" s="29" t="s">
        <v>862</v>
      </c>
      <c r="L321" s="31" t="s">
        <v>1463</v>
      </c>
      <c r="M321" s="31" t="s">
        <v>866</v>
      </c>
      <c r="N321" s="31" t="s">
        <v>177</v>
      </c>
      <c r="O321" s="31"/>
      <c r="P321" s="31" t="s">
        <v>31</v>
      </c>
      <c r="Q321" s="31" t="s">
        <v>254</v>
      </c>
      <c r="S321" s="31" t="s">
        <v>283</v>
      </c>
      <c r="T321" s="100" t="str">
        <f>VLOOKUP(U321,H27:X267, 17,FALSE)</f>
        <v>Thomas Bernard</v>
      </c>
      <c r="U321" s="31">
        <f>LARGE(H27:H267, 10)</f>
        <v>160</v>
      </c>
      <c r="V321" s="31">
        <f>VLOOKUP(T321,C27:D267, 2,FALSE)</f>
        <v>458</v>
      </c>
      <c r="W321" s="31">
        <f t="shared" si="59"/>
        <v>0.34934497816593885</v>
      </c>
      <c r="Y321" s="31" t="s">
        <v>319</v>
      </c>
      <c r="Z321" s="31" t="str">
        <f>VLOOKUP(AA321,L7:X267, 13,)</f>
        <v>Lassane Bangoura</v>
      </c>
      <c r="AA321" s="31">
        <f>LARGE(L7:L267, 12)</f>
        <v>470</v>
      </c>
      <c r="AB321" s="31">
        <f>VLOOKUP(Z321,C7:D267, 2,)</f>
        <v>381</v>
      </c>
      <c r="AC321" s="31">
        <f t="shared" si="58"/>
        <v>1.2335958005249343</v>
      </c>
      <c r="AD321" s="31" t="str">
        <f>VLOOKUP(Z321, C7:E267,3,)</f>
        <v>RF</v>
      </c>
      <c r="AG321" s="31" t="s">
        <v>1384</v>
      </c>
      <c r="AH321" s="31" t="s">
        <v>865</v>
      </c>
      <c r="AI321" s="31" t="s">
        <v>1443</v>
      </c>
    </row>
    <row r="322" spans="3:35" x14ac:dyDescent="0.25">
      <c r="C322" s="20" t="s">
        <v>752</v>
      </c>
      <c r="D322" s="20" t="s">
        <v>234</v>
      </c>
      <c r="E322" t="s">
        <v>91</v>
      </c>
      <c r="F322" t="s">
        <v>31</v>
      </c>
      <c r="G322" t="s">
        <v>742</v>
      </c>
      <c r="K322" s="29" t="s">
        <v>867</v>
      </c>
      <c r="L322" s="31" t="s">
        <v>176</v>
      </c>
      <c r="M322" s="31" t="s">
        <v>868</v>
      </c>
      <c r="N322" s="31" t="s">
        <v>177</v>
      </c>
      <c r="O322" s="31" t="s">
        <v>254</v>
      </c>
      <c r="P322" s="31" t="s">
        <v>31</v>
      </c>
      <c r="Q322" s="31" t="s">
        <v>254</v>
      </c>
      <c r="Y322" s="31" t="s">
        <v>323</v>
      </c>
      <c r="Z322" s="100" t="str">
        <f>VLOOKUP(AA322,L7:X267, 13,)</f>
        <v>Sébastien Gashi</v>
      </c>
      <c r="AA322" s="31">
        <f>LARGE(L7:L267, 13)</f>
        <v>418</v>
      </c>
      <c r="AB322" s="31">
        <f>VLOOKUP(Z322,C7:D267, 2,)</f>
        <v>315</v>
      </c>
      <c r="AC322" s="31">
        <f t="shared" si="58"/>
        <v>1.3269841269841269</v>
      </c>
      <c r="AD322" s="31" t="str">
        <f>VLOOKUP(Z322, C7:E267,3,)</f>
        <v>ZOM</v>
      </c>
      <c r="AG322" s="31" t="s">
        <v>1384</v>
      </c>
      <c r="AH322" s="31" t="s">
        <v>865</v>
      </c>
      <c r="AI322" s="31" t="s">
        <v>1467</v>
      </c>
    </row>
    <row r="323" spans="3:35" x14ac:dyDescent="0.25">
      <c r="C323" s="20" t="s">
        <v>753</v>
      </c>
      <c r="D323" s="20" t="s">
        <v>230</v>
      </c>
      <c r="E323" t="s">
        <v>46</v>
      </c>
      <c r="F323" t="s">
        <v>171</v>
      </c>
      <c r="G323" t="s">
        <v>742</v>
      </c>
      <c r="K323" s="29" t="s">
        <v>869</v>
      </c>
      <c r="L323" s="31" t="s">
        <v>93</v>
      </c>
      <c r="M323" s="31" t="s">
        <v>870</v>
      </c>
      <c r="N323" s="31" t="s">
        <v>94</v>
      </c>
      <c r="O323" s="31" t="s">
        <v>254</v>
      </c>
      <c r="P323" s="31" t="s">
        <v>66</v>
      </c>
      <c r="Q323" s="31" t="s">
        <v>254</v>
      </c>
      <c r="Y323" s="31" t="s">
        <v>330</v>
      </c>
      <c r="Z323" s="100" t="str">
        <f>VLOOKUP(AA323,L7:X267, 13,)</f>
        <v>Yong Tae Park</v>
      </c>
      <c r="AA323" s="31">
        <f>LARGE(L7:L267, 14)</f>
        <v>415</v>
      </c>
      <c r="AB323" s="31">
        <f>VLOOKUP(Z323,C7:D267, 2,)</f>
        <v>681</v>
      </c>
      <c r="AC323" s="31">
        <f t="shared" si="58"/>
        <v>0.60939794419970628</v>
      </c>
      <c r="AD323" s="31" t="str">
        <f>VLOOKUP(Z323, C7:E267,3,)</f>
        <v>LV</v>
      </c>
      <c r="AG323" s="31" t="s">
        <v>1384</v>
      </c>
      <c r="AH323" s="31" t="s">
        <v>865</v>
      </c>
      <c r="AI323" s="31" t="s">
        <v>1468</v>
      </c>
    </row>
    <row r="324" spans="3:35" x14ac:dyDescent="0.25">
      <c r="C324" s="82" t="s">
        <v>754</v>
      </c>
      <c r="D324" s="25" t="s">
        <v>225</v>
      </c>
      <c r="E324" s="23" t="s">
        <v>177</v>
      </c>
      <c r="F324" s="23" t="s">
        <v>31</v>
      </c>
      <c r="G324" s="23" t="s">
        <v>742</v>
      </c>
      <c r="K324" s="29" t="s">
        <v>923</v>
      </c>
      <c r="L324" s="31" t="s">
        <v>181</v>
      </c>
      <c r="M324" s="31" t="s">
        <v>870</v>
      </c>
      <c r="N324" s="31" t="s">
        <v>177</v>
      </c>
      <c r="O324" s="31" t="s">
        <v>254</v>
      </c>
      <c r="P324" s="31" t="s">
        <v>31</v>
      </c>
      <c r="Q324" s="31" t="s">
        <v>254</v>
      </c>
      <c r="S324" t="s">
        <v>322</v>
      </c>
      <c r="Y324" s="31" t="s">
        <v>336</v>
      </c>
      <c r="Z324" s="100" t="str">
        <f>VLOOKUP(AA324,L7:X267, 13,)</f>
        <v>Adrien Gbamin</v>
      </c>
      <c r="AA324" s="31">
        <f>LARGE(L7:L267, 15)</f>
        <v>379</v>
      </c>
      <c r="AB324" s="31">
        <f>VLOOKUP(Z324,C7:D267, 2,)</f>
        <v>422</v>
      </c>
      <c r="AC324" s="31">
        <f t="shared" si="58"/>
        <v>0.8981042654028436</v>
      </c>
      <c r="AD324" s="31" t="str">
        <f>VLOOKUP(Z324, C7:E267,3,)</f>
        <v>LF</v>
      </c>
      <c r="AG324" s="31" t="s">
        <v>1384</v>
      </c>
      <c r="AH324" s="31" t="s">
        <v>865</v>
      </c>
      <c r="AI324" s="31" t="s">
        <v>1466</v>
      </c>
    </row>
    <row r="325" spans="3:35" x14ac:dyDescent="0.25">
      <c r="C325" s="99" t="s">
        <v>769</v>
      </c>
      <c r="D325" s="20" t="s">
        <v>290</v>
      </c>
      <c r="E325" t="s">
        <v>102</v>
      </c>
      <c r="F325" t="s">
        <v>165</v>
      </c>
      <c r="G325" t="s">
        <v>770</v>
      </c>
      <c r="K325" s="29" t="s">
        <v>1150</v>
      </c>
      <c r="L325" s="31" t="s">
        <v>213</v>
      </c>
      <c r="M325" s="31" t="s">
        <v>1151</v>
      </c>
      <c r="N325" s="31" t="s">
        <v>177</v>
      </c>
      <c r="O325" s="31" t="s">
        <v>254</v>
      </c>
      <c r="P325" s="31" t="s">
        <v>159</v>
      </c>
      <c r="Q325" s="31" t="s">
        <v>860</v>
      </c>
      <c r="S325" s="28" t="s">
        <v>247</v>
      </c>
      <c r="T325" s="28" t="s">
        <v>2</v>
      </c>
      <c r="U325" s="28" t="s">
        <v>8</v>
      </c>
      <c r="V325" s="28" t="s">
        <v>3</v>
      </c>
      <c r="W325" s="28" t="s">
        <v>249</v>
      </c>
      <c r="Y325" s="31" t="s">
        <v>339</v>
      </c>
      <c r="Z325" s="100" t="str">
        <f>VLOOKUP(AA325,L7:X267, 13,)</f>
        <v>Antonio Battocchio</v>
      </c>
      <c r="AA325" s="31">
        <f>LARGE(L7:L267, 16)</f>
        <v>366</v>
      </c>
      <c r="AB325" s="31">
        <f>VLOOKUP(Z325,C7:D267, 2,)</f>
        <v>254</v>
      </c>
      <c r="AC325" s="31">
        <f t="shared" si="58"/>
        <v>1.4409448818897639</v>
      </c>
      <c r="AD325" s="31" t="str">
        <f>VLOOKUP(Z325, C7:E267,3,)</f>
        <v>RF</v>
      </c>
    </row>
    <row r="326" spans="3:35" x14ac:dyDescent="0.25">
      <c r="C326" s="20" t="s">
        <v>771</v>
      </c>
      <c r="D326" s="20" t="s">
        <v>772</v>
      </c>
      <c r="E326" t="s">
        <v>102</v>
      </c>
      <c r="F326" t="s">
        <v>773</v>
      </c>
      <c r="G326" t="s">
        <v>770</v>
      </c>
      <c r="K326" s="29" t="s">
        <v>1212</v>
      </c>
      <c r="L326" s="31" t="s">
        <v>846</v>
      </c>
      <c r="M326" s="31" t="s">
        <v>1213</v>
      </c>
      <c r="N326" s="31" t="s">
        <v>24</v>
      </c>
      <c r="O326" s="31">
        <v>19</v>
      </c>
      <c r="P326" s="31" t="s">
        <v>31</v>
      </c>
      <c r="Q326" s="31" t="s">
        <v>1180</v>
      </c>
      <c r="S326" s="31" t="s">
        <v>255</v>
      </c>
      <c r="T326" s="30" t="str">
        <f>VLOOKUP(U326,I7:X267, 16,FALSE)</f>
        <v>Thomas Mendes</v>
      </c>
      <c r="U326" s="31">
        <f>MAX(I7:I267)</f>
        <v>307</v>
      </c>
      <c r="V326" s="31">
        <f>VLOOKUP(T326,C7:D267, 2,FALSE)</f>
        <v>641</v>
      </c>
      <c r="W326" s="31">
        <f>U326/V326</f>
        <v>0.47893915756630268</v>
      </c>
      <c r="Y326" s="31" t="s">
        <v>344</v>
      </c>
      <c r="Z326" s="100" t="str">
        <f>VLOOKUP(AA326,L7:X267, 13,)</f>
        <v>Emmanuel Longas Ferrer</v>
      </c>
      <c r="AA326" s="31">
        <f>LARGE(L7:L267, 17)</f>
        <v>350</v>
      </c>
      <c r="AB326" s="31">
        <f>VLOOKUP(Z326,C7:D267, 2,)</f>
        <v>424</v>
      </c>
      <c r="AC326" s="31">
        <f t="shared" si="58"/>
        <v>0.82547169811320753</v>
      </c>
      <c r="AD326" s="31" t="str">
        <f>VLOOKUP(Z326, C7:E267,3,)</f>
        <v>ZM</v>
      </c>
    </row>
    <row r="327" spans="3:35" x14ac:dyDescent="0.25">
      <c r="C327" s="25" t="s">
        <v>795</v>
      </c>
      <c r="D327" s="25" t="s">
        <v>227</v>
      </c>
      <c r="E327" s="23" t="s">
        <v>96</v>
      </c>
      <c r="F327" s="23" t="s">
        <v>31</v>
      </c>
      <c r="G327" s="23" t="s">
        <v>770</v>
      </c>
      <c r="K327" s="29" t="s">
        <v>1265</v>
      </c>
      <c r="L327" s="31" t="s">
        <v>1444</v>
      </c>
      <c r="M327" s="31" t="s">
        <v>1446</v>
      </c>
      <c r="N327" s="31" t="s">
        <v>177</v>
      </c>
      <c r="O327" s="31">
        <v>17</v>
      </c>
      <c r="P327" s="31" t="s">
        <v>31</v>
      </c>
      <c r="Q327" s="31" t="s">
        <v>1445</v>
      </c>
      <c r="S327" s="31" t="s">
        <v>258</v>
      </c>
      <c r="T327" s="30" t="str">
        <f>VLOOKUP(U327,I7:X267, 16,FALSE)</f>
        <v>Aykut Cigerci</v>
      </c>
      <c r="U327" s="31">
        <f>LARGE(I7:I267, 2)</f>
        <v>265</v>
      </c>
      <c r="V327" s="31">
        <f>VLOOKUP(T327,C7:D267, 2,FALSE)</f>
        <v>704</v>
      </c>
      <c r="W327" s="31">
        <f t="shared" ref="W327:W335" si="60">U327/V327</f>
        <v>0.37642045454545453</v>
      </c>
      <c r="Y327" s="31" t="s">
        <v>348</v>
      </c>
      <c r="Z327" s="31" t="str">
        <f>VLOOKUP(AA327,L7:X267, 13,)</f>
        <v>Baptiste Griezmann</v>
      </c>
      <c r="AA327" s="31">
        <f>LARGE(L7:L267, 18)</f>
        <v>336</v>
      </c>
      <c r="AB327" s="31">
        <f>VLOOKUP(Z327,C7:D267, 2,)</f>
        <v>461</v>
      </c>
      <c r="AC327" s="31">
        <f t="shared" si="58"/>
        <v>0.72885032537960959</v>
      </c>
      <c r="AD327" s="31" t="str">
        <f>VLOOKUP(Z327, C7:E267,3,)</f>
        <v>ZM</v>
      </c>
    </row>
    <row r="328" spans="3:35" x14ac:dyDescent="0.25">
      <c r="C328" s="20" t="s">
        <v>830</v>
      </c>
      <c r="D328" s="20" t="s">
        <v>831</v>
      </c>
      <c r="E328" t="s">
        <v>99</v>
      </c>
      <c r="F328" t="s">
        <v>47</v>
      </c>
      <c r="G328" t="s">
        <v>829</v>
      </c>
      <c r="K328" s="29" t="s">
        <v>1344</v>
      </c>
      <c r="L328" s="31" t="s">
        <v>1326</v>
      </c>
      <c r="M328" s="31" t="s">
        <v>1345</v>
      </c>
      <c r="N328" s="31" t="s">
        <v>91</v>
      </c>
      <c r="O328" s="31">
        <v>17</v>
      </c>
      <c r="P328" s="31" t="s">
        <v>31</v>
      </c>
      <c r="Q328" s="31" t="s">
        <v>1323</v>
      </c>
      <c r="S328" s="31" t="s">
        <v>261</v>
      </c>
      <c r="T328" s="31" t="str">
        <f>VLOOKUP(U328,I7:X267, 16,FALSE)</f>
        <v>Yong Tae Park</v>
      </c>
      <c r="U328" s="31">
        <f>LARGE(I7:I267, 3)</f>
        <v>244</v>
      </c>
      <c r="V328" s="31">
        <f>VLOOKUP(T328,C7:D267, 2,FALSE)</f>
        <v>681</v>
      </c>
      <c r="W328" s="31">
        <f t="shared" si="60"/>
        <v>0.35829662261380324</v>
      </c>
      <c r="Y328" s="31" t="s">
        <v>352</v>
      </c>
      <c r="Z328" s="31" t="str">
        <f>VLOOKUP(AA328,L7:X267, 13,)</f>
        <v>Aitor Ortiz Toribio</v>
      </c>
      <c r="AA328" s="31">
        <f>LARGE(L7:L267, 19)</f>
        <v>331</v>
      </c>
      <c r="AB328" s="31">
        <f>VLOOKUP(Z328,C7:D267, 2,)</f>
        <v>411</v>
      </c>
      <c r="AC328" s="31">
        <f t="shared" si="58"/>
        <v>0.805352798053528</v>
      </c>
      <c r="AD328" s="31" t="str">
        <f>VLOOKUP(Z328, C7:E267,3,)</f>
        <v>ZDM</v>
      </c>
    </row>
    <row r="329" spans="3:35" x14ac:dyDescent="0.25">
      <c r="C329" s="25" t="s">
        <v>835</v>
      </c>
      <c r="D329" s="25" t="s">
        <v>227</v>
      </c>
      <c r="E329" s="23" t="s">
        <v>91</v>
      </c>
      <c r="F329" s="23" t="s">
        <v>47</v>
      </c>
      <c r="G329" s="23" t="s">
        <v>829</v>
      </c>
      <c r="K329" s="29" t="s">
        <v>1266</v>
      </c>
      <c r="L329" s="31" t="s">
        <v>1339</v>
      </c>
      <c r="M329" s="31" t="s">
        <v>1340</v>
      </c>
      <c r="N329" s="31" t="s">
        <v>49</v>
      </c>
      <c r="O329" s="31" t="s">
        <v>1342</v>
      </c>
      <c r="P329" s="31" t="s">
        <v>1341</v>
      </c>
      <c r="Q329" s="31" t="s">
        <v>1343</v>
      </c>
      <c r="S329" s="31" t="s">
        <v>263</v>
      </c>
      <c r="T329" s="100" t="str">
        <f>VLOOKUP(U329,I7:X267, 16,FALSE)</f>
        <v>Jérémy Astier</v>
      </c>
      <c r="U329" s="31">
        <f>LARGE(I7:I267, 4)</f>
        <v>242</v>
      </c>
      <c r="V329" s="31">
        <f>VLOOKUP(T329,C7:D267, 2,FALSE)</f>
        <v>615</v>
      </c>
      <c r="W329" s="31">
        <f t="shared" si="60"/>
        <v>0.39349593495934959</v>
      </c>
      <c r="Y329" s="31" t="s">
        <v>357</v>
      </c>
      <c r="Z329" s="31" t="str">
        <f>VLOOKUP(AA329,L7:X267, 13,)</f>
        <v>Rafi Al Dossari</v>
      </c>
      <c r="AA329" s="31">
        <f>LARGE(L7:L267, 20)</f>
        <v>310</v>
      </c>
      <c r="AB329" s="31">
        <f>VLOOKUP(Z329,C7:D267, 2,)</f>
        <v>304</v>
      </c>
      <c r="AC329" s="31">
        <f t="shared" si="58"/>
        <v>1.0197368421052631</v>
      </c>
      <c r="AD329" s="31" t="str">
        <f>VLOOKUP(Z329, C7:E267,3,)</f>
        <v>RF</v>
      </c>
    </row>
    <row r="330" spans="3:35" x14ac:dyDescent="0.25">
      <c r="C330" s="169" t="s">
        <v>846</v>
      </c>
      <c r="D330" s="92" t="s">
        <v>233</v>
      </c>
      <c r="E330" s="50" t="s">
        <v>24</v>
      </c>
      <c r="F330" s="50" t="s">
        <v>31</v>
      </c>
      <c r="G330" s="50" t="s">
        <v>845</v>
      </c>
      <c r="K330" s="29" t="s">
        <v>1267</v>
      </c>
      <c r="L330" s="31" t="s">
        <v>97</v>
      </c>
      <c r="M330" s="31" t="s">
        <v>1268</v>
      </c>
      <c r="N330" s="31" t="s">
        <v>91</v>
      </c>
      <c r="O330" s="31">
        <v>21</v>
      </c>
      <c r="P330" s="31" t="s">
        <v>37</v>
      </c>
      <c r="Q330" s="31" t="s">
        <v>236</v>
      </c>
      <c r="S330" s="31" t="s">
        <v>265</v>
      </c>
      <c r="T330" s="100" t="str">
        <f>VLOOKUP(U330,I7:X267, 16,FALSE)</f>
        <v>Daniel Erdmann</v>
      </c>
      <c r="U330" s="31">
        <f>LARGE(I7:I267, 5)</f>
        <v>234</v>
      </c>
      <c r="V330" s="31">
        <f>VLOOKUP(T330,C7:D267, 2,FALSE)</f>
        <v>804</v>
      </c>
      <c r="W330" s="31">
        <f t="shared" si="60"/>
        <v>0.29104477611940299</v>
      </c>
      <c r="Y330" s="31" t="s">
        <v>361</v>
      </c>
      <c r="Z330" s="30" t="str">
        <f>VLOOKUP(AA330,L7:X267, 13,)</f>
        <v>Thomas Mendes</v>
      </c>
      <c r="AA330" s="31">
        <f>LARGE(L7:L267, 21)</f>
        <v>307</v>
      </c>
      <c r="AB330" s="31">
        <f>VLOOKUP(Z330,C7:D267, 2,)</f>
        <v>641</v>
      </c>
      <c r="AC330" s="31">
        <f t="shared" si="58"/>
        <v>0.47893915756630268</v>
      </c>
      <c r="AD330" s="31" t="str">
        <f>VLOOKUP(Z330, C7:E267,3,)</f>
        <v>TW</v>
      </c>
    </row>
    <row r="331" spans="3:35" x14ac:dyDescent="0.25">
      <c r="C331" s="91" t="s">
        <v>1152</v>
      </c>
      <c r="D331" s="92" t="s">
        <v>233</v>
      </c>
      <c r="E331" s="105" t="s">
        <v>46</v>
      </c>
      <c r="F331" s="105" t="s">
        <v>92</v>
      </c>
      <c r="G331" s="105" t="s">
        <v>1013</v>
      </c>
      <c r="K331" s="29" t="s">
        <v>1304</v>
      </c>
      <c r="L331" s="31" t="s">
        <v>254</v>
      </c>
      <c r="M331" s="31" t="s">
        <v>1303</v>
      </c>
      <c r="N331" s="31" t="s">
        <v>254</v>
      </c>
      <c r="O331" s="31" t="s">
        <v>254</v>
      </c>
      <c r="P331" s="31" t="s">
        <v>254</v>
      </c>
      <c r="Q331" s="31" t="s">
        <v>1284</v>
      </c>
      <c r="S331" s="31" t="s">
        <v>269</v>
      </c>
      <c r="T331" s="100" t="str">
        <f>VLOOKUP(U331,I7:X267, 16,FALSE)</f>
        <v>Facundo Cardozo</v>
      </c>
      <c r="U331" s="31">
        <f>LARGE(I7:I267, 6)</f>
        <v>223</v>
      </c>
      <c r="V331" s="31">
        <f>VLOOKUP(T331,C7:D267, 2,FALSE)</f>
        <v>568</v>
      </c>
      <c r="W331" s="31">
        <f t="shared" si="60"/>
        <v>0.39260563380281688</v>
      </c>
      <c r="Y331" s="31" t="s">
        <v>366</v>
      </c>
      <c r="Z331" s="100" t="str">
        <f>VLOOKUP(AA331,L7:X267, 13,)</f>
        <v>Michael Madl</v>
      </c>
      <c r="AA331" s="31">
        <f>LARGE(L7:L267, 22)</f>
        <v>301</v>
      </c>
      <c r="AB331" s="31">
        <f>VLOOKUP(Z331,C7:D267, 2,)</f>
        <v>479</v>
      </c>
      <c r="AC331" s="31">
        <f t="shared" si="58"/>
        <v>0.62839248434237993</v>
      </c>
      <c r="AD331" s="31" t="str">
        <f>VLOOKUP(Z331, C7:E267,3,)</f>
        <v>RV</v>
      </c>
    </row>
    <row r="332" spans="3:35" x14ac:dyDescent="0.25">
      <c r="C332" s="92" t="s">
        <v>1191</v>
      </c>
      <c r="D332" s="92" t="s">
        <v>226</v>
      </c>
      <c r="E332" s="105" t="s">
        <v>190</v>
      </c>
      <c r="F332" s="105" t="s">
        <v>31</v>
      </c>
      <c r="G332" s="105" t="s">
        <v>1180</v>
      </c>
      <c r="K332" s="29" t="s">
        <v>1305</v>
      </c>
      <c r="L332" s="31" t="s">
        <v>254</v>
      </c>
      <c r="M332" s="31" t="s">
        <v>1388</v>
      </c>
      <c r="N332" s="31" t="s">
        <v>254</v>
      </c>
      <c r="O332" s="31" t="s">
        <v>254</v>
      </c>
      <c r="P332" s="31" t="s">
        <v>254</v>
      </c>
      <c r="Q332" s="31" t="s">
        <v>1374</v>
      </c>
      <c r="S332" s="31" t="s">
        <v>272</v>
      </c>
      <c r="T332" s="100" t="str">
        <f>VLOOKUP(U332,I7:X267, 16,FALSE)</f>
        <v>Marcus Porter</v>
      </c>
      <c r="U332" s="31">
        <f>LARGE(I7:I267, 7)</f>
        <v>203</v>
      </c>
      <c r="V332" s="31">
        <f>VLOOKUP(T332,C7:D267, 2,FALSE)</f>
        <v>558</v>
      </c>
      <c r="W332" s="31">
        <f t="shared" si="60"/>
        <v>0.36379928315412186</v>
      </c>
      <c r="Y332" s="31" t="s">
        <v>370</v>
      </c>
      <c r="Z332" s="31" t="str">
        <f>VLOOKUP(AA332,L7:X267, 13,)</f>
        <v>Marcus Porter</v>
      </c>
      <c r="AA332" s="31">
        <f>LARGE(L7:L267, 23)</f>
        <v>296</v>
      </c>
      <c r="AB332" s="31">
        <f>VLOOKUP(Z332,C7:D267, 2,)</f>
        <v>558</v>
      </c>
      <c r="AC332" s="31">
        <f t="shared" si="58"/>
        <v>0.53046594982078854</v>
      </c>
      <c r="AD332" s="31" t="str">
        <f>VLOOKUP(Z332, C7:E267,3,)</f>
        <v>IV</v>
      </c>
    </row>
    <row r="333" spans="3:35" x14ac:dyDescent="0.25">
      <c r="C333" s="176" t="s">
        <v>1214</v>
      </c>
      <c r="D333" s="20" t="s">
        <v>228</v>
      </c>
      <c r="E333" s="104" t="s">
        <v>49</v>
      </c>
      <c r="F333" s="104" t="s">
        <v>773</v>
      </c>
      <c r="G333" s="104" t="s">
        <v>1210</v>
      </c>
      <c r="K333" s="29" t="s">
        <v>1389</v>
      </c>
      <c r="L333" s="31" t="s">
        <v>254</v>
      </c>
      <c r="M333" s="31" t="s">
        <v>1390</v>
      </c>
      <c r="N333" s="31" t="s">
        <v>254</v>
      </c>
      <c r="O333" s="31" t="s">
        <v>254</v>
      </c>
      <c r="P333" s="31" t="s">
        <v>254</v>
      </c>
      <c r="Q333" s="31" t="s">
        <v>1374</v>
      </c>
      <c r="S333" s="31" t="s">
        <v>275</v>
      </c>
      <c r="T333" s="100" t="str">
        <f>VLOOKUP(U333,I7:X267, 16,FALSE)</f>
        <v>Muhammet Kadah</v>
      </c>
      <c r="U333" s="31">
        <f>LARGE(I7:I267, 8)</f>
        <v>195</v>
      </c>
      <c r="V333" s="31">
        <f>VLOOKUP(T333,C7:D267, 2,FALSE)</f>
        <v>447</v>
      </c>
      <c r="W333" s="31">
        <f t="shared" si="60"/>
        <v>0.43624161073825501</v>
      </c>
      <c r="Y333" s="31" t="s">
        <v>376</v>
      </c>
      <c r="Z333" s="100" t="str">
        <f>VLOOKUP(AA333,L7:X267, 13,)</f>
        <v>Marcus Porter</v>
      </c>
      <c r="AA333" s="31">
        <f>LARGE(L7:L267, 24)</f>
        <v>296</v>
      </c>
      <c r="AB333" s="31">
        <f>VLOOKUP(Z333,C7:D267, 2,)</f>
        <v>558</v>
      </c>
      <c r="AC333" s="31">
        <f t="shared" si="58"/>
        <v>0.53046594982078854</v>
      </c>
      <c r="AD333" s="31" t="str">
        <f>VLOOKUP(Z333, C7:E267,3,)</f>
        <v>IV</v>
      </c>
    </row>
    <row r="334" spans="3:35" ht="15.75" thickBot="1" x14ac:dyDescent="0.3">
      <c r="C334" s="175" t="s">
        <v>1219</v>
      </c>
      <c r="D334" s="156" t="s">
        <v>228</v>
      </c>
      <c r="E334" s="107" t="s">
        <v>99</v>
      </c>
      <c r="F334" s="107" t="s">
        <v>215</v>
      </c>
      <c r="G334" s="107" t="s">
        <v>1210</v>
      </c>
      <c r="K334" s="29" t="s">
        <v>1430</v>
      </c>
      <c r="L334" s="31" t="s">
        <v>254</v>
      </c>
      <c r="M334" s="31" t="s">
        <v>1431</v>
      </c>
      <c r="N334" s="31" t="s">
        <v>254</v>
      </c>
      <c r="O334" s="31" t="s">
        <v>254</v>
      </c>
      <c r="P334" s="31" t="s">
        <v>254</v>
      </c>
      <c r="Q334" s="31" t="s">
        <v>1415</v>
      </c>
      <c r="S334" s="31" t="s">
        <v>279</v>
      </c>
      <c r="T334" s="100" t="str">
        <f>VLOOKUP(U334,I7:X267, 16,FALSE)</f>
        <v>Severino</v>
      </c>
      <c r="U334" s="31">
        <f>LARGE(I7:I267, 9)</f>
        <v>193</v>
      </c>
      <c r="V334" s="31">
        <f>VLOOKUP(T334,C7:D267, 2,FALSE)</f>
        <v>414</v>
      </c>
      <c r="W334" s="31">
        <f t="shared" si="60"/>
        <v>0.46618357487922707</v>
      </c>
      <c r="Y334" s="31" t="s">
        <v>379</v>
      </c>
      <c r="Z334" s="100" t="str">
        <f>VLOOKUP(AA334,L7:X267, 13,)</f>
        <v>Nicolas Bérigaud</v>
      </c>
      <c r="AA334" s="31">
        <f>LARGE(L7:L267, 25)</f>
        <v>291</v>
      </c>
      <c r="AB334" s="31">
        <f>VLOOKUP(Z334,C7:D267, 2,)</f>
        <v>310</v>
      </c>
      <c r="AC334" s="31">
        <f t="shared" si="58"/>
        <v>0.93870967741935485</v>
      </c>
      <c r="AD334" s="31" t="str">
        <f>VLOOKUP(Z334, C7:E267,3,)</f>
        <v>LM</v>
      </c>
    </row>
    <row r="335" spans="3:35" x14ac:dyDescent="0.25">
      <c r="C335" s="71" t="s">
        <v>1312</v>
      </c>
      <c r="D335" s="25" t="s">
        <v>225</v>
      </c>
      <c r="E335" s="118" t="s">
        <v>24</v>
      </c>
      <c r="F335" s="118" t="s">
        <v>75</v>
      </c>
      <c r="G335" s="118" t="s">
        <v>1284</v>
      </c>
      <c r="K335" s="29" t="s">
        <v>1487</v>
      </c>
      <c r="L335" s="31" t="s">
        <v>1185</v>
      </c>
      <c r="M335" s="31" t="s">
        <v>1488</v>
      </c>
      <c r="N335" s="31" t="s">
        <v>91</v>
      </c>
      <c r="O335" s="31">
        <v>32</v>
      </c>
      <c r="P335" s="31" t="s">
        <v>130</v>
      </c>
      <c r="Q335" s="31" t="s">
        <v>1489</v>
      </c>
      <c r="S335" s="31" t="s">
        <v>283</v>
      </c>
      <c r="T335" s="100" t="str">
        <f>VLOOKUP(U335,I7:X267, 16,FALSE)</f>
        <v>Javi Villar</v>
      </c>
      <c r="U335" s="31">
        <f>LARGE(I7:I267, 10)</f>
        <v>190</v>
      </c>
      <c r="V335" s="31">
        <f>VLOOKUP(T335,C7:D267, 2,FALSE)</f>
        <v>553</v>
      </c>
      <c r="W335" s="31">
        <f t="shared" si="60"/>
        <v>0.34358047016274862</v>
      </c>
      <c r="Y335" s="31" t="s">
        <v>383</v>
      </c>
      <c r="Z335" s="100" t="str">
        <f>VLOOKUP(AA335,L7:X267, 13,)</f>
        <v>Wellington Monteiro</v>
      </c>
      <c r="AA335" s="31">
        <f>LARGE(L7:L267, 26)</f>
        <v>283</v>
      </c>
      <c r="AB335" s="31">
        <f>VLOOKUP(Z335,C7:D267, 2,)</f>
        <v>313</v>
      </c>
      <c r="AC335" s="31">
        <f t="shared" si="58"/>
        <v>0.90415335463258784</v>
      </c>
      <c r="AD335" s="31" t="str">
        <f>VLOOKUP(Z335, C7:E267,3,)</f>
        <v>ZOM</v>
      </c>
    </row>
    <row r="336" spans="3:35" x14ac:dyDescent="0.25">
      <c r="C336" s="184" t="s">
        <v>1326</v>
      </c>
      <c r="D336" s="121" t="s">
        <v>229</v>
      </c>
      <c r="E336" s="104" t="s">
        <v>102</v>
      </c>
      <c r="F336" s="104" t="s">
        <v>31</v>
      </c>
      <c r="G336" s="104" t="s">
        <v>1323</v>
      </c>
      <c r="M336" s="26"/>
      <c r="Y336" s="31" t="s">
        <v>386</v>
      </c>
      <c r="Z336" s="100" t="str">
        <f>VLOOKUP(AA336,L7:X267, 13,)</f>
        <v>Calum Watt</v>
      </c>
      <c r="AA336" s="31">
        <f>LARGE(L7:L267, 27)</f>
        <v>281</v>
      </c>
      <c r="AB336" s="31">
        <f>VLOOKUP(Z336,C7:D267, 2,)</f>
        <v>275</v>
      </c>
      <c r="AC336" s="31">
        <f t="shared" si="58"/>
        <v>1.0218181818181817</v>
      </c>
      <c r="AD336" s="31" t="str">
        <f>VLOOKUP(Z336, C7:E267,3,)</f>
        <v>RM</v>
      </c>
    </row>
    <row r="337" spans="3:30" x14ac:dyDescent="0.25">
      <c r="C337" s="120" t="s">
        <v>1337</v>
      </c>
      <c r="D337" s="121" t="s">
        <v>228</v>
      </c>
      <c r="E337" s="104" t="s">
        <v>94</v>
      </c>
      <c r="F337" s="104" t="s">
        <v>739</v>
      </c>
      <c r="G337" s="104" t="s">
        <v>1323</v>
      </c>
      <c r="K337" s="27" t="s">
        <v>312</v>
      </c>
      <c r="L337" s="28" t="s">
        <v>244</v>
      </c>
      <c r="M337" s="28" t="s">
        <v>245</v>
      </c>
      <c r="N337" s="28" t="s">
        <v>4</v>
      </c>
      <c r="O337" s="28" t="s">
        <v>246</v>
      </c>
      <c r="P337" s="28" t="s">
        <v>5</v>
      </c>
      <c r="Q337" s="28" t="s">
        <v>218</v>
      </c>
      <c r="S337" t="s">
        <v>382</v>
      </c>
      <c r="Y337" s="31" t="s">
        <v>390</v>
      </c>
      <c r="Z337" s="100" t="str">
        <f>VLOOKUP(AA337,L7:X267, 13,)</f>
        <v>Severino</v>
      </c>
      <c r="AA337" s="31">
        <f>LARGE(L7:L267, 28)</f>
        <v>273</v>
      </c>
      <c r="AB337" s="31">
        <f>VLOOKUP(Z337,C7:D267, 2,)</f>
        <v>414</v>
      </c>
      <c r="AC337" s="31">
        <f t="shared" si="58"/>
        <v>0.65942028985507251</v>
      </c>
      <c r="AD337" s="31" t="str">
        <f>VLOOKUP(Z337, C7:E267,3,)</f>
        <v>RV</v>
      </c>
    </row>
    <row r="338" spans="3:30" x14ac:dyDescent="0.25">
      <c r="C338" s="159" t="s">
        <v>1338</v>
      </c>
      <c r="D338" s="25" t="s">
        <v>226</v>
      </c>
      <c r="E338" s="118" t="s">
        <v>94</v>
      </c>
      <c r="F338" s="118" t="s">
        <v>739</v>
      </c>
      <c r="G338" s="118" t="s">
        <v>1323</v>
      </c>
      <c r="K338" s="35" t="s">
        <v>313</v>
      </c>
      <c r="L338" s="36" t="s">
        <v>176</v>
      </c>
      <c r="M338" s="37" t="s">
        <v>314</v>
      </c>
      <c r="N338" s="36" t="str">
        <f>VLOOKUP(L338,C7:E267, 3,FALSE)</f>
        <v>ST</v>
      </c>
      <c r="O338" s="36">
        <v>27</v>
      </c>
      <c r="P338" s="36" t="str">
        <f>VLOOKUP(L338,C7:F267, 4,FALSE)</f>
        <v>Schweden</v>
      </c>
      <c r="Q338" s="36" t="s">
        <v>315</v>
      </c>
      <c r="S338" s="28" t="s">
        <v>247</v>
      </c>
      <c r="T338" s="28" t="s">
        <v>2</v>
      </c>
      <c r="U338" s="28" t="s">
        <v>3</v>
      </c>
      <c r="Y338" s="31" t="s">
        <v>392</v>
      </c>
      <c r="Z338" s="100" t="str">
        <f>VLOOKUP(AA338,L7:X267, 13,)</f>
        <v>César Fuentes</v>
      </c>
      <c r="AA338" s="31">
        <f>LARGE(L7:L267, 29)</f>
        <v>270</v>
      </c>
      <c r="AB338" s="31">
        <f>VLOOKUP(Z338,C7:D267, 2,)</f>
        <v>335</v>
      </c>
      <c r="AC338" s="31">
        <f t="shared" si="58"/>
        <v>0.80597014925373134</v>
      </c>
      <c r="AD338" s="31" t="str">
        <f>VLOOKUP(Z338, C7:E267,3,)</f>
        <v>ZM</v>
      </c>
    </row>
    <row r="339" spans="3:30" x14ac:dyDescent="0.25">
      <c r="C339" s="158" t="s">
        <v>1363</v>
      </c>
      <c r="D339" s="121" t="s">
        <v>224</v>
      </c>
      <c r="E339" s="104" t="s">
        <v>91</v>
      </c>
      <c r="F339" s="104" t="s">
        <v>1364</v>
      </c>
      <c r="G339" s="104" t="s">
        <v>1349</v>
      </c>
      <c r="K339" s="35" t="s">
        <v>317</v>
      </c>
      <c r="L339" s="36" t="s">
        <v>93</v>
      </c>
      <c r="M339" s="37" t="s">
        <v>318</v>
      </c>
      <c r="N339" s="36" t="str">
        <f>VLOOKUP(L339,C7:E267, 3,FALSE)</f>
        <v>RF</v>
      </c>
      <c r="O339" s="36">
        <v>26</v>
      </c>
      <c r="P339" s="36" t="str">
        <f>VLOOKUP(L339,C7:F267, 4,FALSE)</f>
        <v>Italien</v>
      </c>
      <c r="Q339" s="36" t="s">
        <v>278</v>
      </c>
      <c r="S339" s="31" t="s">
        <v>255</v>
      </c>
      <c r="T339" s="100" t="str">
        <f>VLOOKUP(U339,D7:X267, 21,FALSE)</f>
        <v>Daniel Erdmann</v>
      </c>
      <c r="U339" s="31">
        <f>MAX(D7:D267)</f>
        <v>804</v>
      </c>
      <c r="Y339" s="100" t="s">
        <v>393</v>
      </c>
      <c r="Z339" s="100" t="str">
        <f>VLOOKUP(AA339,L7:X267, 13,)</f>
        <v>Malik Babiloni</v>
      </c>
      <c r="AA339" s="31">
        <f>LARGE(L7:L267, 30)</f>
        <v>263</v>
      </c>
      <c r="AB339" s="31">
        <f>VLOOKUP(Z339,C7:D267, 2,)</f>
        <v>184</v>
      </c>
      <c r="AC339" s="31">
        <f t="shared" si="58"/>
        <v>1.4293478260869565</v>
      </c>
      <c r="AD339" s="31" t="str">
        <f>VLOOKUP(Z339, C7:E267,3,)</f>
        <v>ST</v>
      </c>
    </row>
    <row r="340" spans="3:30" x14ac:dyDescent="0.25">
      <c r="C340" s="158" t="s">
        <v>1365</v>
      </c>
      <c r="D340" s="121" t="s">
        <v>222</v>
      </c>
      <c r="E340" s="104" t="s">
        <v>96</v>
      </c>
      <c r="F340" s="104" t="s">
        <v>44</v>
      </c>
      <c r="G340" s="104" t="s">
        <v>1349</v>
      </c>
      <c r="K340" s="35" t="s">
        <v>320</v>
      </c>
      <c r="L340" s="36" t="s">
        <v>846</v>
      </c>
      <c r="M340" s="37" t="s">
        <v>1306</v>
      </c>
      <c r="N340" s="36" t="str">
        <f>VLOOKUP(L340,C7:E267, 3,FALSE)</f>
        <v>TW</v>
      </c>
      <c r="O340" s="36">
        <v>23</v>
      </c>
      <c r="P340" s="36" t="str">
        <f>VLOOKUP(L340,C7:F267, 4,FALSE)</f>
        <v>Frankreich</v>
      </c>
      <c r="Q340" s="36" t="s">
        <v>1284</v>
      </c>
      <c r="S340" s="31" t="s">
        <v>258</v>
      </c>
      <c r="T340" s="30" t="str">
        <f>VLOOKUP(U340,D7:X267, 21,FALSE)</f>
        <v>Aykut Cigerci</v>
      </c>
      <c r="U340" s="31">
        <f>LARGE(D7:D267, 2)</f>
        <v>704</v>
      </c>
      <c r="Y340" s="31" t="s">
        <v>395</v>
      </c>
      <c r="Z340" s="100" t="str">
        <f>VLOOKUP(AA340,L7:X267, 13,)</f>
        <v>Andre Paneira</v>
      </c>
      <c r="AA340" s="31">
        <f>LARGE(L7:L267, 31)</f>
        <v>261</v>
      </c>
      <c r="AB340" s="31">
        <f>VLOOKUP(Z340,C7:D267, 2,)</f>
        <v>339</v>
      </c>
      <c r="AC340" s="31">
        <f t="shared" si="58"/>
        <v>0.76991150442477874</v>
      </c>
      <c r="AD340" s="31" t="str">
        <f>VLOOKUP(Z340, C7:E267,3,)</f>
        <v>RF</v>
      </c>
    </row>
    <row r="341" spans="3:30" x14ac:dyDescent="0.25">
      <c r="C341" s="184" t="s">
        <v>1366</v>
      </c>
      <c r="D341" s="121" t="s">
        <v>219</v>
      </c>
      <c r="E341" s="104" t="s">
        <v>99</v>
      </c>
      <c r="F341" s="104" t="s">
        <v>31</v>
      </c>
      <c r="G341" s="104" t="s">
        <v>1349</v>
      </c>
      <c r="J341" s="187" t="s">
        <v>327</v>
      </c>
      <c r="K341" s="35" t="s">
        <v>328</v>
      </c>
      <c r="L341" s="36" t="s">
        <v>176</v>
      </c>
      <c r="M341" s="36" t="s">
        <v>329</v>
      </c>
      <c r="N341" s="36" t="str">
        <f>VLOOKUP(L341,C7:E267, 3,FALSE)</f>
        <v>ST</v>
      </c>
      <c r="O341" s="36">
        <v>27</v>
      </c>
      <c r="P341" s="36" t="str">
        <f>VLOOKUP(L341,C7:F267, 4,FALSE)</f>
        <v>Schweden</v>
      </c>
      <c r="Q341" s="36" t="s">
        <v>315</v>
      </c>
      <c r="S341" s="31" t="s">
        <v>261</v>
      </c>
      <c r="T341" s="100" t="str">
        <f>VLOOKUP(U341,D7:X267, 21,FALSE)</f>
        <v>Yong Tae Park</v>
      </c>
      <c r="U341" s="31">
        <f>LARGE(D7:D267, 3)</f>
        <v>681</v>
      </c>
      <c r="Y341" s="31" t="s">
        <v>398</v>
      </c>
      <c r="Z341" s="100" t="str">
        <f>VLOOKUP(AA341,L7:X267, 13,)</f>
        <v>Aaron O'Sullivan</v>
      </c>
      <c r="AA341" s="31">
        <f>LARGE(L7:L267, 32)</f>
        <v>259</v>
      </c>
      <c r="AB341" s="31">
        <f>VLOOKUP(Z341,C7:D267, 2,)</f>
        <v>441</v>
      </c>
      <c r="AC341" s="31">
        <f t="shared" si="58"/>
        <v>0.58730158730158732</v>
      </c>
      <c r="AD341" s="31" t="str">
        <f>VLOOKUP(Z341, C7:E267,3,)</f>
        <v>RV</v>
      </c>
    </row>
    <row r="342" spans="3:30" x14ac:dyDescent="0.25">
      <c r="C342" s="158" t="s">
        <v>1367</v>
      </c>
      <c r="D342" s="121" t="s">
        <v>226</v>
      </c>
      <c r="E342" s="104" t="s">
        <v>46</v>
      </c>
      <c r="F342" s="104" t="s">
        <v>31</v>
      </c>
      <c r="G342" s="104" t="s">
        <v>1349</v>
      </c>
      <c r="J342" s="187"/>
      <c r="K342" s="35" t="s">
        <v>335</v>
      </c>
      <c r="L342" s="36" t="s">
        <v>93</v>
      </c>
      <c r="M342" s="36" t="s">
        <v>318</v>
      </c>
      <c r="N342" s="36" t="str">
        <f>VLOOKUP(L342,C7:E267, 3,FALSE)</f>
        <v>RF</v>
      </c>
      <c r="O342" s="36">
        <v>26</v>
      </c>
      <c r="P342" s="36" t="str">
        <f>VLOOKUP(L342,C7:F267, 4,FALSE)</f>
        <v>Italien</v>
      </c>
      <c r="Q342" s="36" t="s">
        <v>347</v>
      </c>
      <c r="S342" s="31" t="s">
        <v>263</v>
      </c>
      <c r="T342" s="30" t="str">
        <f>VLOOKUP(U342,D7:X267, 21,FALSE)</f>
        <v>Thomas Mendes</v>
      </c>
      <c r="U342" s="31">
        <f>LARGE(D7:D267, 4)</f>
        <v>641</v>
      </c>
      <c r="Y342" s="31" t="s">
        <v>401</v>
      </c>
      <c r="Z342" s="100" t="str">
        <f>VLOOKUP(AA342,L7:X267, 13,)</f>
        <v>Gérard Deulofeu</v>
      </c>
      <c r="AA342" s="31">
        <f>LARGE(L7:L267, 33)</f>
        <v>255</v>
      </c>
      <c r="AB342" s="31">
        <f>VLOOKUP(Z342,C7:D267, 2,)</f>
        <v>201</v>
      </c>
      <c r="AC342" s="31">
        <f t="shared" ref="AC342:AC359" si="61">AA342/AB342</f>
        <v>1.2686567164179106</v>
      </c>
      <c r="AD342" s="31" t="str">
        <f>VLOOKUP(Z342, C7:E267,3,)</f>
        <v>RF</v>
      </c>
    </row>
    <row r="343" spans="3:30" x14ac:dyDescent="0.25">
      <c r="C343" s="158" t="s">
        <v>1368</v>
      </c>
      <c r="D343" s="121" t="s">
        <v>219</v>
      </c>
      <c r="E343" s="104" t="s">
        <v>91</v>
      </c>
      <c r="F343" s="104" t="s">
        <v>31</v>
      </c>
      <c r="G343" s="104" t="s">
        <v>1349</v>
      </c>
      <c r="J343" s="187"/>
      <c r="K343" s="35" t="s">
        <v>338</v>
      </c>
      <c r="L343" s="36" t="s">
        <v>754</v>
      </c>
      <c r="M343" s="36" t="s">
        <v>1307</v>
      </c>
      <c r="N343" s="36" t="str">
        <f>VLOOKUP(L343,C7:E267, 3,FALSE)</f>
        <v>ST</v>
      </c>
      <c r="O343" s="36">
        <v>28</v>
      </c>
      <c r="P343" s="36" t="str">
        <f>VLOOKUP(L343,C7:F267, 4,FALSE)</f>
        <v>Frankreich</v>
      </c>
      <c r="Q343" s="36" t="s">
        <v>1284</v>
      </c>
      <c r="S343" s="31" t="s">
        <v>265</v>
      </c>
      <c r="T343" s="100" t="str">
        <f>VLOOKUP(U343,D7:X267, 21,FALSE)</f>
        <v>Jérémy Astier</v>
      </c>
      <c r="U343" s="31">
        <f>LARGE(D7:D267, 5)</f>
        <v>615</v>
      </c>
      <c r="Y343" s="31" t="s">
        <v>403</v>
      </c>
      <c r="Z343" s="100" t="str">
        <f>VLOOKUP(AA343,L7:X267, 13,)</f>
        <v>Facundo Cardozo</v>
      </c>
      <c r="AA343" s="31">
        <f>LARGE(L7:L267, 34)</f>
        <v>254</v>
      </c>
      <c r="AB343" s="31">
        <f>VLOOKUP(Z343,C7:D267, 2,)</f>
        <v>568</v>
      </c>
      <c r="AC343" s="31">
        <f t="shared" si="61"/>
        <v>0.44718309859154931</v>
      </c>
      <c r="AD343" s="31" t="str">
        <f>VLOOKUP(Z343, C7:E267,3,)</f>
        <v>IV</v>
      </c>
    </row>
    <row r="344" spans="3:30" x14ac:dyDescent="0.25">
      <c r="C344" s="71" t="s">
        <v>1369</v>
      </c>
      <c r="D344" s="25" t="s">
        <v>228</v>
      </c>
      <c r="E344" s="118" t="s">
        <v>91</v>
      </c>
      <c r="F344" s="118" t="s">
        <v>747</v>
      </c>
      <c r="G344" s="118" t="s">
        <v>1349</v>
      </c>
      <c r="J344" s="188" t="s">
        <v>89</v>
      </c>
      <c r="K344" s="35" t="s">
        <v>341</v>
      </c>
      <c r="L344" s="36" t="s">
        <v>90</v>
      </c>
      <c r="M344" s="36" t="s">
        <v>342</v>
      </c>
      <c r="N344" s="36" t="str">
        <f>VLOOKUP(L344,C7:E267, 3,FALSE)</f>
        <v>ZOM</v>
      </c>
      <c r="O344" s="36">
        <v>25</v>
      </c>
      <c r="P344" s="36" t="str">
        <f>VLOOKUP(L344,C7:F267, 4,FALSE)</f>
        <v>Schweiz</v>
      </c>
      <c r="Q344" s="36" t="s">
        <v>343</v>
      </c>
      <c r="S344" s="31" t="s">
        <v>269</v>
      </c>
      <c r="T344" s="100" t="str">
        <f>VLOOKUP(U344,D7:X267, 21,FALSE)</f>
        <v>Kyun Won Hwang</v>
      </c>
      <c r="U344" s="31">
        <f>LARGE(D7:D267, 6)</f>
        <v>596</v>
      </c>
      <c r="Y344" s="31" t="s">
        <v>407</v>
      </c>
      <c r="Z344" s="100" t="str">
        <f>VLOOKUP(AA344,L7:X267, 13,)</f>
        <v>Daniele Nicolao</v>
      </c>
      <c r="AA344" s="31">
        <f>LARGE(L7:L267, 35)</f>
        <v>248</v>
      </c>
      <c r="AB344" s="31">
        <f>VLOOKUP(Z344,C7:D267, 2,)</f>
        <v>180</v>
      </c>
      <c r="AC344" s="31">
        <f t="shared" si="61"/>
        <v>1.3777777777777778</v>
      </c>
      <c r="AD344" s="31" t="str">
        <f>VLOOKUP(Z344, C7:E267,3,)</f>
        <v>RF</v>
      </c>
    </row>
    <row r="345" spans="3:30" x14ac:dyDescent="0.25">
      <c r="C345" s="184" t="s">
        <v>1385</v>
      </c>
      <c r="D345" s="121" t="s">
        <v>230</v>
      </c>
      <c r="E345" s="104" t="s">
        <v>183</v>
      </c>
      <c r="F345" s="104" t="s">
        <v>44</v>
      </c>
      <c r="G345" s="104" t="s">
        <v>1374</v>
      </c>
      <c r="J345" s="188"/>
      <c r="K345" s="35" t="s">
        <v>346</v>
      </c>
      <c r="L345" s="36" t="s">
        <v>1308</v>
      </c>
      <c r="M345" s="36" t="s">
        <v>1264</v>
      </c>
      <c r="N345" s="36" t="e">
        <f>VLOOKUP(L345,C7:E267, 3,FALSE)</f>
        <v>#N/A</v>
      </c>
      <c r="O345" s="36" t="s">
        <v>1309</v>
      </c>
      <c r="P345" s="36" t="e">
        <f>VLOOKUP(L345,C7:F267, 4,FALSE)</f>
        <v>#N/A</v>
      </c>
      <c r="Q345" s="36" t="s">
        <v>1310</v>
      </c>
      <c r="S345" s="31" t="s">
        <v>272</v>
      </c>
      <c r="T345" s="100" t="str">
        <f>VLOOKUP(U345,D7:X267, 21,FALSE)</f>
        <v>Facundo Cardozo</v>
      </c>
      <c r="U345" s="31">
        <f>LARGE(D7:D267, 7)</f>
        <v>568</v>
      </c>
      <c r="Y345" s="31" t="s">
        <v>410</v>
      </c>
      <c r="Z345" s="100" t="str">
        <f>VLOOKUP(AA345,L7:X267, 13,)</f>
        <v>Kyun Won Hwang</v>
      </c>
      <c r="AA345" s="31">
        <f>LARGE(L7:L267, 36)</f>
        <v>242</v>
      </c>
      <c r="AB345" s="31">
        <f>VLOOKUP(Z345,C7:D267, 2,)</f>
        <v>596</v>
      </c>
      <c r="AC345" s="31">
        <f t="shared" si="61"/>
        <v>0.40604026845637586</v>
      </c>
      <c r="AD345" s="31" t="str">
        <f>VLOOKUP(Z345, C7:E267,3,)</f>
        <v>IV</v>
      </c>
    </row>
    <row r="346" spans="3:30" x14ac:dyDescent="0.25">
      <c r="C346" s="120" t="s">
        <v>1386</v>
      </c>
      <c r="D346" s="121" t="s">
        <v>228</v>
      </c>
      <c r="E346" s="104" t="s">
        <v>24</v>
      </c>
      <c r="F346" s="104" t="s">
        <v>747</v>
      </c>
      <c r="G346" s="104" t="s">
        <v>1374</v>
      </c>
      <c r="J346" s="188"/>
      <c r="K346" s="35" t="s">
        <v>351</v>
      </c>
      <c r="L346" s="36" t="s">
        <v>112</v>
      </c>
      <c r="M346" s="36" t="s">
        <v>321</v>
      </c>
      <c r="N346" s="36" t="str">
        <f>VLOOKUP(L346,C7:E267, 3,FALSE)</f>
        <v>LM</v>
      </c>
      <c r="O346" s="36">
        <v>22</v>
      </c>
      <c r="P346" s="36" t="str">
        <f>VLOOKUP(L346,C7:F267, 4,FALSE)</f>
        <v>Bosnien</v>
      </c>
      <c r="Q346" s="36" t="s">
        <v>268</v>
      </c>
      <c r="S346" s="31" t="s">
        <v>275</v>
      </c>
      <c r="T346" s="100" t="str">
        <f>VLOOKUP(U346,D7:X267, 21,FALSE)</f>
        <v>Marcus Porter</v>
      </c>
      <c r="U346" s="31">
        <f>LARGE(D7:D267, 8)</f>
        <v>558</v>
      </c>
      <c r="Y346" s="31" t="s">
        <v>412</v>
      </c>
      <c r="Z346" s="30" t="str">
        <f>VLOOKUP(AA346,L7:X267, 13,)</f>
        <v>Mickaël Fradj</v>
      </c>
      <c r="AA346" s="31">
        <f>LARGE(L7:L267, 37)</f>
        <v>226</v>
      </c>
      <c r="AB346" s="31">
        <f>VLOOKUP(Z346,C7:D267, 2,)</f>
        <v>262</v>
      </c>
      <c r="AC346" s="31">
        <f t="shared" si="61"/>
        <v>0.86259541984732824</v>
      </c>
      <c r="AD346" s="31" t="str">
        <f>VLOOKUP(Z346, C7:E267,3,)</f>
        <v>ZM</v>
      </c>
    </row>
    <row r="347" spans="3:30" x14ac:dyDescent="0.25">
      <c r="C347" s="159" t="s">
        <v>1387</v>
      </c>
      <c r="D347" s="25" t="s">
        <v>227</v>
      </c>
      <c r="E347" s="118" t="s">
        <v>91</v>
      </c>
      <c r="F347" s="118" t="s">
        <v>192</v>
      </c>
      <c r="G347" s="118" t="s">
        <v>1374</v>
      </c>
      <c r="J347" s="186" t="s">
        <v>355</v>
      </c>
      <c r="K347" s="35" t="s">
        <v>356</v>
      </c>
      <c r="L347" s="36" t="s">
        <v>827</v>
      </c>
      <c r="M347" s="36" t="s">
        <v>1178</v>
      </c>
      <c r="N347" s="36" t="str">
        <f>VLOOKUP(L347,C7:E267, 3,FALSE)</f>
        <v>IV</v>
      </c>
      <c r="O347" s="36">
        <v>26</v>
      </c>
      <c r="P347" s="36" t="str">
        <f>VLOOKUP(L347,C7:F267, 4,FALSE)</f>
        <v>England</v>
      </c>
      <c r="Q347" s="36" t="s">
        <v>1013</v>
      </c>
      <c r="S347" s="31" t="s">
        <v>279</v>
      </c>
      <c r="T347" s="100" t="str">
        <f>VLOOKUP(U347,D7:X267, 21,FALSE)</f>
        <v>Javi Villar</v>
      </c>
      <c r="U347" s="31">
        <f>LARGE(D7:D267, 9)</f>
        <v>553</v>
      </c>
      <c r="Y347" s="31" t="s">
        <v>416</v>
      </c>
      <c r="Z347" s="100" t="str">
        <f>VLOOKUP(AA347,L7:X267, 13,)</f>
        <v>Waseem Al-Sahhah</v>
      </c>
      <c r="AA347" s="31">
        <f>LARGE(L7:L267, 38)</f>
        <v>212</v>
      </c>
      <c r="AB347" s="31">
        <f>VLOOKUP(Z347,C7:D267, 2,)</f>
        <v>239</v>
      </c>
      <c r="AC347" s="31">
        <f t="shared" si="61"/>
        <v>0.88702928870292885</v>
      </c>
      <c r="AD347" s="31" t="str">
        <f>VLOOKUP(Z347, C7:E267,3,)</f>
        <v>ST</v>
      </c>
    </row>
    <row r="348" spans="3:30" x14ac:dyDescent="0.25">
      <c r="C348" s="120" t="s">
        <v>1413</v>
      </c>
      <c r="D348" s="121" t="s">
        <v>228</v>
      </c>
      <c r="E348" s="104" t="s">
        <v>91</v>
      </c>
      <c r="F348" s="104" t="s">
        <v>747</v>
      </c>
      <c r="G348" s="104" t="s">
        <v>1415</v>
      </c>
      <c r="J348" s="186"/>
      <c r="K348" s="35" t="s">
        <v>359</v>
      </c>
      <c r="L348" s="36" t="s">
        <v>45</v>
      </c>
      <c r="M348" s="36" t="s">
        <v>360</v>
      </c>
      <c r="N348" s="36" t="str">
        <f>VLOOKUP(L348,C7:E267, 3,FALSE)</f>
        <v>RV</v>
      </c>
      <c r="O348" s="36">
        <v>25</v>
      </c>
      <c r="P348" s="36" t="str">
        <f>VLOOKUP(L348,C7:F267, 4,FALSE)</f>
        <v>Österreich</v>
      </c>
      <c r="Q348" s="36" t="s">
        <v>286</v>
      </c>
      <c r="S348" s="31" t="s">
        <v>283</v>
      </c>
      <c r="T348" s="100" t="str">
        <f>VLOOKUP(U348,D7:X267, 21,FALSE)</f>
        <v>Javier Fernandez</v>
      </c>
      <c r="U348" s="31">
        <f>LARGE(D7:D267, 10)</f>
        <v>534</v>
      </c>
      <c r="Y348" s="31" t="s">
        <v>419</v>
      </c>
      <c r="Z348" s="100" t="str">
        <f>VLOOKUP(AA348,L7:X267, 13,)</f>
        <v>Ho Peng</v>
      </c>
      <c r="AA348" s="31">
        <f>LARGE(L7:L267, 39)</f>
        <v>211</v>
      </c>
      <c r="AB348" s="31">
        <f>VLOOKUP(Z348,C7:D267, 2,)</f>
        <v>283</v>
      </c>
      <c r="AC348" s="31">
        <f t="shared" si="61"/>
        <v>0.74558303886925792</v>
      </c>
      <c r="AD348" s="31" t="str">
        <f>VLOOKUP(Z348, C7:E267,3,)</f>
        <v>ZM</v>
      </c>
    </row>
    <row r="349" spans="3:30" x14ac:dyDescent="0.25">
      <c r="C349" s="158" t="s">
        <v>1412</v>
      </c>
      <c r="D349" s="121" t="s">
        <v>227</v>
      </c>
      <c r="E349" s="104" t="s">
        <v>102</v>
      </c>
      <c r="F349" s="104" t="s">
        <v>59</v>
      </c>
      <c r="G349" s="104" t="s">
        <v>1415</v>
      </c>
      <c r="J349" s="186"/>
      <c r="K349" s="35" t="s">
        <v>365</v>
      </c>
      <c r="L349" s="36" t="s">
        <v>1187</v>
      </c>
      <c r="M349" s="36" t="s">
        <v>1311</v>
      </c>
      <c r="N349" s="36" t="str">
        <f>VLOOKUP(L349,C7:E267, 3,FALSE)</f>
        <v>LV</v>
      </c>
      <c r="O349" s="36">
        <v>25</v>
      </c>
      <c r="P349" s="36" t="str">
        <f>VLOOKUP(L349,C7:F267, 4,FALSE)</f>
        <v>Spanien</v>
      </c>
      <c r="Q349" s="36" t="s">
        <v>1284</v>
      </c>
      <c r="Y349" s="31" t="s">
        <v>423</v>
      </c>
      <c r="Z349" s="31" t="str">
        <f>VLOOKUP(AA349,L7:X267, 13,)</f>
        <v>Nir Kayal</v>
      </c>
      <c r="AA349" s="31">
        <f>LARGE(L7:L267, 40)</f>
        <v>200</v>
      </c>
      <c r="AB349" s="31">
        <f>VLOOKUP(Z349,C7:D267, 2,)</f>
        <v>312</v>
      </c>
      <c r="AC349" s="31">
        <f t="shared" si="61"/>
        <v>0.64102564102564108</v>
      </c>
      <c r="AD349" s="31" t="str">
        <f>VLOOKUP(Z349, C7:E267,3,)</f>
        <v>ZDM</v>
      </c>
    </row>
    <row r="350" spans="3:30" x14ac:dyDescent="0.25">
      <c r="C350" s="184" t="s">
        <v>1409</v>
      </c>
      <c r="D350" s="121" t="s">
        <v>219</v>
      </c>
      <c r="E350" s="104" t="s">
        <v>49</v>
      </c>
      <c r="F350" s="104" t="s">
        <v>59</v>
      </c>
      <c r="G350" s="104" t="s">
        <v>1415</v>
      </c>
      <c r="J350" s="39" t="s">
        <v>1</v>
      </c>
      <c r="K350" s="35" t="s">
        <v>368</v>
      </c>
      <c r="L350" s="36" t="s">
        <v>846</v>
      </c>
      <c r="M350" s="36" t="s">
        <v>1306</v>
      </c>
      <c r="N350" s="36" t="s">
        <v>24</v>
      </c>
      <c r="O350" s="36">
        <v>23</v>
      </c>
      <c r="P350" s="36" t="s">
        <v>31</v>
      </c>
      <c r="Q350" s="36" t="s">
        <v>1284</v>
      </c>
      <c r="Y350" s="31" t="s">
        <v>425</v>
      </c>
      <c r="Z350" s="100" t="str">
        <f>VLOOKUP(AA350,L7:X267, 13,)</f>
        <v>Solomon March</v>
      </c>
      <c r="AA350" s="31">
        <f>LARGE(L7:L267, 41)</f>
        <v>196</v>
      </c>
      <c r="AB350" s="31">
        <f>VLOOKUP(Z350,C7:D267, 2,)</f>
        <v>276</v>
      </c>
      <c r="AC350" s="31">
        <f t="shared" si="61"/>
        <v>0.71014492753623193</v>
      </c>
      <c r="AD350" s="31" t="str">
        <f>VLOOKUP(Z350, C7:E267,3,)</f>
        <v>LM</v>
      </c>
    </row>
    <row r="351" spans="3:30" x14ac:dyDescent="0.25">
      <c r="C351" s="120" t="s">
        <v>1405</v>
      </c>
      <c r="D351" s="121" t="s">
        <v>228</v>
      </c>
      <c r="E351" s="104" t="s">
        <v>46</v>
      </c>
      <c r="F351" s="104" t="s">
        <v>125</v>
      </c>
      <c r="G351" s="104" t="s">
        <v>1415</v>
      </c>
      <c r="J351" s="189" t="s">
        <v>372</v>
      </c>
      <c r="K351" s="35" t="s">
        <v>373</v>
      </c>
      <c r="L351" s="36" t="s">
        <v>181</v>
      </c>
      <c r="M351" s="36" t="s">
        <v>374</v>
      </c>
      <c r="N351" s="36" t="str">
        <f>VLOOKUP(L351,C7:E267, 3,FALSE)</f>
        <v>ST</v>
      </c>
      <c r="O351" s="36">
        <v>21</v>
      </c>
      <c r="P351" s="36" t="str">
        <f>VLOOKUP(L351,C7:F267, 4,FALSE)</f>
        <v>Frankreich</v>
      </c>
      <c r="Q351" s="36" t="s">
        <v>375</v>
      </c>
      <c r="Y351" s="31" t="s">
        <v>428</v>
      </c>
      <c r="Z351" s="100" t="str">
        <f>VLOOKUP(AA351,L7:X267, 13,)</f>
        <v>Alberto Gomez Falcon</v>
      </c>
      <c r="AA351" s="31">
        <f>LARGE(L7:L267, 42)</f>
        <v>191</v>
      </c>
      <c r="AB351" s="31">
        <f>VLOOKUP(Z351,C7:D267, 2,)</f>
        <v>255</v>
      </c>
      <c r="AC351" s="31">
        <f t="shared" si="61"/>
        <v>0.74901960784313726</v>
      </c>
      <c r="AD351" s="31" t="str">
        <f>VLOOKUP(Z351, C7:E267,3,)</f>
        <v>LV</v>
      </c>
    </row>
    <row r="352" spans="3:30" x14ac:dyDescent="0.25">
      <c r="C352" s="176" t="s">
        <v>1408</v>
      </c>
      <c r="D352" s="20" t="s">
        <v>227</v>
      </c>
      <c r="E352" s="104" t="s">
        <v>49</v>
      </c>
      <c r="F352" s="104" t="s">
        <v>59</v>
      </c>
      <c r="G352" s="104" t="s">
        <v>1415</v>
      </c>
      <c r="J352" s="189"/>
      <c r="K352" s="35" t="s">
        <v>378</v>
      </c>
      <c r="L352" s="36" t="s">
        <v>1189</v>
      </c>
      <c r="M352" s="36" t="s">
        <v>1447</v>
      </c>
      <c r="N352" s="36" t="s">
        <v>177</v>
      </c>
      <c r="O352" s="36">
        <v>27</v>
      </c>
      <c r="P352" s="36" t="s">
        <v>37</v>
      </c>
      <c r="Q352" s="36" t="s">
        <v>1415</v>
      </c>
      <c r="Y352" s="31" t="s">
        <v>429</v>
      </c>
      <c r="Z352" s="100" t="str">
        <f>VLOOKUP(AA352,L7:X267, 13,)</f>
        <v>Jacob Murphy</v>
      </c>
      <c r="AA352" s="31">
        <f>LARGE(L7:L267, 43)</f>
        <v>188</v>
      </c>
      <c r="AB352" s="31">
        <f>VLOOKUP(Z352,C7:D267, 2,)</f>
        <v>175</v>
      </c>
      <c r="AC352" s="31">
        <f t="shared" si="61"/>
        <v>1.0742857142857143</v>
      </c>
      <c r="AD352" s="31" t="str">
        <f>VLOOKUP(Z352, C7:E267,3,)</f>
        <v>RM</v>
      </c>
    </row>
    <row r="353" spans="3:30" x14ac:dyDescent="0.25">
      <c r="C353" s="171" t="s">
        <v>1411</v>
      </c>
      <c r="D353" s="20" t="s">
        <v>230</v>
      </c>
      <c r="E353" s="104" t="s">
        <v>99</v>
      </c>
      <c r="F353" s="104" t="s">
        <v>59</v>
      </c>
      <c r="G353" s="104" t="s">
        <v>1415</v>
      </c>
      <c r="K353" s="35" t="s">
        <v>381</v>
      </c>
      <c r="L353" s="36" t="s">
        <v>176</v>
      </c>
      <c r="M353" s="36">
        <f>MAX(J221:J267)</f>
        <v>8.18888888888889</v>
      </c>
      <c r="N353" s="36" t="str">
        <f>VLOOKUP(L353,C7:E267, 3,FALSE)</f>
        <v>ST</v>
      </c>
      <c r="O353" s="36" t="s">
        <v>254</v>
      </c>
      <c r="P353" s="36" t="str">
        <f>VLOOKUP(L353,C7:F267, 4,FALSE)</f>
        <v>Schweden</v>
      </c>
      <c r="Q353" s="36" t="s">
        <v>254</v>
      </c>
      <c r="Y353" s="31" t="s">
        <v>432</v>
      </c>
      <c r="Z353" s="100" t="str">
        <f>VLOOKUP(AA353,L7:X267, 13,)</f>
        <v>Jacob Murphy</v>
      </c>
      <c r="AA353" s="31">
        <f>LARGE(L7:L267, 44)</f>
        <v>188</v>
      </c>
      <c r="AB353" s="31">
        <f>VLOOKUP(Z353,C7:D267, 2,)</f>
        <v>175</v>
      </c>
      <c r="AC353" s="31">
        <f t="shared" si="61"/>
        <v>1.0742857142857143</v>
      </c>
      <c r="AD353" s="31" t="str">
        <f>VLOOKUP(Z353, C7:E267,3,)</f>
        <v>RM</v>
      </c>
    </row>
    <row r="354" spans="3:30" x14ac:dyDescent="0.25">
      <c r="C354" s="159" t="s">
        <v>1414</v>
      </c>
      <c r="D354" s="25" t="s">
        <v>230</v>
      </c>
      <c r="E354" s="118" t="s">
        <v>177</v>
      </c>
      <c r="F354" s="118" t="s">
        <v>31</v>
      </c>
      <c r="G354" s="118" t="s">
        <v>1415</v>
      </c>
      <c r="K354" s="35" t="s">
        <v>385</v>
      </c>
      <c r="L354" s="36" t="s">
        <v>90</v>
      </c>
      <c r="M354" s="36">
        <f>MAX(J105:J217)</f>
        <v>7.7999999999999989</v>
      </c>
      <c r="N354" s="36" t="str">
        <f>VLOOKUP(L354,C7:E267, 3,FALSE)</f>
        <v>ZOM</v>
      </c>
      <c r="O354" s="36" t="s">
        <v>254</v>
      </c>
      <c r="P354" s="36" t="str">
        <f>VLOOKUP(L354,C7:F267, 4,FALSE)</f>
        <v>Schweiz</v>
      </c>
      <c r="Q354" s="36" t="s">
        <v>254</v>
      </c>
      <c r="Y354" s="31" t="s">
        <v>434</v>
      </c>
      <c r="Z354" s="100" t="str">
        <f>VLOOKUP(AA354,L7:X267, 13,)</f>
        <v>Tiécoro Keita</v>
      </c>
      <c r="AA354" s="31">
        <f>LARGE(L7:L267, 45)</f>
        <v>180</v>
      </c>
      <c r="AB354" s="31">
        <f>VLOOKUP(Z354,C7:D267, 2,)</f>
        <v>191</v>
      </c>
      <c r="AC354" s="31">
        <f t="shared" si="61"/>
        <v>0.94240837696335078</v>
      </c>
      <c r="AD354" s="31" t="str">
        <f>VLOOKUP(Z354, C7:E267,3,)</f>
        <v>LF</v>
      </c>
    </row>
    <row r="355" spans="3:30" x14ac:dyDescent="0.25">
      <c r="C355" s="91" t="s">
        <v>1528</v>
      </c>
      <c r="D355" s="92" t="s">
        <v>228</v>
      </c>
      <c r="E355" s="105" t="s">
        <v>190</v>
      </c>
      <c r="F355" s="105" t="s">
        <v>195</v>
      </c>
      <c r="G355" s="105" t="s">
        <v>1468</v>
      </c>
      <c r="K355" s="35" t="s">
        <v>389</v>
      </c>
      <c r="L355" s="36" t="s">
        <v>45</v>
      </c>
      <c r="M355" s="36">
        <v>7.42</v>
      </c>
      <c r="N355" s="36" t="str">
        <f>VLOOKUP(L355,C7:E267, 3,FALSE)</f>
        <v>RV</v>
      </c>
      <c r="O355" s="36" t="s">
        <v>254</v>
      </c>
      <c r="P355" s="36" t="str">
        <f>VLOOKUP(L355,C7:F267, 4,FALSE)</f>
        <v>Österreich</v>
      </c>
      <c r="Q355" s="36" t="s">
        <v>254</v>
      </c>
      <c r="Y355" s="31" t="s">
        <v>436</v>
      </c>
      <c r="Z355" s="100" t="str">
        <f>VLOOKUP(AA355,L7:X267, 13,)</f>
        <v>Marco Herrera</v>
      </c>
      <c r="AA355" s="31">
        <f>LARGE(L7:L267, 46)</f>
        <v>170</v>
      </c>
      <c r="AB355" s="31">
        <f>VLOOKUP(Z355,C7:D267, 2,)</f>
        <v>207</v>
      </c>
      <c r="AC355" s="31">
        <f t="shared" si="61"/>
        <v>0.82125603864734298</v>
      </c>
      <c r="AD355" s="31" t="str">
        <f>VLOOKUP(Z355, C7:E267,3,)</f>
        <v>ZM</v>
      </c>
    </row>
    <row r="356" spans="3:30" x14ac:dyDescent="0.25">
      <c r="C356" s="171"/>
      <c r="D356" s="20"/>
      <c r="E356" s="104"/>
      <c r="F356" s="104"/>
      <c r="G356" s="104"/>
      <c r="K356" s="35" t="s">
        <v>391</v>
      </c>
      <c r="L356" s="36" t="s">
        <v>23</v>
      </c>
      <c r="M356" s="36">
        <f>6.99</f>
        <v>6.99</v>
      </c>
      <c r="N356" s="36" t="str">
        <f>VLOOKUP(L356,C7:E267, 3,FALSE)</f>
        <v>TW</v>
      </c>
      <c r="O356" s="36" t="s">
        <v>254</v>
      </c>
      <c r="P356" s="36" t="str">
        <f>VLOOKUP(L356,C7:F267, 4,FALSE)</f>
        <v>Mali</v>
      </c>
      <c r="Q356" s="36" t="s">
        <v>254</v>
      </c>
      <c r="Y356" s="31" t="s">
        <v>438</v>
      </c>
      <c r="Z356" s="31" t="str">
        <f>VLOOKUP(AA356,L7:X267, 13,)</f>
        <v>Idriss Bourillon</v>
      </c>
      <c r="AA356" s="31">
        <f>LARGE(L7:L267, 47)</f>
        <v>167</v>
      </c>
      <c r="AB356" s="31">
        <f>VLOOKUP(Z356,C7:D267, 2,)</f>
        <v>216</v>
      </c>
      <c r="AC356" s="31">
        <f t="shared" si="61"/>
        <v>0.77314814814814814</v>
      </c>
      <c r="AD356" s="31" t="str">
        <f>VLOOKUP(Z356, C7:E267,3,)</f>
        <v>RM</v>
      </c>
    </row>
    <row r="357" spans="3:30" x14ac:dyDescent="0.25">
      <c r="C357" s="171"/>
      <c r="D357" s="20"/>
      <c r="E357" s="104"/>
      <c r="F357" s="104"/>
      <c r="G357" s="104"/>
      <c r="Y357" s="31" t="s">
        <v>440</v>
      </c>
      <c r="Z357" s="100" t="str">
        <f>VLOOKUP(AA357,L7:X267, 13,)</f>
        <v>Idriss Bourillon</v>
      </c>
      <c r="AA357" s="31">
        <f>LARGE(L7:L267, 48)</f>
        <v>167</v>
      </c>
      <c r="AB357" s="31">
        <f>VLOOKUP(Z357,C7:D267, 2,)</f>
        <v>216</v>
      </c>
      <c r="AC357" s="31">
        <f t="shared" si="61"/>
        <v>0.77314814814814814</v>
      </c>
      <c r="AD357" s="31" t="str">
        <f>VLOOKUP(Z357, C7:E267,3,)</f>
        <v>RM</v>
      </c>
    </row>
    <row r="358" spans="3:30" x14ac:dyDescent="0.25">
      <c r="C358" s="171"/>
      <c r="D358" s="20"/>
      <c r="E358" s="104"/>
      <c r="F358" s="104"/>
      <c r="G358" s="104"/>
      <c r="K358" s="27" t="s">
        <v>394</v>
      </c>
      <c r="L358" s="28" t="s">
        <v>244</v>
      </c>
      <c r="M358" s="28" t="s">
        <v>245</v>
      </c>
      <c r="N358" s="28" t="s">
        <v>4</v>
      </c>
      <c r="O358" s="28" t="s">
        <v>246</v>
      </c>
      <c r="P358" s="28" t="s">
        <v>5</v>
      </c>
      <c r="Q358" s="28" t="s">
        <v>218</v>
      </c>
      <c r="Y358" s="31" t="s">
        <v>447</v>
      </c>
      <c r="Z358" s="100" t="str">
        <f>VLOOKUP(AA358,L7:X267, 13,)</f>
        <v>Ladislav Zima</v>
      </c>
      <c r="AA358" s="31">
        <f>LARGE(L7:L267, 49)</f>
        <v>166</v>
      </c>
      <c r="AB358" s="31">
        <f>VLOOKUP(Z358,C7:D267, 2,)</f>
        <v>383</v>
      </c>
      <c r="AC358" s="31">
        <f t="shared" si="61"/>
        <v>0.43342036553524804</v>
      </c>
      <c r="AD358" s="31" t="str">
        <f>VLOOKUP(Z358, C7:E267,3,)</f>
        <v>IV</v>
      </c>
    </row>
    <row r="359" spans="3:30" x14ac:dyDescent="0.25">
      <c r="C359" s="171"/>
      <c r="D359" s="20"/>
      <c r="E359" s="104"/>
      <c r="F359" s="104"/>
      <c r="G359" s="104"/>
      <c r="J359" s="187" t="s">
        <v>327</v>
      </c>
      <c r="K359" s="41" t="s">
        <v>397</v>
      </c>
      <c r="L359" s="42" t="str">
        <f>VLOOKUP(M359,G221:X267, 18,)</f>
        <v>Daniel Erdmann</v>
      </c>
      <c r="M359" s="42">
        <f>MAX(G221:G267)</f>
        <v>637</v>
      </c>
      <c r="N359" s="42" t="str">
        <f>VLOOKUP(L359,C7:E267, 3,FALSE)</f>
        <v>ST</v>
      </c>
      <c r="O359" s="43"/>
      <c r="P359" s="42" t="str">
        <f>VLOOKUP(L359,C7:F267, 4,FALSE)</f>
        <v>Deutschland</v>
      </c>
      <c r="Q359" s="42" t="s">
        <v>254</v>
      </c>
      <c r="Y359" s="31" t="s">
        <v>455</v>
      </c>
      <c r="Z359" s="100" t="str">
        <f>VLOOKUP(AA359,L7:X267, 13,)</f>
        <v>David Lopez</v>
      </c>
      <c r="AA359" s="31">
        <f>LARGE(L7:L267, 50)</f>
        <v>165</v>
      </c>
      <c r="AB359" s="31">
        <f>VLOOKUP(Z359,C7:D267, 2,)</f>
        <v>280</v>
      </c>
      <c r="AC359" s="31">
        <f t="shared" si="61"/>
        <v>0.5892857142857143</v>
      </c>
      <c r="AD359" s="31" t="str">
        <f>VLOOKUP(Z359, C7:E267,3,)</f>
        <v>ZM</v>
      </c>
    </row>
    <row r="360" spans="3:30" x14ac:dyDescent="0.25">
      <c r="C360" s="171"/>
      <c r="D360" s="20"/>
      <c r="E360" s="104"/>
      <c r="F360" s="104"/>
      <c r="G360" s="104"/>
      <c r="J360" s="187"/>
      <c r="K360" s="41" t="s">
        <v>400</v>
      </c>
      <c r="L360" s="42" t="str">
        <f>VLOOKUP(M360,H221:X267, 17,)</f>
        <v>Javi Villar</v>
      </c>
      <c r="M360" s="42">
        <f>MAX(H221:H256)</f>
        <v>312</v>
      </c>
      <c r="N360" s="42" t="str">
        <f>VLOOKUP(L360,C7:E267, 3,FALSE)</f>
        <v>LF</v>
      </c>
      <c r="O360" s="43"/>
      <c r="P360" s="42" t="str">
        <f>VLOOKUP(L360,C7:F267, 4,FALSE)</f>
        <v>Venezuela</v>
      </c>
      <c r="Q360" s="42" t="s">
        <v>254</v>
      </c>
      <c r="S360" s="27" t="s">
        <v>2</v>
      </c>
      <c r="T360" s="27" t="s">
        <v>445</v>
      </c>
      <c r="U360" s="27" t="s">
        <v>443</v>
      </c>
      <c r="V360" s="27" t="s">
        <v>444</v>
      </c>
      <c r="W360" s="27" t="s">
        <v>446</v>
      </c>
      <c r="X360" s="27" t="s">
        <v>218</v>
      </c>
    </row>
    <row r="361" spans="3:30" x14ac:dyDescent="0.25">
      <c r="C361" s="171"/>
      <c r="D361" s="20"/>
      <c r="J361" s="187"/>
      <c r="K361" s="41" t="s">
        <v>402</v>
      </c>
      <c r="L361" s="42" t="str">
        <f>VLOOKUP(M361,I221:X267, 16,)</f>
        <v>Jérémy Astier</v>
      </c>
      <c r="M361" s="42">
        <f>MAX(I221:I267)</f>
        <v>242</v>
      </c>
      <c r="N361" s="42" t="str">
        <f>VLOOKUP(L361,C7:E267, 3,FALSE)</f>
        <v>ST</v>
      </c>
      <c r="O361" s="42"/>
      <c r="P361" s="42" t="str">
        <f>VLOOKUP(L361,C7:F267, 4,FALSE)</f>
        <v>Frankreich</v>
      </c>
      <c r="Q361" s="42" t="s">
        <v>254</v>
      </c>
      <c r="S361" t="s">
        <v>78</v>
      </c>
      <c r="T361" t="s">
        <v>451</v>
      </c>
      <c r="U361" t="s">
        <v>452</v>
      </c>
      <c r="V361" t="s">
        <v>453</v>
      </c>
      <c r="W361" s="26" t="s">
        <v>454</v>
      </c>
      <c r="X361" t="s">
        <v>364</v>
      </c>
    </row>
    <row r="362" spans="3:30" x14ac:dyDescent="0.25">
      <c r="C362" s="171"/>
      <c r="D362" s="20"/>
      <c r="J362" s="188" t="s">
        <v>89</v>
      </c>
      <c r="K362" s="41" t="s">
        <v>406</v>
      </c>
      <c r="L362" s="42" t="str">
        <f>VLOOKUP(M362,G105:X217,18,)</f>
        <v>Aykut Cigerci</v>
      </c>
      <c r="M362" s="42">
        <f>MAX(G105:G218)</f>
        <v>278</v>
      </c>
      <c r="N362" s="42" t="str">
        <f>VLOOKUP(L362,C7:E267, 3,FALSE)</f>
        <v>ZM</v>
      </c>
      <c r="O362" s="43"/>
      <c r="P362" s="42" t="str">
        <f>VLOOKUP(L362,C7:F267, 4,FALSE)</f>
        <v>Türkei</v>
      </c>
      <c r="Q362" s="42" t="s">
        <v>254</v>
      </c>
      <c r="S362" s="45" t="s">
        <v>69</v>
      </c>
      <c r="T362" s="45" t="s">
        <v>458</v>
      </c>
      <c r="U362" s="45" t="s">
        <v>459</v>
      </c>
      <c r="V362" s="45" t="s">
        <v>460</v>
      </c>
      <c r="W362" s="46" t="s">
        <v>461</v>
      </c>
      <c r="X362" s="45" t="s">
        <v>364</v>
      </c>
    </row>
    <row r="363" spans="3:30" x14ac:dyDescent="0.25">
      <c r="J363" s="188"/>
      <c r="K363" s="41" t="s">
        <v>409</v>
      </c>
      <c r="L363" s="42" t="str">
        <f>VLOOKUP(M363,H105:X217, 17,)</f>
        <v>Aykut Cigerci</v>
      </c>
      <c r="M363" s="42">
        <f>MAX(H105:H217)</f>
        <v>255</v>
      </c>
      <c r="N363" s="42" t="str">
        <f>VLOOKUP(L363,C7:E267, 3,FALSE)</f>
        <v>ZM</v>
      </c>
      <c r="O363" s="43"/>
      <c r="P363" s="42" t="str">
        <f>VLOOKUP(L363,C7:F267, 4,FALSE)</f>
        <v>Türkei</v>
      </c>
      <c r="Q363" s="42" t="s">
        <v>254</v>
      </c>
      <c r="S363" t="s">
        <v>69</v>
      </c>
      <c r="T363" t="s">
        <v>466</v>
      </c>
      <c r="W363" s="26"/>
      <c r="X363" t="s">
        <v>268</v>
      </c>
    </row>
    <row r="364" spans="3:30" x14ac:dyDescent="0.25">
      <c r="C364" s="3" t="s">
        <v>2</v>
      </c>
      <c r="D364" s="3" t="s">
        <v>324</v>
      </c>
      <c r="E364" s="3" t="s">
        <v>325</v>
      </c>
      <c r="F364" s="3" t="s">
        <v>5</v>
      </c>
      <c r="G364" s="3" t="s">
        <v>326</v>
      </c>
      <c r="H364" s="3" t="s">
        <v>218</v>
      </c>
      <c r="J364" s="188"/>
      <c r="K364" s="41" t="s">
        <v>411</v>
      </c>
      <c r="L364" s="42" t="str">
        <f>VLOOKUP(M364,I105:X217,16,)</f>
        <v>Aykut Cigerci</v>
      </c>
      <c r="M364" s="42">
        <f>MAX(I105:I217)</f>
        <v>265</v>
      </c>
      <c r="N364" s="42" t="str">
        <f>VLOOKUP(L364,C7:E267, 3,FALSE)</f>
        <v>ZM</v>
      </c>
      <c r="O364" s="43"/>
      <c r="P364" s="42" t="str">
        <f>VLOOKUP(L364,C7:F267, 4,FALSE)</f>
        <v>Türkei</v>
      </c>
      <c r="Q364" s="42" t="s">
        <v>254</v>
      </c>
      <c r="S364" t="s">
        <v>191</v>
      </c>
      <c r="T364" t="s">
        <v>470</v>
      </c>
      <c r="U364" t="s">
        <v>254</v>
      </c>
      <c r="V364" t="s">
        <v>254</v>
      </c>
      <c r="W364" s="16" t="s">
        <v>254</v>
      </c>
      <c r="X364" t="s">
        <v>268</v>
      </c>
    </row>
    <row r="365" spans="3:30" x14ac:dyDescent="0.25">
      <c r="C365" s="35" t="s">
        <v>847</v>
      </c>
      <c r="D365" s="36" t="s">
        <v>331</v>
      </c>
      <c r="E365" s="36" t="s">
        <v>254</v>
      </c>
      <c r="F365" s="36" t="s">
        <v>61</v>
      </c>
      <c r="G365" s="38" t="s">
        <v>358</v>
      </c>
      <c r="H365" s="36" t="s">
        <v>1467</v>
      </c>
      <c r="J365" s="186" t="s">
        <v>355</v>
      </c>
      <c r="K365" s="41" t="s">
        <v>415</v>
      </c>
      <c r="L365" s="42" t="str">
        <f>VLOOKUP(M365,G27:X100,18,)</f>
        <v>Marcus Porter</v>
      </c>
      <c r="M365" s="42">
        <f>MAX(G27:G100)</f>
        <v>83</v>
      </c>
      <c r="N365" s="42" t="str">
        <f>VLOOKUP(L365,C7:E267, 3,FALSE)</f>
        <v>IV</v>
      </c>
      <c r="O365" s="43"/>
      <c r="P365" s="42" t="str">
        <f>VLOOKUP(L365,C7:F267, 4,FALSE)</f>
        <v>Kanada</v>
      </c>
      <c r="Q365" s="42" t="s">
        <v>254</v>
      </c>
      <c r="S365" s="23" t="s">
        <v>108</v>
      </c>
      <c r="T365" s="23" t="s">
        <v>474</v>
      </c>
      <c r="U365" s="23" t="s">
        <v>254</v>
      </c>
      <c r="V365" s="23" t="s">
        <v>254</v>
      </c>
      <c r="W365" s="47" t="s">
        <v>254</v>
      </c>
      <c r="X365" s="23" t="s">
        <v>268</v>
      </c>
    </row>
    <row r="366" spans="3:30" x14ac:dyDescent="0.25">
      <c r="C366" s="134" t="s">
        <v>847</v>
      </c>
      <c r="D366" s="36" t="s">
        <v>828</v>
      </c>
      <c r="E366" s="36" t="s">
        <v>331</v>
      </c>
      <c r="F366" s="36" t="s">
        <v>61</v>
      </c>
      <c r="G366" s="38" t="s">
        <v>334</v>
      </c>
      <c r="H366" s="36" t="s">
        <v>845</v>
      </c>
      <c r="J366" s="186"/>
      <c r="K366" s="41" t="s">
        <v>418</v>
      </c>
      <c r="L366" s="42" t="str">
        <f>VLOOKUP(M366,H27:X100,17,)</f>
        <v>Yong Tae Park</v>
      </c>
      <c r="M366" s="42">
        <f>MAX(H27:H100)</f>
        <v>129</v>
      </c>
      <c r="N366" s="42" t="str">
        <f>VLOOKUP(L366,C7:E267, 3,FALSE)</f>
        <v>LV</v>
      </c>
      <c r="O366" s="43"/>
      <c r="P366" s="42" t="str">
        <f>VLOOKUP(L366,C7:F267, 4,FALSE)</f>
        <v>Süd-Korea</v>
      </c>
      <c r="Q366" s="42" t="s">
        <v>254</v>
      </c>
      <c r="S366" s="50" t="s">
        <v>42</v>
      </c>
      <c r="T366" s="50" t="s">
        <v>478</v>
      </c>
      <c r="U366" s="50" t="s">
        <v>464</v>
      </c>
      <c r="V366" s="50" t="s">
        <v>479</v>
      </c>
      <c r="W366" s="51" t="s">
        <v>480</v>
      </c>
      <c r="X366" s="50" t="s">
        <v>282</v>
      </c>
    </row>
    <row r="367" spans="3:30" x14ac:dyDescent="0.25">
      <c r="C367" s="134" t="s">
        <v>124</v>
      </c>
      <c r="D367" s="36" t="s">
        <v>331</v>
      </c>
      <c r="E367" s="36" t="s">
        <v>332</v>
      </c>
      <c r="F367" s="36" t="s">
        <v>333</v>
      </c>
      <c r="G367" s="38" t="s">
        <v>334</v>
      </c>
      <c r="H367" s="36" t="s">
        <v>232</v>
      </c>
      <c r="J367" s="186"/>
      <c r="K367" s="41" t="s">
        <v>422</v>
      </c>
      <c r="L367" s="42" t="str">
        <f>VLOOKUP(M367,I27:X100,16,)</f>
        <v>Yong Tae Park</v>
      </c>
      <c r="M367" s="42">
        <f>MAX(I27:I100)</f>
        <v>244</v>
      </c>
      <c r="N367" s="42" t="str">
        <f>VLOOKUP(L367,C7:E267, 3,FALSE)</f>
        <v>LV</v>
      </c>
      <c r="O367" s="43"/>
      <c r="P367" s="42" t="str">
        <f>VLOOKUP(L367,C7:F267, 4,FALSE)</f>
        <v>Süd-Korea</v>
      </c>
      <c r="Q367" s="42" t="s">
        <v>254</v>
      </c>
      <c r="S367" t="s">
        <v>90</v>
      </c>
      <c r="T367" t="s">
        <v>484</v>
      </c>
      <c r="U367" t="s">
        <v>254</v>
      </c>
      <c r="V367" t="s">
        <v>254</v>
      </c>
      <c r="W367" s="26" t="s">
        <v>254</v>
      </c>
      <c r="X367" t="s">
        <v>223</v>
      </c>
    </row>
    <row r="368" spans="3:30" x14ac:dyDescent="0.25">
      <c r="C368" s="134" t="s">
        <v>146</v>
      </c>
      <c r="D368" s="36" t="s">
        <v>331</v>
      </c>
      <c r="E368" s="36" t="s">
        <v>337</v>
      </c>
      <c r="F368" s="36" t="s">
        <v>333</v>
      </c>
      <c r="G368" s="38" t="s">
        <v>334</v>
      </c>
      <c r="H368" s="36" t="s">
        <v>268</v>
      </c>
      <c r="J368" s="39" t="s">
        <v>1</v>
      </c>
      <c r="K368" s="41" t="s">
        <v>424</v>
      </c>
      <c r="L368" s="42" t="str">
        <f>VLOOKUP(M368,I7:X23,16,)</f>
        <v>Thomas Mendes</v>
      </c>
      <c r="M368" s="42">
        <f>MAX(I7:I23)</f>
        <v>307</v>
      </c>
      <c r="N368" s="42" t="str">
        <f>VLOOKUP(L368,C7:E267, 3,FALSE)</f>
        <v>TW</v>
      </c>
      <c r="O368" s="43"/>
      <c r="P368" s="42" t="str">
        <f>VLOOKUP(L368,C7:F267, 4,FALSE)</f>
        <v>Frankreich</v>
      </c>
      <c r="Q368" s="42" t="s">
        <v>254</v>
      </c>
      <c r="R368" t="s">
        <v>439</v>
      </c>
      <c r="S368" t="s">
        <v>176</v>
      </c>
      <c r="T368" t="s">
        <v>488</v>
      </c>
      <c r="U368" t="s">
        <v>254</v>
      </c>
      <c r="V368" t="s">
        <v>254</v>
      </c>
      <c r="W368" s="26" t="s">
        <v>254</v>
      </c>
      <c r="X368" t="s">
        <v>223</v>
      </c>
    </row>
    <row r="369" spans="3:24" x14ac:dyDescent="0.25">
      <c r="C369" s="134" t="s">
        <v>769</v>
      </c>
      <c r="D369" s="36" t="s">
        <v>331</v>
      </c>
      <c r="E369" s="36" t="s">
        <v>435</v>
      </c>
      <c r="F369" s="36" t="s">
        <v>165</v>
      </c>
      <c r="G369" s="38">
        <f>30000000</f>
        <v>30000000</v>
      </c>
      <c r="H369" s="36" t="s">
        <v>860</v>
      </c>
      <c r="S369" s="45" t="s">
        <v>90</v>
      </c>
      <c r="T369" s="45" t="s">
        <v>492</v>
      </c>
      <c r="U369" s="45" t="s">
        <v>493</v>
      </c>
      <c r="V369" s="45" t="s">
        <v>460</v>
      </c>
      <c r="W369" s="46" t="s">
        <v>494</v>
      </c>
      <c r="X369" s="45" t="s">
        <v>223</v>
      </c>
    </row>
    <row r="370" spans="3:24" x14ac:dyDescent="0.25">
      <c r="C370" s="134" t="s">
        <v>594</v>
      </c>
      <c r="D370" s="36" t="s">
        <v>331</v>
      </c>
      <c r="E370" s="36" t="s">
        <v>525</v>
      </c>
      <c r="F370" s="36" t="s">
        <v>34</v>
      </c>
      <c r="G370" s="38">
        <f>675000</f>
        <v>675000</v>
      </c>
      <c r="H370" s="36" t="s">
        <v>239</v>
      </c>
      <c r="S370" s="54" t="s">
        <v>495</v>
      </c>
      <c r="T370" s="54" t="s">
        <v>496</v>
      </c>
      <c r="U370" s="54" t="s">
        <v>408</v>
      </c>
      <c r="V370" s="54" t="s">
        <v>460</v>
      </c>
      <c r="W370" s="55" t="s">
        <v>497</v>
      </c>
      <c r="X370" s="54" t="s">
        <v>343</v>
      </c>
    </row>
    <row r="371" spans="3:24" x14ac:dyDescent="0.25">
      <c r="C371" s="35" t="s">
        <v>750</v>
      </c>
      <c r="D371" s="36" t="s">
        <v>331</v>
      </c>
      <c r="E371" s="36" t="s">
        <v>377</v>
      </c>
      <c r="F371" s="36" t="s">
        <v>31</v>
      </c>
      <c r="G371" s="38">
        <f>75000000</f>
        <v>75000000</v>
      </c>
      <c r="H371" s="36" t="s">
        <v>1284</v>
      </c>
      <c r="S371" t="s">
        <v>181</v>
      </c>
      <c r="T371" t="s">
        <v>501</v>
      </c>
      <c r="U371" t="s">
        <v>254</v>
      </c>
      <c r="V371" t="s">
        <v>254</v>
      </c>
      <c r="W371" s="26" t="s">
        <v>254</v>
      </c>
      <c r="X371" t="s">
        <v>232</v>
      </c>
    </row>
    <row r="372" spans="3:24" x14ac:dyDescent="0.25">
      <c r="C372" s="134" t="s">
        <v>95</v>
      </c>
      <c r="D372" s="36" t="s">
        <v>337</v>
      </c>
      <c r="E372" s="36" t="s">
        <v>331</v>
      </c>
      <c r="F372" s="36" t="s">
        <v>79</v>
      </c>
      <c r="G372" s="38">
        <f>-13000000</f>
        <v>-13000000</v>
      </c>
      <c r="H372" s="36" t="s">
        <v>223</v>
      </c>
      <c r="K372" t="s">
        <v>433</v>
      </c>
      <c r="P372" s="16"/>
      <c r="S372" t="s">
        <v>176</v>
      </c>
      <c r="T372" t="s">
        <v>505</v>
      </c>
      <c r="U372" t="s">
        <v>254</v>
      </c>
      <c r="V372" t="s">
        <v>254</v>
      </c>
      <c r="W372" s="26" t="s">
        <v>254</v>
      </c>
      <c r="X372" t="s">
        <v>232</v>
      </c>
    </row>
    <row r="373" spans="3:24" x14ac:dyDescent="0.25">
      <c r="C373" s="35" t="s">
        <v>1448</v>
      </c>
      <c r="D373" s="36" t="s">
        <v>525</v>
      </c>
      <c r="E373" s="36" t="s">
        <v>331</v>
      </c>
      <c r="F373" s="36" t="s">
        <v>31</v>
      </c>
      <c r="G373" s="38">
        <f>-7500000</f>
        <v>-7500000</v>
      </c>
      <c r="H373" s="36" t="s">
        <v>1436</v>
      </c>
      <c r="P373" s="16"/>
      <c r="S373" s="48" t="s">
        <v>181</v>
      </c>
      <c r="T373" s="48" t="s">
        <v>507</v>
      </c>
      <c r="U373" s="48" t="s">
        <v>452</v>
      </c>
      <c r="V373" s="48" t="s">
        <v>460</v>
      </c>
      <c r="W373" s="56" t="s">
        <v>508</v>
      </c>
      <c r="X373" s="48" t="s">
        <v>232</v>
      </c>
    </row>
    <row r="374" spans="3:24" x14ac:dyDescent="0.25">
      <c r="C374" s="35" t="s">
        <v>1448</v>
      </c>
      <c r="D374" s="36" t="s">
        <v>331</v>
      </c>
      <c r="E374" s="36" t="s">
        <v>596</v>
      </c>
      <c r="F374" s="36" t="s">
        <v>31</v>
      </c>
      <c r="G374" s="38">
        <f>4700000</f>
        <v>4700000</v>
      </c>
      <c r="H374" s="36" t="s">
        <v>1467</v>
      </c>
      <c r="S374" t="s">
        <v>55</v>
      </c>
      <c r="T374" t="s">
        <v>510</v>
      </c>
      <c r="U374" t="s">
        <v>254</v>
      </c>
      <c r="V374" t="s">
        <v>254</v>
      </c>
      <c r="W374" s="26" t="s">
        <v>254</v>
      </c>
      <c r="X374" t="s">
        <v>232</v>
      </c>
    </row>
    <row r="375" spans="3:24" x14ac:dyDescent="0.25">
      <c r="C375" s="134" t="s">
        <v>1187</v>
      </c>
      <c r="D375" s="36" t="s">
        <v>1188</v>
      </c>
      <c r="E375" s="36" t="s">
        <v>331</v>
      </c>
      <c r="F375" s="36" t="s">
        <v>79</v>
      </c>
      <c r="G375" s="38">
        <f>-8000000</f>
        <v>-8000000</v>
      </c>
      <c r="H375" s="36" t="s">
        <v>1180</v>
      </c>
      <c r="S375" t="s">
        <v>42</v>
      </c>
      <c r="T375" t="s">
        <v>513</v>
      </c>
      <c r="U375" t="s">
        <v>254</v>
      </c>
      <c r="V375" t="s">
        <v>254</v>
      </c>
      <c r="W375" s="26" t="s">
        <v>254</v>
      </c>
      <c r="X375" t="s">
        <v>232</v>
      </c>
    </row>
    <row r="376" spans="3:24" x14ac:dyDescent="0.25">
      <c r="C376" s="134" t="s">
        <v>1187</v>
      </c>
      <c r="D376" s="36" t="s">
        <v>331</v>
      </c>
      <c r="E376" s="36" t="s">
        <v>377</v>
      </c>
      <c r="F376" s="36" t="s">
        <v>79</v>
      </c>
      <c r="G376" s="38">
        <f>45500000</f>
        <v>45500000</v>
      </c>
      <c r="H376" s="36" t="s">
        <v>1374</v>
      </c>
      <c r="L376" s="27" t="s">
        <v>2</v>
      </c>
      <c r="M376" s="27" t="s">
        <v>442</v>
      </c>
      <c r="N376" s="27" t="s">
        <v>443</v>
      </c>
      <c r="O376" s="27" t="s">
        <v>444</v>
      </c>
      <c r="P376" s="27" t="s">
        <v>218</v>
      </c>
      <c r="S376" t="s">
        <v>95</v>
      </c>
      <c r="T376" t="s">
        <v>518</v>
      </c>
      <c r="U376" t="s">
        <v>254</v>
      </c>
      <c r="V376" t="s">
        <v>254</v>
      </c>
      <c r="W376" s="26" t="s">
        <v>254</v>
      </c>
      <c r="X376" t="s">
        <v>232</v>
      </c>
    </row>
    <row r="377" spans="3:24" x14ac:dyDescent="0.25">
      <c r="C377" s="134" t="s">
        <v>853</v>
      </c>
      <c r="D377" s="36" t="s">
        <v>331</v>
      </c>
      <c r="E377" s="36" t="s">
        <v>657</v>
      </c>
      <c r="F377" s="36" t="s">
        <v>171</v>
      </c>
      <c r="G377" s="38">
        <f>17000000</f>
        <v>17000000</v>
      </c>
      <c r="H377" s="36" t="s">
        <v>845</v>
      </c>
      <c r="L377" s="10" t="s">
        <v>189</v>
      </c>
      <c r="M377" s="16" t="s">
        <v>448</v>
      </c>
      <c r="N377" t="s">
        <v>449</v>
      </c>
      <c r="O377" t="s">
        <v>450</v>
      </c>
      <c r="P377" t="s">
        <v>220</v>
      </c>
      <c r="S377" t="s">
        <v>90</v>
      </c>
      <c r="T377" t="s">
        <v>523</v>
      </c>
      <c r="U377" t="s">
        <v>254</v>
      </c>
      <c r="V377" t="s">
        <v>254</v>
      </c>
      <c r="W377" s="26" t="s">
        <v>254</v>
      </c>
      <c r="X377" t="s">
        <v>232</v>
      </c>
    </row>
    <row r="378" spans="3:24" x14ac:dyDescent="0.25">
      <c r="C378" s="134" t="s">
        <v>208</v>
      </c>
      <c r="D378" s="36" t="s">
        <v>331</v>
      </c>
      <c r="E378" s="36" t="s">
        <v>367</v>
      </c>
      <c r="F378" s="36" t="s">
        <v>209</v>
      </c>
      <c r="G378" s="38">
        <f>65000000</f>
        <v>65000000</v>
      </c>
      <c r="H378" s="36" t="s">
        <v>1013</v>
      </c>
      <c r="L378" s="122" t="s">
        <v>90</v>
      </c>
      <c r="M378" s="47" t="s">
        <v>456</v>
      </c>
      <c r="N378" s="23" t="s">
        <v>457</v>
      </c>
      <c r="O378" s="23" t="s">
        <v>450</v>
      </c>
      <c r="P378" s="23" t="s">
        <v>220</v>
      </c>
      <c r="S378" t="s">
        <v>475</v>
      </c>
      <c r="T378" t="s">
        <v>527</v>
      </c>
      <c r="U378" t="s">
        <v>254</v>
      </c>
      <c r="V378" t="s">
        <v>254</v>
      </c>
      <c r="W378" s="26" t="s">
        <v>254</v>
      </c>
      <c r="X378" t="s">
        <v>232</v>
      </c>
    </row>
    <row r="379" spans="3:24" x14ac:dyDescent="0.25">
      <c r="C379" s="134" t="s">
        <v>298</v>
      </c>
      <c r="D379" s="36" t="s">
        <v>331</v>
      </c>
      <c r="E379" s="36" t="s">
        <v>515</v>
      </c>
      <c r="F379" s="36" t="s">
        <v>47</v>
      </c>
      <c r="G379" s="38">
        <f>2500000</f>
        <v>2500000</v>
      </c>
      <c r="H379" s="36" t="s">
        <v>796</v>
      </c>
      <c r="L379" s="123" t="s">
        <v>191</v>
      </c>
      <c r="M379" s="124" t="s">
        <v>463</v>
      </c>
      <c r="N379" s="50" t="s">
        <v>464</v>
      </c>
      <c r="O379" s="50" t="s">
        <v>465</v>
      </c>
      <c r="P379" s="50" t="s">
        <v>364</v>
      </c>
      <c r="S379" t="s">
        <v>181</v>
      </c>
      <c r="T379" t="s">
        <v>530</v>
      </c>
      <c r="U379" t="s">
        <v>254</v>
      </c>
      <c r="V379" t="s">
        <v>254</v>
      </c>
      <c r="W379" s="26" t="s">
        <v>254</v>
      </c>
      <c r="X379" t="s">
        <v>232</v>
      </c>
    </row>
    <row r="380" spans="3:24" x14ac:dyDescent="0.25">
      <c r="C380" s="134" t="s">
        <v>801</v>
      </c>
      <c r="D380" s="36" t="s">
        <v>331</v>
      </c>
      <c r="E380" s="36" t="s">
        <v>828</v>
      </c>
      <c r="F380" s="36" t="s">
        <v>66</v>
      </c>
      <c r="G380" s="38" t="s">
        <v>334</v>
      </c>
      <c r="H380" s="36" t="s">
        <v>829</v>
      </c>
      <c r="L380" t="s">
        <v>191</v>
      </c>
      <c r="M380" s="16" t="s">
        <v>467</v>
      </c>
      <c r="N380" t="s">
        <v>468</v>
      </c>
      <c r="O380" t="s">
        <v>469</v>
      </c>
      <c r="P380" t="s">
        <v>268</v>
      </c>
      <c r="S380" s="23" t="s">
        <v>176</v>
      </c>
      <c r="T380" s="23" t="s">
        <v>534</v>
      </c>
      <c r="U380" s="23" t="s">
        <v>254</v>
      </c>
      <c r="V380" s="23" t="s">
        <v>254</v>
      </c>
      <c r="W380" s="57" t="s">
        <v>254</v>
      </c>
      <c r="X380" s="23" t="s">
        <v>232</v>
      </c>
    </row>
    <row r="381" spans="3:24" x14ac:dyDescent="0.25">
      <c r="C381" s="134" t="s">
        <v>404</v>
      </c>
      <c r="D381" s="36" t="s">
        <v>462</v>
      </c>
      <c r="E381" s="36" t="s">
        <v>331</v>
      </c>
      <c r="F381" s="36" t="s">
        <v>66</v>
      </c>
      <c r="G381" s="38">
        <f>-19000000</f>
        <v>-19000000</v>
      </c>
      <c r="H381" s="36" t="s">
        <v>236</v>
      </c>
      <c r="L381" t="s">
        <v>191</v>
      </c>
      <c r="M381" s="16" t="s">
        <v>472</v>
      </c>
      <c r="N381" t="s">
        <v>468</v>
      </c>
      <c r="O381" t="s">
        <v>473</v>
      </c>
      <c r="P381" t="s">
        <v>268</v>
      </c>
      <c r="S381" t="s">
        <v>57</v>
      </c>
      <c r="T381" t="s">
        <v>538</v>
      </c>
      <c r="U381" t="s">
        <v>464</v>
      </c>
      <c r="V381" t="s">
        <v>539</v>
      </c>
      <c r="W381" s="26" t="s">
        <v>540</v>
      </c>
      <c r="X381" t="s">
        <v>236</v>
      </c>
    </row>
    <row r="382" spans="3:24" x14ac:dyDescent="0.25">
      <c r="C382" s="134" t="s">
        <v>404</v>
      </c>
      <c r="D382" s="36" t="s">
        <v>331</v>
      </c>
      <c r="E382" s="36" t="s">
        <v>405</v>
      </c>
      <c r="F382" s="36" t="s">
        <v>66</v>
      </c>
      <c r="G382" s="38">
        <f>39000000</f>
        <v>39000000</v>
      </c>
      <c r="H382" s="36" t="s">
        <v>388</v>
      </c>
      <c r="I382" s="40"/>
      <c r="L382" s="48" t="s">
        <v>90</v>
      </c>
      <c r="M382" s="49" t="s">
        <v>267</v>
      </c>
      <c r="N382" t="s">
        <v>476</v>
      </c>
      <c r="O382" t="s">
        <v>477</v>
      </c>
      <c r="P382" t="s">
        <v>268</v>
      </c>
      <c r="S382" s="48" t="s">
        <v>544</v>
      </c>
      <c r="T382" s="48" t="s">
        <v>545</v>
      </c>
      <c r="U382" s="48" t="s">
        <v>308</v>
      </c>
      <c r="V382" s="48" t="s">
        <v>460</v>
      </c>
      <c r="W382" s="56" t="s">
        <v>454</v>
      </c>
      <c r="X382" s="48" t="s">
        <v>236</v>
      </c>
    </row>
    <row r="383" spans="3:24" x14ac:dyDescent="0.25">
      <c r="C383" s="35" t="s">
        <v>1407</v>
      </c>
      <c r="D383" s="36" t="s">
        <v>828</v>
      </c>
      <c r="E383" s="36" t="s">
        <v>331</v>
      </c>
      <c r="F383" s="36" t="s">
        <v>153</v>
      </c>
      <c r="G383" s="38">
        <f>-3500000</f>
        <v>-3500000</v>
      </c>
      <c r="H383" s="36" t="s">
        <v>1415</v>
      </c>
      <c r="L383" s="23" t="s">
        <v>90</v>
      </c>
      <c r="M383" s="57" t="s">
        <v>482</v>
      </c>
      <c r="N383" s="23" t="s">
        <v>367</v>
      </c>
      <c r="O383" s="23" t="s">
        <v>483</v>
      </c>
      <c r="P383" s="23" t="s">
        <v>268</v>
      </c>
      <c r="S383" t="s">
        <v>548</v>
      </c>
      <c r="T383" t="s">
        <v>549</v>
      </c>
      <c r="U383" t="s">
        <v>254</v>
      </c>
      <c r="V383" t="s">
        <v>254</v>
      </c>
      <c r="W383" s="26" t="s">
        <v>254</v>
      </c>
      <c r="X383" t="s">
        <v>236</v>
      </c>
    </row>
    <row r="384" spans="3:24" x14ac:dyDescent="0.25">
      <c r="C384" s="134" t="s">
        <v>86</v>
      </c>
      <c r="D384" s="36" t="s">
        <v>331</v>
      </c>
      <c r="E384" s="36" t="s">
        <v>620</v>
      </c>
      <c r="F384" s="36" t="s">
        <v>31</v>
      </c>
      <c r="G384" s="38">
        <f>210000</f>
        <v>210000</v>
      </c>
      <c r="H384" s="36" t="s">
        <v>220</v>
      </c>
      <c r="L384" s="10" t="s">
        <v>199</v>
      </c>
      <c r="M384" s="53" t="s">
        <v>472</v>
      </c>
      <c r="N384" t="s">
        <v>486</v>
      </c>
      <c r="O384" t="s">
        <v>487</v>
      </c>
      <c r="P384" t="s">
        <v>282</v>
      </c>
      <c r="S384" t="s">
        <v>185</v>
      </c>
      <c r="T384" t="s">
        <v>553</v>
      </c>
      <c r="U384" t="s">
        <v>254</v>
      </c>
      <c r="V384" t="s">
        <v>254</v>
      </c>
      <c r="W384" s="26" t="s">
        <v>254</v>
      </c>
      <c r="X384" t="s">
        <v>236</v>
      </c>
    </row>
    <row r="385" spans="3:24" x14ac:dyDescent="0.25">
      <c r="C385" s="35" t="s">
        <v>1288</v>
      </c>
      <c r="D385" s="36" t="s">
        <v>1289</v>
      </c>
      <c r="E385" s="36" t="s">
        <v>331</v>
      </c>
      <c r="F385" s="36" t="s">
        <v>37</v>
      </c>
      <c r="G385" s="38">
        <f>-1400000</f>
        <v>-1400000</v>
      </c>
      <c r="H385" s="36" t="s">
        <v>1284</v>
      </c>
      <c r="L385" t="s">
        <v>199</v>
      </c>
      <c r="M385" s="26" t="s">
        <v>489</v>
      </c>
      <c r="N385" t="s">
        <v>490</v>
      </c>
      <c r="O385" t="s">
        <v>491</v>
      </c>
      <c r="P385" t="s">
        <v>282</v>
      </c>
      <c r="S385" t="s">
        <v>181</v>
      </c>
      <c r="T385" t="s">
        <v>555</v>
      </c>
      <c r="U385" t="s">
        <v>254</v>
      </c>
      <c r="V385" t="s">
        <v>254</v>
      </c>
      <c r="W385" s="26" t="s">
        <v>254</v>
      </c>
      <c r="X385" t="s">
        <v>236</v>
      </c>
    </row>
    <row r="386" spans="3:24" x14ac:dyDescent="0.25">
      <c r="C386" s="172" t="s">
        <v>1288</v>
      </c>
      <c r="D386" s="36" t="s">
        <v>331</v>
      </c>
      <c r="E386" s="36" t="s">
        <v>254</v>
      </c>
      <c r="F386" s="36" t="s">
        <v>37</v>
      </c>
      <c r="G386" s="38" t="s">
        <v>358</v>
      </c>
      <c r="H386" s="36" t="s">
        <v>1415</v>
      </c>
      <c r="L386" t="s">
        <v>90</v>
      </c>
      <c r="M386" s="26" t="s">
        <v>480</v>
      </c>
      <c r="N386" t="s">
        <v>486</v>
      </c>
      <c r="O386" t="s">
        <v>473</v>
      </c>
      <c r="P386" t="s">
        <v>282</v>
      </c>
      <c r="S386" s="23" t="s">
        <v>176</v>
      </c>
      <c r="T386" s="23" t="s">
        <v>558</v>
      </c>
      <c r="U386" s="23" t="s">
        <v>254</v>
      </c>
      <c r="V386" s="23" t="s">
        <v>254</v>
      </c>
      <c r="W386" s="57" t="s">
        <v>254</v>
      </c>
      <c r="X386" s="23" t="s">
        <v>236</v>
      </c>
    </row>
    <row r="387" spans="3:24" x14ac:dyDescent="0.25">
      <c r="C387" s="134" t="s">
        <v>1185</v>
      </c>
      <c r="D387" s="36" t="s">
        <v>574</v>
      </c>
      <c r="E387" s="36" t="s">
        <v>331</v>
      </c>
      <c r="F387" s="36" t="s">
        <v>130</v>
      </c>
      <c r="G387" s="38">
        <f>-15000000</f>
        <v>-15000000</v>
      </c>
      <c r="H387" s="36" t="s">
        <v>1180</v>
      </c>
      <c r="L387" s="10" t="s">
        <v>200</v>
      </c>
      <c r="M387" s="26" t="s">
        <v>448</v>
      </c>
      <c r="N387" t="s">
        <v>468</v>
      </c>
      <c r="O387" t="s">
        <v>500</v>
      </c>
      <c r="P387" t="s">
        <v>282</v>
      </c>
      <c r="S387" t="s">
        <v>42</v>
      </c>
      <c r="T387" t="s">
        <v>560</v>
      </c>
      <c r="U387" t="s">
        <v>254</v>
      </c>
      <c r="V387" t="s">
        <v>254</v>
      </c>
      <c r="W387" s="26" t="s">
        <v>254</v>
      </c>
      <c r="X387" t="s">
        <v>239</v>
      </c>
    </row>
    <row r="388" spans="3:24" x14ac:dyDescent="0.25">
      <c r="C388" s="134" t="s">
        <v>612</v>
      </c>
      <c r="D388" s="36" t="s">
        <v>331</v>
      </c>
      <c r="E388" s="36" t="s">
        <v>613</v>
      </c>
      <c r="F388" s="36" t="s">
        <v>31</v>
      </c>
      <c r="G388" s="38">
        <f>325000</f>
        <v>325000</v>
      </c>
      <c r="H388" s="36" t="s">
        <v>364</v>
      </c>
      <c r="L388" s="122" t="s">
        <v>502</v>
      </c>
      <c r="M388" s="57" t="s">
        <v>503</v>
      </c>
      <c r="N388" s="23" t="s">
        <v>471</v>
      </c>
      <c r="O388" s="23" t="s">
        <v>504</v>
      </c>
      <c r="P388" s="23" t="s">
        <v>282</v>
      </c>
      <c r="S388" t="s">
        <v>95</v>
      </c>
      <c r="T388" t="s">
        <v>562</v>
      </c>
      <c r="U388" t="s">
        <v>254</v>
      </c>
      <c r="V388" t="s">
        <v>254</v>
      </c>
      <c r="W388" s="26" t="s">
        <v>254</v>
      </c>
      <c r="X388" t="s">
        <v>239</v>
      </c>
    </row>
    <row r="389" spans="3:24" x14ac:dyDescent="0.25">
      <c r="C389" s="134" t="s">
        <v>116</v>
      </c>
      <c r="D389" s="36" t="s">
        <v>606</v>
      </c>
      <c r="E389" s="36" t="s">
        <v>331</v>
      </c>
      <c r="F389" s="36" t="s">
        <v>31</v>
      </c>
      <c r="G389" s="38">
        <f>-18000000</f>
        <v>-18000000</v>
      </c>
      <c r="H389" s="36" t="s">
        <v>716</v>
      </c>
      <c r="L389" s="10" t="s">
        <v>176</v>
      </c>
      <c r="M389" s="26" t="s">
        <v>456</v>
      </c>
      <c r="N389" t="s">
        <v>464</v>
      </c>
      <c r="O389" t="s">
        <v>506</v>
      </c>
      <c r="P389" t="s">
        <v>223</v>
      </c>
      <c r="S389" t="s">
        <v>548</v>
      </c>
      <c r="T389" t="s">
        <v>565</v>
      </c>
      <c r="U389" t="s">
        <v>254</v>
      </c>
      <c r="V389" t="s">
        <v>254</v>
      </c>
      <c r="W389" s="26" t="s">
        <v>254</v>
      </c>
      <c r="X389" t="s">
        <v>239</v>
      </c>
    </row>
    <row r="390" spans="3:24" x14ac:dyDescent="0.25">
      <c r="C390" s="134" t="s">
        <v>116</v>
      </c>
      <c r="D390" s="36" t="s">
        <v>331</v>
      </c>
      <c r="E390" s="36" t="s">
        <v>657</v>
      </c>
      <c r="F390" s="36" t="s">
        <v>31</v>
      </c>
      <c r="G390" s="38" t="s">
        <v>334</v>
      </c>
      <c r="H390" s="36" t="s">
        <v>845</v>
      </c>
      <c r="L390" t="s">
        <v>90</v>
      </c>
      <c r="M390" s="26" t="s">
        <v>472</v>
      </c>
      <c r="N390" t="s">
        <v>308</v>
      </c>
      <c r="O390" t="s">
        <v>487</v>
      </c>
      <c r="P390" t="s">
        <v>223</v>
      </c>
      <c r="S390" t="s">
        <v>185</v>
      </c>
      <c r="T390" t="s">
        <v>567</v>
      </c>
      <c r="U390" t="s">
        <v>254</v>
      </c>
      <c r="V390" t="s">
        <v>254</v>
      </c>
      <c r="W390" s="26" t="s">
        <v>254</v>
      </c>
      <c r="X390" t="s">
        <v>239</v>
      </c>
    </row>
    <row r="391" spans="3:24" x14ac:dyDescent="0.25">
      <c r="C391" s="134" t="s">
        <v>752</v>
      </c>
      <c r="D391" s="36" t="s">
        <v>331</v>
      </c>
      <c r="E391" s="36" t="s">
        <v>813</v>
      </c>
      <c r="F391" s="36" t="s">
        <v>31</v>
      </c>
      <c r="G391" s="38" t="s">
        <v>334</v>
      </c>
      <c r="H391" s="36" t="s">
        <v>796</v>
      </c>
      <c r="L391" t="s">
        <v>200</v>
      </c>
      <c r="M391" s="26" t="s">
        <v>511</v>
      </c>
      <c r="N391" t="s">
        <v>377</v>
      </c>
      <c r="O391" t="s">
        <v>512</v>
      </c>
      <c r="P391" t="s">
        <v>223</v>
      </c>
      <c r="S391" t="s">
        <v>176</v>
      </c>
      <c r="T391" t="s">
        <v>570</v>
      </c>
      <c r="U391" t="s">
        <v>254</v>
      </c>
      <c r="V391" t="s">
        <v>254</v>
      </c>
      <c r="W391" s="26" t="s">
        <v>254</v>
      </c>
      <c r="X391" t="s">
        <v>239</v>
      </c>
    </row>
    <row r="392" spans="3:24" x14ac:dyDescent="0.25">
      <c r="C392" s="134" t="s">
        <v>193</v>
      </c>
      <c r="D392" s="36" t="s">
        <v>331</v>
      </c>
      <c r="E392" s="36" t="s">
        <v>405</v>
      </c>
      <c r="F392" s="36" t="s">
        <v>59</v>
      </c>
      <c r="G392" s="38">
        <f>16000000</f>
        <v>16000000</v>
      </c>
      <c r="H392" s="36" t="s">
        <v>388</v>
      </c>
      <c r="L392" t="s">
        <v>176</v>
      </c>
      <c r="M392" s="26" t="s">
        <v>456</v>
      </c>
      <c r="N392" t="s">
        <v>516</v>
      </c>
      <c r="O392" t="s">
        <v>517</v>
      </c>
      <c r="P392" t="s">
        <v>223</v>
      </c>
      <c r="S392" s="45" t="s">
        <v>181</v>
      </c>
      <c r="T392" s="45" t="s">
        <v>573</v>
      </c>
      <c r="U392" s="45" t="s">
        <v>574</v>
      </c>
      <c r="V392" s="45" t="s">
        <v>460</v>
      </c>
      <c r="W392" s="46" t="s">
        <v>489</v>
      </c>
      <c r="X392" s="45" t="s">
        <v>239</v>
      </c>
    </row>
    <row r="393" spans="3:24" x14ac:dyDescent="0.25">
      <c r="C393" s="134" t="s">
        <v>413</v>
      </c>
      <c r="D393" s="36" t="s">
        <v>331</v>
      </c>
      <c r="E393" s="36" t="s">
        <v>414</v>
      </c>
      <c r="F393" s="36" t="s">
        <v>31</v>
      </c>
      <c r="G393" s="38">
        <f>33000000</f>
        <v>33000000</v>
      </c>
      <c r="H393" s="36" t="s">
        <v>347</v>
      </c>
      <c r="L393" t="s">
        <v>176</v>
      </c>
      <c r="M393" s="26" t="s">
        <v>520</v>
      </c>
      <c r="N393" t="s">
        <v>521</v>
      </c>
      <c r="O393" t="s">
        <v>522</v>
      </c>
      <c r="P393" t="s">
        <v>223</v>
      </c>
      <c r="S393" t="s">
        <v>42</v>
      </c>
      <c r="T393" t="s">
        <v>576</v>
      </c>
      <c r="U393" t="s">
        <v>254</v>
      </c>
      <c r="V393" t="s">
        <v>254</v>
      </c>
      <c r="W393" s="26" t="s">
        <v>254</v>
      </c>
      <c r="X393" t="s">
        <v>270</v>
      </c>
    </row>
    <row r="394" spans="3:24" x14ac:dyDescent="0.25">
      <c r="C394" s="134" t="s">
        <v>68</v>
      </c>
      <c r="D394" s="36" t="s">
        <v>578</v>
      </c>
      <c r="E394" s="36" t="s">
        <v>331</v>
      </c>
      <c r="F394" s="36" t="s">
        <v>31</v>
      </c>
      <c r="G394" s="38">
        <f>-10500000</f>
        <v>-10500000</v>
      </c>
      <c r="H394" s="36" t="s">
        <v>276</v>
      </c>
      <c r="L394" t="s">
        <v>176</v>
      </c>
      <c r="M394" s="26" t="s">
        <v>456</v>
      </c>
      <c r="N394" t="s">
        <v>516</v>
      </c>
      <c r="O394" t="s">
        <v>526</v>
      </c>
      <c r="P394" t="s">
        <v>223</v>
      </c>
      <c r="S394" t="s">
        <v>404</v>
      </c>
      <c r="T394" t="s">
        <v>580</v>
      </c>
      <c r="U394" t="s">
        <v>254</v>
      </c>
      <c r="V394" t="s">
        <v>254</v>
      </c>
      <c r="W394" s="26" t="s">
        <v>254</v>
      </c>
      <c r="X394" t="s">
        <v>270</v>
      </c>
    </row>
    <row r="395" spans="3:24" x14ac:dyDescent="0.25">
      <c r="C395" s="134" t="s">
        <v>68</v>
      </c>
      <c r="D395" s="36" t="s">
        <v>331</v>
      </c>
      <c r="E395" s="36" t="s">
        <v>399</v>
      </c>
      <c r="F395" s="36" t="s">
        <v>31</v>
      </c>
      <c r="G395" s="38">
        <f>48500000</f>
        <v>48500000</v>
      </c>
      <c r="H395" s="36" t="s">
        <v>829</v>
      </c>
      <c r="L395" t="s">
        <v>176</v>
      </c>
      <c r="M395" s="26" t="s">
        <v>454</v>
      </c>
      <c r="N395" t="s">
        <v>367</v>
      </c>
      <c r="O395" t="s">
        <v>529</v>
      </c>
      <c r="P395" t="s">
        <v>223</v>
      </c>
      <c r="S395" t="s">
        <v>544</v>
      </c>
      <c r="T395" t="s">
        <v>584</v>
      </c>
      <c r="U395" t="s">
        <v>254</v>
      </c>
      <c r="V395" t="s">
        <v>254</v>
      </c>
      <c r="W395" s="26" t="s">
        <v>254</v>
      </c>
      <c r="X395" t="s">
        <v>270</v>
      </c>
    </row>
    <row r="396" spans="3:24" x14ac:dyDescent="0.25">
      <c r="C396" s="35" t="s">
        <v>1380</v>
      </c>
      <c r="D396" s="36" t="s">
        <v>331</v>
      </c>
      <c r="E396" s="36" t="s">
        <v>1158</v>
      </c>
      <c r="F396" s="36" t="s">
        <v>37</v>
      </c>
      <c r="G396" s="38">
        <f>3500000</f>
        <v>3500000</v>
      </c>
      <c r="H396" s="36" t="s">
        <v>1467</v>
      </c>
      <c r="L396" s="23" t="s">
        <v>176</v>
      </c>
      <c r="M396" s="57" t="s">
        <v>531</v>
      </c>
      <c r="N396" s="23" t="s">
        <v>532</v>
      </c>
      <c r="O396" s="23" t="s">
        <v>533</v>
      </c>
      <c r="P396" s="23" t="s">
        <v>223</v>
      </c>
      <c r="S396" t="s">
        <v>181</v>
      </c>
      <c r="T396" t="s">
        <v>587</v>
      </c>
      <c r="U396" t="s">
        <v>254</v>
      </c>
      <c r="V396" t="s">
        <v>254</v>
      </c>
      <c r="W396" s="26" t="s">
        <v>254</v>
      </c>
      <c r="X396" t="s">
        <v>270</v>
      </c>
    </row>
    <row r="397" spans="3:24" x14ac:dyDescent="0.25">
      <c r="C397" s="134" t="s">
        <v>426</v>
      </c>
      <c r="D397" s="36" t="s">
        <v>653</v>
      </c>
      <c r="E397" s="36" t="s">
        <v>331</v>
      </c>
      <c r="F397" s="36" t="s">
        <v>195</v>
      </c>
      <c r="G397" s="38">
        <f>-850000</f>
        <v>-850000</v>
      </c>
      <c r="H397" s="36" t="s">
        <v>220</v>
      </c>
      <c r="L397" t="s">
        <v>90</v>
      </c>
      <c r="M397" s="26" t="s">
        <v>508</v>
      </c>
      <c r="N397" t="s">
        <v>308</v>
      </c>
      <c r="O397" t="s">
        <v>537</v>
      </c>
      <c r="P397" t="s">
        <v>343</v>
      </c>
      <c r="S397" t="s">
        <v>176</v>
      </c>
      <c r="T397" t="s">
        <v>589</v>
      </c>
      <c r="U397" t="s">
        <v>254</v>
      </c>
      <c r="V397" t="s">
        <v>254</v>
      </c>
      <c r="W397" s="26" t="s">
        <v>254</v>
      </c>
      <c r="X397" t="s">
        <v>270</v>
      </c>
    </row>
    <row r="398" spans="3:24" x14ac:dyDescent="0.25">
      <c r="C398" s="134" t="s">
        <v>426</v>
      </c>
      <c r="D398" s="36" t="s">
        <v>331</v>
      </c>
      <c r="E398" s="36" t="s">
        <v>427</v>
      </c>
      <c r="F398" s="36" t="s">
        <v>195</v>
      </c>
      <c r="G398" s="38">
        <f>25000000</f>
        <v>25000000</v>
      </c>
      <c r="H398" s="36" t="s">
        <v>282</v>
      </c>
      <c r="L398" t="s">
        <v>90</v>
      </c>
      <c r="M398" s="26" t="s">
        <v>542</v>
      </c>
      <c r="N398" t="s">
        <v>521</v>
      </c>
      <c r="O398" t="s">
        <v>543</v>
      </c>
      <c r="P398" t="s">
        <v>343</v>
      </c>
      <c r="S398" s="45" t="s">
        <v>181</v>
      </c>
      <c r="T398" s="45" t="s">
        <v>592</v>
      </c>
      <c r="U398" s="45" t="s">
        <v>377</v>
      </c>
      <c r="V398" s="45" t="s">
        <v>460</v>
      </c>
      <c r="W398" s="46" t="s">
        <v>593</v>
      </c>
      <c r="X398" s="45" t="s">
        <v>270</v>
      </c>
    </row>
    <row r="399" spans="3:24" x14ac:dyDescent="0.25">
      <c r="C399" s="35" t="s">
        <v>1503</v>
      </c>
      <c r="D399" s="36" t="s">
        <v>600</v>
      </c>
      <c r="E399" s="36" t="s">
        <v>331</v>
      </c>
      <c r="F399" s="36" t="s">
        <v>965</v>
      </c>
      <c r="G399" s="38">
        <f>-1400000</f>
        <v>-1400000</v>
      </c>
      <c r="H399" s="36" t="s">
        <v>1467</v>
      </c>
      <c r="L399" t="s">
        <v>176</v>
      </c>
      <c r="M399" s="26" t="s">
        <v>546</v>
      </c>
      <c r="N399" t="s">
        <v>528</v>
      </c>
      <c r="O399" t="s">
        <v>547</v>
      </c>
      <c r="P399" t="s">
        <v>343</v>
      </c>
      <c r="S399" t="s">
        <v>495</v>
      </c>
      <c r="T399" t="s">
        <v>595</v>
      </c>
      <c r="U399" t="s">
        <v>254</v>
      </c>
      <c r="V399" t="s">
        <v>254</v>
      </c>
      <c r="W399" s="26" t="s">
        <v>254</v>
      </c>
      <c r="X399" t="s">
        <v>315</v>
      </c>
    </row>
    <row r="400" spans="3:24" x14ac:dyDescent="0.25">
      <c r="C400" s="134" t="s">
        <v>148</v>
      </c>
      <c r="D400" s="36" t="s">
        <v>331</v>
      </c>
      <c r="E400" s="36" t="s">
        <v>519</v>
      </c>
      <c r="F400" s="36" t="s">
        <v>59</v>
      </c>
      <c r="G400" s="38">
        <f>6500000</f>
        <v>6500000</v>
      </c>
      <c r="H400" s="36" t="s">
        <v>236</v>
      </c>
      <c r="L400" s="23" t="s">
        <v>176</v>
      </c>
      <c r="M400" s="57" t="s">
        <v>542</v>
      </c>
      <c r="N400" s="23" t="s">
        <v>552</v>
      </c>
      <c r="O400" s="23" t="s">
        <v>526</v>
      </c>
      <c r="P400" s="23" t="s">
        <v>343</v>
      </c>
      <c r="S400" t="s">
        <v>42</v>
      </c>
      <c r="T400" t="s">
        <v>599</v>
      </c>
      <c r="U400" t="s">
        <v>254</v>
      </c>
      <c r="V400" t="s">
        <v>254</v>
      </c>
      <c r="W400" s="26" t="s">
        <v>254</v>
      </c>
      <c r="X400" t="s">
        <v>315</v>
      </c>
    </row>
    <row r="401" spans="3:25" x14ac:dyDescent="0.25">
      <c r="C401" s="35" t="s">
        <v>1219</v>
      </c>
      <c r="D401" s="36" t="s">
        <v>331</v>
      </c>
      <c r="E401" s="36" t="s">
        <v>387</v>
      </c>
      <c r="F401" s="36" t="s">
        <v>215</v>
      </c>
      <c r="G401" s="38">
        <f>70000000</f>
        <v>70000000</v>
      </c>
      <c r="H401" s="36" t="s">
        <v>1436</v>
      </c>
      <c r="L401" s="10" t="s">
        <v>181</v>
      </c>
      <c r="M401" s="26" t="s">
        <v>508</v>
      </c>
      <c r="N401" t="s">
        <v>554</v>
      </c>
      <c r="O401" t="s">
        <v>512</v>
      </c>
      <c r="P401" t="s">
        <v>232</v>
      </c>
      <c r="S401" t="s">
        <v>404</v>
      </c>
      <c r="T401" t="s">
        <v>602</v>
      </c>
      <c r="U401" t="s">
        <v>254</v>
      </c>
      <c r="V401" t="s">
        <v>254</v>
      </c>
      <c r="W401" s="26" t="s">
        <v>254</v>
      </c>
      <c r="X401" t="s">
        <v>315</v>
      </c>
    </row>
    <row r="402" spans="3:25" x14ac:dyDescent="0.25">
      <c r="C402" s="134" t="s">
        <v>129</v>
      </c>
      <c r="D402" s="36" t="s">
        <v>644</v>
      </c>
      <c r="E402" s="36" t="s">
        <v>331</v>
      </c>
      <c r="F402" s="36" t="s">
        <v>130</v>
      </c>
      <c r="G402" s="38">
        <f>0</f>
        <v>0</v>
      </c>
      <c r="H402" s="36" t="s">
        <v>551</v>
      </c>
      <c r="L402" t="s">
        <v>176</v>
      </c>
      <c r="M402" s="26" t="s">
        <v>556</v>
      </c>
      <c r="N402" t="s">
        <v>528</v>
      </c>
      <c r="O402" t="s">
        <v>557</v>
      </c>
      <c r="P402" t="s">
        <v>232</v>
      </c>
      <c r="S402" s="48" t="s">
        <v>176</v>
      </c>
      <c r="T402" s="48" t="s">
        <v>605</v>
      </c>
      <c r="U402" s="48" t="s">
        <v>254</v>
      </c>
      <c r="V402" s="48" t="s">
        <v>254</v>
      </c>
      <c r="W402" s="56" t="s">
        <v>254</v>
      </c>
      <c r="X402" s="48" t="s">
        <v>315</v>
      </c>
      <c r="Y402" s="16"/>
    </row>
    <row r="403" spans="3:25" x14ac:dyDescent="0.25">
      <c r="C403" s="134" t="s">
        <v>129</v>
      </c>
      <c r="D403" s="36" t="s">
        <v>331</v>
      </c>
      <c r="E403" s="36" t="s">
        <v>464</v>
      </c>
      <c r="F403" s="36" t="s">
        <v>130</v>
      </c>
      <c r="G403" s="38">
        <f>8000000</f>
        <v>8000000</v>
      </c>
      <c r="H403" s="36" t="s">
        <v>364</v>
      </c>
      <c r="L403" t="s">
        <v>176</v>
      </c>
      <c r="M403" s="26" t="s">
        <v>508</v>
      </c>
      <c r="N403" t="s">
        <v>468</v>
      </c>
      <c r="O403" t="s">
        <v>559</v>
      </c>
      <c r="P403" t="s">
        <v>232</v>
      </c>
      <c r="S403" t="s">
        <v>185</v>
      </c>
      <c r="T403" t="s">
        <v>609</v>
      </c>
      <c r="U403" t="s">
        <v>254</v>
      </c>
      <c r="V403" t="s">
        <v>254</v>
      </c>
      <c r="W403" s="26" t="s">
        <v>254</v>
      </c>
      <c r="X403" t="s">
        <v>315</v>
      </c>
      <c r="Y403" s="16"/>
    </row>
    <row r="404" spans="3:25" x14ac:dyDescent="0.25">
      <c r="C404" s="134" t="s">
        <v>101</v>
      </c>
      <c r="D404" s="36" t="s">
        <v>697</v>
      </c>
      <c r="E404" s="36" t="s">
        <v>331</v>
      </c>
      <c r="F404" s="36" t="s">
        <v>103</v>
      </c>
      <c r="G404" s="38">
        <f>-5000000</f>
        <v>-5000000</v>
      </c>
      <c r="H404" s="36" t="s">
        <v>364</v>
      </c>
      <c r="L404" t="s">
        <v>176</v>
      </c>
      <c r="M404" s="26" t="s">
        <v>546</v>
      </c>
      <c r="N404" t="s">
        <v>552</v>
      </c>
      <c r="O404" t="s">
        <v>561</v>
      </c>
      <c r="P404" t="s">
        <v>232</v>
      </c>
      <c r="S404" t="s">
        <v>51</v>
      </c>
      <c r="T404" t="s">
        <v>611</v>
      </c>
      <c r="U404" t="s">
        <v>254</v>
      </c>
      <c r="V404" t="s">
        <v>254</v>
      </c>
      <c r="W404" s="26" t="s">
        <v>254</v>
      </c>
      <c r="X404" t="s">
        <v>315</v>
      </c>
    </row>
    <row r="405" spans="3:25" x14ac:dyDescent="0.25">
      <c r="C405" s="134" t="s">
        <v>101</v>
      </c>
      <c r="D405" s="36" t="s">
        <v>331</v>
      </c>
      <c r="E405" s="36" t="s">
        <v>387</v>
      </c>
      <c r="F405" s="36" t="s">
        <v>103</v>
      </c>
      <c r="G405" s="38">
        <f>4200000</f>
        <v>4200000</v>
      </c>
      <c r="H405" s="36" t="s">
        <v>315</v>
      </c>
      <c r="L405" t="s">
        <v>176</v>
      </c>
      <c r="M405" s="26" t="s">
        <v>563</v>
      </c>
      <c r="N405" t="s">
        <v>367</v>
      </c>
      <c r="O405" t="s">
        <v>564</v>
      </c>
      <c r="P405" t="s">
        <v>232</v>
      </c>
      <c r="T405" s="48" t="s">
        <v>616</v>
      </c>
      <c r="W405" s="26"/>
      <c r="Y405" s="16"/>
    </row>
    <row r="406" spans="3:25" x14ac:dyDescent="0.25">
      <c r="C406" s="134" t="s">
        <v>749</v>
      </c>
      <c r="D406" s="36" t="s">
        <v>331</v>
      </c>
      <c r="E406" s="36" t="s">
        <v>1183</v>
      </c>
      <c r="F406" s="36" t="s">
        <v>747</v>
      </c>
      <c r="G406" s="38">
        <f>35500000</f>
        <v>35500000</v>
      </c>
      <c r="H406" s="36" t="s">
        <v>1180</v>
      </c>
      <c r="L406" t="s">
        <v>181</v>
      </c>
      <c r="M406" s="26" t="s">
        <v>456</v>
      </c>
      <c r="N406" t="s">
        <v>521</v>
      </c>
      <c r="O406" t="s">
        <v>522</v>
      </c>
      <c r="P406" t="s">
        <v>232</v>
      </c>
      <c r="S406" s="48" t="s">
        <v>176</v>
      </c>
      <c r="T406" s="48" t="s">
        <v>618</v>
      </c>
      <c r="U406" s="48" t="s">
        <v>604</v>
      </c>
      <c r="V406" s="48" t="s">
        <v>619</v>
      </c>
      <c r="W406" s="56" t="s">
        <v>531</v>
      </c>
      <c r="X406" s="48" t="s">
        <v>315</v>
      </c>
      <c r="Y406" s="16"/>
    </row>
    <row r="407" spans="3:25" x14ac:dyDescent="0.25">
      <c r="C407" s="134" t="s">
        <v>120</v>
      </c>
      <c r="D407" s="36" t="s">
        <v>667</v>
      </c>
      <c r="E407" s="36" t="s">
        <v>331</v>
      </c>
      <c r="F407" s="36" t="s">
        <v>27</v>
      </c>
      <c r="G407" s="38">
        <f>-1900000</f>
        <v>-1900000</v>
      </c>
      <c r="H407" s="36" t="s">
        <v>369</v>
      </c>
      <c r="L407" t="s">
        <v>90</v>
      </c>
      <c r="M407" s="26" t="s">
        <v>568</v>
      </c>
      <c r="N407" t="s">
        <v>569</v>
      </c>
      <c r="O407" t="s">
        <v>526</v>
      </c>
      <c r="P407" t="s">
        <v>232</v>
      </c>
      <c r="S407" s="45" t="s">
        <v>176</v>
      </c>
      <c r="T407" s="45" t="s">
        <v>621</v>
      </c>
      <c r="U407" s="45" t="s">
        <v>377</v>
      </c>
      <c r="V407" s="45" t="s">
        <v>460</v>
      </c>
      <c r="W407" s="46" t="s">
        <v>448</v>
      </c>
      <c r="X407" s="45" t="s">
        <v>315</v>
      </c>
      <c r="Y407" s="16"/>
    </row>
    <row r="408" spans="3:25" x14ac:dyDescent="0.25">
      <c r="C408" s="134" t="s">
        <v>72</v>
      </c>
      <c r="D408" s="36" t="s">
        <v>331</v>
      </c>
      <c r="E408" s="36" t="s">
        <v>464</v>
      </c>
      <c r="F408" s="36" t="s">
        <v>31</v>
      </c>
      <c r="G408" s="38">
        <f>775000</f>
        <v>775000</v>
      </c>
      <c r="H408" s="36" t="s">
        <v>220</v>
      </c>
      <c r="L408" t="s">
        <v>181</v>
      </c>
      <c r="M408" s="26" t="s">
        <v>456</v>
      </c>
      <c r="N408" t="s">
        <v>437</v>
      </c>
      <c r="O408" t="s">
        <v>572</v>
      </c>
      <c r="P408" t="s">
        <v>232</v>
      </c>
      <c r="S408" t="s">
        <v>404</v>
      </c>
      <c r="T408" t="s">
        <v>622</v>
      </c>
      <c r="U408" t="s">
        <v>623</v>
      </c>
      <c r="V408" t="s">
        <v>586</v>
      </c>
      <c r="W408" s="26" t="s">
        <v>472</v>
      </c>
      <c r="X408" t="s">
        <v>347</v>
      </c>
      <c r="Y408" s="16"/>
    </row>
    <row r="409" spans="3:25" x14ac:dyDescent="0.25">
      <c r="C409" s="134" t="s">
        <v>126</v>
      </c>
      <c r="D409" s="36" t="s">
        <v>331</v>
      </c>
      <c r="E409" s="36" t="s">
        <v>566</v>
      </c>
      <c r="F409" s="36" t="s">
        <v>31</v>
      </c>
      <c r="G409" s="38">
        <f>1600000</f>
        <v>1600000</v>
      </c>
      <c r="H409" s="36" t="s">
        <v>220</v>
      </c>
      <c r="L409" t="s">
        <v>90</v>
      </c>
      <c r="M409" s="26" t="s">
        <v>489</v>
      </c>
      <c r="N409" t="s">
        <v>486</v>
      </c>
      <c r="O409" t="s">
        <v>575</v>
      </c>
      <c r="P409" t="s">
        <v>232</v>
      </c>
      <c r="S409" t="s">
        <v>182</v>
      </c>
      <c r="T409" t="s">
        <v>622</v>
      </c>
      <c r="U409" t="s">
        <v>614</v>
      </c>
      <c r="V409" t="s">
        <v>625</v>
      </c>
      <c r="W409" s="26" t="s">
        <v>503</v>
      </c>
      <c r="X409" t="s">
        <v>347</v>
      </c>
      <c r="Y409" s="16"/>
    </row>
    <row r="410" spans="3:25" x14ac:dyDescent="0.25">
      <c r="C410" s="35" t="s">
        <v>1287</v>
      </c>
      <c r="D410" s="36" t="s">
        <v>331</v>
      </c>
      <c r="E410" s="36" t="s">
        <v>468</v>
      </c>
      <c r="F410" s="36" t="s">
        <v>27</v>
      </c>
      <c r="G410" s="38">
        <f>2200000</f>
        <v>2200000</v>
      </c>
      <c r="H410" s="36" t="s">
        <v>1284</v>
      </c>
      <c r="L410" s="23" t="s">
        <v>176</v>
      </c>
      <c r="M410" s="57" t="s">
        <v>563</v>
      </c>
      <c r="N410" s="23" t="s">
        <v>578</v>
      </c>
      <c r="O410" s="23" t="s">
        <v>579</v>
      </c>
      <c r="P410" s="23" t="s">
        <v>232</v>
      </c>
      <c r="S410" t="s">
        <v>404</v>
      </c>
      <c r="T410" t="s">
        <v>628</v>
      </c>
      <c r="U410" t="s">
        <v>254</v>
      </c>
      <c r="V410" t="s">
        <v>254</v>
      </c>
      <c r="W410" s="26" t="s">
        <v>254</v>
      </c>
      <c r="X410" t="s">
        <v>347</v>
      </c>
      <c r="Y410" s="16"/>
    </row>
    <row r="411" spans="3:25" x14ac:dyDescent="0.25">
      <c r="C411" s="134" t="s">
        <v>721</v>
      </c>
      <c r="D411" s="36" t="s">
        <v>331</v>
      </c>
      <c r="E411" s="36" t="s">
        <v>471</v>
      </c>
      <c r="F411" s="36" t="s">
        <v>27</v>
      </c>
      <c r="G411" s="38">
        <f>1900000</f>
        <v>1900000</v>
      </c>
      <c r="H411" s="36" t="s">
        <v>295</v>
      </c>
      <c r="L411" t="s">
        <v>181</v>
      </c>
      <c r="M411" s="125" t="s">
        <v>582</v>
      </c>
      <c r="N411" t="s">
        <v>583</v>
      </c>
      <c r="O411" s="126" t="s">
        <v>512</v>
      </c>
      <c r="P411" t="s">
        <v>236</v>
      </c>
      <c r="S411" t="s">
        <v>176</v>
      </c>
      <c r="T411" t="s">
        <v>630</v>
      </c>
      <c r="U411" t="s">
        <v>254</v>
      </c>
      <c r="V411" t="s">
        <v>254</v>
      </c>
      <c r="W411" s="26" t="s">
        <v>254</v>
      </c>
      <c r="X411" t="s">
        <v>347</v>
      </c>
      <c r="Y411" s="16"/>
    </row>
    <row r="412" spans="3:25" x14ac:dyDescent="0.25">
      <c r="C412" s="35" t="s">
        <v>213</v>
      </c>
      <c r="D412" s="36" t="s">
        <v>345</v>
      </c>
      <c r="E412" s="36" t="s">
        <v>331</v>
      </c>
      <c r="F412" s="36" t="s">
        <v>159</v>
      </c>
      <c r="G412" s="38">
        <f>-85000000</f>
        <v>-85000000</v>
      </c>
      <c r="H412" s="36" t="s">
        <v>1374</v>
      </c>
      <c r="L412" t="s">
        <v>176</v>
      </c>
      <c r="M412" s="26" t="s">
        <v>585</v>
      </c>
      <c r="N412" t="s">
        <v>490</v>
      </c>
      <c r="O412" t="s">
        <v>586</v>
      </c>
      <c r="P412" t="s">
        <v>236</v>
      </c>
      <c r="S412" t="s">
        <v>182</v>
      </c>
      <c r="T412" t="s">
        <v>633</v>
      </c>
      <c r="U412" t="s">
        <v>254</v>
      </c>
      <c r="V412" t="s">
        <v>254</v>
      </c>
      <c r="W412" s="26" t="s">
        <v>254</v>
      </c>
      <c r="X412" t="s">
        <v>347</v>
      </c>
      <c r="Y412" s="16"/>
    </row>
    <row r="413" spans="3:25" x14ac:dyDescent="0.25">
      <c r="C413" s="35" t="s">
        <v>213</v>
      </c>
      <c r="D413" s="36" t="s">
        <v>331</v>
      </c>
      <c r="E413" s="36" t="s">
        <v>396</v>
      </c>
      <c r="F413" s="36" t="s">
        <v>159</v>
      </c>
      <c r="G413" s="38">
        <v>9000000</v>
      </c>
      <c r="H413" s="36" t="s">
        <v>1443</v>
      </c>
      <c r="L413" t="s">
        <v>181</v>
      </c>
      <c r="M413" s="26" t="s">
        <v>520</v>
      </c>
      <c r="N413" t="s">
        <v>552</v>
      </c>
      <c r="O413" t="s">
        <v>588</v>
      </c>
      <c r="P413" t="s">
        <v>236</v>
      </c>
      <c r="S413" s="45" t="s">
        <v>42</v>
      </c>
      <c r="T413" s="45" t="s">
        <v>635</v>
      </c>
      <c r="U413" s="45" t="s">
        <v>308</v>
      </c>
      <c r="V413" s="45" t="s">
        <v>460</v>
      </c>
      <c r="W413" s="46" t="s">
        <v>497</v>
      </c>
      <c r="X413" s="45" t="s">
        <v>347</v>
      </c>
      <c r="Y413" s="16"/>
    </row>
    <row r="414" spans="3:25" x14ac:dyDescent="0.25">
      <c r="C414" s="35" t="s">
        <v>213</v>
      </c>
      <c r="D414" s="36" t="s">
        <v>331</v>
      </c>
      <c r="E414" s="36" t="s">
        <v>345</v>
      </c>
      <c r="F414" s="36" t="s">
        <v>159</v>
      </c>
      <c r="G414" s="38" t="s">
        <v>334</v>
      </c>
      <c r="H414" s="36" t="s">
        <v>1374</v>
      </c>
      <c r="L414" t="s">
        <v>181</v>
      </c>
      <c r="M414" s="26" t="s">
        <v>472</v>
      </c>
      <c r="N414" t="s">
        <v>590</v>
      </c>
      <c r="O414" t="s">
        <v>591</v>
      </c>
      <c r="P414" t="s">
        <v>236</v>
      </c>
      <c r="S414" t="s">
        <v>404</v>
      </c>
      <c r="T414" t="s">
        <v>639</v>
      </c>
      <c r="U414" t="s">
        <v>516</v>
      </c>
      <c r="V414" t="s">
        <v>517</v>
      </c>
      <c r="W414" s="26" t="s">
        <v>546</v>
      </c>
      <c r="X414" t="s">
        <v>278</v>
      </c>
      <c r="Y414" s="16"/>
    </row>
    <row r="415" spans="3:25" x14ac:dyDescent="0.25">
      <c r="C415" s="134" t="s">
        <v>1375</v>
      </c>
      <c r="D415" s="36" t="s">
        <v>399</v>
      </c>
      <c r="E415" s="36" t="s">
        <v>331</v>
      </c>
      <c r="F415" s="36" t="s">
        <v>79</v>
      </c>
      <c r="G415" s="38">
        <f>-9000000</f>
        <v>-9000000</v>
      </c>
      <c r="H415" s="36" t="s">
        <v>1374</v>
      </c>
      <c r="L415" s="72" t="s">
        <v>97</v>
      </c>
      <c r="M415" s="26" t="s">
        <v>556</v>
      </c>
      <c r="N415" t="s">
        <v>490</v>
      </c>
      <c r="O415" t="s">
        <v>477</v>
      </c>
      <c r="P415" t="s">
        <v>236</v>
      </c>
      <c r="S415" t="s">
        <v>176</v>
      </c>
      <c r="T415" t="s">
        <v>641</v>
      </c>
      <c r="U415" t="s">
        <v>516</v>
      </c>
      <c r="V415" t="s">
        <v>517</v>
      </c>
      <c r="W415" s="26" t="s">
        <v>546</v>
      </c>
      <c r="X415" t="s">
        <v>278</v>
      </c>
    </row>
    <row r="416" spans="3:25" x14ac:dyDescent="0.25">
      <c r="C416" s="35" t="s">
        <v>1375</v>
      </c>
      <c r="D416" s="36" t="s">
        <v>331</v>
      </c>
      <c r="E416" s="36" t="s">
        <v>515</v>
      </c>
      <c r="F416" s="36" t="s">
        <v>79</v>
      </c>
      <c r="G416" s="38">
        <f>50000000</f>
        <v>50000000</v>
      </c>
      <c r="H416" s="36" t="s">
        <v>1442</v>
      </c>
      <c r="L416" s="10" t="s">
        <v>185</v>
      </c>
      <c r="M416" s="26" t="s">
        <v>472</v>
      </c>
      <c r="N416" t="s">
        <v>597</v>
      </c>
      <c r="O416" t="s">
        <v>598</v>
      </c>
      <c r="P416" t="s">
        <v>236</v>
      </c>
      <c r="S416" t="s">
        <v>51</v>
      </c>
      <c r="T416" t="s">
        <v>643</v>
      </c>
      <c r="U416" t="s">
        <v>464</v>
      </c>
      <c r="V416" t="s">
        <v>559</v>
      </c>
      <c r="W416" s="26" t="s">
        <v>632</v>
      </c>
      <c r="X416" t="s">
        <v>278</v>
      </c>
    </row>
    <row r="417" spans="3:24" x14ac:dyDescent="0.25">
      <c r="C417" s="134" t="s">
        <v>1186</v>
      </c>
      <c r="D417" s="36" t="s">
        <v>331</v>
      </c>
      <c r="E417" s="36" t="s">
        <v>464</v>
      </c>
      <c r="F417" s="36" t="s">
        <v>1155</v>
      </c>
      <c r="G417" s="38">
        <f>2900000</f>
        <v>2900000</v>
      </c>
      <c r="H417" s="36" t="s">
        <v>1180</v>
      </c>
      <c r="L417" t="s">
        <v>176</v>
      </c>
      <c r="M417" s="26" t="s">
        <v>456</v>
      </c>
      <c r="N417" t="s">
        <v>367</v>
      </c>
      <c r="O417" t="s">
        <v>601</v>
      </c>
      <c r="P417" t="s">
        <v>236</v>
      </c>
      <c r="S417" t="s">
        <v>404</v>
      </c>
      <c r="T417" t="s">
        <v>646</v>
      </c>
      <c r="U417" t="s">
        <v>254</v>
      </c>
      <c r="V417" t="s">
        <v>254</v>
      </c>
      <c r="W417" s="26" t="s">
        <v>254</v>
      </c>
      <c r="X417" t="s">
        <v>278</v>
      </c>
    </row>
    <row r="418" spans="3:24" x14ac:dyDescent="0.25">
      <c r="C418" s="134" t="s">
        <v>185</v>
      </c>
      <c r="D418" s="36" t="s">
        <v>332</v>
      </c>
      <c r="E418" s="36" t="s">
        <v>331</v>
      </c>
      <c r="F418" s="36" t="s">
        <v>66</v>
      </c>
      <c r="G418" s="38">
        <f>-20000000-15000000</f>
        <v>-35000000</v>
      </c>
      <c r="H418" s="36" t="s">
        <v>236</v>
      </c>
      <c r="L418" s="45" t="s">
        <v>176</v>
      </c>
      <c r="M418" s="57" t="s">
        <v>542</v>
      </c>
      <c r="N418" s="23" t="s">
        <v>604</v>
      </c>
      <c r="O418" s="23" t="s">
        <v>504</v>
      </c>
      <c r="P418" s="23" t="s">
        <v>236</v>
      </c>
      <c r="S418" t="s">
        <v>176</v>
      </c>
      <c r="T418" t="s">
        <v>648</v>
      </c>
      <c r="U418" t="s">
        <v>254</v>
      </c>
      <c r="V418" t="s">
        <v>254</v>
      </c>
      <c r="W418" s="26" t="s">
        <v>254</v>
      </c>
      <c r="X418" t="s">
        <v>278</v>
      </c>
    </row>
    <row r="419" spans="3:24" x14ac:dyDescent="0.25">
      <c r="C419" s="134" t="s">
        <v>185</v>
      </c>
      <c r="D419" s="36" t="s">
        <v>331</v>
      </c>
      <c r="E419" s="36" t="s">
        <v>399</v>
      </c>
      <c r="F419" s="36" t="s">
        <v>66</v>
      </c>
      <c r="G419" s="38">
        <f>44000000</f>
        <v>44000000</v>
      </c>
      <c r="H419" s="36" t="s">
        <v>347</v>
      </c>
      <c r="L419" t="s">
        <v>176</v>
      </c>
      <c r="M419" s="26" t="s">
        <v>480</v>
      </c>
      <c r="N419" t="s">
        <v>607</v>
      </c>
      <c r="O419" t="s">
        <v>608</v>
      </c>
      <c r="P419" t="s">
        <v>239</v>
      </c>
      <c r="S419" s="45" t="s">
        <v>544</v>
      </c>
      <c r="T419" s="45" t="s">
        <v>649</v>
      </c>
      <c r="U419" s="45" t="s">
        <v>308</v>
      </c>
      <c r="V419" s="45" t="s">
        <v>460</v>
      </c>
      <c r="W419" s="46" t="s">
        <v>632</v>
      </c>
      <c r="X419" s="45" t="s">
        <v>278</v>
      </c>
    </row>
    <row r="420" spans="3:24" x14ac:dyDescent="0.25">
      <c r="C420" s="134" t="s">
        <v>745</v>
      </c>
      <c r="D420" s="36" t="s">
        <v>640</v>
      </c>
      <c r="E420" s="36" t="s">
        <v>331</v>
      </c>
      <c r="F420" s="36" t="s">
        <v>88</v>
      </c>
      <c r="G420" s="38">
        <f>-3500000</f>
        <v>-3500000</v>
      </c>
      <c r="H420" s="36" t="s">
        <v>742</v>
      </c>
      <c r="L420" t="s">
        <v>181</v>
      </c>
      <c r="M420" s="26" t="s">
        <v>480</v>
      </c>
      <c r="N420" t="s">
        <v>519</v>
      </c>
      <c r="O420" t="s">
        <v>512</v>
      </c>
      <c r="P420" t="s">
        <v>239</v>
      </c>
      <c r="S420" t="s">
        <v>182</v>
      </c>
      <c r="T420" t="s">
        <v>651</v>
      </c>
      <c r="U420" t="s">
        <v>254</v>
      </c>
      <c r="V420" t="s">
        <v>254</v>
      </c>
      <c r="W420" s="26" t="s">
        <v>254</v>
      </c>
      <c r="X420" t="s">
        <v>388</v>
      </c>
    </row>
    <row r="421" spans="3:24" x14ac:dyDescent="0.25">
      <c r="C421" s="134" t="s">
        <v>745</v>
      </c>
      <c r="D421" s="36" t="s">
        <v>331</v>
      </c>
      <c r="E421" s="36" t="s">
        <v>417</v>
      </c>
      <c r="F421" s="36" t="s">
        <v>88</v>
      </c>
      <c r="G421" s="38" t="s">
        <v>334</v>
      </c>
      <c r="H421" s="36" t="s">
        <v>800</v>
      </c>
      <c r="L421" t="s">
        <v>176</v>
      </c>
      <c r="M421" s="26" t="s">
        <v>456</v>
      </c>
      <c r="N421" t="s">
        <v>614</v>
      </c>
      <c r="O421" t="s">
        <v>615</v>
      </c>
      <c r="P421" t="s">
        <v>239</v>
      </c>
      <c r="S421" t="s">
        <v>179</v>
      </c>
      <c r="T421" t="s">
        <v>652</v>
      </c>
      <c r="U421" t="s">
        <v>254</v>
      </c>
      <c r="V421" t="s">
        <v>254</v>
      </c>
      <c r="W421" s="26" t="s">
        <v>254</v>
      </c>
      <c r="X421" t="s">
        <v>388</v>
      </c>
    </row>
    <row r="422" spans="3:24" x14ac:dyDescent="0.25">
      <c r="C422" s="134" t="s">
        <v>1184</v>
      </c>
      <c r="D422" s="36" t="s">
        <v>417</v>
      </c>
      <c r="E422" s="36" t="s">
        <v>331</v>
      </c>
      <c r="F422" s="36" t="s">
        <v>37</v>
      </c>
      <c r="G422" s="38">
        <f>-7500000</f>
        <v>-7500000</v>
      </c>
      <c r="H422" s="36" t="s">
        <v>1180</v>
      </c>
      <c r="L422" s="23" t="s">
        <v>176</v>
      </c>
      <c r="M422" s="57" t="s">
        <v>456</v>
      </c>
      <c r="N422" s="23" t="s">
        <v>345</v>
      </c>
      <c r="O422" s="23" t="s">
        <v>529</v>
      </c>
      <c r="P422" s="23" t="s">
        <v>239</v>
      </c>
      <c r="S422" s="45" t="s">
        <v>204</v>
      </c>
      <c r="T422" s="45" t="s">
        <v>654</v>
      </c>
      <c r="U422" s="45" t="s">
        <v>377</v>
      </c>
      <c r="V422" s="45" t="s">
        <v>460</v>
      </c>
      <c r="W422" s="46" t="s">
        <v>454</v>
      </c>
      <c r="X422" s="45" t="s">
        <v>388</v>
      </c>
    </row>
    <row r="423" spans="3:24" x14ac:dyDescent="0.25">
      <c r="C423" s="35" t="s">
        <v>1184</v>
      </c>
      <c r="D423" s="36" t="s">
        <v>331</v>
      </c>
      <c r="E423" s="36" t="s">
        <v>399</v>
      </c>
      <c r="F423" s="36" t="s">
        <v>37</v>
      </c>
      <c r="G423" s="38">
        <f>85000000</f>
        <v>85000000</v>
      </c>
      <c r="H423" s="36" t="s">
        <v>1436</v>
      </c>
      <c r="L423" t="s">
        <v>176</v>
      </c>
      <c r="M423" s="26" t="s">
        <v>508</v>
      </c>
      <c r="N423" t="s">
        <v>578</v>
      </c>
      <c r="O423" t="s">
        <v>537</v>
      </c>
      <c r="P423" t="s">
        <v>270</v>
      </c>
      <c r="S423" t="s">
        <v>45</v>
      </c>
      <c r="T423" t="s">
        <v>656</v>
      </c>
      <c r="U423" t="s">
        <v>254</v>
      </c>
      <c r="V423" t="s">
        <v>254</v>
      </c>
      <c r="W423" s="26" t="s">
        <v>254</v>
      </c>
      <c r="X423" t="s">
        <v>369</v>
      </c>
    </row>
    <row r="424" spans="3:24" x14ac:dyDescent="0.25">
      <c r="C424" s="134" t="s">
        <v>65</v>
      </c>
      <c r="D424" s="36" t="s">
        <v>689</v>
      </c>
      <c r="E424" s="36" t="s">
        <v>331</v>
      </c>
      <c r="F424" s="36" t="s">
        <v>66</v>
      </c>
      <c r="G424" s="38">
        <f>-3800000</f>
        <v>-3800000</v>
      </c>
      <c r="H424" s="36" t="s">
        <v>364</v>
      </c>
      <c r="L424" t="s">
        <v>176</v>
      </c>
      <c r="M424" s="26" t="s">
        <v>472</v>
      </c>
      <c r="N424" t="s">
        <v>606</v>
      </c>
      <c r="P424" t="s">
        <v>270</v>
      </c>
      <c r="S424" t="s">
        <v>98</v>
      </c>
      <c r="T424" t="s">
        <v>658</v>
      </c>
      <c r="U424" t="s">
        <v>254</v>
      </c>
      <c r="V424" t="s">
        <v>254</v>
      </c>
      <c r="W424" s="26" t="s">
        <v>254</v>
      </c>
      <c r="X424" t="s">
        <v>369</v>
      </c>
    </row>
    <row r="425" spans="3:24" x14ac:dyDescent="0.25">
      <c r="C425" s="134" t="s">
        <v>65</v>
      </c>
      <c r="D425" s="36" t="s">
        <v>331</v>
      </c>
      <c r="E425" s="36" t="s">
        <v>417</v>
      </c>
      <c r="F425" s="36" t="s">
        <v>66</v>
      </c>
      <c r="G425" s="38">
        <f>30000000</f>
        <v>30000000</v>
      </c>
      <c r="H425" s="36" t="s">
        <v>282</v>
      </c>
      <c r="L425" t="s">
        <v>176</v>
      </c>
      <c r="M425" s="26" t="s">
        <v>456</v>
      </c>
      <c r="N425" t="s">
        <v>468</v>
      </c>
      <c r="P425" t="s">
        <v>270</v>
      </c>
      <c r="S425" t="s">
        <v>179</v>
      </c>
      <c r="T425" t="s">
        <v>660</v>
      </c>
      <c r="U425" t="s">
        <v>254</v>
      </c>
      <c r="V425" t="s">
        <v>254</v>
      </c>
      <c r="W425" s="26" t="s">
        <v>254</v>
      </c>
      <c r="X425" t="s">
        <v>369</v>
      </c>
    </row>
    <row r="426" spans="3:24" ht="15.75" thickBot="1" x14ac:dyDescent="0.3">
      <c r="C426" s="35" t="s">
        <v>1469</v>
      </c>
      <c r="D426" s="36" t="s">
        <v>1105</v>
      </c>
      <c r="E426" s="36" t="s">
        <v>331</v>
      </c>
      <c r="F426" s="36" t="s">
        <v>79</v>
      </c>
      <c r="G426" s="38">
        <f>-8000000</f>
        <v>-8000000</v>
      </c>
      <c r="H426" s="36" t="s">
        <v>1442</v>
      </c>
      <c r="L426" s="10" t="s">
        <v>179</v>
      </c>
      <c r="M426" s="26" t="s">
        <v>582</v>
      </c>
      <c r="N426" t="s">
        <v>468</v>
      </c>
      <c r="O426" t="s">
        <v>627</v>
      </c>
      <c r="P426" t="s">
        <v>270</v>
      </c>
      <c r="S426" s="58" t="s">
        <v>179</v>
      </c>
      <c r="T426" s="58" t="s">
        <v>661</v>
      </c>
      <c r="U426" s="58" t="s">
        <v>387</v>
      </c>
      <c r="V426" s="58" t="s">
        <v>460</v>
      </c>
      <c r="W426" s="95" t="s">
        <v>454</v>
      </c>
      <c r="X426" s="58" t="s">
        <v>369</v>
      </c>
    </row>
    <row r="427" spans="3:24" x14ac:dyDescent="0.25">
      <c r="C427" s="134" t="s">
        <v>167</v>
      </c>
      <c r="D427" s="36" t="s">
        <v>331</v>
      </c>
      <c r="E427" s="36" t="s">
        <v>1183</v>
      </c>
      <c r="F427" s="36" t="s">
        <v>155</v>
      </c>
      <c r="G427" s="38">
        <f>20500000</f>
        <v>20500000</v>
      </c>
      <c r="H427" s="36" t="s">
        <v>1210</v>
      </c>
      <c r="L427" t="s">
        <v>181</v>
      </c>
      <c r="M427" s="26" t="s">
        <v>531</v>
      </c>
      <c r="N427" t="s">
        <v>308</v>
      </c>
      <c r="O427" t="s">
        <v>629</v>
      </c>
      <c r="P427" t="s">
        <v>270</v>
      </c>
      <c r="S427" t="s">
        <v>45</v>
      </c>
      <c r="T427" t="s">
        <v>663</v>
      </c>
      <c r="U427" t="s">
        <v>254</v>
      </c>
      <c r="V427" t="s">
        <v>254</v>
      </c>
      <c r="W427" s="26" t="s">
        <v>254</v>
      </c>
      <c r="X427" t="s">
        <v>276</v>
      </c>
    </row>
    <row r="428" spans="3:24" x14ac:dyDescent="0.25">
      <c r="C428" s="134" t="s">
        <v>475</v>
      </c>
      <c r="D428" s="36" t="s">
        <v>715</v>
      </c>
      <c r="E428" s="36" t="s">
        <v>331</v>
      </c>
      <c r="F428" s="36" t="s">
        <v>79</v>
      </c>
      <c r="G428" s="38">
        <f>-14000000</f>
        <v>-14000000</v>
      </c>
      <c r="H428" s="36" t="s">
        <v>282</v>
      </c>
      <c r="L428" t="s">
        <v>181</v>
      </c>
      <c r="M428" s="26" t="s">
        <v>632</v>
      </c>
      <c r="N428" t="s">
        <v>367</v>
      </c>
      <c r="O428" t="s">
        <v>529</v>
      </c>
      <c r="P428" t="s">
        <v>270</v>
      </c>
      <c r="S428" t="s">
        <v>98</v>
      </c>
      <c r="T428" t="s">
        <v>666</v>
      </c>
      <c r="U428" t="s">
        <v>254</v>
      </c>
      <c r="V428" t="s">
        <v>254</v>
      </c>
      <c r="W428" s="26" t="s">
        <v>254</v>
      </c>
      <c r="X428" t="s">
        <v>276</v>
      </c>
    </row>
    <row r="429" spans="3:24" x14ac:dyDescent="0.25">
      <c r="C429" s="134" t="s">
        <v>475</v>
      </c>
      <c r="D429" s="36" t="s">
        <v>331</v>
      </c>
      <c r="E429" s="36" t="s">
        <v>399</v>
      </c>
      <c r="F429" s="36" t="s">
        <v>79</v>
      </c>
      <c r="G429" s="38">
        <f>14500000</f>
        <v>14500000</v>
      </c>
      <c r="H429" s="36" t="s">
        <v>239</v>
      </c>
      <c r="L429" s="23" t="s">
        <v>176</v>
      </c>
      <c r="M429" s="57" t="s">
        <v>482</v>
      </c>
      <c r="N429" s="23" t="s">
        <v>607</v>
      </c>
      <c r="O429" s="23" t="s">
        <v>533</v>
      </c>
      <c r="P429" s="23" t="s">
        <v>270</v>
      </c>
      <c r="S429" t="s">
        <v>668</v>
      </c>
      <c r="T429" t="s">
        <v>669</v>
      </c>
      <c r="U429" t="s">
        <v>254</v>
      </c>
      <c r="V429" t="s">
        <v>254</v>
      </c>
      <c r="W429" s="26" t="s">
        <v>254</v>
      </c>
      <c r="X429" t="s">
        <v>276</v>
      </c>
    </row>
    <row r="430" spans="3:24" x14ac:dyDescent="0.25">
      <c r="C430" s="134" t="s">
        <v>802</v>
      </c>
      <c r="D430" s="36" t="s">
        <v>331</v>
      </c>
      <c r="E430" s="36" t="s">
        <v>519</v>
      </c>
      <c r="F430" s="36" t="s">
        <v>79</v>
      </c>
      <c r="G430" s="38">
        <f>10000000</f>
        <v>10000000</v>
      </c>
      <c r="H430" s="36" t="s">
        <v>860</v>
      </c>
      <c r="L430" t="s">
        <v>176</v>
      </c>
      <c r="M430" s="26" t="s">
        <v>637</v>
      </c>
      <c r="N430" t="s">
        <v>367</v>
      </c>
      <c r="O430" t="s">
        <v>638</v>
      </c>
      <c r="P430" t="s">
        <v>315</v>
      </c>
      <c r="S430" t="s">
        <v>179</v>
      </c>
      <c r="T430" t="s">
        <v>672</v>
      </c>
      <c r="U430" t="s">
        <v>254</v>
      </c>
      <c r="V430" t="s">
        <v>254</v>
      </c>
      <c r="W430" s="26" t="s">
        <v>254</v>
      </c>
      <c r="X430" t="s">
        <v>276</v>
      </c>
    </row>
    <row r="431" spans="3:24" x14ac:dyDescent="0.25">
      <c r="C431" s="134" t="s">
        <v>802</v>
      </c>
      <c r="D431" s="36" t="s">
        <v>813</v>
      </c>
      <c r="E431" s="36" t="s">
        <v>331</v>
      </c>
      <c r="F431" s="36" t="s">
        <v>79</v>
      </c>
      <c r="G431" s="38" t="s">
        <v>334</v>
      </c>
      <c r="H431" s="36" t="s">
        <v>796</v>
      </c>
      <c r="L431" t="s">
        <v>176</v>
      </c>
      <c r="M431" s="26" t="s">
        <v>531</v>
      </c>
      <c r="N431" t="s">
        <v>604</v>
      </c>
      <c r="O431" t="s">
        <v>619</v>
      </c>
      <c r="P431" t="s">
        <v>315</v>
      </c>
      <c r="S431" s="45" t="s">
        <v>674</v>
      </c>
      <c r="T431" s="45" t="s">
        <v>675</v>
      </c>
      <c r="U431" s="45" t="s">
        <v>435</v>
      </c>
      <c r="V431" s="45" t="s">
        <v>460</v>
      </c>
      <c r="W431" s="46" t="s">
        <v>676</v>
      </c>
      <c r="X431" s="45" t="s">
        <v>276</v>
      </c>
    </row>
    <row r="432" spans="3:24" x14ac:dyDescent="0.25">
      <c r="C432" s="35" t="s">
        <v>1337</v>
      </c>
      <c r="D432" s="36" t="s">
        <v>331</v>
      </c>
      <c r="E432" s="36" t="s">
        <v>380</v>
      </c>
      <c r="F432" s="36" t="s">
        <v>1472</v>
      </c>
      <c r="G432" s="38">
        <f>42500000</f>
        <v>42500000</v>
      </c>
      <c r="H432" s="36" t="s">
        <v>1467</v>
      </c>
      <c r="L432" t="s">
        <v>185</v>
      </c>
      <c r="M432" s="26" t="s">
        <v>531</v>
      </c>
      <c r="N432" t="s">
        <v>604</v>
      </c>
      <c r="O432" t="s">
        <v>619</v>
      </c>
      <c r="P432" t="s">
        <v>315</v>
      </c>
      <c r="S432" t="s">
        <v>98</v>
      </c>
      <c r="T432" t="s">
        <v>680</v>
      </c>
      <c r="U432" t="s">
        <v>254</v>
      </c>
      <c r="V432" t="s">
        <v>254</v>
      </c>
      <c r="W432" s="26" t="s">
        <v>254</v>
      </c>
      <c r="X432" t="s">
        <v>286</v>
      </c>
    </row>
    <row r="433" spans="3:24" x14ac:dyDescent="0.25">
      <c r="C433" s="134" t="s">
        <v>514</v>
      </c>
      <c r="D433" s="36" t="s">
        <v>331</v>
      </c>
      <c r="E433" s="36" t="s">
        <v>515</v>
      </c>
      <c r="F433" s="36" t="s">
        <v>37</v>
      </c>
      <c r="G433" s="38">
        <f>7000000</f>
        <v>7000000</v>
      </c>
      <c r="H433" s="36" t="s">
        <v>223</v>
      </c>
      <c r="L433" t="s">
        <v>176</v>
      </c>
      <c r="M433" s="26" t="s">
        <v>542</v>
      </c>
      <c r="N433" t="s">
        <v>645</v>
      </c>
      <c r="O433" t="s">
        <v>557</v>
      </c>
      <c r="P433" t="s">
        <v>315</v>
      </c>
      <c r="S433" t="s">
        <v>179</v>
      </c>
      <c r="T433" t="s">
        <v>683</v>
      </c>
      <c r="U433" t="s">
        <v>254</v>
      </c>
      <c r="V433" t="s">
        <v>254</v>
      </c>
      <c r="W433" s="26" t="s">
        <v>254</v>
      </c>
      <c r="X433" t="s">
        <v>286</v>
      </c>
    </row>
    <row r="434" spans="3:24" x14ac:dyDescent="0.25">
      <c r="C434" s="35" t="s">
        <v>1470</v>
      </c>
      <c r="D434" s="36" t="s">
        <v>331</v>
      </c>
      <c r="E434" s="36" t="s">
        <v>1473</v>
      </c>
      <c r="F434" s="36" t="s">
        <v>1471</v>
      </c>
      <c r="G434" s="38">
        <f>-8000000</f>
        <v>-8000000</v>
      </c>
      <c r="H434" s="36" t="s">
        <v>1442</v>
      </c>
      <c r="L434" t="s">
        <v>176</v>
      </c>
      <c r="M434" s="26" t="s">
        <v>482</v>
      </c>
      <c r="N434" t="s">
        <v>490</v>
      </c>
      <c r="O434" t="s">
        <v>647</v>
      </c>
      <c r="P434" t="s">
        <v>315</v>
      </c>
      <c r="S434" t="s">
        <v>668</v>
      </c>
      <c r="T434" t="s">
        <v>684</v>
      </c>
      <c r="U434" t="s">
        <v>254</v>
      </c>
      <c r="V434" t="s">
        <v>254</v>
      </c>
      <c r="W434" s="26" t="s">
        <v>254</v>
      </c>
      <c r="X434" t="s">
        <v>286</v>
      </c>
    </row>
    <row r="435" spans="3:24" x14ac:dyDescent="0.25">
      <c r="C435" s="134" t="s">
        <v>617</v>
      </c>
      <c r="D435" s="36" t="s">
        <v>331</v>
      </c>
      <c r="E435" s="36" t="s">
        <v>1175</v>
      </c>
      <c r="F435" s="36" t="s">
        <v>44</v>
      </c>
      <c r="G435" s="38">
        <f>325000</f>
        <v>325000</v>
      </c>
      <c r="H435" s="36" t="s">
        <v>268</v>
      </c>
      <c r="L435" t="s">
        <v>176</v>
      </c>
      <c r="M435" s="26" t="s">
        <v>480</v>
      </c>
      <c r="N435" t="s">
        <v>468</v>
      </c>
      <c r="O435" t="s">
        <v>561</v>
      </c>
      <c r="P435" t="s">
        <v>315</v>
      </c>
      <c r="S435" s="45" t="s">
        <v>115</v>
      </c>
      <c r="T435" s="45" t="s">
        <v>686</v>
      </c>
      <c r="U435" s="45" t="s">
        <v>435</v>
      </c>
      <c r="V435" s="45" t="s">
        <v>460</v>
      </c>
      <c r="W435" s="46" t="s">
        <v>508</v>
      </c>
      <c r="X435" s="45" t="s">
        <v>286</v>
      </c>
    </row>
    <row r="436" spans="3:24" x14ac:dyDescent="0.25">
      <c r="C436" s="134" t="s">
        <v>162</v>
      </c>
      <c r="D436" s="36" t="s">
        <v>331</v>
      </c>
      <c r="E436" s="36" t="s">
        <v>596</v>
      </c>
      <c r="F436" s="36" t="s">
        <v>159</v>
      </c>
      <c r="G436" s="38">
        <f>650000</f>
        <v>650000</v>
      </c>
      <c r="H436" s="36" t="s">
        <v>236</v>
      </c>
      <c r="L436" s="48" t="s">
        <v>176</v>
      </c>
      <c r="M436" s="26" t="s">
        <v>650</v>
      </c>
      <c r="N436" t="s">
        <v>528</v>
      </c>
      <c r="O436" t="s">
        <v>517</v>
      </c>
      <c r="P436" t="s">
        <v>315</v>
      </c>
      <c r="S436" t="s">
        <v>45</v>
      </c>
      <c r="T436" t="s">
        <v>688</v>
      </c>
      <c r="U436" t="s">
        <v>254</v>
      </c>
      <c r="V436" t="s">
        <v>254</v>
      </c>
      <c r="W436" s="26" t="s">
        <v>254</v>
      </c>
      <c r="X436" t="s">
        <v>295</v>
      </c>
    </row>
    <row r="437" spans="3:24" x14ac:dyDescent="0.25">
      <c r="C437" s="134" t="s">
        <v>1238</v>
      </c>
      <c r="D437" s="36" t="s">
        <v>901</v>
      </c>
      <c r="E437" s="36" t="s">
        <v>331</v>
      </c>
      <c r="F437" s="36" t="s">
        <v>159</v>
      </c>
      <c r="G437" s="38">
        <f>-5000000</f>
        <v>-5000000</v>
      </c>
      <c r="H437" s="36" t="s">
        <v>1240</v>
      </c>
      <c r="L437" t="s">
        <v>176</v>
      </c>
      <c r="M437" s="26" t="s">
        <v>632</v>
      </c>
      <c r="N437" t="s">
        <v>308</v>
      </c>
      <c r="O437" t="s">
        <v>547</v>
      </c>
      <c r="P437" t="s">
        <v>315</v>
      </c>
      <c r="S437" t="s">
        <v>116</v>
      </c>
      <c r="T437" t="s">
        <v>690</v>
      </c>
      <c r="U437" t="s">
        <v>254</v>
      </c>
      <c r="V437" t="s">
        <v>254</v>
      </c>
      <c r="W437" s="26" t="s">
        <v>254</v>
      </c>
      <c r="X437" t="s">
        <v>295</v>
      </c>
    </row>
    <row r="438" spans="3:24" x14ac:dyDescent="0.25">
      <c r="C438" s="35" t="s">
        <v>1238</v>
      </c>
      <c r="D438" s="36" t="s">
        <v>331</v>
      </c>
      <c r="E438" s="36" t="s">
        <v>399</v>
      </c>
      <c r="F438" s="36" t="s">
        <v>159</v>
      </c>
      <c r="G438" s="38">
        <f>65000000</f>
        <v>65000000</v>
      </c>
      <c r="H438" s="36" t="s">
        <v>1415</v>
      </c>
      <c r="L438" t="s">
        <v>176</v>
      </c>
      <c r="M438" s="26" t="s">
        <v>482</v>
      </c>
      <c r="N438" t="s">
        <v>614</v>
      </c>
      <c r="O438" t="s">
        <v>477</v>
      </c>
      <c r="P438" t="s">
        <v>315</v>
      </c>
      <c r="S438" t="s">
        <v>115</v>
      </c>
      <c r="T438" t="s">
        <v>691</v>
      </c>
      <c r="U438" t="s">
        <v>254</v>
      </c>
      <c r="V438" t="s">
        <v>254</v>
      </c>
      <c r="W438" s="26" t="s">
        <v>254</v>
      </c>
      <c r="X438" t="s">
        <v>295</v>
      </c>
    </row>
    <row r="439" spans="3:24" x14ac:dyDescent="0.25">
      <c r="C439" s="134" t="s">
        <v>71</v>
      </c>
      <c r="D439" s="36" t="s">
        <v>331</v>
      </c>
      <c r="E439" s="36" t="s">
        <v>603</v>
      </c>
      <c r="F439" s="36" t="s">
        <v>31</v>
      </c>
      <c r="G439" s="38">
        <f>500000</f>
        <v>500000</v>
      </c>
      <c r="H439" s="36" t="s">
        <v>364</v>
      </c>
      <c r="L439" t="s">
        <v>176</v>
      </c>
      <c r="M439" s="26" t="s">
        <v>542</v>
      </c>
      <c r="N439" t="s">
        <v>345</v>
      </c>
      <c r="O439" t="s">
        <v>564</v>
      </c>
      <c r="P439" t="s">
        <v>315</v>
      </c>
      <c r="S439" t="s">
        <v>668</v>
      </c>
      <c r="T439" t="s">
        <v>693</v>
      </c>
      <c r="U439" t="s">
        <v>254</v>
      </c>
      <c r="V439" t="s">
        <v>254</v>
      </c>
      <c r="W439" s="26" t="s">
        <v>254</v>
      </c>
      <c r="X439" t="s">
        <v>295</v>
      </c>
    </row>
    <row r="440" spans="3:24" x14ac:dyDescent="0.25">
      <c r="C440" s="134" t="s">
        <v>69</v>
      </c>
      <c r="D440" s="36" t="s">
        <v>597</v>
      </c>
      <c r="E440" s="36" t="s">
        <v>331</v>
      </c>
      <c r="F440" s="36" t="s">
        <v>25</v>
      </c>
      <c r="G440" s="38">
        <f>-1100000</f>
        <v>-1100000</v>
      </c>
      <c r="H440" s="36" t="s">
        <v>364</v>
      </c>
      <c r="L440" t="s">
        <v>185</v>
      </c>
      <c r="M440" s="26" t="s">
        <v>582</v>
      </c>
      <c r="N440" t="s">
        <v>536</v>
      </c>
      <c r="O440" t="s">
        <v>615</v>
      </c>
      <c r="P440" t="s">
        <v>315</v>
      </c>
      <c r="S440" t="s">
        <v>104</v>
      </c>
      <c r="T440" t="s">
        <v>695</v>
      </c>
      <c r="U440" t="s">
        <v>254</v>
      </c>
      <c r="V440" t="s">
        <v>254</v>
      </c>
      <c r="W440" s="26" t="s">
        <v>254</v>
      </c>
      <c r="X440" t="s">
        <v>295</v>
      </c>
    </row>
    <row r="441" spans="3:24" x14ac:dyDescent="0.25">
      <c r="C441" s="134" t="s">
        <v>69</v>
      </c>
      <c r="D441" s="36" t="s">
        <v>331</v>
      </c>
      <c r="E441" s="36" t="s">
        <v>254</v>
      </c>
      <c r="F441" s="36" t="s">
        <v>25</v>
      </c>
      <c r="G441" s="38" t="s">
        <v>358</v>
      </c>
      <c r="H441" s="36" t="s">
        <v>268</v>
      </c>
      <c r="L441" t="s">
        <v>176</v>
      </c>
      <c r="M441" s="26" t="s">
        <v>632</v>
      </c>
      <c r="N441" t="s">
        <v>464</v>
      </c>
      <c r="O441" t="s">
        <v>659</v>
      </c>
      <c r="P441" t="s">
        <v>315</v>
      </c>
      <c r="S441" t="s">
        <v>142</v>
      </c>
      <c r="T441" t="s">
        <v>696</v>
      </c>
      <c r="U441" t="s">
        <v>254</v>
      </c>
      <c r="V441" t="s">
        <v>254</v>
      </c>
      <c r="W441" s="26" t="s">
        <v>254</v>
      </c>
      <c r="X441" t="s">
        <v>295</v>
      </c>
    </row>
    <row r="442" spans="3:24" x14ac:dyDescent="0.25">
      <c r="C442" s="134" t="s">
        <v>206</v>
      </c>
      <c r="D442" s="36" t="s">
        <v>550</v>
      </c>
      <c r="E442" s="36" t="s">
        <v>331</v>
      </c>
      <c r="F442" s="36" t="s">
        <v>207</v>
      </c>
      <c r="G442" s="38">
        <f>-3000000</f>
        <v>-3000000</v>
      </c>
      <c r="H442" s="36" t="s">
        <v>282</v>
      </c>
      <c r="L442" t="s">
        <v>176</v>
      </c>
      <c r="M442" s="26" t="s">
        <v>568</v>
      </c>
      <c r="N442" t="s">
        <v>578</v>
      </c>
      <c r="O442" t="s">
        <v>575</v>
      </c>
      <c r="P442" t="s">
        <v>315</v>
      </c>
      <c r="S442" t="s">
        <v>98</v>
      </c>
      <c r="T442" t="s">
        <v>698</v>
      </c>
      <c r="U442" t="s">
        <v>254</v>
      </c>
      <c r="V442" t="s">
        <v>254</v>
      </c>
      <c r="W442" s="26" t="s">
        <v>254</v>
      </c>
      <c r="X442" t="s">
        <v>295</v>
      </c>
    </row>
    <row r="443" spans="3:24" x14ac:dyDescent="0.25">
      <c r="C443" s="134" t="s">
        <v>206</v>
      </c>
      <c r="D443" s="36" t="s">
        <v>331</v>
      </c>
      <c r="E443" s="36" t="s">
        <v>481</v>
      </c>
      <c r="F443" s="36" t="s">
        <v>207</v>
      </c>
      <c r="G443" s="38">
        <f>14500000</f>
        <v>14500000</v>
      </c>
      <c r="H443" s="36" t="s">
        <v>343</v>
      </c>
      <c r="L443" t="s">
        <v>176</v>
      </c>
      <c r="M443" s="26" t="s">
        <v>448</v>
      </c>
      <c r="N443" t="s">
        <v>468</v>
      </c>
      <c r="O443" t="s">
        <v>533</v>
      </c>
      <c r="P443" t="s">
        <v>315</v>
      </c>
      <c r="S443" t="s">
        <v>179</v>
      </c>
      <c r="T443" t="s">
        <v>701</v>
      </c>
      <c r="U443" t="s">
        <v>254</v>
      </c>
      <c r="V443" t="s">
        <v>254</v>
      </c>
      <c r="W443" s="26" t="s">
        <v>254</v>
      </c>
      <c r="X443" t="s">
        <v>295</v>
      </c>
    </row>
    <row r="444" spans="3:24" x14ac:dyDescent="0.25">
      <c r="C444" s="134" t="s">
        <v>210</v>
      </c>
      <c r="D444" s="36" t="s">
        <v>408</v>
      </c>
      <c r="E444" s="36" t="s">
        <v>331</v>
      </c>
      <c r="F444" s="36" t="s">
        <v>211</v>
      </c>
      <c r="G444" s="38">
        <f>-12000000</f>
        <v>-12000000</v>
      </c>
      <c r="H444" s="36" t="s">
        <v>315</v>
      </c>
      <c r="L444" s="45" t="s">
        <v>176</v>
      </c>
      <c r="M444" s="57" t="s">
        <v>448</v>
      </c>
      <c r="N444" s="23" t="s">
        <v>377</v>
      </c>
      <c r="O444" s="45" t="s">
        <v>665</v>
      </c>
      <c r="P444" s="23" t="s">
        <v>315</v>
      </c>
      <c r="S444" s="48" t="s">
        <v>179</v>
      </c>
      <c r="T444" s="48" t="s">
        <v>704</v>
      </c>
      <c r="U444" s="48" t="s">
        <v>435</v>
      </c>
      <c r="V444" s="48" t="s">
        <v>460</v>
      </c>
      <c r="W444" s="56" t="s">
        <v>520</v>
      </c>
      <c r="X444" s="48" t="s">
        <v>295</v>
      </c>
    </row>
    <row r="445" spans="3:24" x14ac:dyDescent="0.25">
      <c r="C445" s="134" t="s">
        <v>210</v>
      </c>
      <c r="D445" s="36" t="s">
        <v>331</v>
      </c>
      <c r="E445" s="36" t="s">
        <v>437</v>
      </c>
      <c r="F445" s="36" t="s">
        <v>211</v>
      </c>
      <c r="G445" s="38">
        <f>20000000</f>
        <v>20000000</v>
      </c>
      <c r="H445" s="36" t="s">
        <v>347</v>
      </c>
      <c r="L445" t="s">
        <v>176</v>
      </c>
      <c r="M445" s="26" t="s">
        <v>472</v>
      </c>
      <c r="N445" t="s">
        <v>614</v>
      </c>
      <c r="O445" t="s">
        <v>537</v>
      </c>
      <c r="P445" t="s">
        <v>347</v>
      </c>
      <c r="S445" s="45" t="s">
        <v>706</v>
      </c>
      <c r="T445" s="45" t="s">
        <v>707</v>
      </c>
      <c r="U445" s="45" t="s">
        <v>536</v>
      </c>
      <c r="V445" s="45" t="s">
        <v>526</v>
      </c>
      <c r="W445" s="46" t="s">
        <v>482</v>
      </c>
      <c r="X445" s="45" t="s">
        <v>295</v>
      </c>
    </row>
    <row r="446" spans="3:24" x14ac:dyDescent="0.25">
      <c r="C446" s="134" t="s">
        <v>850</v>
      </c>
      <c r="D446" s="36" t="s">
        <v>331</v>
      </c>
      <c r="E446" s="36" t="s">
        <v>396</v>
      </c>
      <c r="F446" s="36" t="s">
        <v>209</v>
      </c>
      <c r="G446" s="38">
        <f>20000000</f>
        <v>20000000</v>
      </c>
      <c r="H446" s="36" t="s">
        <v>1180</v>
      </c>
      <c r="L446" t="s">
        <v>179</v>
      </c>
      <c r="M446" s="26" t="s">
        <v>582</v>
      </c>
      <c r="N446" t="s">
        <v>590</v>
      </c>
      <c r="O446" t="s">
        <v>671</v>
      </c>
      <c r="P446" t="s">
        <v>347</v>
      </c>
      <c r="S446" t="s">
        <v>116</v>
      </c>
      <c r="T446" t="s">
        <v>755</v>
      </c>
      <c r="U446" t="s">
        <v>254</v>
      </c>
      <c r="V446" t="s">
        <v>254</v>
      </c>
      <c r="W446" s="26" t="s">
        <v>254</v>
      </c>
      <c r="X446" t="s">
        <v>742</v>
      </c>
    </row>
    <row r="447" spans="3:24" x14ac:dyDescent="0.25">
      <c r="C447" s="134" t="s">
        <v>850</v>
      </c>
      <c r="D447" s="36" t="s">
        <v>468</v>
      </c>
      <c r="E447" s="36" t="s">
        <v>331</v>
      </c>
      <c r="F447" s="36" t="s">
        <v>209</v>
      </c>
      <c r="G447" s="38" t="s">
        <v>334</v>
      </c>
      <c r="H447" s="36" t="s">
        <v>845</v>
      </c>
      <c r="L447" t="s">
        <v>176</v>
      </c>
      <c r="M447" s="26" t="s">
        <v>472</v>
      </c>
      <c r="N447" t="s">
        <v>490</v>
      </c>
      <c r="O447" t="s">
        <v>586</v>
      </c>
      <c r="P447" t="s">
        <v>347</v>
      </c>
      <c r="S447" t="s">
        <v>98</v>
      </c>
      <c r="T447" t="s">
        <v>756</v>
      </c>
      <c r="U447" t="s">
        <v>254</v>
      </c>
      <c r="V447" t="s">
        <v>254</v>
      </c>
      <c r="W447" s="26" t="s">
        <v>254</v>
      </c>
      <c r="X447" t="s">
        <v>742</v>
      </c>
    </row>
    <row r="448" spans="3:24" x14ac:dyDescent="0.25">
      <c r="C448" s="134" t="s">
        <v>849</v>
      </c>
      <c r="D448" s="36" t="s">
        <v>657</v>
      </c>
      <c r="E448" s="36" t="s">
        <v>331</v>
      </c>
      <c r="F448" s="36" t="s">
        <v>79</v>
      </c>
      <c r="G448" s="38">
        <f>-20000000</f>
        <v>-20000000</v>
      </c>
      <c r="H448" s="36" t="s">
        <v>845</v>
      </c>
      <c r="L448" t="s">
        <v>179</v>
      </c>
      <c r="M448" s="26" t="s">
        <v>456</v>
      </c>
      <c r="N448" t="s">
        <v>678</v>
      </c>
      <c r="O448" t="s">
        <v>679</v>
      </c>
      <c r="P448" t="s">
        <v>347</v>
      </c>
      <c r="S448" t="s">
        <v>179</v>
      </c>
      <c r="T448" t="s">
        <v>757</v>
      </c>
      <c r="U448" t="s">
        <v>254</v>
      </c>
      <c r="V448" t="s">
        <v>254</v>
      </c>
      <c r="W448" s="26" t="s">
        <v>254</v>
      </c>
      <c r="X448" t="s">
        <v>742</v>
      </c>
    </row>
    <row r="449" spans="3:24" x14ac:dyDescent="0.25">
      <c r="C449" s="35" t="s">
        <v>849</v>
      </c>
      <c r="D449" s="36" t="s">
        <v>331</v>
      </c>
      <c r="E449" s="36" t="s">
        <v>399</v>
      </c>
      <c r="F449" s="36" t="s">
        <v>79</v>
      </c>
      <c r="G449" s="38">
        <f>70000000</f>
        <v>70000000</v>
      </c>
      <c r="H449" s="36" t="s">
        <v>1349</v>
      </c>
      <c r="L449" t="s">
        <v>176</v>
      </c>
      <c r="M449" s="26" t="s">
        <v>456</v>
      </c>
      <c r="N449" t="s">
        <v>345</v>
      </c>
      <c r="O449" t="s">
        <v>682</v>
      </c>
      <c r="P449" t="s">
        <v>347</v>
      </c>
      <c r="S449" t="s">
        <v>668</v>
      </c>
      <c r="T449" t="s">
        <v>758</v>
      </c>
      <c r="U449" t="s">
        <v>254</v>
      </c>
      <c r="V449" t="s">
        <v>254</v>
      </c>
      <c r="W449" s="26" t="s">
        <v>254</v>
      </c>
      <c r="X449" t="s">
        <v>742</v>
      </c>
    </row>
    <row r="450" spans="3:24" x14ac:dyDescent="0.25">
      <c r="C450" s="134" t="s">
        <v>141</v>
      </c>
      <c r="D450" s="36" t="s">
        <v>552</v>
      </c>
      <c r="E450" s="36" t="s">
        <v>331</v>
      </c>
      <c r="F450" s="36" t="s">
        <v>31</v>
      </c>
      <c r="G450" s="38">
        <f>-2000000</f>
        <v>-2000000</v>
      </c>
      <c r="H450" s="36" t="s">
        <v>276</v>
      </c>
      <c r="L450" s="10" t="s">
        <v>182</v>
      </c>
      <c r="M450" s="26" t="s">
        <v>480</v>
      </c>
      <c r="N450" t="s">
        <v>528</v>
      </c>
      <c r="O450" t="s">
        <v>559</v>
      </c>
      <c r="P450" t="s">
        <v>347</v>
      </c>
      <c r="S450" s="45" t="s">
        <v>759</v>
      </c>
      <c r="T450" s="45" t="s">
        <v>760</v>
      </c>
      <c r="U450" s="45" t="s">
        <v>515</v>
      </c>
      <c r="V450" s="45" t="s">
        <v>460</v>
      </c>
      <c r="W450" s="46" t="s">
        <v>508</v>
      </c>
      <c r="X450" s="45" t="s">
        <v>742</v>
      </c>
    </row>
    <row r="451" spans="3:24" x14ac:dyDescent="0.25">
      <c r="C451" s="134" t="s">
        <v>141</v>
      </c>
      <c r="D451" s="36" t="s">
        <v>331</v>
      </c>
      <c r="E451" s="36" t="s">
        <v>720</v>
      </c>
      <c r="F451" s="36" t="s">
        <v>31</v>
      </c>
      <c r="G451" s="38">
        <f>7000000</f>
        <v>7000000</v>
      </c>
      <c r="H451" s="36" t="s">
        <v>295</v>
      </c>
      <c r="L451" t="s">
        <v>176</v>
      </c>
      <c r="M451" s="26" t="s">
        <v>508</v>
      </c>
      <c r="N451" t="s">
        <v>578</v>
      </c>
      <c r="O451" t="s">
        <v>561</v>
      </c>
      <c r="P451" t="s">
        <v>347</v>
      </c>
      <c r="S451" t="s">
        <v>754</v>
      </c>
      <c r="T451" t="s">
        <v>776</v>
      </c>
      <c r="U451" t="s">
        <v>254</v>
      </c>
      <c r="V451" t="s">
        <v>254</v>
      </c>
      <c r="W451" s="26" t="s">
        <v>254</v>
      </c>
      <c r="X451" t="s">
        <v>770</v>
      </c>
    </row>
    <row r="452" spans="3:24" x14ac:dyDescent="0.25">
      <c r="C452" s="134" t="s">
        <v>56</v>
      </c>
      <c r="D452" s="36" t="s">
        <v>662</v>
      </c>
      <c r="E452" s="36" t="s">
        <v>331</v>
      </c>
      <c r="F452" s="36" t="s">
        <v>50</v>
      </c>
      <c r="G452" s="38">
        <f>-1400000</f>
        <v>-1400000</v>
      </c>
      <c r="H452" s="36" t="s">
        <v>364</v>
      </c>
      <c r="L452" t="s">
        <v>176</v>
      </c>
      <c r="M452" s="26" t="s">
        <v>511</v>
      </c>
      <c r="N452" t="s">
        <v>308</v>
      </c>
      <c r="O452" t="s">
        <v>687</v>
      </c>
      <c r="P452" t="s">
        <v>347</v>
      </c>
      <c r="S452" t="s">
        <v>179</v>
      </c>
      <c r="T452" t="s">
        <v>794</v>
      </c>
      <c r="U452" t="s">
        <v>254</v>
      </c>
      <c r="V452" t="s">
        <v>254</v>
      </c>
      <c r="W452" s="26" t="s">
        <v>254</v>
      </c>
      <c r="X452" t="s">
        <v>770</v>
      </c>
    </row>
    <row r="453" spans="3:24" x14ac:dyDescent="0.25">
      <c r="C453" s="134" t="s">
        <v>56</v>
      </c>
      <c r="D453" s="36" t="s">
        <v>331</v>
      </c>
      <c r="E453" s="36" t="s">
        <v>421</v>
      </c>
      <c r="F453" s="36" t="s">
        <v>50</v>
      </c>
      <c r="G453" s="38">
        <f>10500000</f>
        <v>10500000</v>
      </c>
      <c r="H453" s="36" t="s">
        <v>223</v>
      </c>
      <c r="L453" t="s">
        <v>176</v>
      </c>
      <c r="M453" s="26" t="s">
        <v>448</v>
      </c>
      <c r="N453" t="s">
        <v>521</v>
      </c>
      <c r="O453" t="s">
        <v>473</v>
      </c>
      <c r="P453" t="s">
        <v>347</v>
      </c>
      <c r="S453" t="s">
        <v>179</v>
      </c>
      <c r="T453" t="s">
        <v>777</v>
      </c>
      <c r="U453" t="s">
        <v>254</v>
      </c>
      <c r="V453" t="s">
        <v>254</v>
      </c>
      <c r="W453" s="26" t="s">
        <v>254</v>
      </c>
      <c r="X453" t="s">
        <v>770</v>
      </c>
    </row>
    <row r="454" spans="3:24" x14ac:dyDescent="0.25">
      <c r="C454" s="135" t="s">
        <v>748</v>
      </c>
      <c r="D454" s="36" t="s">
        <v>331</v>
      </c>
      <c r="E454" s="36" t="s">
        <v>809</v>
      </c>
      <c r="F454" s="36" t="s">
        <v>31</v>
      </c>
      <c r="G454" s="38" t="s">
        <v>334</v>
      </c>
      <c r="H454" s="36" t="s">
        <v>796</v>
      </c>
      <c r="L454" t="s">
        <v>176</v>
      </c>
      <c r="M454" s="26" t="s">
        <v>546</v>
      </c>
      <c r="N454" t="s">
        <v>569</v>
      </c>
      <c r="O454" t="s">
        <v>564</v>
      </c>
      <c r="P454" t="s">
        <v>347</v>
      </c>
      <c r="S454" t="s">
        <v>778</v>
      </c>
      <c r="T454" t="s">
        <v>779</v>
      </c>
      <c r="U454" t="s">
        <v>254</v>
      </c>
      <c r="V454" t="s">
        <v>254</v>
      </c>
      <c r="W454" s="26" t="s">
        <v>254</v>
      </c>
      <c r="X454" t="s">
        <v>770</v>
      </c>
    </row>
    <row r="455" spans="3:24" x14ac:dyDescent="0.25">
      <c r="C455" s="134" t="s">
        <v>168</v>
      </c>
      <c r="D455" s="36" t="s">
        <v>331</v>
      </c>
      <c r="E455" s="36" t="s">
        <v>600</v>
      </c>
      <c r="F455" s="36" t="s">
        <v>31</v>
      </c>
      <c r="G455" s="38">
        <f>575000</f>
        <v>575000</v>
      </c>
      <c r="H455" s="36" t="s">
        <v>239</v>
      </c>
      <c r="L455" t="s">
        <v>179</v>
      </c>
      <c r="M455" s="26" t="s">
        <v>489</v>
      </c>
      <c r="N455" t="s">
        <v>552</v>
      </c>
      <c r="O455" t="s">
        <v>692</v>
      </c>
      <c r="P455" t="s">
        <v>347</v>
      </c>
      <c r="S455" t="s">
        <v>106</v>
      </c>
      <c r="T455" t="s">
        <v>780</v>
      </c>
      <c r="U455" t="s">
        <v>254</v>
      </c>
      <c r="V455" t="s">
        <v>254</v>
      </c>
      <c r="W455" s="26" t="s">
        <v>254</v>
      </c>
      <c r="X455" t="s">
        <v>770</v>
      </c>
    </row>
    <row r="456" spans="3:24" x14ac:dyDescent="0.25">
      <c r="C456" s="134" t="s">
        <v>834</v>
      </c>
      <c r="D456" s="36" t="s">
        <v>331</v>
      </c>
      <c r="E456" s="36" t="s">
        <v>833</v>
      </c>
      <c r="F456" s="36" t="s">
        <v>31</v>
      </c>
      <c r="G456" s="38" t="s">
        <v>334</v>
      </c>
      <c r="H456" s="36" t="s">
        <v>829</v>
      </c>
      <c r="L456" t="s">
        <v>176</v>
      </c>
      <c r="M456" s="26" t="s">
        <v>542</v>
      </c>
      <c r="N456" t="s">
        <v>614</v>
      </c>
      <c r="O456" t="s">
        <v>465</v>
      </c>
      <c r="P456" t="s">
        <v>347</v>
      </c>
      <c r="S456" s="45" t="s">
        <v>179</v>
      </c>
      <c r="T456" s="45" t="s">
        <v>781</v>
      </c>
      <c r="U456" s="45" t="s">
        <v>377</v>
      </c>
      <c r="V456" s="45" t="s">
        <v>460</v>
      </c>
      <c r="W456" s="46" t="s">
        <v>489</v>
      </c>
      <c r="X456" s="45" t="s">
        <v>770</v>
      </c>
    </row>
    <row r="457" spans="3:24" x14ac:dyDescent="0.25">
      <c r="C457" s="134" t="s">
        <v>48</v>
      </c>
      <c r="D457" s="36" t="s">
        <v>662</v>
      </c>
      <c r="E457" s="36" t="s">
        <v>331</v>
      </c>
      <c r="F457" s="36" t="s">
        <v>50</v>
      </c>
      <c r="G457" s="38">
        <f>-4800000</f>
        <v>-4800000</v>
      </c>
      <c r="H457" s="36" t="s">
        <v>364</v>
      </c>
      <c r="L457" t="s">
        <v>176</v>
      </c>
      <c r="M457" s="26" t="s">
        <v>508</v>
      </c>
      <c r="N457" t="s">
        <v>345</v>
      </c>
      <c r="O457" t="s">
        <v>500</v>
      </c>
      <c r="P457" t="s">
        <v>347</v>
      </c>
      <c r="S457" t="s">
        <v>106</v>
      </c>
      <c r="T457" t="s">
        <v>804</v>
      </c>
      <c r="U457" t="s">
        <v>254</v>
      </c>
      <c r="V457" t="s">
        <v>254</v>
      </c>
      <c r="W457" s="26" t="s">
        <v>254</v>
      </c>
      <c r="X457" t="s">
        <v>796</v>
      </c>
    </row>
    <row r="458" spans="3:24" x14ac:dyDescent="0.25">
      <c r="C458" s="134" t="s">
        <v>48</v>
      </c>
      <c r="D458" s="36" t="s">
        <v>331</v>
      </c>
      <c r="E458" s="36" t="s">
        <v>541</v>
      </c>
      <c r="F458" s="36" t="s">
        <v>27</v>
      </c>
      <c r="G458" s="38">
        <f>4300000</f>
        <v>4300000</v>
      </c>
      <c r="H458" s="36" t="s">
        <v>347</v>
      </c>
      <c r="L458" t="s">
        <v>176</v>
      </c>
      <c r="M458" s="26" t="s">
        <v>503</v>
      </c>
      <c r="N458" t="s">
        <v>614</v>
      </c>
      <c r="O458" t="s">
        <v>625</v>
      </c>
      <c r="P458" t="s">
        <v>347</v>
      </c>
      <c r="S458" t="s">
        <v>179</v>
      </c>
      <c r="T458" t="s">
        <v>805</v>
      </c>
      <c r="U458" t="s">
        <v>254</v>
      </c>
      <c r="V458" t="s">
        <v>254</v>
      </c>
      <c r="W458" s="26" t="s">
        <v>254</v>
      </c>
      <c r="X458" t="s">
        <v>796</v>
      </c>
    </row>
    <row r="459" spans="3:24" x14ac:dyDescent="0.25">
      <c r="C459" s="134" t="s">
        <v>121</v>
      </c>
      <c r="D459" s="36" t="s">
        <v>709</v>
      </c>
      <c r="E459" s="36" t="s">
        <v>331</v>
      </c>
      <c r="F459" s="36" t="s">
        <v>37</v>
      </c>
      <c r="G459" s="38">
        <f>-11000000</f>
        <v>-11000000</v>
      </c>
      <c r="H459" s="36" t="s">
        <v>282</v>
      </c>
      <c r="L459" s="122" t="s">
        <v>109</v>
      </c>
      <c r="M459" s="57" t="s">
        <v>472</v>
      </c>
      <c r="N459" s="23" t="s">
        <v>468</v>
      </c>
      <c r="O459" s="23" t="s">
        <v>700</v>
      </c>
      <c r="P459" s="23" t="s">
        <v>347</v>
      </c>
      <c r="S459" s="84" t="s">
        <v>106</v>
      </c>
      <c r="T459" s="84" t="s">
        <v>806</v>
      </c>
      <c r="U459" s="84" t="s">
        <v>399</v>
      </c>
      <c r="V459" s="84" t="s">
        <v>460</v>
      </c>
      <c r="W459" s="46" t="s">
        <v>461</v>
      </c>
      <c r="X459" s="84" t="s">
        <v>796</v>
      </c>
    </row>
    <row r="460" spans="3:24" x14ac:dyDescent="0.25">
      <c r="C460" s="134" t="s">
        <v>121</v>
      </c>
      <c r="D460" s="36" t="s">
        <v>331</v>
      </c>
      <c r="E460" s="36" t="s">
        <v>462</v>
      </c>
      <c r="F460" s="36" t="s">
        <v>37</v>
      </c>
      <c r="G460" s="38">
        <f>15000000</f>
        <v>15000000</v>
      </c>
      <c r="H460" s="36" t="s">
        <v>343</v>
      </c>
      <c r="L460" t="s">
        <v>176</v>
      </c>
      <c r="M460" s="26" t="s">
        <v>531</v>
      </c>
      <c r="N460" t="s">
        <v>528</v>
      </c>
      <c r="O460" t="s">
        <v>703</v>
      </c>
      <c r="P460" t="s">
        <v>278</v>
      </c>
      <c r="S460" t="s">
        <v>77</v>
      </c>
      <c r="T460" t="s">
        <v>823</v>
      </c>
      <c r="U460" t="s">
        <v>254</v>
      </c>
      <c r="V460" t="s">
        <v>254</v>
      </c>
      <c r="W460" s="60" t="s">
        <v>254</v>
      </c>
      <c r="X460" t="s">
        <v>800</v>
      </c>
    </row>
    <row r="461" spans="3:24" x14ac:dyDescent="0.25">
      <c r="C461" s="134" t="s">
        <v>154</v>
      </c>
      <c r="D461" s="36" t="s">
        <v>331</v>
      </c>
      <c r="E461" s="36" t="s">
        <v>762</v>
      </c>
      <c r="F461" s="36" t="s">
        <v>155</v>
      </c>
      <c r="G461" s="38">
        <f>850000</f>
        <v>850000</v>
      </c>
      <c r="H461" s="36" t="s">
        <v>770</v>
      </c>
      <c r="L461" t="s">
        <v>176</v>
      </c>
      <c r="M461" s="26" t="s">
        <v>472</v>
      </c>
      <c r="N461" t="s">
        <v>536</v>
      </c>
      <c r="O461" t="s">
        <v>586</v>
      </c>
      <c r="P461" t="s">
        <v>278</v>
      </c>
      <c r="S461" t="s">
        <v>106</v>
      </c>
      <c r="T461" t="s">
        <v>824</v>
      </c>
      <c r="U461" t="s">
        <v>254</v>
      </c>
      <c r="V461" t="s">
        <v>254</v>
      </c>
      <c r="W461" s="60" t="s">
        <v>254</v>
      </c>
      <c r="X461" t="s">
        <v>800</v>
      </c>
    </row>
    <row r="462" spans="3:24" x14ac:dyDescent="0.25">
      <c r="C462" s="35" t="s">
        <v>1502</v>
      </c>
      <c r="D462" s="36" t="s">
        <v>1113</v>
      </c>
      <c r="E462" s="36" t="s">
        <v>331</v>
      </c>
      <c r="F462" s="36" t="s">
        <v>61</v>
      </c>
      <c r="G462" s="38">
        <f>-10000000</f>
        <v>-10000000</v>
      </c>
      <c r="H462" s="36" t="s">
        <v>1467</v>
      </c>
      <c r="L462" t="s">
        <v>176</v>
      </c>
      <c r="M462" s="26" t="s">
        <v>582</v>
      </c>
      <c r="N462" t="s">
        <v>708</v>
      </c>
      <c r="O462" t="s">
        <v>557</v>
      </c>
      <c r="P462" t="s">
        <v>278</v>
      </c>
      <c r="S462" s="45" t="s">
        <v>797</v>
      </c>
      <c r="T462" s="45" t="s">
        <v>825</v>
      </c>
      <c r="U462" s="45" t="s">
        <v>377</v>
      </c>
      <c r="V462" s="45" t="s">
        <v>460</v>
      </c>
      <c r="W462" s="46" t="s">
        <v>826</v>
      </c>
      <c r="X462" s="45" t="s">
        <v>800</v>
      </c>
    </row>
    <row r="463" spans="3:24" x14ac:dyDescent="0.25">
      <c r="C463" s="134" t="s">
        <v>78</v>
      </c>
      <c r="D463" s="36" t="s">
        <v>441</v>
      </c>
      <c r="E463" s="36" t="s">
        <v>331</v>
      </c>
      <c r="F463" s="36" t="s">
        <v>79</v>
      </c>
      <c r="G463" s="38">
        <f>-3900000</f>
        <v>-3900000</v>
      </c>
      <c r="H463" s="36" t="s">
        <v>364</v>
      </c>
      <c r="L463" s="72" t="s">
        <v>710</v>
      </c>
      <c r="M463" s="26" t="s">
        <v>632</v>
      </c>
      <c r="N463" t="s">
        <v>464</v>
      </c>
      <c r="O463" t="s">
        <v>682</v>
      </c>
      <c r="P463" t="s">
        <v>278</v>
      </c>
      <c r="S463" t="s">
        <v>77</v>
      </c>
      <c r="T463" t="s">
        <v>839</v>
      </c>
      <c r="U463" t="s">
        <v>254</v>
      </c>
      <c r="V463" t="s">
        <v>254</v>
      </c>
      <c r="W463" s="60" t="s">
        <v>254</v>
      </c>
      <c r="X463" t="s">
        <v>829</v>
      </c>
    </row>
    <row r="464" spans="3:24" x14ac:dyDescent="0.25">
      <c r="C464" s="134" t="s">
        <v>1218</v>
      </c>
      <c r="D464" s="36" t="s">
        <v>417</v>
      </c>
      <c r="E464" s="36" t="s">
        <v>331</v>
      </c>
      <c r="F464" s="36" t="s">
        <v>31</v>
      </c>
      <c r="G464" s="38">
        <f>-8500000</f>
        <v>-8500000</v>
      </c>
      <c r="H464" s="36" t="s">
        <v>1210</v>
      </c>
      <c r="L464" s="59" t="s">
        <v>176</v>
      </c>
      <c r="M464" s="60" t="s">
        <v>542</v>
      </c>
      <c r="N464" t="s">
        <v>607</v>
      </c>
      <c r="O464" t="s">
        <v>561</v>
      </c>
      <c r="P464" t="s">
        <v>278</v>
      </c>
      <c r="S464" t="s">
        <v>213</v>
      </c>
      <c r="T464" t="s">
        <v>840</v>
      </c>
      <c r="U464" t="s">
        <v>254</v>
      </c>
      <c r="V464" t="s">
        <v>254</v>
      </c>
      <c r="W464" s="60" t="s">
        <v>254</v>
      </c>
      <c r="X464" t="s">
        <v>829</v>
      </c>
    </row>
    <row r="465" spans="3:24" x14ac:dyDescent="0.25">
      <c r="C465" s="134" t="s">
        <v>827</v>
      </c>
      <c r="D465" s="36" t="s">
        <v>331</v>
      </c>
      <c r="E465" s="36" t="s">
        <v>1137</v>
      </c>
      <c r="F465" s="36" t="s">
        <v>61</v>
      </c>
      <c r="G465" s="38">
        <f>4000000</f>
        <v>4000000</v>
      </c>
      <c r="H465" s="36" t="s">
        <v>1240</v>
      </c>
      <c r="L465" s="48" t="s">
        <v>176</v>
      </c>
      <c r="M465" s="56" t="s">
        <v>546</v>
      </c>
      <c r="N465" t="s">
        <v>516</v>
      </c>
      <c r="O465" t="s">
        <v>517</v>
      </c>
      <c r="P465" t="s">
        <v>278</v>
      </c>
      <c r="S465" t="s">
        <v>668</v>
      </c>
      <c r="T465" t="s">
        <v>841</v>
      </c>
      <c r="U465" t="s">
        <v>254</v>
      </c>
      <c r="V465" t="s">
        <v>254</v>
      </c>
      <c r="W465" s="60" t="s">
        <v>254</v>
      </c>
      <c r="X465" t="s">
        <v>829</v>
      </c>
    </row>
    <row r="466" spans="3:24" x14ac:dyDescent="0.25">
      <c r="C466" s="134" t="s">
        <v>827</v>
      </c>
      <c r="D466" s="36" t="s">
        <v>828</v>
      </c>
      <c r="E466" s="36" t="s">
        <v>331</v>
      </c>
      <c r="F466" s="36" t="s">
        <v>61</v>
      </c>
      <c r="G466" s="38" t="s">
        <v>334</v>
      </c>
      <c r="H466" s="36" t="s">
        <v>829</v>
      </c>
      <c r="L466" t="s">
        <v>176</v>
      </c>
      <c r="M466" s="26" t="s">
        <v>489</v>
      </c>
      <c r="N466" t="s">
        <v>490</v>
      </c>
      <c r="O466" t="s">
        <v>543</v>
      </c>
      <c r="P466" t="s">
        <v>278</v>
      </c>
      <c r="S466" t="s">
        <v>754</v>
      </c>
      <c r="T466" t="s">
        <v>842</v>
      </c>
      <c r="U466" t="s">
        <v>254</v>
      </c>
      <c r="V466" t="s">
        <v>254</v>
      </c>
      <c r="W466" s="60" t="s">
        <v>254</v>
      </c>
      <c r="X466" t="s">
        <v>829</v>
      </c>
    </row>
    <row r="467" spans="3:24" x14ac:dyDescent="0.25">
      <c r="C467" s="134" t="s">
        <v>191</v>
      </c>
      <c r="D467" s="36" t="s">
        <v>644</v>
      </c>
      <c r="E467" s="36" t="s">
        <v>331</v>
      </c>
      <c r="F467" s="36" t="s">
        <v>192</v>
      </c>
      <c r="G467" s="38">
        <v>0</v>
      </c>
      <c r="H467" s="36" t="s">
        <v>551</v>
      </c>
      <c r="L467" t="s">
        <v>176</v>
      </c>
      <c r="M467" s="26" t="s">
        <v>582</v>
      </c>
      <c r="N467" t="s">
        <v>578</v>
      </c>
      <c r="O467" t="s">
        <v>687</v>
      </c>
      <c r="P467" t="s">
        <v>278</v>
      </c>
      <c r="S467" s="45" t="s">
        <v>142</v>
      </c>
      <c r="T467" s="45" t="s">
        <v>843</v>
      </c>
      <c r="U467" s="45" t="s">
        <v>499</v>
      </c>
      <c r="V467" s="45" t="s">
        <v>460</v>
      </c>
      <c r="W467" s="46" t="s">
        <v>454</v>
      </c>
      <c r="X467" s="45" t="s">
        <v>829</v>
      </c>
    </row>
    <row r="468" spans="3:24" x14ac:dyDescent="0.25">
      <c r="C468" s="134" t="s">
        <v>191</v>
      </c>
      <c r="D468" s="36" t="s">
        <v>331</v>
      </c>
      <c r="E468" s="36" t="s">
        <v>509</v>
      </c>
      <c r="F468" s="36" t="s">
        <v>192</v>
      </c>
      <c r="G468" s="38">
        <f>8000000</f>
        <v>8000000</v>
      </c>
      <c r="H468" s="36" t="s">
        <v>268</v>
      </c>
      <c r="L468" s="23" t="s">
        <v>179</v>
      </c>
      <c r="M468" s="57" t="s">
        <v>542</v>
      </c>
      <c r="N468" s="23" t="s">
        <v>387</v>
      </c>
      <c r="O468" s="23" t="s">
        <v>712</v>
      </c>
      <c r="P468" s="23" t="s">
        <v>278</v>
      </c>
      <c r="S468" t="s">
        <v>106</v>
      </c>
      <c r="T468" t="s">
        <v>856</v>
      </c>
      <c r="U468" t="s">
        <v>254</v>
      </c>
      <c r="V468" t="s">
        <v>254</v>
      </c>
      <c r="W468" s="60" t="s">
        <v>254</v>
      </c>
      <c r="X468" s="93" t="s">
        <v>845</v>
      </c>
    </row>
    <row r="469" spans="3:24" x14ac:dyDescent="0.25">
      <c r="C469" s="134" t="s">
        <v>80</v>
      </c>
      <c r="D469" s="36" t="s">
        <v>699</v>
      </c>
      <c r="E469" s="36" t="s">
        <v>331</v>
      </c>
      <c r="F469" s="36" t="s">
        <v>50</v>
      </c>
      <c r="G469" s="38">
        <f xml:space="preserve"> -6000000</f>
        <v>-6000000</v>
      </c>
      <c r="H469" s="36" t="s">
        <v>286</v>
      </c>
      <c r="L469" t="s">
        <v>176</v>
      </c>
      <c r="M469" s="26" t="s">
        <v>582</v>
      </c>
      <c r="N469" t="s">
        <v>713</v>
      </c>
      <c r="O469" t="s">
        <v>608</v>
      </c>
      <c r="P469" t="s">
        <v>388</v>
      </c>
      <c r="S469" t="s">
        <v>98</v>
      </c>
      <c r="T469" t="s">
        <v>861</v>
      </c>
      <c r="U469" t="s">
        <v>254</v>
      </c>
      <c r="V469" t="s">
        <v>254</v>
      </c>
      <c r="W469" s="60" t="s">
        <v>254</v>
      </c>
      <c r="X469" t="s">
        <v>845</v>
      </c>
    </row>
    <row r="470" spans="3:24" x14ac:dyDescent="0.25">
      <c r="C470" s="134" t="s">
        <v>80</v>
      </c>
      <c r="D470" s="36" t="s">
        <v>331</v>
      </c>
      <c r="E470" s="36" t="s">
        <v>828</v>
      </c>
      <c r="F470" s="36" t="s">
        <v>50</v>
      </c>
      <c r="G470" s="38" t="s">
        <v>334</v>
      </c>
      <c r="H470" s="36" t="s">
        <v>845</v>
      </c>
      <c r="L470" t="s">
        <v>179</v>
      </c>
      <c r="M470" s="26" t="s">
        <v>582</v>
      </c>
      <c r="N470" t="s">
        <v>516</v>
      </c>
      <c r="O470" t="s">
        <v>703</v>
      </c>
      <c r="P470" t="s">
        <v>388</v>
      </c>
      <c r="S470" t="s">
        <v>213</v>
      </c>
      <c r="T470" t="s">
        <v>857</v>
      </c>
      <c r="U470" t="s">
        <v>254</v>
      </c>
      <c r="V470" t="s">
        <v>254</v>
      </c>
      <c r="W470" s="60" t="s">
        <v>254</v>
      </c>
      <c r="X470" t="s">
        <v>845</v>
      </c>
    </row>
    <row r="471" spans="3:24" x14ac:dyDescent="0.25">
      <c r="C471" s="134" t="s">
        <v>851</v>
      </c>
      <c r="D471" s="36" t="s">
        <v>331</v>
      </c>
      <c r="E471" s="36" t="s">
        <v>499</v>
      </c>
      <c r="F471" s="36" t="s">
        <v>37</v>
      </c>
      <c r="G471" s="38">
        <v>14500000</v>
      </c>
      <c r="H471" s="36" t="s">
        <v>845</v>
      </c>
      <c r="L471" t="s">
        <v>179</v>
      </c>
      <c r="M471" s="26" t="s">
        <v>456</v>
      </c>
      <c r="N471" t="s">
        <v>490</v>
      </c>
      <c r="O471" t="s">
        <v>559</v>
      </c>
      <c r="P471" t="s">
        <v>388</v>
      </c>
      <c r="S471" t="s">
        <v>754</v>
      </c>
      <c r="T471" t="s">
        <v>858</v>
      </c>
      <c r="U471" t="s">
        <v>254</v>
      </c>
      <c r="V471" t="s">
        <v>254</v>
      </c>
      <c r="W471" s="60" t="s">
        <v>254</v>
      </c>
      <c r="X471" t="s">
        <v>845</v>
      </c>
    </row>
    <row r="472" spans="3:24" x14ac:dyDescent="0.25">
      <c r="C472" s="134" t="s">
        <v>81</v>
      </c>
      <c r="D472" s="36" t="s">
        <v>331</v>
      </c>
      <c r="E472" s="36" t="s">
        <v>640</v>
      </c>
      <c r="F472" s="36" t="s">
        <v>31</v>
      </c>
      <c r="G472" s="38">
        <f>60000</f>
        <v>60000</v>
      </c>
      <c r="H472" s="36" t="s">
        <v>551</v>
      </c>
      <c r="L472" t="s">
        <v>179</v>
      </c>
      <c r="M472" s="26" t="s">
        <v>632</v>
      </c>
      <c r="N472" t="s">
        <v>525</v>
      </c>
      <c r="O472" t="s">
        <v>615</v>
      </c>
      <c r="P472" t="s">
        <v>388</v>
      </c>
      <c r="S472" s="45" t="s">
        <v>797</v>
      </c>
      <c r="T472" s="45" t="s">
        <v>859</v>
      </c>
      <c r="U472" s="45" t="s">
        <v>459</v>
      </c>
      <c r="V472" s="45" t="s">
        <v>460</v>
      </c>
      <c r="W472" s="46" t="s">
        <v>520</v>
      </c>
      <c r="X472" s="45" t="s">
        <v>845</v>
      </c>
    </row>
    <row r="473" spans="3:24" x14ac:dyDescent="0.25">
      <c r="C473" s="134" t="s">
        <v>173</v>
      </c>
      <c r="D473" s="36" t="s">
        <v>331</v>
      </c>
      <c r="E473" s="36" t="s">
        <v>308</v>
      </c>
      <c r="F473" s="36" t="s">
        <v>31</v>
      </c>
      <c r="G473" s="38">
        <f>8000000</f>
        <v>8000000</v>
      </c>
      <c r="H473" s="36" t="s">
        <v>270</v>
      </c>
      <c r="L473" t="s">
        <v>179</v>
      </c>
      <c r="M473" s="26" t="s">
        <v>482</v>
      </c>
      <c r="N473" t="s">
        <v>604</v>
      </c>
      <c r="O473" t="s">
        <v>575</v>
      </c>
      <c r="P473" t="s">
        <v>388</v>
      </c>
      <c r="S473" t="s">
        <v>848</v>
      </c>
      <c r="T473" t="s">
        <v>1000</v>
      </c>
      <c r="U473" t="s">
        <v>254</v>
      </c>
      <c r="V473" t="s">
        <v>254</v>
      </c>
      <c r="W473" s="60" t="s">
        <v>254</v>
      </c>
      <c r="X473" t="s">
        <v>860</v>
      </c>
    </row>
    <row r="474" spans="3:24" x14ac:dyDescent="0.25">
      <c r="C474" s="134" t="s">
        <v>150</v>
      </c>
      <c r="D474" s="36" t="s">
        <v>705</v>
      </c>
      <c r="E474" s="36" t="s">
        <v>331</v>
      </c>
      <c r="F474" s="36" t="s">
        <v>151</v>
      </c>
      <c r="G474" s="38">
        <f>-8500000</f>
        <v>-8500000</v>
      </c>
      <c r="H474" s="36" t="s">
        <v>276</v>
      </c>
      <c r="L474" s="23" t="s">
        <v>179</v>
      </c>
      <c r="M474" s="57" t="s">
        <v>542</v>
      </c>
      <c r="N474" s="23" t="s">
        <v>552</v>
      </c>
      <c r="O474" s="23" t="s">
        <v>579</v>
      </c>
      <c r="P474" s="23" t="s">
        <v>388</v>
      </c>
      <c r="S474" t="s">
        <v>814</v>
      </c>
      <c r="T474" t="s">
        <v>1001</v>
      </c>
      <c r="U474" t="s">
        <v>254</v>
      </c>
      <c r="V474" t="s">
        <v>254</v>
      </c>
      <c r="W474" s="60" t="s">
        <v>254</v>
      </c>
      <c r="X474" t="s">
        <v>860</v>
      </c>
    </row>
    <row r="475" spans="3:24" x14ac:dyDescent="0.25">
      <c r="C475" s="134" t="s">
        <v>150</v>
      </c>
      <c r="D475" s="36" t="s">
        <v>331</v>
      </c>
      <c r="E475" s="36" t="s">
        <v>528</v>
      </c>
      <c r="F475" s="36" t="s">
        <v>31</v>
      </c>
      <c r="G475" s="38">
        <f>6000000</f>
        <v>6000000</v>
      </c>
      <c r="H475" s="36" t="s">
        <v>286</v>
      </c>
      <c r="L475" t="s">
        <v>179</v>
      </c>
      <c r="M475" s="26" t="s">
        <v>582</v>
      </c>
      <c r="N475" t="s">
        <v>578</v>
      </c>
      <c r="O475" t="s">
        <v>506</v>
      </c>
      <c r="P475" t="s">
        <v>369</v>
      </c>
      <c r="S475" t="s">
        <v>106</v>
      </c>
      <c r="T475" t="s">
        <v>1002</v>
      </c>
      <c r="U475" t="s">
        <v>254</v>
      </c>
      <c r="V475" t="s">
        <v>254</v>
      </c>
      <c r="W475" s="60" t="s">
        <v>254</v>
      </c>
      <c r="X475" t="s">
        <v>860</v>
      </c>
    </row>
    <row r="476" spans="3:24" x14ac:dyDescent="0.25">
      <c r="C476" s="134" t="s">
        <v>74</v>
      </c>
      <c r="D476" s="36" t="s">
        <v>331</v>
      </c>
      <c r="E476" s="36" t="s">
        <v>525</v>
      </c>
      <c r="F476" s="36" t="s">
        <v>75</v>
      </c>
      <c r="G476" s="38">
        <f>1300000</f>
        <v>1300000</v>
      </c>
      <c r="H476" s="36" t="s">
        <v>232</v>
      </c>
      <c r="L476" t="s">
        <v>179</v>
      </c>
      <c r="M476" s="26" t="s">
        <v>563</v>
      </c>
      <c r="N476" t="s">
        <v>705</v>
      </c>
      <c r="O476" t="s">
        <v>717</v>
      </c>
      <c r="P476" t="s">
        <v>369</v>
      </c>
      <c r="S476" t="s">
        <v>213</v>
      </c>
      <c r="T476" t="s">
        <v>1003</v>
      </c>
      <c r="U476" t="s">
        <v>254</v>
      </c>
      <c r="V476" t="s">
        <v>254</v>
      </c>
      <c r="W476" s="60" t="s">
        <v>254</v>
      </c>
      <c r="X476" t="s">
        <v>860</v>
      </c>
    </row>
    <row r="477" spans="3:24" x14ac:dyDescent="0.25">
      <c r="C477" s="134" t="s">
        <v>115</v>
      </c>
      <c r="D477" s="36" t="s">
        <v>331</v>
      </c>
      <c r="E477" s="36" t="s">
        <v>377</v>
      </c>
      <c r="F477" s="36" t="s">
        <v>105</v>
      </c>
      <c r="G477" s="38">
        <f>70000000</f>
        <v>70000000</v>
      </c>
      <c r="H477" s="36" t="s">
        <v>770</v>
      </c>
      <c r="L477" t="s">
        <v>179</v>
      </c>
      <c r="M477" s="26" t="s">
        <v>508</v>
      </c>
      <c r="N477" t="s">
        <v>536</v>
      </c>
      <c r="O477" t="s">
        <v>491</v>
      </c>
      <c r="P477" t="s">
        <v>369</v>
      </c>
      <c r="S477" t="s">
        <v>754</v>
      </c>
      <c r="T477" t="s">
        <v>1004</v>
      </c>
      <c r="U477" t="s">
        <v>254</v>
      </c>
      <c r="V477" t="s">
        <v>254</v>
      </c>
      <c r="W477" s="60" t="s">
        <v>254</v>
      </c>
      <c r="X477" t="s">
        <v>860</v>
      </c>
    </row>
    <row r="478" spans="3:24" x14ac:dyDescent="0.25">
      <c r="C478" s="134" t="s">
        <v>32</v>
      </c>
      <c r="D478" s="36" t="s">
        <v>331</v>
      </c>
      <c r="E478" s="36" t="s">
        <v>626</v>
      </c>
      <c r="F478" s="36" t="s">
        <v>31</v>
      </c>
      <c r="G478" s="38">
        <f>120000</f>
        <v>120000</v>
      </c>
      <c r="H478" s="36" t="s">
        <v>220</v>
      </c>
      <c r="L478" t="s">
        <v>179</v>
      </c>
      <c r="M478" s="26" t="s">
        <v>582</v>
      </c>
      <c r="N478" t="s">
        <v>552</v>
      </c>
      <c r="O478" t="s">
        <v>473</v>
      </c>
      <c r="P478" t="s">
        <v>369</v>
      </c>
      <c r="S478" s="48" t="s">
        <v>668</v>
      </c>
      <c r="T478" s="48" t="s">
        <v>466</v>
      </c>
      <c r="U478" s="48" t="s">
        <v>254</v>
      </c>
      <c r="V478" s="48" t="s">
        <v>254</v>
      </c>
      <c r="W478" s="56" t="s">
        <v>254</v>
      </c>
      <c r="X478" s="48" t="s">
        <v>860</v>
      </c>
    </row>
    <row r="479" spans="3:24" ht="15.75" thickBot="1" x14ac:dyDescent="0.3">
      <c r="C479" s="134" t="s">
        <v>110</v>
      </c>
      <c r="D479" s="36" t="s">
        <v>331</v>
      </c>
      <c r="E479" s="36" t="s">
        <v>367</v>
      </c>
      <c r="F479" s="36" t="s">
        <v>31</v>
      </c>
      <c r="G479" s="38">
        <f>80000000</f>
        <v>80000000</v>
      </c>
      <c r="H479" s="36" t="s">
        <v>295</v>
      </c>
      <c r="L479" s="58" t="s">
        <v>179</v>
      </c>
      <c r="M479" s="52" t="s">
        <v>719</v>
      </c>
      <c r="N479" s="44" t="s">
        <v>387</v>
      </c>
      <c r="O479" s="58" t="s">
        <v>665</v>
      </c>
      <c r="P479" s="44" t="s">
        <v>369</v>
      </c>
      <c r="S479" s="45" t="s">
        <v>754</v>
      </c>
      <c r="T479" s="45" t="s">
        <v>1005</v>
      </c>
      <c r="U479" s="45" t="s">
        <v>396</v>
      </c>
      <c r="V479" s="45" t="s">
        <v>460</v>
      </c>
      <c r="W479" s="46" t="s">
        <v>508</v>
      </c>
      <c r="X479" s="45" t="s">
        <v>860</v>
      </c>
    </row>
    <row r="480" spans="3:24" x14ac:dyDescent="0.25">
      <c r="C480" s="134" t="s">
        <v>111</v>
      </c>
      <c r="D480" s="36" t="s">
        <v>331</v>
      </c>
      <c r="E480" s="36" t="s">
        <v>367</v>
      </c>
      <c r="F480" s="36" t="s">
        <v>75</v>
      </c>
      <c r="G480" s="38">
        <f>58000000</f>
        <v>58000000</v>
      </c>
      <c r="H480" s="36" t="s">
        <v>236</v>
      </c>
      <c r="L480" s="10" t="s">
        <v>106</v>
      </c>
      <c r="M480" s="26" t="s">
        <v>456</v>
      </c>
      <c r="N480" t="s">
        <v>308</v>
      </c>
      <c r="O480" t="s">
        <v>487</v>
      </c>
      <c r="P480" t="s">
        <v>276</v>
      </c>
      <c r="S480" s="48" t="s">
        <v>213</v>
      </c>
      <c r="T480" s="48" t="s">
        <v>1161</v>
      </c>
      <c r="U480" s="48" t="s">
        <v>653</v>
      </c>
      <c r="V480" s="48" t="s">
        <v>725</v>
      </c>
      <c r="W480" s="56" t="s">
        <v>531</v>
      </c>
      <c r="X480" s="48" t="s">
        <v>1013</v>
      </c>
    </row>
    <row r="481" spans="3:24" x14ac:dyDescent="0.25">
      <c r="C481" s="134" t="s">
        <v>353</v>
      </c>
      <c r="D481" s="36" t="s">
        <v>331</v>
      </c>
      <c r="E481" s="36" t="s">
        <v>396</v>
      </c>
      <c r="F481" s="36" t="s">
        <v>354</v>
      </c>
      <c r="G481" s="38">
        <f>3900000</f>
        <v>3900000</v>
      </c>
      <c r="H481" s="36" t="s">
        <v>800</v>
      </c>
      <c r="L481" t="s">
        <v>179</v>
      </c>
      <c r="M481" s="26" t="s">
        <v>582</v>
      </c>
      <c r="N481" t="s">
        <v>606</v>
      </c>
      <c r="O481" t="s">
        <v>586</v>
      </c>
      <c r="P481" t="s">
        <v>276</v>
      </c>
      <c r="S481" s="48" t="s">
        <v>827</v>
      </c>
      <c r="T481" s="48" t="s">
        <v>1162</v>
      </c>
      <c r="U481" s="48" t="s">
        <v>254</v>
      </c>
      <c r="V481" s="48" t="s">
        <v>254</v>
      </c>
      <c r="W481" s="56" t="s">
        <v>254</v>
      </c>
      <c r="X481" s="48" t="s">
        <v>1013</v>
      </c>
    </row>
    <row r="482" spans="3:24" x14ac:dyDescent="0.25">
      <c r="C482" s="134" t="s">
        <v>353</v>
      </c>
      <c r="D482" s="36" t="s">
        <v>350</v>
      </c>
      <c r="E482" s="36" t="s">
        <v>331</v>
      </c>
      <c r="F482" s="36" t="s">
        <v>354</v>
      </c>
      <c r="G482" s="38" t="s">
        <v>334</v>
      </c>
      <c r="H482" s="36" t="s">
        <v>295</v>
      </c>
      <c r="L482" t="s">
        <v>179</v>
      </c>
      <c r="M482" s="26" t="s">
        <v>582</v>
      </c>
      <c r="N482" t="s">
        <v>490</v>
      </c>
      <c r="O482" t="s">
        <v>477</v>
      </c>
      <c r="P482" t="s">
        <v>276</v>
      </c>
      <c r="S482" s="48" t="s">
        <v>998</v>
      </c>
      <c r="T482" s="48" t="s">
        <v>1163</v>
      </c>
      <c r="U482" s="48" t="s">
        <v>254</v>
      </c>
      <c r="V482" s="48" t="s">
        <v>254</v>
      </c>
      <c r="W482" s="56" t="s">
        <v>254</v>
      </c>
      <c r="X482" s="48" t="s">
        <v>1013</v>
      </c>
    </row>
    <row r="483" spans="3:24" x14ac:dyDescent="0.25">
      <c r="C483" s="134" t="s">
        <v>108</v>
      </c>
      <c r="D483" s="36" t="s">
        <v>670</v>
      </c>
      <c r="E483" s="36" t="s">
        <v>331</v>
      </c>
      <c r="F483" s="36" t="s">
        <v>61</v>
      </c>
      <c r="G483" s="38">
        <f>-2000000</f>
        <v>-2000000</v>
      </c>
      <c r="H483" s="36" t="s">
        <v>364</v>
      </c>
      <c r="L483" s="23" t="s">
        <v>179</v>
      </c>
      <c r="M483" s="57" t="s">
        <v>489</v>
      </c>
      <c r="N483" s="23" t="s">
        <v>528</v>
      </c>
      <c r="O483" s="23" t="s">
        <v>575</v>
      </c>
      <c r="P483" s="23" t="s">
        <v>276</v>
      </c>
      <c r="S483" t="s">
        <v>142</v>
      </c>
      <c r="T483" t="s">
        <v>1164</v>
      </c>
      <c r="U483" t="s">
        <v>254</v>
      </c>
      <c r="V483" t="s">
        <v>254</v>
      </c>
      <c r="W483" s="60" t="s">
        <v>254</v>
      </c>
      <c r="X483" t="s">
        <v>1013</v>
      </c>
    </row>
    <row r="484" spans="3:24" x14ac:dyDescent="0.25">
      <c r="C484" s="134" t="s">
        <v>108</v>
      </c>
      <c r="D484" s="36" t="s">
        <v>331</v>
      </c>
      <c r="E484" s="36" t="s">
        <v>417</v>
      </c>
      <c r="F484" s="36" t="s">
        <v>61</v>
      </c>
      <c r="G484" s="38">
        <f>27000000</f>
        <v>27000000</v>
      </c>
      <c r="H484" s="36" t="s">
        <v>343</v>
      </c>
      <c r="L484" t="s">
        <v>179</v>
      </c>
      <c r="M484" s="26" t="s">
        <v>722</v>
      </c>
      <c r="N484" t="s">
        <v>578</v>
      </c>
      <c r="O484" t="s">
        <v>506</v>
      </c>
      <c r="P484" t="s">
        <v>286</v>
      </c>
      <c r="S484" s="48" t="s">
        <v>213</v>
      </c>
      <c r="T484" s="48" t="s">
        <v>1165</v>
      </c>
      <c r="U484" s="48" t="s">
        <v>254</v>
      </c>
      <c r="V484" s="48" t="s">
        <v>254</v>
      </c>
      <c r="W484" s="56" t="s">
        <v>254</v>
      </c>
      <c r="X484" s="48" t="s">
        <v>1013</v>
      </c>
    </row>
    <row r="485" spans="3:24" x14ac:dyDescent="0.25">
      <c r="C485" s="134" t="s">
        <v>33</v>
      </c>
      <c r="D485" s="36" t="s">
        <v>685</v>
      </c>
      <c r="E485" s="36" t="s">
        <v>331</v>
      </c>
      <c r="F485" s="36" t="s">
        <v>165</v>
      </c>
      <c r="G485" s="38">
        <f>-2200000</f>
        <v>-2200000</v>
      </c>
      <c r="H485" s="36" t="s">
        <v>388</v>
      </c>
      <c r="L485" s="10" t="s">
        <v>98</v>
      </c>
      <c r="M485" s="26" t="s">
        <v>556</v>
      </c>
      <c r="N485" t="s">
        <v>525</v>
      </c>
      <c r="O485" t="s">
        <v>537</v>
      </c>
      <c r="P485" t="s">
        <v>286</v>
      </c>
      <c r="S485" t="s">
        <v>754</v>
      </c>
      <c r="T485" t="s">
        <v>1166</v>
      </c>
      <c r="U485" t="s">
        <v>254</v>
      </c>
      <c r="V485" t="s">
        <v>254</v>
      </c>
      <c r="W485" s="60" t="s">
        <v>254</v>
      </c>
      <c r="X485" t="s">
        <v>1013</v>
      </c>
    </row>
    <row r="486" spans="3:24" x14ac:dyDescent="0.25">
      <c r="C486" s="35" t="s">
        <v>1338</v>
      </c>
      <c r="D486" s="36" t="s">
        <v>331</v>
      </c>
      <c r="E486" s="36" t="s">
        <v>471</v>
      </c>
      <c r="F486" s="36" t="s">
        <v>1472</v>
      </c>
      <c r="G486" s="38">
        <f>1900000</f>
        <v>1900000</v>
      </c>
      <c r="H486" s="36" t="s">
        <v>1442</v>
      </c>
      <c r="L486" t="s">
        <v>179</v>
      </c>
      <c r="M486" s="26" t="s">
        <v>511</v>
      </c>
      <c r="N486" t="s">
        <v>552</v>
      </c>
      <c r="O486" t="s">
        <v>717</v>
      </c>
      <c r="P486" t="s">
        <v>286</v>
      </c>
      <c r="S486" s="45" t="s">
        <v>38</v>
      </c>
      <c r="T486" s="45" t="s">
        <v>1167</v>
      </c>
      <c r="U486" s="45" t="s">
        <v>578</v>
      </c>
      <c r="V486" s="45" t="s">
        <v>665</v>
      </c>
      <c r="W486" s="46" t="s">
        <v>1168</v>
      </c>
      <c r="X486" s="45" t="s">
        <v>1013</v>
      </c>
    </row>
    <row r="487" spans="3:24" x14ac:dyDescent="0.25">
      <c r="C487" s="134" t="s">
        <v>106</v>
      </c>
      <c r="D487" s="36" t="s">
        <v>331</v>
      </c>
      <c r="E487" s="36" t="s">
        <v>254</v>
      </c>
      <c r="F487" s="36" t="s">
        <v>107</v>
      </c>
      <c r="G487" s="38" t="s">
        <v>358</v>
      </c>
      <c r="H487" s="36" t="s">
        <v>845</v>
      </c>
      <c r="L487" s="10" t="s">
        <v>723</v>
      </c>
      <c r="M487" s="26" t="s">
        <v>724</v>
      </c>
      <c r="N487" t="s">
        <v>421</v>
      </c>
      <c r="O487" t="s">
        <v>725</v>
      </c>
      <c r="P487" t="s">
        <v>286</v>
      </c>
      <c r="S487" t="s">
        <v>846</v>
      </c>
      <c r="T487" t="s">
        <v>1192</v>
      </c>
      <c r="U487" t="s">
        <v>254</v>
      </c>
      <c r="V487" t="s">
        <v>254</v>
      </c>
      <c r="W487" s="60" t="s">
        <v>254</v>
      </c>
      <c r="X487" t="s">
        <v>1180</v>
      </c>
    </row>
    <row r="488" spans="3:24" x14ac:dyDescent="0.25">
      <c r="C488" s="134" t="s">
        <v>98</v>
      </c>
      <c r="D488" s="36" t="s">
        <v>331</v>
      </c>
      <c r="E488" s="36" t="s">
        <v>254</v>
      </c>
      <c r="F488" s="36" t="s">
        <v>100</v>
      </c>
      <c r="G488" s="38" t="s">
        <v>363</v>
      </c>
      <c r="H488" s="36" t="s">
        <v>845</v>
      </c>
      <c r="L488" t="s">
        <v>179</v>
      </c>
      <c r="M488" s="26" t="s">
        <v>531</v>
      </c>
      <c r="N488" t="s">
        <v>464</v>
      </c>
      <c r="O488" t="s">
        <v>469</v>
      </c>
      <c r="P488" t="s">
        <v>286</v>
      </c>
      <c r="S488" s="117" t="s">
        <v>213</v>
      </c>
      <c r="T488" s="117" t="s">
        <v>1193</v>
      </c>
      <c r="U488" s="117" t="s">
        <v>254</v>
      </c>
      <c r="V488" s="117" t="s">
        <v>254</v>
      </c>
      <c r="W488" s="60" t="s">
        <v>254</v>
      </c>
      <c r="X488" s="117" t="s">
        <v>1180</v>
      </c>
    </row>
    <row r="489" spans="3:24" x14ac:dyDescent="0.25">
      <c r="C489" s="35" t="s">
        <v>754</v>
      </c>
      <c r="D489" s="36" t="s">
        <v>331</v>
      </c>
      <c r="E489" s="36" t="s">
        <v>377</v>
      </c>
      <c r="F489" s="36" t="s">
        <v>31</v>
      </c>
      <c r="G489" s="38">
        <f>60000000</f>
        <v>60000000</v>
      </c>
      <c r="H489" s="36" t="s">
        <v>1415</v>
      </c>
      <c r="L489" t="s">
        <v>179</v>
      </c>
      <c r="M489" s="26" t="s">
        <v>726</v>
      </c>
      <c r="N489" t="s">
        <v>521</v>
      </c>
      <c r="O489" t="s">
        <v>727</v>
      </c>
      <c r="P489" t="s">
        <v>286</v>
      </c>
      <c r="S489" s="59" t="s">
        <v>754</v>
      </c>
      <c r="T489" s="59" t="s">
        <v>1194</v>
      </c>
      <c r="U489" s="59" t="s">
        <v>254</v>
      </c>
      <c r="V489" s="59" t="s">
        <v>254</v>
      </c>
      <c r="W489" s="60" t="s">
        <v>254</v>
      </c>
      <c r="X489" s="117" t="s">
        <v>1180</v>
      </c>
    </row>
    <row r="490" spans="3:24" x14ac:dyDescent="0.25">
      <c r="C490" s="134" t="s">
        <v>131</v>
      </c>
      <c r="D490" s="36" t="s">
        <v>331</v>
      </c>
      <c r="E490" s="36" t="s">
        <v>435</v>
      </c>
      <c r="F490" s="36" t="s">
        <v>31</v>
      </c>
      <c r="G490" s="38">
        <f>21000000</f>
        <v>21000000</v>
      </c>
      <c r="H490" s="36" t="s">
        <v>388</v>
      </c>
      <c r="L490" s="10" t="s">
        <v>104</v>
      </c>
      <c r="M490" s="26" t="s">
        <v>542</v>
      </c>
      <c r="N490" t="s">
        <v>728</v>
      </c>
      <c r="O490" t="s">
        <v>729</v>
      </c>
      <c r="P490" t="s">
        <v>286</v>
      </c>
      <c r="S490" s="59" t="s">
        <v>1189</v>
      </c>
      <c r="T490" s="59" t="s">
        <v>1195</v>
      </c>
      <c r="U490" s="59" t="s">
        <v>254</v>
      </c>
      <c r="V490" s="59" t="s">
        <v>254</v>
      </c>
      <c r="W490" s="60" t="s">
        <v>254</v>
      </c>
      <c r="X490" s="117" t="s">
        <v>1180</v>
      </c>
    </row>
    <row r="491" spans="3:24" x14ac:dyDescent="0.25">
      <c r="C491" s="134" t="s">
        <v>176</v>
      </c>
      <c r="D491" s="36" t="s">
        <v>345</v>
      </c>
      <c r="E491" s="36" t="s">
        <v>331</v>
      </c>
      <c r="F491" s="36" t="s">
        <v>178</v>
      </c>
      <c r="G491" s="38">
        <f>-12000000</f>
        <v>-12000000</v>
      </c>
      <c r="H491" s="36" t="s">
        <v>223</v>
      </c>
      <c r="L491" t="s">
        <v>179</v>
      </c>
      <c r="M491" s="26" t="s">
        <v>542</v>
      </c>
      <c r="N491" t="s">
        <v>468</v>
      </c>
      <c r="O491" t="s">
        <v>465</v>
      </c>
      <c r="P491" t="s">
        <v>286</v>
      </c>
      <c r="S491" s="59" t="s">
        <v>750</v>
      </c>
      <c r="T491" s="59" t="s">
        <v>1196</v>
      </c>
      <c r="U491" s="59" t="s">
        <v>254</v>
      </c>
      <c r="V491" s="59" t="s">
        <v>254</v>
      </c>
      <c r="W491" s="60" t="s">
        <v>254</v>
      </c>
      <c r="X491" s="117" t="s">
        <v>1180</v>
      </c>
    </row>
    <row r="492" spans="3:24" x14ac:dyDescent="0.25">
      <c r="C492" s="134" t="s">
        <v>176</v>
      </c>
      <c r="D492" s="36" t="s">
        <v>331</v>
      </c>
      <c r="E492" s="36" t="s">
        <v>387</v>
      </c>
      <c r="F492" s="36" t="s">
        <v>178</v>
      </c>
      <c r="G492" s="38">
        <f>60500000</f>
        <v>60500000</v>
      </c>
      <c r="H492" s="36" t="s">
        <v>388</v>
      </c>
      <c r="L492" s="23" t="s">
        <v>179</v>
      </c>
      <c r="M492" s="57" t="s">
        <v>454</v>
      </c>
      <c r="N492" s="23" t="s">
        <v>536</v>
      </c>
      <c r="O492" s="23" t="s">
        <v>504</v>
      </c>
      <c r="P492" s="23" t="s">
        <v>286</v>
      </c>
      <c r="S492" s="48" t="s">
        <v>846</v>
      </c>
      <c r="T492" s="48" t="s">
        <v>1197</v>
      </c>
      <c r="U492" s="48" t="s">
        <v>254</v>
      </c>
      <c r="V492" s="48" t="s">
        <v>254</v>
      </c>
      <c r="W492" s="56" t="s">
        <v>254</v>
      </c>
      <c r="X492" s="48" t="s">
        <v>1180</v>
      </c>
    </row>
    <row r="493" spans="3:24" x14ac:dyDescent="0.25">
      <c r="C493" s="134" t="s">
        <v>58</v>
      </c>
      <c r="D493" s="36" t="s">
        <v>509</v>
      </c>
      <c r="E493" s="36" t="s">
        <v>331</v>
      </c>
      <c r="F493" s="36" t="s">
        <v>59</v>
      </c>
      <c r="G493" s="38">
        <f>-4500000</f>
        <v>-4500000</v>
      </c>
      <c r="H493" s="36" t="s">
        <v>364</v>
      </c>
      <c r="L493" t="s">
        <v>106</v>
      </c>
      <c r="M493" s="26"/>
      <c r="S493" s="45" t="s">
        <v>1156</v>
      </c>
      <c r="T493" s="45" t="s">
        <v>1198</v>
      </c>
      <c r="U493" s="45" t="s">
        <v>399</v>
      </c>
      <c r="V493" s="45" t="s">
        <v>665</v>
      </c>
      <c r="W493" s="46" t="s">
        <v>563</v>
      </c>
      <c r="X493" s="45" t="s">
        <v>1180</v>
      </c>
    </row>
    <row r="494" spans="3:24" x14ac:dyDescent="0.25">
      <c r="C494" s="134" t="s">
        <v>58</v>
      </c>
      <c r="D494" s="36" t="s">
        <v>331</v>
      </c>
      <c r="E494" s="36" t="s">
        <v>387</v>
      </c>
      <c r="F494" s="36" t="s">
        <v>59</v>
      </c>
      <c r="G494" s="38">
        <f>20000000</f>
        <v>20000000</v>
      </c>
      <c r="H494" s="36" t="s">
        <v>223</v>
      </c>
      <c r="L494" t="s">
        <v>179</v>
      </c>
      <c r="M494" s="26"/>
      <c r="S494" s="48" t="s">
        <v>38</v>
      </c>
      <c r="T494" s="48" t="s">
        <v>1220</v>
      </c>
      <c r="U494" s="48" t="s">
        <v>254</v>
      </c>
      <c r="V494" s="48" t="s">
        <v>254</v>
      </c>
      <c r="W494" s="56" t="s">
        <v>254</v>
      </c>
      <c r="X494" s="48" t="s">
        <v>1210</v>
      </c>
    </row>
    <row r="495" spans="3:24" x14ac:dyDescent="0.25">
      <c r="C495" s="134" t="s">
        <v>848</v>
      </c>
      <c r="D495" s="36" t="s">
        <v>427</v>
      </c>
      <c r="E495" s="36" t="s">
        <v>331</v>
      </c>
      <c r="F495" s="36" t="s">
        <v>44</v>
      </c>
      <c r="G495" s="38">
        <f>-58000000</f>
        <v>-58000000</v>
      </c>
      <c r="H495" s="36" t="s">
        <v>845</v>
      </c>
      <c r="L495" t="s">
        <v>179</v>
      </c>
      <c r="M495" s="26"/>
      <c r="S495" s="59" t="s">
        <v>213</v>
      </c>
      <c r="T495" s="59" t="s">
        <v>1221</v>
      </c>
      <c r="U495" s="59" t="s">
        <v>254</v>
      </c>
      <c r="V495" s="59" t="s">
        <v>254</v>
      </c>
      <c r="W495" s="60" t="s">
        <v>254</v>
      </c>
      <c r="X495" s="59" t="s">
        <v>1210</v>
      </c>
    </row>
    <row r="496" spans="3:24" x14ac:dyDescent="0.25">
      <c r="C496" s="134" t="s">
        <v>848</v>
      </c>
      <c r="D496" s="36" t="s">
        <v>331</v>
      </c>
      <c r="E496" s="36" t="s">
        <v>377</v>
      </c>
      <c r="F496" s="36" t="s">
        <v>44</v>
      </c>
      <c r="G496" s="38">
        <f>37500000</f>
        <v>37500000</v>
      </c>
      <c r="H496" s="36" t="s">
        <v>1210</v>
      </c>
      <c r="L496" s="10" t="s">
        <v>721</v>
      </c>
      <c r="M496" s="26"/>
      <c r="S496" s="59" t="s">
        <v>754</v>
      </c>
      <c r="T496" s="59" t="s">
        <v>1222</v>
      </c>
      <c r="U496" s="59" t="s">
        <v>254</v>
      </c>
      <c r="V496" s="59" t="s">
        <v>254</v>
      </c>
      <c r="W496" s="60" t="s">
        <v>254</v>
      </c>
      <c r="X496" s="59" t="s">
        <v>1210</v>
      </c>
    </row>
    <row r="497" spans="3:27" x14ac:dyDescent="0.25">
      <c r="C497" s="134" t="s">
        <v>212</v>
      </c>
      <c r="D497" s="36" t="s">
        <v>331</v>
      </c>
      <c r="E497" s="36" t="s">
        <v>550</v>
      </c>
      <c r="F497" s="36" t="s">
        <v>31</v>
      </c>
      <c r="G497" s="38">
        <f>4000000</f>
        <v>4000000</v>
      </c>
      <c r="H497" s="36" t="s">
        <v>551</v>
      </c>
      <c r="L497" t="s">
        <v>179</v>
      </c>
      <c r="M497" s="26"/>
      <c r="S497" s="45" t="s">
        <v>213</v>
      </c>
      <c r="T497" s="45" t="s">
        <v>1440</v>
      </c>
      <c r="U497" s="45" t="s">
        <v>515</v>
      </c>
      <c r="V497" s="45" t="s">
        <v>665</v>
      </c>
      <c r="W497" s="46" t="s">
        <v>448</v>
      </c>
      <c r="X497" s="45" t="s">
        <v>1210</v>
      </c>
    </row>
    <row r="498" spans="3:27" x14ac:dyDescent="0.25">
      <c r="C498" s="134" t="s">
        <v>77</v>
      </c>
      <c r="D498" s="36" t="s">
        <v>331</v>
      </c>
      <c r="E498" s="36" t="s">
        <v>399</v>
      </c>
      <c r="F498" s="36" t="s">
        <v>31</v>
      </c>
      <c r="G498" s="38">
        <f>50000000</f>
        <v>50000000</v>
      </c>
      <c r="H498" s="36" t="s">
        <v>860</v>
      </c>
      <c r="L498" t="s">
        <v>179</v>
      </c>
      <c r="M498" s="26"/>
      <c r="S498" s="48" t="s">
        <v>1219</v>
      </c>
      <c r="T498" s="48" t="s">
        <v>1247</v>
      </c>
      <c r="U498" s="48" t="s">
        <v>254</v>
      </c>
      <c r="V498" s="48" t="s">
        <v>254</v>
      </c>
      <c r="W498" s="56" t="s">
        <v>254</v>
      </c>
      <c r="X498" s="48" t="s">
        <v>1240</v>
      </c>
    </row>
    <row r="499" spans="3:27" x14ac:dyDescent="0.25">
      <c r="C499" s="35" t="s">
        <v>1382</v>
      </c>
      <c r="D499" s="36" t="s">
        <v>435</v>
      </c>
      <c r="E499" s="36" t="s">
        <v>331</v>
      </c>
      <c r="F499" s="36" t="s">
        <v>1383</v>
      </c>
      <c r="G499" s="38">
        <f>-36000000</f>
        <v>-36000000</v>
      </c>
      <c r="H499" s="36" t="s">
        <v>1374</v>
      </c>
      <c r="L499" t="s">
        <v>179</v>
      </c>
      <c r="M499" s="26"/>
      <c r="S499" s="48" t="s">
        <v>1185</v>
      </c>
      <c r="T499" s="48" t="s">
        <v>1248</v>
      </c>
      <c r="U499" s="48" t="s">
        <v>254</v>
      </c>
      <c r="V499" s="48" t="s">
        <v>254</v>
      </c>
      <c r="W499" s="56" t="s">
        <v>254</v>
      </c>
      <c r="X499" s="48" t="s">
        <v>1240</v>
      </c>
    </row>
    <row r="500" spans="3:27" x14ac:dyDescent="0.25">
      <c r="C500" s="35" t="s">
        <v>1382</v>
      </c>
      <c r="D500" s="36" t="s">
        <v>331</v>
      </c>
      <c r="E500" s="36" t="s">
        <v>387</v>
      </c>
      <c r="F500" s="36" t="s">
        <v>1383</v>
      </c>
      <c r="G500" s="38">
        <f>12500000</f>
        <v>12500000</v>
      </c>
      <c r="H500" s="36" t="s">
        <v>1467</v>
      </c>
      <c r="L500" t="s">
        <v>179</v>
      </c>
      <c r="M500" s="26"/>
      <c r="S500" s="48" t="s">
        <v>1156</v>
      </c>
      <c r="T500" s="48" t="s">
        <v>1250</v>
      </c>
      <c r="U500" s="48" t="s">
        <v>254</v>
      </c>
      <c r="V500" s="48" t="s">
        <v>254</v>
      </c>
      <c r="W500" s="56" t="s">
        <v>254</v>
      </c>
      <c r="X500" s="48" t="s">
        <v>1240</v>
      </c>
    </row>
    <row r="501" spans="3:27" x14ac:dyDescent="0.25">
      <c r="C501" s="134" t="s">
        <v>118</v>
      </c>
      <c r="D501" s="36" t="s">
        <v>528</v>
      </c>
      <c r="E501" s="36" t="s">
        <v>331</v>
      </c>
      <c r="F501" s="36" t="s">
        <v>31</v>
      </c>
      <c r="G501" s="38">
        <f>-12500000</f>
        <v>-12500000</v>
      </c>
      <c r="H501" s="36" t="s">
        <v>388</v>
      </c>
      <c r="L501" s="23" t="s">
        <v>179</v>
      </c>
      <c r="M501" s="57"/>
      <c r="N501" s="23"/>
      <c r="O501" s="23"/>
      <c r="P501" s="23"/>
      <c r="S501" s="59" t="s">
        <v>213</v>
      </c>
      <c r="T501" s="59" t="s">
        <v>1249</v>
      </c>
      <c r="U501" s="59" t="s">
        <v>254</v>
      </c>
      <c r="V501" s="59" t="s">
        <v>254</v>
      </c>
      <c r="W501" s="60" t="s">
        <v>254</v>
      </c>
      <c r="X501" s="59" t="s">
        <v>1240</v>
      </c>
    </row>
    <row r="502" spans="3:27" x14ac:dyDescent="0.25">
      <c r="C502" s="134" t="s">
        <v>118</v>
      </c>
      <c r="D502" s="36" t="s">
        <v>331</v>
      </c>
      <c r="E502" s="36" t="s">
        <v>367</v>
      </c>
      <c r="F502" s="36" t="s">
        <v>31</v>
      </c>
      <c r="G502" s="38">
        <f>60000000</f>
        <v>60000000</v>
      </c>
      <c r="H502" s="36" t="s">
        <v>286</v>
      </c>
      <c r="L502" t="s">
        <v>106</v>
      </c>
      <c r="M502" s="26" t="s">
        <v>482</v>
      </c>
      <c r="N502" t="s">
        <v>766</v>
      </c>
      <c r="O502" t="s">
        <v>725</v>
      </c>
      <c r="P502" t="s">
        <v>742</v>
      </c>
      <c r="S502" s="59" t="s">
        <v>1156</v>
      </c>
      <c r="T502" s="59" t="s">
        <v>1252</v>
      </c>
      <c r="U502" s="59" t="s">
        <v>525</v>
      </c>
      <c r="V502" s="59" t="s">
        <v>517</v>
      </c>
      <c r="W502" s="60" t="s">
        <v>456</v>
      </c>
      <c r="X502" s="59" t="s">
        <v>1240</v>
      </c>
    </row>
    <row r="503" spans="3:27" x14ac:dyDescent="0.25">
      <c r="C503" s="134" t="s">
        <v>819</v>
      </c>
      <c r="D503" s="36" t="s">
        <v>820</v>
      </c>
      <c r="E503" s="36" t="s">
        <v>331</v>
      </c>
      <c r="F503" s="36" t="s">
        <v>27</v>
      </c>
      <c r="G503" s="38">
        <f>-3400000</f>
        <v>-3400000</v>
      </c>
      <c r="H503" s="36" t="s">
        <v>800</v>
      </c>
      <c r="L503" t="s">
        <v>179</v>
      </c>
      <c r="M503" s="26" t="s">
        <v>480</v>
      </c>
      <c r="N503" t="s">
        <v>762</v>
      </c>
      <c r="O503" t="s">
        <v>557</v>
      </c>
      <c r="P503" t="s">
        <v>742</v>
      </c>
      <c r="S503" s="59" t="s">
        <v>754</v>
      </c>
      <c r="T503" s="59" t="s">
        <v>1251</v>
      </c>
      <c r="U503" s="59" t="s">
        <v>254</v>
      </c>
      <c r="V503" s="59" t="s">
        <v>254</v>
      </c>
      <c r="W503" s="60" t="s">
        <v>254</v>
      </c>
      <c r="X503" s="59" t="s">
        <v>1240</v>
      </c>
    </row>
    <row r="504" spans="3:27" ht="15.75" thickBot="1" x14ac:dyDescent="0.3">
      <c r="C504" s="134" t="s">
        <v>819</v>
      </c>
      <c r="D504" s="36" t="s">
        <v>331</v>
      </c>
      <c r="E504" s="36" t="s">
        <v>471</v>
      </c>
      <c r="F504" s="36" t="s">
        <v>27</v>
      </c>
      <c r="G504" s="38">
        <f>2200000</f>
        <v>2200000</v>
      </c>
      <c r="H504" s="36" t="s">
        <v>829</v>
      </c>
      <c r="L504" t="s">
        <v>104</v>
      </c>
      <c r="M504" s="26" t="s">
        <v>482</v>
      </c>
      <c r="N504" t="s">
        <v>528</v>
      </c>
      <c r="O504" t="s">
        <v>687</v>
      </c>
      <c r="P504" t="s">
        <v>742</v>
      </c>
      <c r="S504" s="58" t="s">
        <v>849</v>
      </c>
      <c r="T504" s="58" t="s">
        <v>859</v>
      </c>
      <c r="U504" s="58" t="s">
        <v>377</v>
      </c>
      <c r="V504" s="58" t="s">
        <v>665</v>
      </c>
      <c r="W504" s="95" t="s">
        <v>461</v>
      </c>
      <c r="X504" s="58" t="s">
        <v>1240</v>
      </c>
    </row>
    <row r="505" spans="3:27" x14ac:dyDescent="0.25">
      <c r="C505" s="35" t="s">
        <v>1152</v>
      </c>
      <c r="D505" s="36" t="s">
        <v>331</v>
      </c>
      <c r="E505" s="36" t="s">
        <v>515</v>
      </c>
      <c r="F505" s="36" t="s">
        <v>92</v>
      </c>
      <c r="G505" s="38">
        <f>55000000</f>
        <v>55000000</v>
      </c>
      <c r="H505" s="36" t="s">
        <v>1415</v>
      </c>
      <c r="L505" t="s">
        <v>179</v>
      </c>
      <c r="M505" s="26" t="s">
        <v>546</v>
      </c>
      <c r="N505" t="s">
        <v>345</v>
      </c>
      <c r="O505" t="s">
        <v>473</v>
      </c>
      <c r="P505" t="s">
        <v>742</v>
      </c>
      <c r="S505" s="48" t="s">
        <v>1185</v>
      </c>
      <c r="T505" s="48" t="s">
        <v>1275</v>
      </c>
      <c r="U505" s="48" t="s">
        <v>254</v>
      </c>
      <c r="V505" s="48" t="s">
        <v>254</v>
      </c>
      <c r="W505" s="56" t="s">
        <v>254</v>
      </c>
      <c r="X505" s="48" t="s">
        <v>1271</v>
      </c>
    </row>
    <row r="506" spans="3:27" x14ac:dyDescent="0.25">
      <c r="C506" s="134" t="s">
        <v>30</v>
      </c>
      <c r="D506" s="36" t="s">
        <v>642</v>
      </c>
      <c r="E506" s="36" t="s">
        <v>331</v>
      </c>
      <c r="F506" s="36" t="s">
        <v>31</v>
      </c>
      <c r="G506" s="38">
        <f>-1300000</f>
        <v>-1300000</v>
      </c>
      <c r="H506" s="36" t="s">
        <v>239</v>
      </c>
      <c r="L506" s="72" t="s">
        <v>818</v>
      </c>
      <c r="M506" s="26" t="s">
        <v>765</v>
      </c>
      <c r="N506" t="s">
        <v>345</v>
      </c>
      <c r="O506" t="s">
        <v>473</v>
      </c>
      <c r="P506" t="s">
        <v>742</v>
      </c>
      <c r="S506" s="59" t="s">
        <v>1156</v>
      </c>
      <c r="T506" s="59" t="s">
        <v>1274</v>
      </c>
      <c r="U506" s="59" t="s">
        <v>254</v>
      </c>
      <c r="V506" s="59" t="s">
        <v>254</v>
      </c>
      <c r="W506" s="60" t="s">
        <v>254</v>
      </c>
      <c r="X506" s="59" t="s">
        <v>1271</v>
      </c>
    </row>
    <row r="507" spans="3:27" x14ac:dyDescent="0.25">
      <c r="C507" s="134" t="s">
        <v>30</v>
      </c>
      <c r="D507" s="36" t="s">
        <v>331</v>
      </c>
      <c r="E507" s="36" t="s">
        <v>642</v>
      </c>
      <c r="F507" s="36" t="s">
        <v>31</v>
      </c>
      <c r="G507" s="38">
        <f>15000</f>
        <v>15000</v>
      </c>
      <c r="H507" s="36" t="s">
        <v>551</v>
      </c>
      <c r="L507" s="72" t="s">
        <v>764</v>
      </c>
      <c r="M507" s="26" t="s">
        <v>467</v>
      </c>
      <c r="N507" t="s">
        <v>614</v>
      </c>
      <c r="O507" t="s">
        <v>477</v>
      </c>
      <c r="P507" t="s">
        <v>742</v>
      </c>
      <c r="S507" s="59" t="s">
        <v>213</v>
      </c>
      <c r="T507" s="59" t="s">
        <v>1273</v>
      </c>
      <c r="U507" s="59" t="s">
        <v>254</v>
      </c>
      <c r="V507" s="59" t="s">
        <v>254</v>
      </c>
      <c r="W507" s="60" t="s">
        <v>254</v>
      </c>
      <c r="X507" s="59" t="s">
        <v>1271</v>
      </c>
    </row>
    <row r="508" spans="3:27" x14ac:dyDescent="0.25">
      <c r="C508" s="134" t="s">
        <v>30</v>
      </c>
      <c r="D508" s="36" t="s">
        <v>331</v>
      </c>
      <c r="E508" s="36" t="s">
        <v>367</v>
      </c>
      <c r="F508" s="36" t="s">
        <v>31</v>
      </c>
      <c r="G508" s="38">
        <f>24000000</f>
        <v>24000000</v>
      </c>
      <c r="H508" s="36" t="s">
        <v>388</v>
      </c>
      <c r="L508" t="s">
        <v>179</v>
      </c>
      <c r="M508" s="26" t="s">
        <v>489</v>
      </c>
      <c r="N508" t="s">
        <v>308</v>
      </c>
      <c r="O508" t="s">
        <v>659</v>
      </c>
      <c r="P508" t="s">
        <v>742</v>
      </c>
      <c r="S508" s="59" t="s">
        <v>754</v>
      </c>
      <c r="T508" s="59" t="s">
        <v>1272</v>
      </c>
      <c r="U508" s="59"/>
      <c r="V508" s="59"/>
      <c r="W508" s="60"/>
      <c r="X508" s="59" t="s">
        <v>1271</v>
      </c>
    </row>
    <row r="509" spans="3:27" x14ac:dyDescent="0.25">
      <c r="C509" s="134" t="s">
        <v>62</v>
      </c>
      <c r="D509" s="36" t="s">
        <v>331</v>
      </c>
      <c r="E509" s="36" t="s">
        <v>610</v>
      </c>
      <c r="F509" s="36" t="s">
        <v>31</v>
      </c>
      <c r="G509" s="38">
        <f>400000</f>
        <v>400000</v>
      </c>
      <c r="H509" s="36" t="s">
        <v>364</v>
      </c>
      <c r="L509" t="s">
        <v>179</v>
      </c>
      <c r="M509" s="26" t="s">
        <v>480</v>
      </c>
      <c r="N509" t="s">
        <v>396</v>
      </c>
      <c r="O509" t="s">
        <v>763</v>
      </c>
      <c r="P509" t="s">
        <v>742</v>
      </c>
      <c r="S509" s="48" t="s">
        <v>213</v>
      </c>
      <c r="T509" s="48" t="s">
        <v>1276</v>
      </c>
      <c r="U509" s="48" t="s">
        <v>377</v>
      </c>
      <c r="V509" s="48" t="s">
        <v>1277</v>
      </c>
      <c r="W509" s="56" t="s">
        <v>482</v>
      </c>
      <c r="X509" s="48" t="s">
        <v>1271</v>
      </c>
    </row>
    <row r="510" spans="3:27" x14ac:dyDescent="0.25">
      <c r="C510" s="134" t="s">
        <v>55</v>
      </c>
      <c r="D510" s="36" t="s">
        <v>331</v>
      </c>
      <c r="E510" s="36" t="s">
        <v>435</v>
      </c>
      <c r="F510" s="36" t="s">
        <v>31</v>
      </c>
      <c r="G510" s="38">
        <f>11000000</f>
        <v>11000000</v>
      </c>
      <c r="H510" s="36" t="s">
        <v>270</v>
      </c>
      <c r="L510" t="s">
        <v>723</v>
      </c>
      <c r="M510" s="26" t="s">
        <v>563</v>
      </c>
      <c r="N510" t="s">
        <v>396</v>
      </c>
      <c r="O510" t="s">
        <v>763</v>
      </c>
      <c r="P510" t="s">
        <v>742</v>
      </c>
      <c r="S510" s="48" t="s">
        <v>754</v>
      </c>
      <c r="T510" s="48" t="s">
        <v>1278</v>
      </c>
      <c r="U510" s="48" t="s">
        <v>604</v>
      </c>
      <c r="V510" s="48" t="s">
        <v>547</v>
      </c>
      <c r="W510" s="56" t="s">
        <v>482</v>
      </c>
      <c r="X510" s="48" t="s">
        <v>1271</v>
      </c>
    </row>
    <row r="511" spans="3:27" x14ac:dyDescent="0.25">
      <c r="C511" s="134" t="s">
        <v>139</v>
      </c>
      <c r="D511" s="36" t="s">
        <v>331</v>
      </c>
      <c r="E511" s="36" t="s">
        <v>340</v>
      </c>
      <c r="F511" s="36" t="s">
        <v>37</v>
      </c>
      <c r="G511" s="38" t="s">
        <v>334</v>
      </c>
      <c r="H511" s="36" t="s">
        <v>236</v>
      </c>
      <c r="L511" t="s">
        <v>179</v>
      </c>
      <c r="M511" s="26" t="s">
        <v>482</v>
      </c>
      <c r="N511" t="s">
        <v>762</v>
      </c>
      <c r="O511" t="s">
        <v>575</v>
      </c>
      <c r="P511" t="s">
        <v>742</v>
      </c>
      <c r="S511" s="45" t="s">
        <v>849</v>
      </c>
      <c r="T511" s="45" t="s">
        <v>1279</v>
      </c>
      <c r="U511" s="45" t="s">
        <v>515</v>
      </c>
      <c r="V511" s="45" t="s">
        <v>665</v>
      </c>
      <c r="W511" s="46" t="s">
        <v>461</v>
      </c>
      <c r="X511" s="45" t="s">
        <v>1271</v>
      </c>
    </row>
    <row r="512" spans="3:27" x14ac:dyDescent="0.25">
      <c r="C512" s="134" t="s">
        <v>301</v>
      </c>
      <c r="D512" s="36" t="s">
        <v>331</v>
      </c>
      <c r="E512" s="36" t="s">
        <v>387</v>
      </c>
      <c r="F512" s="36" t="s">
        <v>303</v>
      </c>
      <c r="G512" s="38">
        <f>35500000</f>
        <v>35500000</v>
      </c>
      <c r="H512" s="36" t="s">
        <v>1013</v>
      </c>
      <c r="L512" s="23" t="s">
        <v>179</v>
      </c>
      <c r="M512" s="57" t="s">
        <v>267</v>
      </c>
      <c r="N512" s="23" t="s">
        <v>604</v>
      </c>
      <c r="O512" s="23" t="s">
        <v>504</v>
      </c>
      <c r="P512" s="23" t="s">
        <v>742</v>
      </c>
      <c r="S512" s="106" t="s">
        <v>846</v>
      </c>
      <c r="T512" s="106" t="s">
        <v>1313</v>
      </c>
      <c r="U512" s="106" t="s">
        <v>254</v>
      </c>
      <c r="V512" s="106" t="s">
        <v>254</v>
      </c>
      <c r="W512" s="60" t="s">
        <v>254</v>
      </c>
      <c r="X512" s="106" t="s">
        <v>1284</v>
      </c>
      <c r="Y512" s="59"/>
      <c r="Z512" s="59"/>
      <c r="AA512" s="59"/>
    </row>
    <row r="513" spans="3:27" x14ac:dyDescent="0.25">
      <c r="C513" s="134" t="s">
        <v>301</v>
      </c>
      <c r="D513" s="36" t="s">
        <v>640</v>
      </c>
      <c r="E513" s="36" t="s">
        <v>331</v>
      </c>
      <c r="F513" s="36" t="s">
        <v>303</v>
      </c>
      <c r="G513" s="38" t="s">
        <v>363</v>
      </c>
      <c r="H513" s="36" t="s">
        <v>860</v>
      </c>
      <c r="L513" t="s">
        <v>98</v>
      </c>
      <c r="M513" s="26" t="s">
        <v>480</v>
      </c>
      <c r="N513" t="s">
        <v>468</v>
      </c>
      <c r="O513" t="s">
        <v>18</v>
      </c>
      <c r="P513" t="s">
        <v>770</v>
      </c>
      <c r="S513" s="48" t="s">
        <v>1187</v>
      </c>
      <c r="T513" s="48" t="s">
        <v>1314</v>
      </c>
      <c r="U513" s="48" t="s">
        <v>254</v>
      </c>
      <c r="V513" s="48" t="s">
        <v>254</v>
      </c>
      <c r="W513" s="48" t="s">
        <v>254</v>
      </c>
      <c r="X513" s="48" t="s">
        <v>1284</v>
      </c>
      <c r="Y513" s="59"/>
      <c r="Z513" s="59"/>
      <c r="AA513" s="59"/>
    </row>
    <row r="514" spans="3:27" x14ac:dyDescent="0.25">
      <c r="C514" s="134" t="s">
        <v>301</v>
      </c>
      <c r="D514" s="36" t="s">
        <v>331</v>
      </c>
      <c r="E514" s="36" t="s">
        <v>640</v>
      </c>
      <c r="F514" s="36" t="s">
        <v>303</v>
      </c>
      <c r="G514" s="38" t="s">
        <v>334</v>
      </c>
      <c r="H514" s="36" t="s">
        <v>742</v>
      </c>
      <c r="L514" t="s">
        <v>179</v>
      </c>
      <c r="M514" s="26" t="s">
        <v>472</v>
      </c>
      <c r="N514" t="s">
        <v>345</v>
      </c>
      <c r="O514" t="s">
        <v>793</v>
      </c>
      <c r="P514" t="s">
        <v>770</v>
      </c>
      <c r="S514" s="106" t="s">
        <v>849</v>
      </c>
      <c r="T514" s="48" t="s">
        <v>1315</v>
      </c>
      <c r="U514" s="48" t="s">
        <v>254</v>
      </c>
      <c r="V514" s="48" t="s">
        <v>254</v>
      </c>
      <c r="W514" s="56" t="s">
        <v>254</v>
      </c>
      <c r="X514" s="48" t="s">
        <v>1284</v>
      </c>
      <c r="Y514" s="59"/>
      <c r="Z514" s="59"/>
      <c r="AA514" s="59"/>
    </row>
    <row r="515" spans="3:27" x14ac:dyDescent="0.25">
      <c r="C515" s="134" t="s">
        <v>203</v>
      </c>
      <c r="D515" s="36" t="s">
        <v>644</v>
      </c>
      <c r="E515" s="36" t="s">
        <v>331</v>
      </c>
      <c r="F515" s="36" t="s">
        <v>107</v>
      </c>
      <c r="G515" s="38">
        <v>0</v>
      </c>
      <c r="H515" s="36" t="s">
        <v>551</v>
      </c>
      <c r="L515" t="s">
        <v>179</v>
      </c>
      <c r="M515" s="26" t="s">
        <v>563</v>
      </c>
      <c r="N515" t="s">
        <v>578</v>
      </c>
      <c r="O515" t="s">
        <v>792</v>
      </c>
      <c r="P515" t="s">
        <v>770</v>
      </c>
      <c r="S515" s="48" t="s">
        <v>1269</v>
      </c>
      <c r="T515" s="48" t="s">
        <v>1316</v>
      </c>
      <c r="U515" s="48" t="s">
        <v>254</v>
      </c>
      <c r="V515" s="48" t="s">
        <v>254</v>
      </c>
      <c r="W515" s="56" t="s">
        <v>254</v>
      </c>
      <c r="X515" s="48" t="s">
        <v>1284</v>
      </c>
      <c r="Y515" s="59"/>
      <c r="Z515" s="59"/>
      <c r="AA515" s="59"/>
    </row>
    <row r="516" spans="3:27" x14ac:dyDescent="0.25">
      <c r="C516" s="134" t="s">
        <v>203</v>
      </c>
      <c r="D516" s="36" t="s">
        <v>331</v>
      </c>
      <c r="E516" s="36" t="s">
        <v>525</v>
      </c>
      <c r="F516" s="36" t="s">
        <v>107</v>
      </c>
      <c r="G516" s="38">
        <f>3900000</f>
        <v>3900000</v>
      </c>
      <c r="H516" s="36" t="s">
        <v>268</v>
      </c>
      <c r="L516" t="s">
        <v>179</v>
      </c>
      <c r="M516" s="26" t="s">
        <v>480</v>
      </c>
      <c r="N516" t="s">
        <v>525</v>
      </c>
      <c r="O516" t="s">
        <v>791</v>
      </c>
      <c r="P516" t="s">
        <v>770</v>
      </c>
      <c r="S516" s="59" t="s">
        <v>1156</v>
      </c>
      <c r="T516" s="59" t="s">
        <v>1317</v>
      </c>
      <c r="U516" s="59" t="s">
        <v>254</v>
      </c>
      <c r="V516" s="59" t="s">
        <v>254</v>
      </c>
      <c r="W516" s="60" t="s">
        <v>254</v>
      </c>
      <c r="X516" s="59" t="s">
        <v>1284</v>
      </c>
      <c r="Y516" s="59"/>
      <c r="Z516" s="59"/>
      <c r="AA516" s="59"/>
    </row>
    <row r="517" spans="3:27" x14ac:dyDescent="0.25">
      <c r="C517" s="35" t="s">
        <v>1290</v>
      </c>
      <c r="D517" s="36" t="s">
        <v>1291</v>
      </c>
      <c r="E517" s="36" t="s">
        <v>331</v>
      </c>
      <c r="F517" s="36" t="s">
        <v>103</v>
      </c>
      <c r="G517" s="38">
        <f>-3000000</f>
        <v>-3000000</v>
      </c>
      <c r="H517" s="36" t="s">
        <v>1284</v>
      </c>
      <c r="L517" t="s">
        <v>179</v>
      </c>
      <c r="M517" s="26" t="s">
        <v>489</v>
      </c>
      <c r="N517" t="s">
        <v>552</v>
      </c>
      <c r="O517" t="s">
        <v>790</v>
      </c>
      <c r="P517" t="s">
        <v>770</v>
      </c>
      <c r="S517" s="48" t="s">
        <v>1185</v>
      </c>
      <c r="T517" s="48" t="s">
        <v>1318</v>
      </c>
      <c r="U517" s="48" t="s">
        <v>254</v>
      </c>
      <c r="V517" s="48" t="s">
        <v>254</v>
      </c>
      <c r="W517" s="56" t="s">
        <v>254</v>
      </c>
      <c r="X517" s="48" t="s">
        <v>1284</v>
      </c>
      <c r="Y517" s="59"/>
      <c r="Z517" s="59"/>
      <c r="AA517" s="59"/>
    </row>
    <row r="518" spans="3:27" x14ac:dyDescent="0.25">
      <c r="C518" s="35" t="s">
        <v>1290</v>
      </c>
      <c r="D518" s="36" t="s">
        <v>331</v>
      </c>
      <c r="E518" s="36" t="s">
        <v>809</v>
      </c>
      <c r="F518" s="36" t="s">
        <v>103</v>
      </c>
      <c r="G518" s="38">
        <f>17000000</f>
        <v>17000000</v>
      </c>
      <c r="H518" s="36" t="s">
        <v>1415</v>
      </c>
      <c r="L518" t="s">
        <v>106</v>
      </c>
      <c r="M518" s="26" t="s">
        <v>472</v>
      </c>
      <c r="N518" t="s">
        <v>308</v>
      </c>
      <c r="O518" t="s">
        <v>789</v>
      </c>
      <c r="P518" t="s">
        <v>770</v>
      </c>
      <c r="S518" s="59" t="s">
        <v>213</v>
      </c>
      <c r="T518" s="59" t="s">
        <v>1319</v>
      </c>
      <c r="U518" s="59" t="s">
        <v>254</v>
      </c>
      <c r="V518" s="59" t="s">
        <v>254</v>
      </c>
      <c r="W518" s="60" t="s">
        <v>254</v>
      </c>
      <c r="X518" s="59" t="s">
        <v>1284</v>
      </c>
      <c r="Y518" s="59"/>
      <c r="Z518" s="59"/>
      <c r="AA518" s="59"/>
    </row>
    <row r="519" spans="3:27" x14ac:dyDescent="0.25">
      <c r="C519" s="134" t="s">
        <v>420</v>
      </c>
      <c r="D519" s="36" t="s">
        <v>331</v>
      </c>
      <c r="E519" s="36" t="s">
        <v>421</v>
      </c>
      <c r="F519" s="36" t="s">
        <v>27</v>
      </c>
      <c r="G519" s="38">
        <f>30000000</f>
        <v>30000000</v>
      </c>
      <c r="H519" s="36" t="s">
        <v>270</v>
      </c>
      <c r="L519" t="s">
        <v>179</v>
      </c>
      <c r="M519" s="26" t="s">
        <v>480</v>
      </c>
      <c r="N519" t="s">
        <v>604</v>
      </c>
      <c r="O519" t="s">
        <v>788</v>
      </c>
      <c r="P519" t="s">
        <v>770</v>
      </c>
      <c r="S519" s="59" t="s">
        <v>754</v>
      </c>
      <c r="T519" s="59" t="s">
        <v>1320</v>
      </c>
      <c r="U519" s="59" t="s">
        <v>254</v>
      </c>
      <c r="V519" s="59" t="s">
        <v>254</v>
      </c>
      <c r="W519" s="60" t="s">
        <v>254</v>
      </c>
      <c r="X519" s="59" t="s">
        <v>1284</v>
      </c>
      <c r="Y519" s="59"/>
      <c r="Z519" s="59"/>
      <c r="AA519" s="59"/>
    </row>
    <row r="520" spans="3:27" x14ac:dyDescent="0.25">
      <c r="C520" s="134" t="s">
        <v>751</v>
      </c>
      <c r="D520" s="36" t="s">
        <v>774</v>
      </c>
      <c r="E520" s="36" t="s">
        <v>331</v>
      </c>
      <c r="F520" s="36" t="s">
        <v>303</v>
      </c>
      <c r="G520" s="38">
        <f>-8000000</f>
        <v>-8000000</v>
      </c>
      <c r="H520" s="36" t="s">
        <v>800</v>
      </c>
      <c r="L520" t="s">
        <v>179</v>
      </c>
      <c r="M520" s="26" t="s">
        <v>472</v>
      </c>
      <c r="N520" t="s">
        <v>536</v>
      </c>
      <c r="O520" t="s">
        <v>787</v>
      </c>
      <c r="P520" t="s">
        <v>770</v>
      </c>
      <c r="S520" s="59" t="s">
        <v>1189</v>
      </c>
      <c r="T520" s="59" t="s">
        <v>1321</v>
      </c>
      <c r="U520" s="59" t="s">
        <v>254</v>
      </c>
      <c r="V520" s="59" t="s">
        <v>254</v>
      </c>
      <c r="W520" s="60" t="s">
        <v>254</v>
      </c>
      <c r="X520" s="59" t="s">
        <v>1284</v>
      </c>
      <c r="Y520" s="59"/>
      <c r="Z520" s="59"/>
      <c r="AA520" s="59"/>
    </row>
    <row r="521" spans="3:27" x14ac:dyDescent="0.25">
      <c r="C521" s="134" t="s">
        <v>751</v>
      </c>
      <c r="D521" s="36" t="s">
        <v>331</v>
      </c>
      <c r="E521" s="36" t="s">
        <v>774</v>
      </c>
      <c r="F521" s="36" t="s">
        <v>303</v>
      </c>
      <c r="G521" s="38">
        <f>80000</f>
        <v>80000</v>
      </c>
      <c r="H521" s="36" t="s">
        <v>770</v>
      </c>
      <c r="L521" t="s">
        <v>179</v>
      </c>
      <c r="M521" s="26" t="s">
        <v>503</v>
      </c>
      <c r="N521" t="s">
        <v>604</v>
      </c>
      <c r="O521" t="s">
        <v>786</v>
      </c>
      <c r="P521" t="s">
        <v>770</v>
      </c>
      <c r="S521" s="45" t="s">
        <v>1156</v>
      </c>
      <c r="T521" s="45" t="s">
        <v>1322</v>
      </c>
      <c r="U521" s="45" t="s">
        <v>399</v>
      </c>
      <c r="V521" s="45" t="s">
        <v>665</v>
      </c>
      <c r="W521" s="46" t="s">
        <v>508</v>
      </c>
      <c r="X521" s="45" t="s">
        <v>1284</v>
      </c>
      <c r="Y521" s="59"/>
      <c r="Z521" s="59"/>
      <c r="AA521" s="59"/>
    </row>
    <row r="522" spans="3:27" x14ac:dyDescent="0.25">
      <c r="C522" s="134" t="s">
        <v>751</v>
      </c>
      <c r="D522" s="36" t="s">
        <v>331</v>
      </c>
      <c r="E522" s="36" t="s">
        <v>417</v>
      </c>
      <c r="F522" s="36" t="s">
        <v>303</v>
      </c>
      <c r="G522" s="38">
        <f>22000000</f>
        <v>22000000</v>
      </c>
      <c r="H522" s="36" t="s">
        <v>1240</v>
      </c>
      <c r="L522" s="72" t="s">
        <v>754</v>
      </c>
      <c r="M522" s="26" t="s">
        <v>472</v>
      </c>
      <c r="N522" t="s">
        <v>636</v>
      </c>
      <c r="O522" t="s">
        <v>591</v>
      </c>
      <c r="P522" t="s">
        <v>770</v>
      </c>
      <c r="S522" s="59" t="s">
        <v>846</v>
      </c>
      <c r="T522" s="59" t="s">
        <v>1327</v>
      </c>
      <c r="U522" s="59" t="s">
        <v>254</v>
      </c>
      <c r="V522" s="59" t="s">
        <v>254</v>
      </c>
      <c r="W522" s="60" t="s">
        <v>254</v>
      </c>
      <c r="X522" s="59" t="s">
        <v>1323</v>
      </c>
      <c r="Y522" s="59"/>
      <c r="Z522" s="59"/>
      <c r="AA522" s="59"/>
    </row>
    <row r="523" spans="3:27" x14ac:dyDescent="0.25">
      <c r="C523" s="134" t="s">
        <v>814</v>
      </c>
      <c r="D523" s="36" t="s">
        <v>815</v>
      </c>
      <c r="E523" s="36" t="s">
        <v>331</v>
      </c>
      <c r="F523" s="36" t="s">
        <v>61</v>
      </c>
      <c r="G523" s="38">
        <f>-15000000</f>
        <v>-15000000</v>
      </c>
      <c r="H523" s="36" t="s">
        <v>800</v>
      </c>
      <c r="L523" t="s">
        <v>179</v>
      </c>
      <c r="M523" s="26" t="s">
        <v>472</v>
      </c>
      <c r="N523" t="s">
        <v>705</v>
      </c>
      <c r="O523" t="s">
        <v>785</v>
      </c>
      <c r="P523" t="s">
        <v>770</v>
      </c>
      <c r="S523" s="59" t="s">
        <v>1237</v>
      </c>
      <c r="T523" s="59" t="s">
        <v>1328</v>
      </c>
      <c r="U523" s="59" t="s">
        <v>254</v>
      </c>
      <c r="V523" s="59" t="s">
        <v>254</v>
      </c>
      <c r="W523" s="60" t="s">
        <v>254</v>
      </c>
      <c r="X523" s="59" t="s">
        <v>1323</v>
      </c>
      <c r="Y523" s="59"/>
      <c r="Z523" s="59"/>
      <c r="AA523" s="59"/>
    </row>
    <row r="524" spans="3:27" x14ac:dyDescent="0.25">
      <c r="C524" s="134" t="s">
        <v>814</v>
      </c>
      <c r="D524" s="36" t="s">
        <v>331</v>
      </c>
      <c r="E524" s="36" t="s">
        <v>254</v>
      </c>
      <c r="F524" s="36" t="s">
        <v>61</v>
      </c>
      <c r="G524" s="38" t="s">
        <v>363</v>
      </c>
      <c r="H524" s="36" t="s">
        <v>1180</v>
      </c>
      <c r="L524" t="s">
        <v>179</v>
      </c>
      <c r="M524" s="26" t="s">
        <v>489</v>
      </c>
      <c r="N524" t="s">
        <v>521</v>
      </c>
      <c r="O524" t="s">
        <v>784</v>
      </c>
      <c r="P524" t="s">
        <v>770</v>
      </c>
      <c r="S524" s="59" t="s">
        <v>1187</v>
      </c>
      <c r="T524" s="59" t="s">
        <v>1001</v>
      </c>
      <c r="U524" s="59" t="s">
        <v>254</v>
      </c>
      <c r="V524" s="59" t="s">
        <v>254</v>
      </c>
      <c r="W524" s="60" t="s">
        <v>254</v>
      </c>
      <c r="X524" s="59" t="s">
        <v>1323</v>
      </c>
      <c r="Y524" s="59"/>
      <c r="Z524" s="59"/>
      <c r="AA524" s="59"/>
    </row>
    <row r="525" spans="3:27" x14ac:dyDescent="0.25">
      <c r="C525" s="35" t="s">
        <v>1365</v>
      </c>
      <c r="D525" s="36" t="s">
        <v>331</v>
      </c>
      <c r="E525" s="36" t="s">
        <v>471</v>
      </c>
      <c r="F525" s="36" t="s">
        <v>44</v>
      </c>
      <c r="G525" s="38">
        <f>3200000</f>
        <v>3200000</v>
      </c>
      <c r="H525" s="36" t="s">
        <v>1467</v>
      </c>
      <c r="L525" t="s">
        <v>179</v>
      </c>
      <c r="M525" s="26" t="s">
        <v>472</v>
      </c>
      <c r="N525" t="s">
        <v>345</v>
      </c>
      <c r="O525" t="s">
        <v>783</v>
      </c>
      <c r="P525" t="s">
        <v>770</v>
      </c>
      <c r="S525" s="59" t="s">
        <v>1185</v>
      </c>
      <c r="T525" s="59" t="s">
        <v>1329</v>
      </c>
      <c r="U525" s="59" t="s">
        <v>254</v>
      </c>
      <c r="V525" s="59" t="s">
        <v>254</v>
      </c>
      <c r="W525" s="60" t="s">
        <v>254</v>
      </c>
      <c r="X525" s="59" t="s">
        <v>1323</v>
      </c>
      <c r="Y525" s="59"/>
      <c r="Z525" s="59"/>
      <c r="AA525" s="59"/>
    </row>
    <row r="526" spans="3:27" x14ac:dyDescent="0.25">
      <c r="C526" s="35" t="s">
        <v>1367</v>
      </c>
      <c r="D526" s="36" t="s">
        <v>331</v>
      </c>
      <c r="E526" s="36" t="s">
        <v>408</v>
      </c>
      <c r="F526" s="36" t="s">
        <v>31</v>
      </c>
      <c r="G526" s="38">
        <f>2000000</f>
        <v>2000000</v>
      </c>
      <c r="H526" s="36" t="s">
        <v>1415</v>
      </c>
      <c r="L526" s="23" t="s">
        <v>213</v>
      </c>
      <c r="M526" s="57" t="s">
        <v>480</v>
      </c>
      <c r="N526" s="23" t="s">
        <v>762</v>
      </c>
      <c r="O526" s="23" t="s">
        <v>782</v>
      </c>
      <c r="P526" s="23" t="s">
        <v>770</v>
      </c>
      <c r="S526" s="59" t="s">
        <v>754</v>
      </c>
      <c r="T526" s="59" t="s">
        <v>1330</v>
      </c>
      <c r="U526" s="59" t="s">
        <v>254</v>
      </c>
      <c r="V526" s="59" t="s">
        <v>254</v>
      </c>
      <c r="W526" s="60" t="s">
        <v>254</v>
      </c>
      <c r="X526" s="59" t="s">
        <v>1323</v>
      </c>
      <c r="Y526" s="59"/>
      <c r="Z526" s="59"/>
      <c r="AA526" s="59"/>
    </row>
    <row r="527" spans="3:27" x14ac:dyDescent="0.25">
      <c r="C527" s="134" t="s">
        <v>174</v>
      </c>
      <c r="D527" s="36" t="s">
        <v>331</v>
      </c>
      <c r="E527" s="36" t="s">
        <v>636</v>
      </c>
      <c r="F527" s="36" t="s">
        <v>44</v>
      </c>
      <c r="G527" s="38">
        <f>70000</f>
        <v>70000</v>
      </c>
      <c r="H527" s="36" t="s">
        <v>268</v>
      </c>
      <c r="L527" t="s">
        <v>179</v>
      </c>
      <c r="M527" s="26" t="s">
        <v>508</v>
      </c>
      <c r="N527" t="s">
        <v>350</v>
      </c>
      <c r="O527" t="s">
        <v>19</v>
      </c>
      <c r="P527" t="s">
        <v>796</v>
      </c>
      <c r="S527" s="59" t="s">
        <v>1189</v>
      </c>
      <c r="T527" s="59" t="s">
        <v>1331</v>
      </c>
      <c r="U527" s="59" t="s">
        <v>254</v>
      </c>
      <c r="V527" s="59" t="s">
        <v>254</v>
      </c>
      <c r="W527" s="60" t="s">
        <v>254</v>
      </c>
      <c r="X527" s="59" t="s">
        <v>1323</v>
      </c>
      <c r="Y527" s="59"/>
      <c r="Z527" s="59"/>
      <c r="AA527" s="59"/>
    </row>
    <row r="528" spans="3:27" x14ac:dyDescent="0.25">
      <c r="C528" s="134" t="s">
        <v>51</v>
      </c>
      <c r="D528" s="36" t="s">
        <v>331</v>
      </c>
      <c r="E528" s="36" t="s">
        <v>254</v>
      </c>
      <c r="F528" s="36" t="s">
        <v>44</v>
      </c>
      <c r="G528" s="38" t="s">
        <v>358</v>
      </c>
      <c r="H528" s="36" t="s">
        <v>800</v>
      </c>
      <c r="L528" t="s">
        <v>179</v>
      </c>
      <c r="M528" s="26" t="s">
        <v>511</v>
      </c>
      <c r="N528" t="s">
        <v>490</v>
      </c>
      <c r="O528" t="s">
        <v>586</v>
      </c>
      <c r="P528" t="s">
        <v>796</v>
      </c>
      <c r="S528" s="59" t="s">
        <v>213</v>
      </c>
      <c r="T528" s="59" t="s">
        <v>1332</v>
      </c>
      <c r="U528" s="59" t="s">
        <v>254</v>
      </c>
      <c r="V528" s="59" t="s">
        <v>254</v>
      </c>
      <c r="W528" s="60" t="s">
        <v>254</v>
      </c>
      <c r="X528" s="59" t="s">
        <v>1323</v>
      </c>
      <c r="Y528" s="59"/>
      <c r="Z528" s="59"/>
      <c r="AA528" s="59"/>
    </row>
    <row r="529" spans="3:27" x14ac:dyDescent="0.25">
      <c r="C529" s="134" t="s">
        <v>54</v>
      </c>
      <c r="D529" s="36" t="s">
        <v>431</v>
      </c>
      <c r="E529" s="36" t="s">
        <v>331</v>
      </c>
      <c r="F529" s="36" t="s">
        <v>29</v>
      </c>
      <c r="G529" s="38">
        <f>-34000000</f>
        <v>-34000000</v>
      </c>
      <c r="H529" s="36" t="s">
        <v>347</v>
      </c>
      <c r="L529" t="s">
        <v>179</v>
      </c>
      <c r="M529" s="26" t="s">
        <v>503</v>
      </c>
      <c r="N529" t="s">
        <v>528</v>
      </c>
      <c r="O529" t="s">
        <v>557</v>
      </c>
      <c r="P529" t="s">
        <v>796</v>
      </c>
      <c r="S529" s="48" t="s">
        <v>1238</v>
      </c>
      <c r="T529" s="48" t="s">
        <v>1333</v>
      </c>
      <c r="U529" s="48" t="s">
        <v>367</v>
      </c>
      <c r="V529" s="48" t="s">
        <v>1334</v>
      </c>
      <c r="W529" s="56" t="s">
        <v>542</v>
      </c>
      <c r="X529" s="48" t="s">
        <v>1323</v>
      </c>
      <c r="Y529" s="59"/>
      <c r="Z529" s="59"/>
      <c r="AA529" s="59"/>
    </row>
    <row r="530" spans="3:27" x14ac:dyDescent="0.25">
      <c r="C530" s="134" t="s">
        <v>54</v>
      </c>
      <c r="D530" s="36" t="s">
        <v>331</v>
      </c>
      <c r="E530" s="36" t="s">
        <v>515</v>
      </c>
      <c r="F530" s="36" t="s">
        <v>29</v>
      </c>
      <c r="G530" s="38">
        <f>40000000</f>
        <v>40000000</v>
      </c>
      <c r="H530" s="36" t="s">
        <v>742</v>
      </c>
      <c r="L530" t="s">
        <v>179</v>
      </c>
      <c r="M530" s="26" t="s">
        <v>582</v>
      </c>
      <c r="N530" t="s">
        <v>762</v>
      </c>
      <c r="O530" t="s">
        <v>559</v>
      </c>
      <c r="P530" t="s">
        <v>796</v>
      </c>
      <c r="S530" s="48" t="s">
        <v>1326</v>
      </c>
      <c r="T530" s="48" t="s">
        <v>1335</v>
      </c>
      <c r="U530" s="48" t="s">
        <v>590</v>
      </c>
      <c r="V530" s="48" t="s">
        <v>591</v>
      </c>
      <c r="W530" s="56" t="s">
        <v>480</v>
      </c>
      <c r="X530" s="48" t="s">
        <v>1323</v>
      </c>
      <c r="Y530" s="59"/>
      <c r="Z530" s="59"/>
      <c r="AA530" s="59"/>
    </row>
    <row r="531" spans="3:27" x14ac:dyDescent="0.25">
      <c r="C531" s="35" t="s">
        <v>1214</v>
      </c>
      <c r="D531" s="36" t="s">
        <v>331</v>
      </c>
      <c r="E531" s="36" t="s">
        <v>377</v>
      </c>
      <c r="F531" s="36" t="s">
        <v>773</v>
      </c>
      <c r="G531" s="38">
        <v>45000000</v>
      </c>
      <c r="H531" s="36" t="s">
        <v>1443</v>
      </c>
      <c r="L531" t="s">
        <v>179</v>
      </c>
      <c r="M531" s="26" t="s">
        <v>807</v>
      </c>
      <c r="N531" t="s">
        <v>377</v>
      </c>
      <c r="O531" t="s">
        <v>808</v>
      </c>
      <c r="P531" t="s">
        <v>796</v>
      </c>
      <c r="S531" s="45" t="s">
        <v>1189</v>
      </c>
      <c r="T531" s="45" t="s">
        <v>1336</v>
      </c>
      <c r="U531" s="45" t="s">
        <v>377</v>
      </c>
      <c r="V531" s="45" t="s">
        <v>665</v>
      </c>
      <c r="W531" s="46" t="s">
        <v>461</v>
      </c>
      <c r="X531" s="45" t="s">
        <v>1323</v>
      </c>
      <c r="Y531" s="59"/>
      <c r="Z531" s="59"/>
      <c r="AA531" s="59"/>
    </row>
    <row r="532" spans="3:27" x14ac:dyDescent="0.25">
      <c r="C532" s="35" t="s">
        <v>1269</v>
      </c>
      <c r="D532" s="36" t="s">
        <v>1079</v>
      </c>
      <c r="E532" s="36" t="s">
        <v>331</v>
      </c>
      <c r="F532" s="36" t="s">
        <v>1270</v>
      </c>
      <c r="G532" s="38">
        <f>-5500000</f>
        <v>-5500000</v>
      </c>
      <c r="H532" s="36" t="s">
        <v>1271</v>
      </c>
      <c r="L532" t="s">
        <v>179</v>
      </c>
      <c r="M532" s="26" t="s">
        <v>472</v>
      </c>
      <c r="N532" t="s">
        <v>441</v>
      </c>
      <c r="O532" t="s">
        <v>763</v>
      </c>
      <c r="P532" t="s">
        <v>796</v>
      </c>
      <c r="S532" s="59" t="s">
        <v>846</v>
      </c>
      <c r="T532" s="59" t="s">
        <v>1352</v>
      </c>
      <c r="U532" s="59" t="s">
        <v>254</v>
      </c>
      <c r="V532" s="59" t="s">
        <v>254</v>
      </c>
      <c r="W532" s="60" t="s">
        <v>254</v>
      </c>
      <c r="X532" s="59" t="s">
        <v>1349</v>
      </c>
      <c r="Y532" s="59"/>
      <c r="Z532" s="59"/>
      <c r="AA532" s="59"/>
    </row>
    <row r="533" spans="3:27" x14ac:dyDescent="0.25">
      <c r="C533" s="35" t="s">
        <v>1269</v>
      </c>
      <c r="D533" s="36" t="s">
        <v>331</v>
      </c>
      <c r="E533" s="36" t="s">
        <v>499</v>
      </c>
      <c r="F533" s="36" t="s">
        <v>1270</v>
      </c>
      <c r="G533" s="38">
        <f>27500000</f>
        <v>27500000</v>
      </c>
      <c r="H533" s="36" t="s">
        <v>1467</v>
      </c>
      <c r="L533" s="23" t="s">
        <v>106</v>
      </c>
      <c r="M533" s="57" t="s">
        <v>582</v>
      </c>
      <c r="N533" s="23" t="s">
        <v>536</v>
      </c>
      <c r="O533" s="23" t="s">
        <v>504</v>
      </c>
      <c r="P533" s="23" t="s">
        <v>796</v>
      </c>
      <c r="S533" s="59" t="s">
        <v>1237</v>
      </c>
      <c r="T533" s="59" t="s">
        <v>1353</v>
      </c>
      <c r="U533" s="59" t="s">
        <v>254</v>
      </c>
      <c r="V533" s="59" t="s">
        <v>254</v>
      </c>
      <c r="W533" s="60" t="s">
        <v>254</v>
      </c>
      <c r="X533" s="59" t="s">
        <v>1349</v>
      </c>
      <c r="Y533" s="59"/>
      <c r="Z533" s="59"/>
      <c r="AA533" s="59"/>
    </row>
    <row r="534" spans="3:27" x14ac:dyDescent="0.25">
      <c r="C534" s="134" t="s">
        <v>160</v>
      </c>
      <c r="D534" s="36" t="s">
        <v>331</v>
      </c>
      <c r="E534" s="36" t="s">
        <v>634</v>
      </c>
      <c r="F534" s="36" t="s">
        <v>31</v>
      </c>
      <c r="G534" s="38">
        <f>90000</f>
        <v>90000</v>
      </c>
      <c r="H534" s="36" t="s">
        <v>551</v>
      </c>
      <c r="L534" t="s">
        <v>179</v>
      </c>
      <c r="M534" s="26" t="s">
        <v>520</v>
      </c>
      <c r="N534" t="s">
        <v>367</v>
      </c>
      <c r="O534" t="s">
        <v>586</v>
      </c>
      <c r="P534" t="s">
        <v>800</v>
      </c>
      <c r="S534" s="59" t="s">
        <v>1216</v>
      </c>
      <c r="T534" s="59" t="s">
        <v>1354</v>
      </c>
      <c r="U534" s="59" t="s">
        <v>254</v>
      </c>
      <c r="V534" s="59" t="s">
        <v>254</v>
      </c>
      <c r="W534" s="60" t="s">
        <v>254</v>
      </c>
      <c r="X534" s="59" t="s">
        <v>1349</v>
      </c>
      <c r="Y534" s="59"/>
      <c r="Z534" s="59"/>
      <c r="AA534" s="59"/>
    </row>
    <row r="535" spans="3:27" x14ac:dyDescent="0.25">
      <c r="C535" s="134" t="s">
        <v>142</v>
      </c>
      <c r="D535" s="36" t="s">
        <v>331</v>
      </c>
      <c r="E535" s="36" t="s">
        <v>380</v>
      </c>
      <c r="F535" s="36" t="s">
        <v>31</v>
      </c>
      <c r="G535" s="38">
        <f>29500000</f>
        <v>29500000</v>
      </c>
      <c r="H535" s="36" t="s">
        <v>1240</v>
      </c>
      <c r="L535" t="s">
        <v>179</v>
      </c>
      <c r="M535" s="26" t="s">
        <v>542</v>
      </c>
      <c r="N535" t="s">
        <v>490</v>
      </c>
      <c r="O535" t="s">
        <v>647</v>
      </c>
      <c r="P535" t="s">
        <v>800</v>
      </c>
      <c r="S535" s="59" t="s">
        <v>1269</v>
      </c>
      <c r="T535" s="59" t="s">
        <v>1355</v>
      </c>
      <c r="U535" s="59" t="s">
        <v>254</v>
      </c>
      <c r="V535" s="59" t="s">
        <v>254</v>
      </c>
      <c r="W535" s="60" t="s">
        <v>254</v>
      </c>
      <c r="X535" s="59" t="s">
        <v>1349</v>
      </c>
      <c r="Y535" s="59"/>
      <c r="Z535" s="59"/>
      <c r="AA535" s="59"/>
    </row>
    <row r="536" spans="3:27" x14ac:dyDescent="0.25">
      <c r="C536" s="134" t="s">
        <v>161</v>
      </c>
      <c r="D536" s="36" t="s">
        <v>331</v>
      </c>
      <c r="E536" s="36" t="s">
        <v>362</v>
      </c>
      <c r="F536" s="36" t="s">
        <v>31</v>
      </c>
      <c r="G536" s="38">
        <f>725000</f>
        <v>725000</v>
      </c>
      <c r="H536" s="36" t="s">
        <v>232</v>
      </c>
      <c r="L536" t="s">
        <v>179</v>
      </c>
      <c r="M536" s="26" t="s">
        <v>542</v>
      </c>
      <c r="N536" t="s">
        <v>614</v>
      </c>
      <c r="O536" t="s">
        <v>682</v>
      </c>
      <c r="P536" t="s">
        <v>800</v>
      </c>
      <c r="S536" s="59" t="s">
        <v>1156</v>
      </c>
      <c r="T536" s="59" t="s">
        <v>1356</v>
      </c>
      <c r="U536" s="59" t="s">
        <v>254</v>
      </c>
      <c r="V536" s="59" t="s">
        <v>254</v>
      </c>
      <c r="W536" s="60" t="s">
        <v>254</v>
      </c>
      <c r="X536" s="59" t="s">
        <v>1349</v>
      </c>
      <c r="Y536" s="59"/>
      <c r="Z536" s="59"/>
      <c r="AA536" s="59"/>
    </row>
    <row r="537" spans="3:27" x14ac:dyDescent="0.25">
      <c r="C537" s="134" t="s">
        <v>133</v>
      </c>
      <c r="D537" s="36" t="s">
        <v>331</v>
      </c>
      <c r="E537" s="36" t="s">
        <v>603</v>
      </c>
      <c r="F537" s="36" t="s">
        <v>31</v>
      </c>
      <c r="G537" s="38">
        <f>110000</f>
        <v>110000</v>
      </c>
      <c r="H537" s="36" t="s">
        <v>364</v>
      </c>
      <c r="L537" t="s">
        <v>179</v>
      </c>
      <c r="M537" s="26" t="s">
        <v>582</v>
      </c>
      <c r="N537" t="s">
        <v>464</v>
      </c>
      <c r="O537" t="s">
        <v>517</v>
      </c>
      <c r="P537" t="s">
        <v>800</v>
      </c>
      <c r="S537" s="59" t="s">
        <v>1185</v>
      </c>
      <c r="T537" s="59" t="s">
        <v>1357</v>
      </c>
      <c r="U537" s="59" t="s">
        <v>254</v>
      </c>
      <c r="V537" s="59" t="s">
        <v>254</v>
      </c>
      <c r="W537" s="60" t="s">
        <v>254</v>
      </c>
      <c r="X537" s="59" t="s">
        <v>1349</v>
      </c>
      <c r="Y537" s="59"/>
      <c r="Z537" s="59"/>
      <c r="AA537" s="59"/>
    </row>
    <row r="538" spans="3:27" x14ac:dyDescent="0.25">
      <c r="C538" s="134" t="s">
        <v>743</v>
      </c>
      <c r="D538" s="36" t="s">
        <v>744</v>
      </c>
      <c r="E538" s="36" t="s">
        <v>331</v>
      </c>
      <c r="F538" s="36" t="s">
        <v>66</v>
      </c>
      <c r="G538" s="38">
        <f>-1400000</f>
        <v>-1400000</v>
      </c>
      <c r="H538" s="36" t="s">
        <v>742</v>
      </c>
      <c r="L538" t="s">
        <v>179</v>
      </c>
      <c r="M538" s="26" t="s">
        <v>472</v>
      </c>
      <c r="N538" t="s">
        <v>468</v>
      </c>
      <c r="O538" t="s">
        <v>687</v>
      </c>
      <c r="P538" t="s">
        <v>800</v>
      </c>
      <c r="S538" s="59" t="s">
        <v>754</v>
      </c>
      <c r="T538" s="59" t="s">
        <v>1358</v>
      </c>
      <c r="U538" s="59" t="s">
        <v>254</v>
      </c>
      <c r="V538" s="59" t="s">
        <v>254</v>
      </c>
      <c r="W538" s="60" t="s">
        <v>254</v>
      </c>
      <c r="X538" s="59" t="s">
        <v>1349</v>
      </c>
      <c r="Y538" s="59"/>
      <c r="Z538" s="59"/>
      <c r="AA538" s="59"/>
    </row>
    <row r="539" spans="3:27" x14ac:dyDescent="0.25">
      <c r="C539" s="134" t="s">
        <v>743</v>
      </c>
      <c r="D539" s="36" t="s">
        <v>331</v>
      </c>
      <c r="E539" s="36" t="s">
        <v>427</v>
      </c>
      <c r="F539" s="36" t="s">
        <v>66</v>
      </c>
      <c r="G539" s="38" t="s">
        <v>334</v>
      </c>
      <c r="H539" s="36" t="s">
        <v>845</v>
      </c>
      <c r="L539" t="s">
        <v>213</v>
      </c>
      <c r="M539" s="26" t="s">
        <v>724</v>
      </c>
      <c r="N539" t="s">
        <v>490</v>
      </c>
      <c r="O539" t="s">
        <v>547</v>
      </c>
      <c r="P539" t="s">
        <v>800</v>
      </c>
      <c r="S539" s="59" t="s">
        <v>1189</v>
      </c>
      <c r="T539" s="59" t="s">
        <v>1359</v>
      </c>
      <c r="U539" s="59" t="s">
        <v>254</v>
      </c>
      <c r="V539" s="59" t="s">
        <v>254</v>
      </c>
      <c r="W539" s="60" t="s">
        <v>254</v>
      </c>
      <c r="X539" s="59" t="s">
        <v>1349</v>
      </c>
      <c r="Y539" s="59"/>
      <c r="Z539" s="59"/>
      <c r="AA539" s="59"/>
    </row>
    <row r="540" spans="3:27" x14ac:dyDescent="0.25">
      <c r="C540" s="35" t="s">
        <v>1449</v>
      </c>
      <c r="D540" s="36" t="s">
        <v>417</v>
      </c>
      <c r="E540" s="36" t="s">
        <v>331</v>
      </c>
      <c r="F540" s="36" t="s">
        <v>66</v>
      </c>
      <c r="G540" s="38">
        <f>-10500000</f>
        <v>-10500000</v>
      </c>
      <c r="H540" s="36" t="s">
        <v>1436</v>
      </c>
      <c r="L540" t="s">
        <v>213</v>
      </c>
      <c r="M540" s="26" t="s">
        <v>454</v>
      </c>
      <c r="N540" t="s">
        <v>762</v>
      </c>
      <c r="O540" t="s">
        <v>700</v>
      </c>
      <c r="P540" t="s">
        <v>800</v>
      </c>
      <c r="S540" s="59" t="s">
        <v>213</v>
      </c>
      <c r="T540" s="59" t="s">
        <v>1360</v>
      </c>
      <c r="U540" s="59" t="s">
        <v>254</v>
      </c>
      <c r="V540" s="59" t="s">
        <v>254</v>
      </c>
      <c r="W540" s="60" t="s">
        <v>254</v>
      </c>
      <c r="X540" s="59" t="s">
        <v>1349</v>
      </c>
      <c r="Y540" s="59"/>
      <c r="Z540" s="59"/>
      <c r="AA540" s="59"/>
    </row>
    <row r="541" spans="3:27" x14ac:dyDescent="0.25">
      <c r="C541" s="35" t="s">
        <v>1449</v>
      </c>
      <c r="D541" s="36" t="s">
        <v>331</v>
      </c>
      <c r="E541" s="36" t="s">
        <v>528</v>
      </c>
      <c r="F541" s="36" t="s">
        <v>66</v>
      </c>
      <c r="G541" s="38">
        <f>20000000</f>
        <v>20000000</v>
      </c>
      <c r="H541" s="36" t="s">
        <v>1442</v>
      </c>
      <c r="L541" s="23" t="s">
        <v>754</v>
      </c>
      <c r="M541" s="57" t="s">
        <v>480</v>
      </c>
      <c r="N541" s="23" t="s">
        <v>705</v>
      </c>
      <c r="O541" s="23" t="s">
        <v>579</v>
      </c>
      <c r="P541" s="23" t="s">
        <v>800</v>
      </c>
      <c r="S541" s="45" t="s">
        <v>846</v>
      </c>
      <c r="T541" s="45" t="s">
        <v>1361</v>
      </c>
      <c r="U541" s="45" t="s">
        <v>399</v>
      </c>
      <c r="V541" s="45" t="s">
        <v>665</v>
      </c>
      <c r="W541" s="46" t="s">
        <v>461</v>
      </c>
      <c r="X541" s="45" t="s">
        <v>1349</v>
      </c>
      <c r="Y541" s="59"/>
      <c r="Z541" s="59"/>
      <c r="AA541" s="59"/>
    </row>
    <row r="542" spans="3:27" x14ac:dyDescent="0.25">
      <c r="C542" s="134" t="s">
        <v>70</v>
      </c>
      <c r="D542" s="36" t="s">
        <v>664</v>
      </c>
      <c r="E542" s="36" t="s">
        <v>331</v>
      </c>
      <c r="F542" s="36" t="s">
        <v>50</v>
      </c>
      <c r="G542" s="38">
        <f>-1500000</f>
        <v>-1500000</v>
      </c>
      <c r="H542" s="36" t="s">
        <v>220</v>
      </c>
      <c r="L542" t="s">
        <v>213</v>
      </c>
      <c r="M542" s="26" t="s">
        <v>472</v>
      </c>
      <c r="N542" t="s">
        <v>604</v>
      </c>
      <c r="O542" t="s">
        <v>638</v>
      </c>
      <c r="P542" t="s">
        <v>829</v>
      </c>
      <c r="S542" s="59" t="s">
        <v>846</v>
      </c>
      <c r="T542" s="59" t="s">
        <v>1391</v>
      </c>
      <c r="U542" s="59" t="s">
        <v>254</v>
      </c>
      <c r="V542" s="59" t="s">
        <v>254</v>
      </c>
      <c r="W542" s="60" t="s">
        <v>254</v>
      </c>
      <c r="X542" s="59" t="s">
        <v>1374</v>
      </c>
      <c r="Y542" s="59"/>
      <c r="Z542" s="59"/>
      <c r="AA542" s="59"/>
    </row>
    <row r="543" spans="3:27" x14ac:dyDescent="0.25">
      <c r="C543" s="134" t="s">
        <v>70</v>
      </c>
      <c r="D543" s="36" t="s">
        <v>331</v>
      </c>
      <c r="E543" s="36" t="s">
        <v>571</v>
      </c>
      <c r="F543" s="36" t="s">
        <v>50</v>
      </c>
      <c r="G543" s="38">
        <f>700000</f>
        <v>700000</v>
      </c>
      <c r="H543" s="36" t="s">
        <v>268</v>
      </c>
      <c r="L543" t="s">
        <v>106</v>
      </c>
      <c r="M543" s="26" t="s">
        <v>456</v>
      </c>
      <c r="N543" t="s">
        <v>569</v>
      </c>
      <c r="O543" t="s">
        <v>717</v>
      </c>
      <c r="P543" t="s">
        <v>829</v>
      </c>
      <c r="S543" s="59" t="s">
        <v>1238</v>
      </c>
      <c r="T543" s="59" t="s">
        <v>1392</v>
      </c>
      <c r="U543" s="59" t="s">
        <v>254</v>
      </c>
      <c r="V543" s="59" t="s">
        <v>254</v>
      </c>
      <c r="W543" s="60" t="s">
        <v>254</v>
      </c>
      <c r="X543" s="59" t="s">
        <v>1374</v>
      </c>
      <c r="Y543" s="59"/>
      <c r="Z543" s="59"/>
      <c r="AA543" s="59"/>
    </row>
    <row r="544" spans="3:27" x14ac:dyDescent="0.25">
      <c r="C544" s="134" t="s">
        <v>1237</v>
      </c>
      <c r="D544" s="36" t="s">
        <v>380</v>
      </c>
      <c r="E544" s="36" t="s">
        <v>331</v>
      </c>
      <c r="F544" s="36" t="s">
        <v>50</v>
      </c>
      <c r="G544" s="38">
        <f>-25000000</f>
        <v>-25000000</v>
      </c>
      <c r="H544" s="36" t="s">
        <v>1240</v>
      </c>
      <c r="L544" t="s">
        <v>213</v>
      </c>
      <c r="M544" s="26" t="s">
        <v>563</v>
      </c>
      <c r="N544" t="s">
        <v>525</v>
      </c>
      <c r="O544" t="s">
        <v>491</v>
      </c>
      <c r="P544" t="s">
        <v>829</v>
      </c>
      <c r="S544" s="59" t="s">
        <v>1219</v>
      </c>
      <c r="T544" s="59" t="s">
        <v>1393</v>
      </c>
      <c r="U544" s="59" t="s">
        <v>254</v>
      </c>
      <c r="V544" s="59" t="s">
        <v>254</v>
      </c>
      <c r="W544" s="60" t="s">
        <v>254</v>
      </c>
      <c r="X544" s="59" t="s">
        <v>1374</v>
      </c>
      <c r="Y544" s="59"/>
      <c r="Z544" s="59"/>
      <c r="AA544" s="59"/>
    </row>
    <row r="545" spans="3:27" x14ac:dyDescent="0.25">
      <c r="C545" s="35" t="s">
        <v>1237</v>
      </c>
      <c r="D545" s="36" t="s">
        <v>331</v>
      </c>
      <c r="E545" s="36" t="s">
        <v>377</v>
      </c>
      <c r="F545" s="36" t="s">
        <v>50</v>
      </c>
      <c r="G545" s="38">
        <f>48000000</f>
        <v>48000000</v>
      </c>
      <c r="H545" s="36" t="s">
        <v>1374</v>
      </c>
      <c r="L545" t="s">
        <v>213</v>
      </c>
      <c r="M545" s="26" t="s">
        <v>472</v>
      </c>
      <c r="N545" t="s">
        <v>468</v>
      </c>
      <c r="O545" t="s">
        <v>561</v>
      </c>
      <c r="P545" t="s">
        <v>829</v>
      </c>
      <c r="S545" s="59" t="s">
        <v>1185</v>
      </c>
      <c r="T545" s="59" t="s">
        <v>1394</v>
      </c>
      <c r="U545" s="59" t="s">
        <v>254</v>
      </c>
      <c r="V545" s="59" t="s">
        <v>254</v>
      </c>
      <c r="W545" s="60" t="s">
        <v>254</v>
      </c>
      <c r="X545" s="59" t="s">
        <v>1374</v>
      </c>
      <c r="Y545" s="59"/>
      <c r="Z545" s="59"/>
      <c r="AA545" s="59"/>
    </row>
    <row r="546" spans="3:27" x14ac:dyDescent="0.25">
      <c r="C546" s="134" t="s">
        <v>144</v>
      </c>
      <c r="D546" s="36" t="s">
        <v>694</v>
      </c>
      <c r="E546" s="36" t="s">
        <v>331</v>
      </c>
      <c r="F546" s="36" t="s">
        <v>37</v>
      </c>
      <c r="G546" s="38">
        <f>-4500000</f>
        <v>-4500000</v>
      </c>
      <c r="H546" s="36" t="s">
        <v>364</v>
      </c>
      <c r="L546" t="s">
        <v>106</v>
      </c>
      <c r="M546" s="26" t="s">
        <v>482</v>
      </c>
      <c r="N546" t="s">
        <v>604</v>
      </c>
      <c r="O546" t="s">
        <v>687</v>
      </c>
      <c r="P546" t="s">
        <v>829</v>
      </c>
      <c r="S546" s="59" t="s">
        <v>754</v>
      </c>
      <c r="T546" s="59" t="s">
        <v>1395</v>
      </c>
      <c r="U546" s="59" t="s">
        <v>254</v>
      </c>
      <c r="V546" s="59" t="s">
        <v>254</v>
      </c>
      <c r="W546" s="60" t="s">
        <v>254</v>
      </c>
      <c r="X546" s="59" t="s">
        <v>1374</v>
      </c>
      <c r="Y546" s="59"/>
      <c r="Z546" s="59"/>
      <c r="AA546" s="59"/>
    </row>
    <row r="547" spans="3:27" x14ac:dyDescent="0.25">
      <c r="C547" s="134" t="s">
        <v>144</v>
      </c>
      <c r="D547" s="36" t="s">
        <v>331</v>
      </c>
      <c r="E547" s="36" t="s">
        <v>485</v>
      </c>
      <c r="F547" s="36" t="s">
        <v>37</v>
      </c>
      <c r="G547" s="38">
        <f>12500000</f>
        <v>12500000</v>
      </c>
      <c r="H547" s="36" t="s">
        <v>364</v>
      </c>
      <c r="L547" t="s">
        <v>213</v>
      </c>
      <c r="M547" s="26" t="s">
        <v>836</v>
      </c>
      <c r="N547" t="s">
        <v>536</v>
      </c>
      <c r="O547" t="s">
        <v>727</v>
      </c>
      <c r="P547" t="s">
        <v>829</v>
      </c>
      <c r="S547" s="59" t="s">
        <v>1189</v>
      </c>
      <c r="T547" s="59" t="s">
        <v>1396</v>
      </c>
      <c r="U547" s="59" t="s">
        <v>254</v>
      </c>
      <c r="V547" s="59" t="s">
        <v>254</v>
      </c>
      <c r="W547" s="60" t="s">
        <v>254</v>
      </c>
      <c r="X547" s="59" t="s">
        <v>1374</v>
      </c>
      <c r="Y547" s="59"/>
      <c r="Z547" s="59"/>
      <c r="AA547" s="59"/>
    </row>
    <row r="548" spans="3:27" x14ac:dyDescent="0.25">
      <c r="C548" s="134" t="s">
        <v>835</v>
      </c>
      <c r="D548" s="36" t="s">
        <v>331</v>
      </c>
      <c r="E548" s="36" t="s">
        <v>367</v>
      </c>
      <c r="F548" s="36" t="s">
        <v>1157</v>
      </c>
      <c r="G548" s="38">
        <f>3700000</f>
        <v>3700000</v>
      </c>
      <c r="H548" s="36" t="s">
        <v>1013</v>
      </c>
      <c r="L548" t="s">
        <v>754</v>
      </c>
      <c r="M548" s="26" t="s">
        <v>489</v>
      </c>
      <c r="N548" t="s">
        <v>521</v>
      </c>
      <c r="O548" t="s">
        <v>615</v>
      </c>
      <c r="P548" t="s">
        <v>829</v>
      </c>
      <c r="S548" s="45" t="s">
        <v>846</v>
      </c>
      <c r="T548" s="45" t="s">
        <v>1397</v>
      </c>
      <c r="U548" s="45" t="s">
        <v>399</v>
      </c>
      <c r="V548" s="45" t="s">
        <v>665</v>
      </c>
      <c r="W548" s="46" t="s">
        <v>461</v>
      </c>
      <c r="X548" s="45" t="s">
        <v>1374</v>
      </c>
      <c r="Y548" s="59"/>
      <c r="Z548" s="59"/>
      <c r="AA548" s="59"/>
    </row>
    <row r="549" spans="3:27" x14ac:dyDescent="0.25">
      <c r="C549" s="134" t="s">
        <v>181</v>
      </c>
      <c r="D549" s="36" t="s">
        <v>604</v>
      </c>
      <c r="E549" s="36" t="s">
        <v>331</v>
      </c>
      <c r="F549" s="36" t="s">
        <v>31</v>
      </c>
      <c r="G549" s="38">
        <f>-20000000</f>
        <v>-20000000</v>
      </c>
      <c r="H549" s="36" t="s">
        <v>343</v>
      </c>
      <c r="L549" t="s">
        <v>213</v>
      </c>
      <c r="M549" s="26" t="s">
        <v>456</v>
      </c>
      <c r="N549" t="s">
        <v>525</v>
      </c>
      <c r="O549" t="s">
        <v>837</v>
      </c>
      <c r="P549" t="s">
        <v>829</v>
      </c>
      <c r="S549" s="59" t="s">
        <v>846</v>
      </c>
      <c r="T549" s="59" t="s">
        <v>1416</v>
      </c>
      <c r="U549" s="59" t="s">
        <v>254</v>
      </c>
      <c r="V549" s="59" t="s">
        <v>254</v>
      </c>
      <c r="W549" s="60" t="s">
        <v>254</v>
      </c>
      <c r="X549" s="59" t="s">
        <v>1415</v>
      </c>
      <c r="Y549" s="59"/>
      <c r="Z549" s="59"/>
      <c r="AA549" s="59"/>
    </row>
    <row r="550" spans="3:27" x14ac:dyDescent="0.25">
      <c r="C550" s="134" t="s">
        <v>181</v>
      </c>
      <c r="D550" s="36" t="s">
        <v>331</v>
      </c>
      <c r="E550" s="36" t="s">
        <v>367</v>
      </c>
      <c r="F550" s="36" t="s">
        <v>31</v>
      </c>
      <c r="G550" s="38">
        <f>100000000</f>
        <v>100000000</v>
      </c>
      <c r="H550" s="36" t="s">
        <v>315</v>
      </c>
      <c r="L550" t="s">
        <v>754</v>
      </c>
      <c r="M550" s="26" t="s">
        <v>726</v>
      </c>
      <c r="N550" t="s">
        <v>471</v>
      </c>
      <c r="O550" t="s">
        <v>659</v>
      </c>
      <c r="P550" t="s">
        <v>829</v>
      </c>
      <c r="S550" s="59" t="s">
        <v>1380</v>
      </c>
      <c r="T550" s="59" t="s">
        <v>1417</v>
      </c>
      <c r="U550" s="59" t="s">
        <v>254</v>
      </c>
      <c r="V550" s="59" t="s">
        <v>254</v>
      </c>
      <c r="W550" s="60" t="s">
        <v>254</v>
      </c>
      <c r="X550" s="59" t="s">
        <v>1415</v>
      </c>
      <c r="Y550" s="59"/>
      <c r="Z550" s="59"/>
      <c r="AA550" s="59"/>
    </row>
    <row r="551" spans="3:27" x14ac:dyDescent="0.25">
      <c r="C551" s="134" t="s">
        <v>23</v>
      </c>
      <c r="D551" s="36" t="s">
        <v>331</v>
      </c>
      <c r="E551" s="36" t="s">
        <v>525</v>
      </c>
      <c r="F551" s="36" t="s">
        <v>25</v>
      </c>
      <c r="G551" s="38">
        <f>2900000</f>
        <v>2900000</v>
      </c>
      <c r="H551" s="36" t="s">
        <v>239</v>
      </c>
      <c r="L551" s="23" t="s">
        <v>213</v>
      </c>
      <c r="M551" s="57" t="s">
        <v>582</v>
      </c>
      <c r="N551" s="23" t="s">
        <v>762</v>
      </c>
      <c r="O551" s="23" t="s">
        <v>529</v>
      </c>
      <c r="P551" s="23" t="s">
        <v>829</v>
      </c>
      <c r="S551" s="59" t="s">
        <v>1375</v>
      </c>
      <c r="T551" s="59" t="s">
        <v>1418</v>
      </c>
      <c r="U551" s="59" t="s">
        <v>254</v>
      </c>
      <c r="V551" s="59" t="s">
        <v>254</v>
      </c>
      <c r="W551" s="60" t="s">
        <v>254</v>
      </c>
      <c r="X551" s="59" t="s">
        <v>1415</v>
      </c>
      <c r="Y551" s="59"/>
      <c r="Z551" s="59"/>
      <c r="AA551" s="59"/>
    </row>
    <row r="552" spans="3:27" x14ac:dyDescent="0.25">
      <c r="C552" s="134" t="s">
        <v>1377</v>
      </c>
      <c r="D552" s="36" t="s">
        <v>345</v>
      </c>
      <c r="E552" s="36" t="s">
        <v>331</v>
      </c>
      <c r="F552" s="36" t="s">
        <v>178</v>
      </c>
      <c r="G552" s="38" t="s">
        <v>334</v>
      </c>
      <c r="H552" s="36" t="s">
        <v>1374</v>
      </c>
      <c r="L552" t="s">
        <v>106</v>
      </c>
      <c r="M552" s="26" t="s">
        <v>472</v>
      </c>
      <c r="N552" t="s">
        <v>762</v>
      </c>
      <c r="O552" t="s">
        <v>619</v>
      </c>
      <c r="P552" t="s">
        <v>845</v>
      </c>
      <c r="S552" s="59" t="s">
        <v>1269</v>
      </c>
      <c r="T552" s="59" t="s">
        <v>1419</v>
      </c>
      <c r="U552" s="59" t="s">
        <v>254</v>
      </c>
      <c r="V552" s="59" t="s">
        <v>254</v>
      </c>
      <c r="W552" s="60" t="s">
        <v>254</v>
      </c>
      <c r="X552" s="59" t="s">
        <v>1415</v>
      </c>
      <c r="Y552" s="59"/>
      <c r="Z552" s="59"/>
      <c r="AA552" s="59"/>
    </row>
    <row r="553" spans="3:27" x14ac:dyDescent="0.25">
      <c r="C553" s="134" t="s">
        <v>998</v>
      </c>
      <c r="D553" s="36" t="s">
        <v>699</v>
      </c>
      <c r="E553" s="36" t="s">
        <v>331</v>
      </c>
      <c r="F553" s="36" t="s">
        <v>27</v>
      </c>
      <c r="G553" s="38">
        <f>-4000000</f>
        <v>-4000000</v>
      </c>
      <c r="H553" s="36" t="s">
        <v>860</v>
      </c>
      <c r="L553" t="s">
        <v>98</v>
      </c>
      <c r="M553" s="26" t="s">
        <v>503</v>
      </c>
      <c r="N553" t="s">
        <v>528</v>
      </c>
      <c r="O553" t="s">
        <v>557</v>
      </c>
      <c r="P553" t="s">
        <v>845</v>
      </c>
      <c r="S553" s="59" t="s">
        <v>1219</v>
      </c>
      <c r="T553" s="59" t="s">
        <v>1420</v>
      </c>
      <c r="U553" s="59" t="s">
        <v>254</v>
      </c>
      <c r="V553" s="59" t="s">
        <v>254</v>
      </c>
      <c r="W553" s="60" t="s">
        <v>254</v>
      </c>
      <c r="X553" s="59" t="s">
        <v>1415</v>
      </c>
      <c r="Y553" s="59"/>
      <c r="Z553" s="59"/>
      <c r="AA553" s="59"/>
    </row>
    <row r="554" spans="3:27" x14ac:dyDescent="0.25">
      <c r="C554" s="35" t="s">
        <v>998</v>
      </c>
      <c r="D554" s="36" t="s">
        <v>331</v>
      </c>
      <c r="E554" s="36" t="s">
        <v>367</v>
      </c>
      <c r="F554" s="36" t="s">
        <v>27</v>
      </c>
      <c r="G554" s="38">
        <f>60000000</f>
        <v>60000000</v>
      </c>
      <c r="H554" s="36" t="s">
        <v>1271</v>
      </c>
      <c r="L554" t="s">
        <v>213</v>
      </c>
      <c r="M554" s="26" t="s">
        <v>489</v>
      </c>
      <c r="N554" t="s">
        <v>852</v>
      </c>
      <c r="O554" t="s">
        <v>725</v>
      </c>
      <c r="P554" t="s">
        <v>845</v>
      </c>
      <c r="S554" s="59" t="s">
        <v>1185</v>
      </c>
      <c r="T554" s="59" t="s">
        <v>1421</v>
      </c>
      <c r="U554" s="59" t="s">
        <v>254</v>
      </c>
      <c r="V554" s="59" t="s">
        <v>254</v>
      </c>
      <c r="W554" s="60" t="s">
        <v>254</v>
      </c>
      <c r="X554" s="59" t="s">
        <v>1415</v>
      </c>
      <c r="Y554" s="59"/>
      <c r="Z554" s="59"/>
      <c r="AA554" s="59"/>
    </row>
    <row r="555" spans="3:27" x14ac:dyDescent="0.25">
      <c r="C555" s="134" t="s">
        <v>52</v>
      </c>
      <c r="D555" s="36" t="s">
        <v>331</v>
      </c>
      <c r="E555" s="36" t="s">
        <v>435</v>
      </c>
      <c r="F555" s="36" t="s">
        <v>53</v>
      </c>
      <c r="G555" s="38">
        <f>3100000</f>
        <v>3100000</v>
      </c>
      <c r="H555" s="36" t="s">
        <v>800</v>
      </c>
      <c r="L555" t="s">
        <v>754</v>
      </c>
      <c r="M555" s="26" t="s">
        <v>480</v>
      </c>
      <c r="N555" t="s">
        <v>606</v>
      </c>
      <c r="O555" t="s">
        <v>465</v>
      </c>
      <c r="P555" t="s">
        <v>845</v>
      </c>
      <c r="S555" s="59" t="s">
        <v>1189</v>
      </c>
      <c r="T555" s="59" t="s">
        <v>1422</v>
      </c>
      <c r="U555" s="59" t="s">
        <v>254</v>
      </c>
      <c r="V555" s="59" t="s">
        <v>254</v>
      </c>
      <c r="W555" s="60" t="s">
        <v>254</v>
      </c>
      <c r="X555" s="59" t="s">
        <v>1415</v>
      </c>
      <c r="Y555" s="59"/>
      <c r="Z555" s="59"/>
      <c r="AA555" s="59"/>
    </row>
    <row r="556" spans="3:27" x14ac:dyDescent="0.25">
      <c r="C556" s="134" t="s">
        <v>169</v>
      </c>
      <c r="D556" s="36" t="s">
        <v>331</v>
      </c>
      <c r="E556" s="36" t="s">
        <v>421</v>
      </c>
      <c r="F556" s="36" t="s">
        <v>39</v>
      </c>
      <c r="G556" s="38">
        <f>3300000</f>
        <v>3300000</v>
      </c>
      <c r="H556" s="36" t="s">
        <v>232</v>
      </c>
      <c r="L556" t="s">
        <v>213</v>
      </c>
      <c r="M556" s="26" t="s">
        <v>448</v>
      </c>
      <c r="N556" t="s">
        <v>614</v>
      </c>
      <c r="O556" t="s">
        <v>854</v>
      </c>
      <c r="P556" t="s">
        <v>845</v>
      </c>
      <c r="S556" s="48" t="s">
        <v>213</v>
      </c>
      <c r="T556" s="48" t="s">
        <v>1423</v>
      </c>
      <c r="U556" s="48" t="s">
        <v>254</v>
      </c>
      <c r="V556" s="48" t="s">
        <v>254</v>
      </c>
      <c r="W556" s="56" t="s">
        <v>254</v>
      </c>
      <c r="X556" s="48" t="s">
        <v>1415</v>
      </c>
      <c r="Y556" s="59"/>
      <c r="Z556" s="59"/>
      <c r="AA556" s="59"/>
    </row>
    <row r="557" spans="3:27" x14ac:dyDescent="0.25">
      <c r="C557" s="134" t="s">
        <v>830</v>
      </c>
      <c r="D557" s="36" t="s">
        <v>331</v>
      </c>
      <c r="E557" s="36" t="s">
        <v>525</v>
      </c>
      <c r="F557" s="36" t="s">
        <v>47</v>
      </c>
      <c r="G557" s="38">
        <f>2100000</f>
        <v>2100000</v>
      </c>
      <c r="H557" s="36" t="s">
        <v>1180</v>
      </c>
      <c r="L557" s="23" t="s">
        <v>213</v>
      </c>
      <c r="M557" s="57" t="s">
        <v>503</v>
      </c>
      <c r="N557" s="23" t="s">
        <v>705</v>
      </c>
      <c r="O557" s="23" t="s">
        <v>855</v>
      </c>
      <c r="P557" s="23" t="s">
        <v>845</v>
      </c>
      <c r="S557" s="45" t="s">
        <v>1189</v>
      </c>
      <c r="T557" s="45" t="s">
        <v>1424</v>
      </c>
      <c r="U557" s="45" t="s">
        <v>367</v>
      </c>
      <c r="V557" s="45" t="s">
        <v>665</v>
      </c>
      <c r="W557" s="174" t="s">
        <v>472</v>
      </c>
      <c r="X557" s="45" t="s">
        <v>1415</v>
      </c>
      <c r="Y557" s="59"/>
      <c r="Z557" s="59"/>
      <c r="AA557" s="59"/>
    </row>
    <row r="558" spans="3:27" x14ac:dyDescent="0.25">
      <c r="C558" s="35" t="s">
        <v>1346</v>
      </c>
      <c r="D558" s="36" t="s">
        <v>331</v>
      </c>
      <c r="E558" s="36" t="s">
        <v>1064</v>
      </c>
      <c r="F558" s="36" t="s">
        <v>159</v>
      </c>
      <c r="G558" s="38">
        <f>500000</f>
        <v>500000</v>
      </c>
      <c r="H558" s="36" t="s">
        <v>1415</v>
      </c>
      <c r="L558" t="s">
        <v>213</v>
      </c>
      <c r="M558" s="26" t="s">
        <v>472</v>
      </c>
      <c r="N558" t="s">
        <v>532</v>
      </c>
      <c r="O558" t="s">
        <v>506</v>
      </c>
      <c r="P558" t="s">
        <v>860</v>
      </c>
      <c r="S558" s="59" t="s">
        <v>846</v>
      </c>
      <c r="T558" s="59" t="s">
        <v>1451</v>
      </c>
      <c r="U558" s="59" t="s">
        <v>254</v>
      </c>
      <c r="V558" s="59" t="s">
        <v>254</v>
      </c>
      <c r="W558" s="60" t="s">
        <v>254</v>
      </c>
      <c r="X558" s="59" t="s">
        <v>1436</v>
      </c>
      <c r="Y558" s="59"/>
      <c r="Z558" s="59"/>
      <c r="AA558" s="59"/>
    </row>
    <row r="559" spans="3:27" x14ac:dyDescent="0.25">
      <c r="C559" s="134" t="s">
        <v>45</v>
      </c>
      <c r="D559" s="36" t="s">
        <v>331</v>
      </c>
      <c r="E559" s="36" t="s">
        <v>435</v>
      </c>
      <c r="F559" s="36" t="s">
        <v>47</v>
      </c>
      <c r="G559" s="38">
        <f>33000000</f>
        <v>33000000</v>
      </c>
      <c r="H559" s="36" t="s">
        <v>742</v>
      </c>
      <c r="L559" t="s">
        <v>213</v>
      </c>
      <c r="M559" s="26" t="s">
        <v>556</v>
      </c>
      <c r="N559" t="s">
        <v>468</v>
      </c>
      <c r="O559" t="s">
        <v>619</v>
      </c>
      <c r="P559" t="s">
        <v>860</v>
      </c>
      <c r="S559" s="59" t="s">
        <v>1269</v>
      </c>
      <c r="T559" s="59" t="s">
        <v>1452</v>
      </c>
      <c r="U559" s="59" t="s">
        <v>254</v>
      </c>
      <c r="V559" s="59" t="s">
        <v>254</v>
      </c>
      <c r="W559" s="60" t="s">
        <v>254</v>
      </c>
      <c r="X559" s="59" t="s">
        <v>1436</v>
      </c>
      <c r="Y559" s="59"/>
      <c r="Z559" s="59"/>
      <c r="AA559" s="59"/>
    </row>
    <row r="560" spans="3:27" x14ac:dyDescent="0.25">
      <c r="C560" s="135" t="s">
        <v>87</v>
      </c>
      <c r="D560" s="36" t="s">
        <v>331</v>
      </c>
      <c r="E560" s="36" t="s">
        <v>718</v>
      </c>
      <c r="F560" s="36" t="s">
        <v>88</v>
      </c>
      <c r="G560" s="38">
        <f>80000</f>
        <v>80000</v>
      </c>
      <c r="H560" s="36" t="s">
        <v>295</v>
      </c>
      <c r="L560" s="108" t="s">
        <v>750</v>
      </c>
      <c r="M560" s="26" t="s">
        <v>480</v>
      </c>
      <c r="N560" t="s">
        <v>308</v>
      </c>
      <c r="O560" t="s">
        <v>682</v>
      </c>
      <c r="P560" t="s">
        <v>860</v>
      </c>
      <c r="S560" s="48" t="s">
        <v>1414</v>
      </c>
      <c r="T560" s="48" t="s">
        <v>1453</v>
      </c>
      <c r="U560" s="48" t="s">
        <v>607</v>
      </c>
      <c r="V560" s="48" t="s">
        <v>682</v>
      </c>
      <c r="W560" s="56" t="s">
        <v>563</v>
      </c>
      <c r="X560" s="48" t="s">
        <v>1436</v>
      </c>
      <c r="Y560" s="59"/>
      <c r="Z560" s="59"/>
      <c r="AA560" s="59"/>
    </row>
    <row r="561" spans="3:27" x14ac:dyDescent="0.25">
      <c r="C561" s="134" t="s">
        <v>112</v>
      </c>
      <c r="D561" s="36" t="s">
        <v>673</v>
      </c>
      <c r="E561" s="36" t="s">
        <v>331</v>
      </c>
      <c r="F561" s="36" t="s">
        <v>113</v>
      </c>
      <c r="G561" s="38">
        <f>-2000000</f>
        <v>-2000000</v>
      </c>
      <c r="H561" s="36" t="s">
        <v>364</v>
      </c>
      <c r="L561" t="s">
        <v>213</v>
      </c>
      <c r="M561" s="26" t="s">
        <v>582</v>
      </c>
      <c r="N561" t="s">
        <v>308</v>
      </c>
      <c r="O561" t="s">
        <v>687</v>
      </c>
      <c r="P561" t="s">
        <v>860</v>
      </c>
      <c r="S561" s="59" t="s">
        <v>1337</v>
      </c>
      <c r="T561" s="59" t="s">
        <v>1454</v>
      </c>
      <c r="U561" s="59" t="s">
        <v>254</v>
      </c>
      <c r="V561" s="59" t="s">
        <v>254</v>
      </c>
      <c r="W561" s="60" t="s">
        <v>254</v>
      </c>
      <c r="X561" s="59" t="s">
        <v>1436</v>
      </c>
      <c r="Y561" s="59"/>
      <c r="Z561" s="59"/>
      <c r="AA561" s="59"/>
    </row>
    <row r="562" spans="3:27" x14ac:dyDescent="0.25">
      <c r="C562" s="134" t="s">
        <v>112</v>
      </c>
      <c r="D562" s="36" t="s">
        <v>331</v>
      </c>
      <c r="E562" s="36" t="s">
        <v>387</v>
      </c>
      <c r="F562" s="36" t="s">
        <v>113</v>
      </c>
      <c r="G562" s="38">
        <f>25000000</f>
        <v>25000000</v>
      </c>
      <c r="H562" s="36" t="s">
        <v>268</v>
      </c>
      <c r="L562" t="s">
        <v>750</v>
      </c>
      <c r="M562" s="26" t="s">
        <v>456</v>
      </c>
      <c r="N562" t="s">
        <v>999</v>
      </c>
      <c r="O562" t="s">
        <v>522</v>
      </c>
      <c r="P562" t="s">
        <v>860</v>
      </c>
      <c r="S562" s="45" t="s">
        <v>846</v>
      </c>
      <c r="T562" s="45" t="s">
        <v>1455</v>
      </c>
      <c r="U562" s="45" t="s">
        <v>377</v>
      </c>
      <c r="V562" s="45" t="s">
        <v>665</v>
      </c>
      <c r="W562" s="46" t="s">
        <v>494</v>
      </c>
      <c r="X562" s="45" t="s">
        <v>1436</v>
      </c>
      <c r="Y562" s="59"/>
      <c r="Z562" s="59"/>
      <c r="AA562" s="59"/>
    </row>
    <row r="563" spans="3:27" x14ac:dyDescent="0.25">
      <c r="C563" s="134" t="s">
        <v>122</v>
      </c>
      <c r="D563" s="36" t="s">
        <v>644</v>
      </c>
      <c r="E563" s="36" t="s">
        <v>331</v>
      </c>
      <c r="F563" s="36" t="s">
        <v>123</v>
      </c>
      <c r="G563" s="38">
        <v>0</v>
      </c>
      <c r="H563" s="36" t="s">
        <v>551</v>
      </c>
      <c r="L563" t="s">
        <v>754</v>
      </c>
      <c r="M563" s="26" t="s">
        <v>542</v>
      </c>
      <c r="N563" t="s">
        <v>708</v>
      </c>
      <c r="O563" t="s">
        <v>615</v>
      </c>
      <c r="P563" t="s">
        <v>860</v>
      </c>
      <c r="S563" s="59" t="s">
        <v>1269</v>
      </c>
      <c r="T563" s="59" t="s">
        <v>1475</v>
      </c>
      <c r="U563" s="59" t="s">
        <v>254</v>
      </c>
      <c r="V563" s="59" t="s">
        <v>254</v>
      </c>
      <c r="W563" s="60" t="s">
        <v>254</v>
      </c>
      <c r="X563" s="59" t="s">
        <v>1442</v>
      </c>
      <c r="Y563" s="59"/>
      <c r="Z563" s="59"/>
      <c r="AA563" s="59"/>
    </row>
    <row r="564" spans="3:27" x14ac:dyDescent="0.25">
      <c r="C564" s="134" t="s">
        <v>122</v>
      </c>
      <c r="D564" s="36" t="s">
        <v>331</v>
      </c>
      <c r="E564" s="36" t="s">
        <v>528</v>
      </c>
      <c r="F564" s="36" t="s">
        <v>123</v>
      </c>
      <c r="G564" s="38">
        <f>3300000</f>
        <v>3300000</v>
      </c>
      <c r="H564" s="36" t="s">
        <v>282</v>
      </c>
      <c r="L564" t="s">
        <v>754</v>
      </c>
      <c r="M564" s="26" t="s">
        <v>472</v>
      </c>
      <c r="N564" t="s">
        <v>471</v>
      </c>
      <c r="O564" t="s">
        <v>465</v>
      </c>
      <c r="P564" t="s">
        <v>860</v>
      </c>
      <c r="S564" s="59" t="s">
        <v>1185</v>
      </c>
      <c r="T564" s="59" t="s">
        <v>1476</v>
      </c>
      <c r="U564" s="59" t="s">
        <v>254</v>
      </c>
      <c r="V564" s="59" t="s">
        <v>254</v>
      </c>
      <c r="W564" s="60" t="s">
        <v>254</v>
      </c>
      <c r="X564" s="59" t="s">
        <v>1442</v>
      </c>
      <c r="Y564" s="59"/>
      <c r="Z564" s="59"/>
      <c r="AA564" s="59"/>
    </row>
    <row r="565" spans="3:27" x14ac:dyDescent="0.25">
      <c r="C565" s="134" t="s">
        <v>38</v>
      </c>
      <c r="D565" s="36" t="s">
        <v>331</v>
      </c>
      <c r="E565" s="36" t="s">
        <v>399</v>
      </c>
      <c r="F565" s="36" t="s">
        <v>39</v>
      </c>
      <c r="G565" s="38">
        <f>60000000</f>
        <v>60000000</v>
      </c>
      <c r="H565" s="36" t="s">
        <v>1240</v>
      </c>
      <c r="L565" s="23" t="s">
        <v>750</v>
      </c>
      <c r="M565" s="57" t="s">
        <v>472</v>
      </c>
      <c r="N565" s="23" t="s">
        <v>606</v>
      </c>
      <c r="O565" s="23" t="s">
        <v>601</v>
      </c>
      <c r="P565" s="23" t="s">
        <v>860</v>
      </c>
      <c r="S565" s="59" t="s">
        <v>1384</v>
      </c>
      <c r="T565" s="59" t="s">
        <v>1477</v>
      </c>
      <c r="U565" s="59" t="s">
        <v>254</v>
      </c>
      <c r="V565" s="59" t="s">
        <v>254</v>
      </c>
      <c r="W565" s="60" t="s">
        <v>254</v>
      </c>
      <c r="X565" s="59" t="s">
        <v>1442</v>
      </c>
      <c r="Y565" s="59"/>
      <c r="Z565" s="59"/>
      <c r="AA565" s="59"/>
    </row>
    <row r="566" spans="3:27" x14ac:dyDescent="0.25">
      <c r="C566" s="134" t="s">
        <v>1156</v>
      </c>
      <c r="D566" s="36" t="s">
        <v>1158</v>
      </c>
      <c r="E566" s="36" t="s">
        <v>331</v>
      </c>
      <c r="F566" s="36" t="s">
        <v>130</v>
      </c>
      <c r="G566" s="38">
        <f>-30000000</f>
        <v>-30000000</v>
      </c>
      <c r="H566" s="36" t="s">
        <v>1013</v>
      </c>
      <c r="L566" s="104" t="s">
        <v>213</v>
      </c>
      <c r="M566" s="26" t="s">
        <v>503</v>
      </c>
      <c r="N566" s="104" t="s">
        <v>308</v>
      </c>
      <c r="O566" s="104" t="s">
        <v>1159</v>
      </c>
      <c r="P566" s="104" t="s">
        <v>1013</v>
      </c>
      <c r="S566" s="45" t="s">
        <v>847</v>
      </c>
      <c r="T566" s="45" t="s">
        <v>1478</v>
      </c>
      <c r="U566" s="45" t="s">
        <v>377</v>
      </c>
      <c r="V566" s="45" t="s">
        <v>665</v>
      </c>
      <c r="W566" s="46" t="s">
        <v>448</v>
      </c>
      <c r="X566" s="45" t="s">
        <v>1442</v>
      </c>
      <c r="Y566" s="59"/>
      <c r="Z566" s="59"/>
      <c r="AA566" s="59"/>
    </row>
    <row r="567" spans="3:27" x14ac:dyDescent="0.25">
      <c r="C567" s="35" t="s">
        <v>1156</v>
      </c>
      <c r="D567" s="36" t="s">
        <v>331</v>
      </c>
      <c r="E567" s="36" t="s">
        <v>367</v>
      </c>
      <c r="F567" s="36" t="s">
        <v>130</v>
      </c>
      <c r="G567" s="38">
        <f>31000000</f>
        <v>31000000</v>
      </c>
      <c r="H567" s="36" t="s">
        <v>1415</v>
      </c>
      <c r="L567" s="104" t="s">
        <v>213</v>
      </c>
      <c r="M567" s="26" t="s">
        <v>489</v>
      </c>
      <c r="N567" s="104" t="s">
        <v>536</v>
      </c>
      <c r="O567" s="104" t="s">
        <v>586</v>
      </c>
      <c r="P567" s="104" t="s">
        <v>1013</v>
      </c>
      <c r="S567" s="59" t="s">
        <v>1269</v>
      </c>
      <c r="T567" s="59" t="s">
        <v>1490</v>
      </c>
      <c r="U567" s="59" t="s">
        <v>254</v>
      </c>
      <c r="V567" s="59" t="s">
        <v>254</v>
      </c>
      <c r="W567" s="60" t="s">
        <v>254</v>
      </c>
      <c r="X567" s="59" t="s">
        <v>1443</v>
      </c>
      <c r="Y567" s="59"/>
      <c r="Z567" s="59"/>
      <c r="AA567" s="59"/>
    </row>
    <row r="568" spans="3:27" x14ac:dyDescent="0.25">
      <c r="C568" s="134" t="s">
        <v>156</v>
      </c>
      <c r="D568" s="36" t="s">
        <v>331</v>
      </c>
      <c r="E568" s="36" t="s">
        <v>597</v>
      </c>
      <c r="F568" s="36" t="s">
        <v>31</v>
      </c>
      <c r="G568" s="38">
        <f>190000</f>
        <v>190000</v>
      </c>
      <c r="H568" s="36" t="s">
        <v>220</v>
      </c>
      <c r="L568" s="104" t="s">
        <v>213</v>
      </c>
      <c r="M568" s="26" t="s">
        <v>546</v>
      </c>
      <c r="N568" s="104" t="s">
        <v>464</v>
      </c>
      <c r="O568" s="104" t="s">
        <v>588</v>
      </c>
      <c r="P568" s="104" t="s">
        <v>1013</v>
      </c>
      <c r="S568" s="59" t="s">
        <v>1185</v>
      </c>
      <c r="T568" s="59" t="s">
        <v>1491</v>
      </c>
      <c r="U568" s="59" t="s">
        <v>254</v>
      </c>
      <c r="V568" s="59" t="s">
        <v>254</v>
      </c>
      <c r="W568" s="60" t="s">
        <v>254</v>
      </c>
      <c r="X568" s="59" t="s">
        <v>1443</v>
      </c>
      <c r="Y568" s="59"/>
      <c r="Z568" s="59"/>
      <c r="AA568" s="59"/>
    </row>
    <row r="569" spans="3:27" x14ac:dyDescent="0.25">
      <c r="C569" s="134" t="s">
        <v>197</v>
      </c>
      <c r="D569" s="36" t="s">
        <v>331</v>
      </c>
      <c r="E569" s="36" t="s">
        <v>509</v>
      </c>
      <c r="F569" s="36" t="s">
        <v>25</v>
      </c>
      <c r="G569" s="38">
        <f>1500000</f>
        <v>1500000</v>
      </c>
      <c r="H569" s="36" t="s">
        <v>220</v>
      </c>
      <c r="L569" s="106" t="s">
        <v>213</v>
      </c>
      <c r="M569" s="26" t="s">
        <v>531</v>
      </c>
      <c r="N569" s="104" t="s">
        <v>653</v>
      </c>
      <c r="O569" s="104" t="s">
        <v>725</v>
      </c>
      <c r="P569" s="104" t="s">
        <v>1013</v>
      </c>
      <c r="S569" s="59" t="s">
        <v>1384</v>
      </c>
      <c r="T569" s="59" t="s">
        <v>1492</v>
      </c>
      <c r="U569" s="59" t="s">
        <v>254</v>
      </c>
      <c r="V569" s="59" t="s">
        <v>254</v>
      </c>
      <c r="W569" s="60" t="s">
        <v>254</v>
      </c>
      <c r="X569" s="59" t="s">
        <v>1443</v>
      </c>
      <c r="Y569" s="59"/>
      <c r="Z569" s="59"/>
      <c r="AA569" s="59"/>
    </row>
    <row r="570" spans="3:27" x14ac:dyDescent="0.25">
      <c r="C570" s="134" t="s">
        <v>119</v>
      </c>
      <c r="D570" s="36" t="s">
        <v>331</v>
      </c>
      <c r="E570" s="36" t="s">
        <v>367</v>
      </c>
      <c r="F570" s="36" t="s">
        <v>53</v>
      </c>
      <c r="G570" s="38">
        <f>43000000</f>
        <v>43000000</v>
      </c>
      <c r="H570" s="36" t="s">
        <v>270</v>
      </c>
      <c r="L570" s="104" t="s">
        <v>754</v>
      </c>
      <c r="M570" s="26" t="s">
        <v>472</v>
      </c>
      <c r="N570" s="104" t="s">
        <v>606</v>
      </c>
      <c r="O570" s="104" t="s">
        <v>687</v>
      </c>
      <c r="P570" s="104" t="s">
        <v>1013</v>
      </c>
      <c r="S570" s="45" t="s">
        <v>1269</v>
      </c>
      <c r="T570" s="45" t="s">
        <v>1493</v>
      </c>
      <c r="U570" s="45" t="s">
        <v>399</v>
      </c>
      <c r="V570" s="45" t="s">
        <v>665</v>
      </c>
      <c r="W570" s="46" t="s">
        <v>448</v>
      </c>
      <c r="X570" s="45" t="s">
        <v>1443</v>
      </c>
      <c r="Y570" s="59"/>
      <c r="Z570" s="59"/>
      <c r="AA570" s="59"/>
    </row>
    <row r="571" spans="3:27" x14ac:dyDescent="0.25">
      <c r="C571" s="134" t="s">
        <v>60</v>
      </c>
      <c r="D571" s="36" t="s">
        <v>711</v>
      </c>
      <c r="E571" s="36" t="s">
        <v>331</v>
      </c>
      <c r="F571" s="36" t="s">
        <v>61</v>
      </c>
      <c r="G571" s="38">
        <f>-12500000</f>
        <v>-12500000</v>
      </c>
      <c r="H571" s="36" t="s">
        <v>270</v>
      </c>
      <c r="L571" s="109" t="s">
        <v>749</v>
      </c>
      <c r="M571" s="26" t="s">
        <v>472</v>
      </c>
      <c r="N571" s="104" t="s">
        <v>525</v>
      </c>
      <c r="O571" s="104" t="s">
        <v>591</v>
      </c>
      <c r="P571" s="104" t="s">
        <v>1013</v>
      </c>
      <c r="S571" s="59" t="s">
        <v>847</v>
      </c>
      <c r="T571" s="59" t="s">
        <v>1507</v>
      </c>
      <c r="U571" s="59" t="s">
        <v>254</v>
      </c>
      <c r="V571" s="59" t="s">
        <v>254</v>
      </c>
      <c r="W571" s="60" t="s">
        <v>254</v>
      </c>
      <c r="X571" s="59" t="s">
        <v>1467</v>
      </c>
      <c r="Y571" s="59"/>
      <c r="Z571" s="59"/>
      <c r="AA571" s="59"/>
    </row>
    <row r="572" spans="3:27" x14ac:dyDescent="0.25">
      <c r="C572" s="134" t="s">
        <v>60</v>
      </c>
      <c r="D572" s="36" t="s">
        <v>331</v>
      </c>
      <c r="E572" s="36" t="s">
        <v>462</v>
      </c>
      <c r="F572" s="36" t="s">
        <v>61</v>
      </c>
      <c r="G572" s="38">
        <f>16000000</f>
        <v>16000000</v>
      </c>
      <c r="H572" s="36" t="s">
        <v>388</v>
      </c>
      <c r="L572" s="104" t="s">
        <v>213</v>
      </c>
      <c r="M572" s="26" t="s">
        <v>489</v>
      </c>
      <c r="N572" s="104" t="s">
        <v>528</v>
      </c>
      <c r="O572" s="104" t="s">
        <v>547</v>
      </c>
      <c r="P572" s="104" t="s">
        <v>1013</v>
      </c>
      <c r="S572" s="48" t="s">
        <v>1384</v>
      </c>
      <c r="T572" s="48" t="s">
        <v>1508</v>
      </c>
      <c r="U572" s="48" t="s">
        <v>254</v>
      </c>
      <c r="V572" s="48" t="s">
        <v>254</v>
      </c>
      <c r="W572" s="56" t="s">
        <v>254</v>
      </c>
      <c r="X572" s="48" t="s">
        <v>1467</v>
      </c>
      <c r="Y572" s="59"/>
      <c r="Z572" s="59"/>
      <c r="AA572" s="59"/>
    </row>
    <row r="573" spans="3:27" x14ac:dyDescent="0.25">
      <c r="C573" s="134" t="s">
        <v>1153</v>
      </c>
      <c r="D573" s="36" t="s">
        <v>578</v>
      </c>
      <c r="E573" s="36" t="s">
        <v>331</v>
      </c>
      <c r="F573" s="36" t="s">
        <v>959</v>
      </c>
      <c r="G573" s="38">
        <f>-2000000</f>
        <v>-2000000</v>
      </c>
      <c r="H573" s="36" t="s">
        <v>1013</v>
      </c>
      <c r="L573" s="104" t="s">
        <v>213</v>
      </c>
      <c r="M573" s="26" t="s">
        <v>456</v>
      </c>
      <c r="N573" s="104" t="s">
        <v>519</v>
      </c>
      <c r="O573" s="104" t="s">
        <v>1160</v>
      </c>
      <c r="P573" s="104" t="s">
        <v>1013</v>
      </c>
      <c r="S573" s="59" t="s">
        <v>1470</v>
      </c>
      <c r="T573" s="59" t="s">
        <v>1509</v>
      </c>
      <c r="U573" s="59" t="s">
        <v>254</v>
      </c>
      <c r="V573" s="59" t="s">
        <v>254</v>
      </c>
      <c r="W573" s="60" t="s">
        <v>254</v>
      </c>
      <c r="X573" s="59" t="s">
        <v>1467</v>
      </c>
      <c r="Y573" s="59"/>
      <c r="Z573" s="59"/>
      <c r="AA573" s="59"/>
    </row>
    <row r="574" spans="3:27" x14ac:dyDescent="0.25">
      <c r="C574" s="35" t="s">
        <v>1153</v>
      </c>
      <c r="D574" s="36" t="s">
        <v>331</v>
      </c>
      <c r="E574" s="36" t="s">
        <v>1121</v>
      </c>
      <c r="F574" s="36" t="s">
        <v>959</v>
      </c>
      <c r="G574" s="38">
        <f>8000000</f>
        <v>8000000</v>
      </c>
      <c r="H574" s="36" t="s">
        <v>1284</v>
      </c>
      <c r="L574" s="118" t="s">
        <v>750</v>
      </c>
      <c r="M574" s="57" t="s">
        <v>472</v>
      </c>
      <c r="N574" s="118" t="s">
        <v>464</v>
      </c>
      <c r="O574" s="118" t="s">
        <v>855</v>
      </c>
      <c r="P574" s="118" t="s">
        <v>1013</v>
      </c>
      <c r="S574" s="45" t="s">
        <v>1185</v>
      </c>
      <c r="T574" s="45" t="s">
        <v>1510</v>
      </c>
      <c r="U574" s="45" t="s">
        <v>459</v>
      </c>
      <c r="V574" s="45" t="s">
        <v>665</v>
      </c>
      <c r="W574" s="46" t="s">
        <v>1511</v>
      </c>
      <c r="X574" s="45" t="s">
        <v>1467</v>
      </c>
      <c r="Y574" s="59"/>
      <c r="Z574" s="59"/>
      <c r="AA574" s="59"/>
    </row>
    <row r="575" spans="3:27" x14ac:dyDescent="0.25">
      <c r="C575" s="134" t="s">
        <v>797</v>
      </c>
      <c r="D575" s="36" t="s">
        <v>623</v>
      </c>
      <c r="E575" s="36" t="s">
        <v>331</v>
      </c>
      <c r="F575" s="36" t="s">
        <v>31</v>
      </c>
      <c r="G575" s="38">
        <f>-30000000</f>
        <v>-30000000</v>
      </c>
      <c r="H575" s="36" t="s">
        <v>798</v>
      </c>
      <c r="L575" s="104" t="s">
        <v>754</v>
      </c>
      <c r="M575" s="26" t="s">
        <v>546</v>
      </c>
      <c r="N575" s="104" t="s">
        <v>852</v>
      </c>
      <c r="P575" s="104" t="s">
        <v>1180</v>
      </c>
      <c r="S575" s="59" t="s">
        <v>1524</v>
      </c>
      <c r="T575" s="59" t="s">
        <v>1531</v>
      </c>
      <c r="U575" s="59" t="s">
        <v>254</v>
      </c>
      <c r="V575" s="59" t="s">
        <v>254</v>
      </c>
      <c r="W575" s="60" t="s">
        <v>254</v>
      </c>
      <c r="X575" s="59" t="s">
        <v>1468</v>
      </c>
      <c r="Y575" s="59"/>
      <c r="Z575" s="59"/>
      <c r="AA575" s="59"/>
    </row>
    <row r="576" spans="3:27" x14ac:dyDescent="0.25">
      <c r="C576" s="134" t="s">
        <v>797</v>
      </c>
      <c r="D576" s="36" t="s">
        <v>331</v>
      </c>
      <c r="E576" s="36" t="s">
        <v>399</v>
      </c>
      <c r="F576" s="36" t="s">
        <v>31</v>
      </c>
      <c r="G576" s="38">
        <f>17500000</f>
        <v>17500000</v>
      </c>
      <c r="H576" s="36" t="s">
        <v>1210</v>
      </c>
      <c r="L576" s="104" t="s">
        <v>750</v>
      </c>
      <c r="M576" s="26" t="s">
        <v>448</v>
      </c>
      <c r="N576" s="104" t="s">
        <v>490</v>
      </c>
      <c r="P576" s="104" t="s">
        <v>1180</v>
      </c>
      <c r="S576" s="59" t="s">
        <v>1366</v>
      </c>
      <c r="T576" s="59" t="s">
        <v>1532</v>
      </c>
      <c r="U576" s="59" t="s">
        <v>254</v>
      </c>
      <c r="V576" s="59" t="s">
        <v>254</v>
      </c>
      <c r="W576" s="60" t="s">
        <v>254</v>
      </c>
      <c r="X576" s="59" t="s">
        <v>1468</v>
      </c>
      <c r="Y576" s="59"/>
      <c r="Z576" s="59"/>
      <c r="AA576" s="59"/>
    </row>
    <row r="577" spans="3:27" x14ac:dyDescent="0.25">
      <c r="C577" s="134" t="s">
        <v>535</v>
      </c>
      <c r="D577" s="36" t="s">
        <v>331</v>
      </c>
      <c r="E577" s="36" t="s">
        <v>536</v>
      </c>
      <c r="F577" s="36" t="s">
        <v>31</v>
      </c>
      <c r="G577" s="38">
        <f>4900000</f>
        <v>4900000</v>
      </c>
      <c r="H577" s="36" t="s">
        <v>236</v>
      </c>
      <c r="L577" s="104" t="s">
        <v>754</v>
      </c>
      <c r="M577" s="26" t="s">
        <v>482</v>
      </c>
      <c r="N577" s="104" t="s">
        <v>614</v>
      </c>
      <c r="P577" s="104" t="s">
        <v>1180</v>
      </c>
      <c r="S577" s="59" t="s">
        <v>1185</v>
      </c>
      <c r="T577" s="59" t="s">
        <v>1533</v>
      </c>
      <c r="U577" s="59" t="s">
        <v>254</v>
      </c>
      <c r="V577" s="59" t="s">
        <v>254</v>
      </c>
      <c r="W577" s="60" t="s">
        <v>254</v>
      </c>
      <c r="X577" s="59" t="s">
        <v>1468</v>
      </c>
      <c r="Y577" s="59"/>
      <c r="Z577" s="59"/>
      <c r="AA577" s="59"/>
    </row>
    <row r="578" spans="3:27" x14ac:dyDescent="0.25">
      <c r="C578" s="134" t="s">
        <v>1216</v>
      </c>
      <c r="D578" s="36" t="s">
        <v>1223</v>
      </c>
      <c r="E578" s="36" t="s">
        <v>331</v>
      </c>
      <c r="F578" s="36" t="s">
        <v>1217</v>
      </c>
      <c r="G578" s="38">
        <f>-3500000</f>
        <v>-3500000</v>
      </c>
      <c r="H578" s="36" t="s">
        <v>1210</v>
      </c>
      <c r="L578" s="116" t="s">
        <v>1185</v>
      </c>
      <c r="M578" s="26" t="s">
        <v>482</v>
      </c>
      <c r="N578" s="104" t="s">
        <v>614</v>
      </c>
      <c r="P578" s="104" t="s">
        <v>1180</v>
      </c>
      <c r="S578" s="59" t="s">
        <v>1470</v>
      </c>
      <c r="T578" s="59" t="s">
        <v>1534</v>
      </c>
      <c r="U578" s="59" t="s">
        <v>254</v>
      </c>
      <c r="V578" s="59" t="s">
        <v>254</v>
      </c>
      <c r="W578" s="60" t="s">
        <v>254</v>
      </c>
      <c r="X578" s="59" t="s">
        <v>1468</v>
      </c>
      <c r="Y578" s="59"/>
      <c r="Z578" s="59"/>
      <c r="AA578" s="59"/>
    </row>
    <row r="579" spans="3:27" x14ac:dyDescent="0.25">
      <c r="C579" s="35" t="s">
        <v>1216</v>
      </c>
      <c r="D579" s="36" t="s">
        <v>331</v>
      </c>
      <c r="E579" s="36" t="s">
        <v>387</v>
      </c>
      <c r="F579" s="36" t="s">
        <v>1217</v>
      </c>
      <c r="G579" s="38">
        <v>15000000</v>
      </c>
      <c r="H579" s="36" t="s">
        <v>1443</v>
      </c>
      <c r="L579" s="104" t="s">
        <v>754</v>
      </c>
      <c r="M579" s="26" t="s">
        <v>632</v>
      </c>
      <c r="N579" s="104" t="s">
        <v>574</v>
      </c>
      <c r="P579" s="104" t="s">
        <v>1180</v>
      </c>
      <c r="S579" s="59" t="s">
        <v>1384</v>
      </c>
      <c r="T579" s="59" t="s">
        <v>1535</v>
      </c>
      <c r="U579" s="59" t="s">
        <v>254</v>
      </c>
      <c r="V579" s="59" t="s">
        <v>254</v>
      </c>
      <c r="W579" s="60" t="s">
        <v>254</v>
      </c>
      <c r="X579" s="59" t="s">
        <v>1468</v>
      </c>
      <c r="Y579" s="59"/>
      <c r="Z579" s="59"/>
      <c r="AA579" s="59"/>
    </row>
    <row r="580" spans="3:27" x14ac:dyDescent="0.25">
      <c r="C580" s="35" t="s">
        <v>1363</v>
      </c>
      <c r="D580" s="36" t="s">
        <v>331</v>
      </c>
      <c r="E580" s="36" t="s">
        <v>396</v>
      </c>
      <c r="F580" s="36" t="s">
        <v>1364</v>
      </c>
      <c r="G580" s="38">
        <v>15000000</v>
      </c>
      <c r="H580" s="36" t="s">
        <v>1443</v>
      </c>
      <c r="L580" s="104" t="s">
        <v>754</v>
      </c>
      <c r="M580" s="26" t="s">
        <v>482</v>
      </c>
      <c r="N580" s="104" t="s">
        <v>528</v>
      </c>
      <c r="P580" s="104" t="s">
        <v>1180</v>
      </c>
      <c r="S580" s="45" t="s">
        <v>1524</v>
      </c>
      <c r="T580" s="45" t="s">
        <v>1536</v>
      </c>
      <c r="U580" s="45" t="s">
        <v>437</v>
      </c>
      <c r="V580" s="45" t="s">
        <v>665</v>
      </c>
      <c r="W580" s="46" t="s">
        <v>508</v>
      </c>
      <c r="X580" s="45" t="s">
        <v>1468</v>
      </c>
      <c r="Y580" s="59"/>
      <c r="Z580" s="59"/>
      <c r="AA580" s="59"/>
    </row>
    <row r="581" spans="3:27" x14ac:dyDescent="0.25">
      <c r="C581" s="134" t="s">
        <v>430</v>
      </c>
      <c r="D581" s="36" t="s">
        <v>331</v>
      </c>
      <c r="E581" s="36" t="s">
        <v>431</v>
      </c>
      <c r="F581" s="36" t="s">
        <v>153</v>
      </c>
      <c r="G581" s="38">
        <f>25000000</f>
        <v>25000000</v>
      </c>
      <c r="H581" s="36" t="s">
        <v>347</v>
      </c>
      <c r="L581" s="104" t="s">
        <v>754</v>
      </c>
      <c r="M581" s="26" t="s">
        <v>456</v>
      </c>
      <c r="N581" s="104" t="s">
        <v>525</v>
      </c>
      <c r="P581" s="104" t="s">
        <v>1180</v>
      </c>
      <c r="S581" s="59"/>
      <c r="T581" s="59"/>
      <c r="U581" s="59"/>
      <c r="V581" s="59"/>
      <c r="W581" s="60"/>
      <c r="X581" s="59"/>
      <c r="Y581" s="59"/>
      <c r="Z581" s="59"/>
      <c r="AA581" s="59"/>
    </row>
    <row r="582" spans="3:27" x14ac:dyDescent="0.25">
      <c r="C582" s="134" t="s">
        <v>349</v>
      </c>
      <c r="D582" s="36" t="s">
        <v>331</v>
      </c>
      <c r="E582" s="36" t="s">
        <v>350</v>
      </c>
      <c r="F582" s="36" t="s">
        <v>29</v>
      </c>
      <c r="G582" s="38" t="s">
        <v>334</v>
      </c>
      <c r="H582" s="36" t="s">
        <v>295</v>
      </c>
      <c r="L582" s="116" t="s">
        <v>1189</v>
      </c>
      <c r="M582" s="26" t="s">
        <v>448</v>
      </c>
      <c r="N582" s="104" t="s">
        <v>532</v>
      </c>
      <c r="P582" s="104" t="s">
        <v>1180</v>
      </c>
      <c r="S582" s="59"/>
      <c r="T582" s="59"/>
      <c r="U582" s="59"/>
      <c r="V582" s="59"/>
      <c r="W582" s="60"/>
      <c r="X582" s="59"/>
      <c r="Y582" s="59"/>
      <c r="Z582" s="59"/>
      <c r="AA582" s="59"/>
    </row>
    <row r="583" spans="3:27" x14ac:dyDescent="0.25">
      <c r="C583" s="134" t="s">
        <v>196</v>
      </c>
      <c r="D583" s="36" t="s">
        <v>515</v>
      </c>
      <c r="E583" s="36" t="s">
        <v>331</v>
      </c>
      <c r="F583" s="36" t="s">
        <v>37</v>
      </c>
      <c r="G583" s="38">
        <f>-1000000</f>
        <v>-1000000</v>
      </c>
      <c r="H583" s="36" t="s">
        <v>655</v>
      </c>
      <c r="L583" s="104" t="s">
        <v>750</v>
      </c>
      <c r="M583" s="26" t="s">
        <v>472</v>
      </c>
      <c r="N583" s="104" t="s">
        <v>490</v>
      </c>
      <c r="P583" s="104" t="s">
        <v>1180</v>
      </c>
      <c r="S583" s="59"/>
      <c r="T583" s="59"/>
      <c r="U583" s="59"/>
      <c r="V583" s="59"/>
      <c r="W583" s="60"/>
      <c r="X583" s="59"/>
      <c r="Y583" s="59"/>
      <c r="Z583" s="59"/>
      <c r="AA583" s="59"/>
    </row>
    <row r="584" spans="3:27" x14ac:dyDescent="0.25">
      <c r="C584" s="134" t="s">
        <v>196</v>
      </c>
      <c r="D584" s="36" t="s">
        <v>331</v>
      </c>
      <c r="E584" s="36" t="s">
        <v>350</v>
      </c>
      <c r="F584" s="36" t="s">
        <v>37</v>
      </c>
      <c r="G584" s="38">
        <f>17000000</f>
        <v>17000000</v>
      </c>
      <c r="H584" s="36" t="s">
        <v>239</v>
      </c>
      <c r="L584" s="104" t="s">
        <v>754</v>
      </c>
      <c r="M584" s="26" t="s">
        <v>563</v>
      </c>
      <c r="N584" s="104" t="s">
        <v>521</v>
      </c>
      <c r="P584" s="104" t="s">
        <v>1180</v>
      </c>
      <c r="S584" s="59"/>
      <c r="T584" s="59"/>
      <c r="U584" s="59"/>
      <c r="V584" s="59"/>
      <c r="W584" s="60"/>
      <c r="X584" s="59"/>
      <c r="Y584" s="59"/>
      <c r="Z584" s="59"/>
      <c r="AA584" s="59"/>
    </row>
    <row r="585" spans="3:27" x14ac:dyDescent="0.25">
      <c r="C585" s="134" t="s">
        <v>1246</v>
      </c>
      <c r="D585" s="36" t="s">
        <v>521</v>
      </c>
      <c r="E585" s="36" t="s">
        <v>331</v>
      </c>
      <c r="F585" s="36" t="s">
        <v>50</v>
      </c>
      <c r="G585" s="38" t="s">
        <v>363</v>
      </c>
      <c r="H585" s="36" t="s">
        <v>1240</v>
      </c>
      <c r="L585" s="104" t="s">
        <v>213</v>
      </c>
      <c r="M585" s="26" t="s">
        <v>540</v>
      </c>
      <c r="N585" s="104" t="s">
        <v>578</v>
      </c>
      <c r="P585" s="104" t="s">
        <v>1180</v>
      </c>
      <c r="S585" s="59"/>
      <c r="T585" s="59"/>
      <c r="U585" s="59"/>
      <c r="V585" s="59"/>
      <c r="W585" s="59"/>
      <c r="X585" s="59"/>
      <c r="Y585" s="59"/>
      <c r="Z585" s="59"/>
      <c r="AA585" s="59"/>
    </row>
    <row r="586" spans="3:27" x14ac:dyDescent="0.25">
      <c r="C586" s="134" t="s">
        <v>997</v>
      </c>
      <c r="D586" s="36" t="s">
        <v>689</v>
      </c>
      <c r="E586" s="36" t="s">
        <v>331</v>
      </c>
      <c r="F586" s="36" t="s">
        <v>159</v>
      </c>
      <c r="G586" s="38">
        <f>-4500000</f>
        <v>-4500000</v>
      </c>
      <c r="H586" s="36" t="s">
        <v>860</v>
      </c>
      <c r="L586" s="116" t="s">
        <v>1190</v>
      </c>
      <c r="M586" s="26" t="s">
        <v>582</v>
      </c>
      <c r="N586" s="104" t="s">
        <v>569</v>
      </c>
      <c r="P586" s="104" t="s">
        <v>1180</v>
      </c>
      <c r="S586" s="59"/>
      <c r="T586" s="59"/>
      <c r="U586" s="59"/>
      <c r="V586" s="59"/>
      <c r="W586" s="59"/>
      <c r="X586" s="59"/>
      <c r="Y586" s="59"/>
      <c r="Z586" s="59"/>
      <c r="AA586" s="59"/>
    </row>
    <row r="587" spans="3:27" x14ac:dyDescent="0.25">
      <c r="C587" s="134" t="s">
        <v>997</v>
      </c>
      <c r="D587" s="36" t="s">
        <v>331</v>
      </c>
      <c r="E587" s="36" t="s">
        <v>387</v>
      </c>
      <c r="F587" s="36" t="s">
        <v>159</v>
      </c>
      <c r="G587" s="38">
        <f>33500000</f>
        <v>33500000</v>
      </c>
      <c r="H587" s="36" t="s">
        <v>1210</v>
      </c>
      <c r="L587" s="127" t="s">
        <v>1156</v>
      </c>
      <c r="M587" s="46" t="s">
        <v>563</v>
      </c>
      <c r="N587" s="45" t="s">
        <v>399</v>
      </c>
      <c r="O587" s="45" t="s">
        <v>665</v>
      </c>
      <c r="P587" s="45" t="s">
        <v>1180</v>
      </c>
      <c r="S587" s="59"/>
      <c r="T587" s="59"/>
      <c r="U587" s="59"/>
      <c r="V587" s="59"/>
      <c r="W587" s="59"/>
      <c r="X587" s="59"/>
      <c r="Y587" s="59"/>
      <c r="Z587" s="59"/>
      <c r="AA587" s="59"/>
    </row>
    <row r="588" spans="3:27" x14ac:dyDescent="0.25">
      <c r="C588" s="134" t="s">
        <v>84</v>
      </c>
      <c r="D588" s="36" t="s">
        <v>331</v>
      </c>
      <c r="E588" s="36" t="s">
        <v>624</v>
      </c>
      <c r="F588" s="36" t="s">
        <v>31</v>
      </c>
      <c r="G588" s="38">
        <f>170000</f>
        <v>170000</v>
      </c>
      <c r="H588" s="36" t="s">
        <v>551</v>
      </c>
      <c r="L588" s="104" t="s">
        <v>1189</v>
      </c>
      <c r="M588" s="26" t="s">
        <v>542</v>
      </c>
      <c r="N588" s="104" t="s">
        <v>552</v>
      </c>
      <c r="O588" s="104" t="s">
        <v>619</v>
      </c>
      <c r="P588" s="104" t="s">
        <v>1210</v>
      </c>
      <c r="S588" s="59"/>
      <c r="T588" s="59"/>
      <c r="U588" s="59"/>
      <c r="V588" s="59"/>
      <c r="W588" s="59"/>
      <c r="X588" s="59"/>
      <c r="Y588" s="59"/>
      <c r="Z588" s="59"/>
      <c r="AA588" s="59"/>
    </row>
    <row r="589" spans="3:27" x14ac:dyDescent="0.25">
      <c r="C589" s="134" t="s">
        <v>384</v>
      </c>
      <c r="D589" s="36" t="s">
        <v>331</v>
      </c>
      <c r="E589" s="36" t="s">
        <v>367</v>
      </c>
      <c r="F589" s="36" t="s">
        <v>31</v>
      </c>
      <c r="G589" s="38">
        <f>65500000</f>
        <v>65500000</v>
      </c>
      <c r="H589" s="36" t="s">
        <v>276</v>
      </c>
      <c r="L589" s="104" t="s">
        <v>1185</v>
      </c>
      <c r="M589" s="26" t="s">
        <v>472</v>
      </c>
      <c r="N589" s="104" t="s">
        <v>606</v>
      </c>
      <c r="O589" s="104" t="s">
        <v>469</v>
      </c>
      <c r="P589" s="104" t="s">
        <v>1210</v>
      </c>
      <c r="S589" s="59"/>
      <c r="T589" s="59"/>
      <c r="U589" s="59"/>
      <c r="V589" s="59"/>
      <c r="W589" s="59"/>
      <c r="X589" s="59"/>
      <c r="Y589" s="59"/>
      <c r="Z589" s="59"/>
      <c r="AA589" s="59"/>
    </row>
    <row r="590" spans="3:27" x14ac:dyDescent="0.25">
      <c r="C590" s="134" t="s">
        <v>104</v>
      </c>
      <c r="D590" s="36" t="s">
        <v>331</v>
      </c>
      <c r="E590" s="36" t="s">
        <v>399</v>
      </c>
      <c r="F590" s="36" t="s">
        <v>105</v>
      </c>
      <c r="G590" s="38">
        <f>70000000</f>
        <v>70000000</v>
      </c>
      <c r="H590" s="36" t="s">
        <v>796</v>
      </c>
      <c r="L590" s="104" t="s">
        <v>754</v>
      </c>
      <c r="M590" s="26" t="s">
        <v>503</v>
      </c>
      <c r="N590" s="104" t="s">
        <v>486</v>
      </c>
      <c r="O590" s="104" t="s">
        <v>543</v>
      </c>
      <c r="P590" s="104" t="s">
        <v>1210</v>
      </c>
      <c r="S590" s="59"/>
      <c r="T590" s="59"/>
      <c r="U590" s="59"/>
      <c r="V590" s="59"/>
      <c r="W590" s="59"/>
      <c r="X590" s="59"/>
      <c r="Y590" s="59"/>
      <c r="Z590" s="59"/>
      <c r="AA590" s="59"/>
    </row>
    <row r="591" spans="3:27" x14ac:dyDescent="0.25">
      <c r="C591" s="134" t="s">
        <v>581</v>
      </c>
      <c r="D591" s="36" t="s">
        <v>331</v>
      </c>
      <c r="E591" s="36" t="s">
        <v>516</v>
      </c>
      <c r="F591" s="36" t="s">
        <v>31</v>
      </c>
      <c r="G591" s="38">
        <f>850000</f>
        <v>850000</v>
      </c>
      <c r="H591" s="36" t="s">
        <v>268</v>
      </c>
      <c r="L591" s="104" t="s">
        <v>754</v>
      </c>
      <c r="M591" s="26" t="s">
        <v>542</v>
      </c>
      <c r="N591" s="104" t="s">
        <v>521</v>
      </c>
      <c r="O591" s="104" t="s">
        <v>687</v>
      </c>
      <c r="P591" s="104" t="s">
        <v>1210</v>
      </c>
      <c r="S591" s="59"/>
      <c r="T591" s="59"/>
      <c r="U591" s="59"/>
      <c r="V591" s="59"/>
      <c r="W591" s="59"/>
      <c r="X591" s="59"/>
      <c r="Y591" s="59"/>
      <c r="Z591" s="59"/>
      <c r="AA591" s="59"/>
    </row>
    <row r="592" spans="3:27" x14ac:dyDescent="0.25">
      <c r="C592" s="134" t="s">
        <v>1299</v>
      </c>
      <c r="D592" s="36" t="s">
        <v>331</v>
      </c>
      <c r="E592" s="36" t="s">
        <v>1379</v>
      </c>
      <c r="F592" s="36" t="s">
        <v>37</v>
      </c>
      <c r="G592" s="38">
        <f>1200000</f>
        <v>1200000</v>
      </c>
      <c r="H592" s="36" t="s">
        <v>1374</v>
      </c>
      <c r="L592" s="104" t="s">
        <v>213</v>
      </c>
      <c r="M592" s="26" t="s">
        <v>582</v>
      </c>
      <c r="N592" s="104" t="s">
        <v>387</v>
      </c>
      <c r="O592" s="104" t="s">
        <v>1160</v>
      </c>
      <c r="P592" s="104" t="s">
        <v>1210</v>
      </c>
      <c r="S592" s="59"/>
      <c r="T592" s="59"/>
      <c r="U592" s="59"/>
      <c r="V592" s="59"/>
      <c r="W592" s="59"/>
      <c r="X592" s="59"/>
      <c r="Y592" s="59"/>
      <c r="Z592" s="59"/>
      <c r="AA592" s="59"/>
    </row>
    <row r="593" spans="3:27" x14ac:dyDescent="0.25">
      <c r="C593" s="134" t="s">
        <v>832</v>
      </c>
      <c r="D593" s="36" t="s">
        <v>833</v>
      </c>
      <c r="E593" s="36" t="s">
        <v>331</v>
      </c>
      <c r="F593" s="36" t="s">
        <v>37</v>
      </c>
      <c r="G593" s="38">
        <f>-3100000</f>
        <v>-3100000</v>
      </c>
      <c r="H593" s="36" t="s">
        <v>829</v>
      </c>
      <c r="L593" s="104" t="s">
        <v>213</v>
      </c>
      <c r="M593" s="26" t="s">
        <v>480</v>
      </c>
      <c r="N593" s="104" t="s">
        <v>528</v>
      </c>
      <c r="O593" s="104" t="s">
        <v>504</v>
      </c>
      <c r="P593" s="104" t="s">
        <v>1210</v>
      </c>
      <c r="S593" s="59"/>
      <c r="T593" s="59"/>
      <c r="U593" s="59"/>
      <c r="V593" s="59"/>
      <c r="W593" s="59"/>
      <c r="X593" s="59"/>
      <c r="Y593" s="59"/>
      <c r="Z593" s="59"/>
      <c r="AA593" s="59"/>
    </row>
    <row r="594" spans="3:27" x14ac:dyDescent="0.25">
      <c r="C594" s="134" t="s">
        <v>832</v>
      </c>
      <c r="D594" s="36" t="s">
        <v>331</v>
      </c>
      <c r="E594" s="36" t="s">
        <v>604</v>
      </c>
      <c r="F594" s="36" t="s">
        <v>37</v>
      </c>
      <c r="G594" s="38">
        <f>3200000</f>
        <v>3200000</v>
      </c>
      <c r="H594" s="36" t="s">
        <v>860</v>
      </c>
      <c r="L594" s="118" t="s">
        <v>754</v>
      </c>
      <c r="M594" s="57" t="s">
        <v>480</v>
      </c>
      <c r="N594" s="118" t="s">
        <v>528</v>
      </c>
      <c r="O594" s="118" t="s">
        <v>504</v>
      </c>
      <c r="P594" s="118" t="s">
        <v>1210</v>
      </c>
      <c r="S594" s="59"/>
      <c r="T594" s="59"/>
      <c r="U594" s="59"/>
      <c r="V594" s="59"/>
      <c r="W594" s="59"/>
      <c r="X594" s="59"/>
      <c r="Y594" s="59"/>
      <c r="Z594" s="59"/>
      <c r="AA594" s="59"/>
    </row>
    <row r="595" spans="3:27" x14ac:dyDescent="0.25">
      <c r="C595" s="134" t="s">
        <v>810</v>
      </c>
      <c r="D595" s="36" t="s">
        <v>811</v>
      </c>
      <c r="E595" s="36" t="s">
        <v>331</v>
      </c>
      <c r="F595" s="36" t="s">
        <v>66</v>
      </c>
      <c r="G595" s="38" t="s">
        <v>334</v>
      </c>
      <c r="H595" s="36" t="s">
        <v>796</v>
      </c>
      <c r="L595" s="104" t="s">
        <v>213</v>
      </c>
      <c r="M595" s="26" t="s">
        <v>454</v>
      </c>
      <c r="N595" s="104" t="s">
        <v>606</v>
      </c>
      <c r="O595" s="104" t="s">
        <v>506</v>
      </c>
      <c r="P595" s="104" t="s">
        <v>1240</v>
      </c>
      <c r="S595" s="59"/>
      <c r="T595" s="59"/>
      <c r="U595" s="59"/>
      <c r="V595" s="59"/>
      <c r="W595" s="59"/>
      <c r="X595" s="59"/>
      <c r="Y595" s="59"/>
      <c r="Z595" s="59"/>
      <c r="AA595" s="59"/>
    </row>
    <row r="596" spans="3:27" x14ac:dyDescent="0.25">
      <c r="C596" s="134" t="s">
        <v>371</v>
      </c>
      <c r="D596" s="36" t="s">
        <v>331</v>
      </c>
      <c r="E596" s="36" t="s">
        <v>367</v>
      </c>
      <c r="F596" s="36" t="s">
        <v>184</v>
      </c>
      <c r="G596" s="38">
        <f>100000000</f>
        <v>100000000</v>
      </c>
      <c r="H596" s="36" t="s">
        <v>369</v>
      </c>
      <c r="L596" s="104" t="s">
        <v>754</v>
      </c>
      <c r="M596" s="26" t="s">
        <v>582</v>
      </c>
      <c r="N596" s="104" t="s">
        <v>464</v>
      </c>
      <c r="O596" s="104" t="s">
        <v>537</v>
      </c>
      <c r="P596" s="104" t="s">
        <v>1240</v>
      </c>
      <c r="S596" s="59"/>
      <c r="T596" s="59"/>
      <c r="U596" s="59"/>
      <c r="V596" s="59"/>
      <c r="W596" s="59"/>
      <c r="X596" s="59"/>
      <c r="Y596" s="59"/>
      <c r="Z596" s="59"/>
      <c r="AA596" s="59"/>
    </row>
    <row r="597" spans="3:27" x14ac:dyDescent="0.25">
      <c r="C597" s="134" t="s">
        <v>63</v>
      </c>
      <c r="D597" s="36" t="s">
        <v>331</v>
      </c>
      <c r="E597" s="36" t="s">
        <v>362</v>
      </c>
      <c r="F597" s="36" t="s">
        <v>31</v>
      </c>
      <c r="G597" s="38" t="s">
        <v>363</v>
      </c>
      <c r="H597" s="36" t="s">
        <v>364</v>
      </c>
      <c r="L597" s="104" t="s">
        <v>754</v>
      </c>
      <c r="M597" s="26" t="s">
        <v>503</v>
      </c>
      <c r="N597" s="104" t="s">
        <v>1039</v>
      </c>
      <c r="O597" s="104" t="s">
        <v>1241</v>
      </c>
      <c r="P597" s="104" t="s">
        <v>1240</v>
      </c>
      <c r="S597" s="59"/>
      <c r="T597" s="59"/>
      <c r="U597" s="59"/>
      <c r="V597" s="59"/>
      <c r="W597" s="59"/>
      <c r="X597" s="59"/>
      <c r="Y597" s="59"/>
      <c r="Z597" s="59"/>
      <c r="AA597" s="59"/>
    </row>
    <row r="598" spans="3:27" x14ac:dyDescent="0.25">
      <c r="C598" s="35" t="s">
        <v>1406</v>
      </c>
      <c r="D598" s="36" t="s">
        <v>1090</v>
      </c>
      <c r="E598" s="36" t="s">
        <v>331</v>
      </c>
      <c r="F598" s="36" t="s">
        <v>209</v>
      </c>
      <c r="G598" s="38">
        <f>-2600000</f>
        <v>-2600000</v>
      </c>
      <c r="H598" s="36" t="s">
        <v>1415</v>
      </c>
      <c r="L598" s="104" t="s">
        <v>750</v>
      </c>
      <c r="M598" s="26" t="s">
        <v>542</v>
      </c>
      <c r="N598" s="104" t="s">
        <v>528</v>
      </c>
      <c r="O598" s="104" t="s">
        <v>557</v>
      </c>
      <c r="P598" s="104" t="s">
        <v>1240</v>
      </c>
      <c r="S598" s="59"/>
      <c r="T598" s="59"/>
      <c r="U598" s="59"/>
      <c r="V598" s="59"/>
      <c r="W598" s="59"/>
      <c r="X598" s="59"/>
      <c r="Y598" s="59"/>
      <c r="Z598" s="59"/>
      <c r="AA598" s="59"/>
    </row>
    <row r="599" spans="3:27" x14ac:dyDescent="0.25">
      <c r="C599" s="134" t="s">
        <v>199</v>
      </c>
      <c r="D599" s="36" t="s">
        <v>702</v>
      </c>
      <c r="E599" s="36" t="s">
        <v>331</v>
      </c>
      <c r="F599" s="36" t="s">
        <v>59</v>
      </c>
      <c r="G599" s="38">
        <f>-7500000</f>
        <v>-7500000</v>
      </c>
      <c r="H599" s="36" t="s">
        <v>364</v>
      </c>
      <c r="L599" s="104" t="s">
        <v>1185</v>
      </c>
      <c r="M599" s="26" t="s">
        <v>472</v>
      </c>
      <c r="N599" s="104" t="s">
        <v>705</v>
      </c>
      <c r="O599" s="104" t="s">
        <v>1242</v>
      </c>
      <c r="P599" s="104" t="s">
        <v>1240</v>
      </c>
      <c r="S599" s="59"/>
      <c r="T599" s="59"/>
      <c r="U599" s="59"/>
      <c r="V599" s="59"/>
      <c r="W599" s="59"/>
      <c r="X599" s="59"/>
      <c r="Y599" s="59"/>
      <c r="Z599" s="59"/>
      <c r="AA599" s="59"/>
    </row>
    <row r="600" spans="3:27" x14ac:dyDescent="0.25">
      <c r="C600" s="134" t="s">
        <v>524</v>
      </c>
      <c r="D600" s="36" t="s">
        <v>331</v>
      </c>
      <c r="E600" s="36" t="s">
        <v>525</v>
      </c>
      <c r="F600" s="36" t="s">
        <v>59</v>
      </c>
      <c r="G600" s="38">
        <f>6500000</f>
        <v>6500000</v>
      </c>
      <c r="H600" s="36" t="s">
        <v>282</v>
      </c>
      <c r="L600" s="104" t="s">
        <v>213</v>
      </c>
      <c r="M600" s="26" t="s">
        <v>836</v>
      </c>
      <c r="N600" s="104" t="s">
        <v>614</v>
      </c>
      <c r="O600" s="104" t="s">
        <v>491</v>
      </c>
      <c r="P600" s="104" t="s">
        <v>1240</v>
      </c>
      <c r="S600" s="59"/>
      <c r="T600" s="59"/>
      <c r="U600" s="59"/>
      <c r="V600" s="59"/>
      <c r="W600" s="59"/>
      <c r="X600" s="59"/>
      <c r="Y600" s="59"/>
      <c r="Z600" s="59"/>
      <c r="AA600" s="59"/>
    </row>
    <row r="601" spans="3:27" x14ac:dyDescent="0.25">
      <c r="C601" s="134" t="s">
        <v>1380</v>
      </c>
      <c r="D601" s="36" t="s">
        <v>1381</v>
      </c>
      <c r="E601" s="36" t="s">
        <v>331</v>
      </c>
      <c r="F601" s="36" t="s">
        <v>37</v>
      </c>
      <c r="G601" s="38">
        <f>-1200000</f>
        <v>-1200000</v>
      </c>
      <c r="H601" s="36" t="s">
        <v>1374</v>
      </c>
      <c r="L601" s="104" t="s">
        <v>1189</v>
      </c>
      <c r="M601" s="26" t="s">
        <v>520</v>
      </c>
      <c r="N601" s="104" t="s">
        <v>604</v>
      </c>
      <c r="O601" s="104" t="s">
        <v>539</v>
      </c>
      <c r="P601" s="104" t="s">
        <v>1240</v>
      </c>
      <c r="S601" s="59"/>
      <c r="T601" s="59"/>
      <c r="U601" s="59"/>
      <c r="V601" s="59"/>
      <c r="W601" s="59"/>
      <c r="X601" s="59"/>
      <c r="Y601" s="59"/>
      <c r="Z601" s="59"/>
      <c r="AA601" s="59"/>
    </row>
    <row r="602" spans="3:27" x14ac:dyDescent="0.25">
      <c r="C602" s="134" t="s">
        <v>1376</v>
      </c>
      <c r="D602" s="36" t="s">
        <v>685</v>
      </c>
      <c r="E602" s="36" t="s">
        <v>331</v>
      </c>
      <c r="F602" s="36" t="s">
        <v>211</v>
      </c>
      <c r="G602" s="38">
        <f>-1500000</f>
        <v>-1500000</v>
      </c>
      <c r="H602" s="36" t="s">
        <v>1374</v>
      </c>
      <c r="L602" s="104" t="s">
        <v>213</v>
      </c>
      <c r="M602" s="26" t="s">
        <v>807</v>
      </c>
      <c r="N602" s="104" t="s">
        <v>1243</v>
      </c>
      <c r="O602" s="104" t="s">
        <v>712</v>
      </c>
      <c r="P602" s="104" t="s">
        <v>1240</v>
      </c>
      <c r="S602" s="59"/>
      <c r="T602" s="59"/>
      <c r="U602" s="59"/>
      <c r="V602" s="59"/>
      <c r="W602" s="59"/>
      <c r="X602" s="59"/>
      <c r="Y602" s="59"/>
      <c r="Z602" s="59"/>
      <c r="AA602" s="59"/>
    </row>
    <row r="603" spans="3:27" x14ac:dyDescent="0.25">
      <c r="C603" s="134" t="s">
        <v>137</v>
      </c>
      <c r="D603" s="36" t="s">
        <v>331</v>
      </c>
      <c r="E603" s="36" t="s">
        <v>408</v>
      </c>
      <c r="F603" s="36" t="s">
        <v>31</v>
      </c>
      <c r="G603" s="38">
        <f>37000000</f>
        <v>37000000</v>
      </c>
      <c r="H603" s="36" t="s">
        <v>388</v>
      </c>
      <c r="L603" s="104" t="s">
        <v>750</v>
      </c>
      <c r="M603" s="26" t="s">
        <v>726</v>
      </c>
      <c r="N603" s="104" t="s">
        <v>515</v>
      </c>
      <c r="O603" s="104" t="s">
        <v>1244</v>
      </c>
      <c r="P603" s="104" t="s">
        <v>1240</v>
      </c>
      <c r="S603" s="59"/>
      <c r="T603" s="59"/>
      <c r="U603" s="59"/>
      <c r="V603" s="59"/>
      <c r="W603" s="59"/>
      <c r="X603" s="59"/>
      <c r="Y603" s="59"/>
      <c r="Z603" s="59"/>
      <c r="AA603" s="59"/>
    </row>
    <row r="604" spans="3:27" x14ac:dyDescent="0.25">
      <c r="C604" s="134" t="s">
        <v>57</v>
      </c>
      <c r="D604" s="36" t="s">
        <v>331</v>
      </c>
      <c r="E604" s="36" t="s">
        <v>367</v>
      </c>
      <c r="F604" s="36" t="s">
        <v>47</v>
      </c>
      <c r="G604" s="38">
        <f>56500000</f>
        <v>56500000</v>
      </c>
      <c r="H604" s="36" t="s">
        <v>276</v>
      </c>
      <c r="L604" s="104" t="s">
        <v>213</v>
      </c>
      <c r="M604" s="26" t="s">
        <v>542</v>
      </c>
      <c r="N604" s="104" t="s">
        <v>521</v>
      </c>
      <c r="O604" s="104" t="s">
        <v>854</v>
      </c>
      <c r="P604" s="104" t="s">
        <v>1240</v>
      </c>
      <c r="S604" s="59"/>
      <c r="T604" s="59"/>
      <c r="U604" s="59"/>
      <c r="V604" s="59"/>
      <c r="W604" s="59"/>
      <c r="X604" s="59"/>
      <c r="Y604" s="59"/>
      <c r="Z604" s="59"/>
      <c r="AA604" s="59"/>
    </row>
    <row r="605" spans="3:27" x14ac:dyDescent="0.25">
      <c r="C605" s="134" t="s">
        <v>1378</v>
      </c>
      <c r="D605" s="36" t="s">
        <v>569</v>
      </c>
      <c r="E605" s="36" t="s">
        <v>331</v>
      </c>
      <c r="F605" s="36" t="s">
        <v>25</v>
      </c>
      <c r="G605" s="38">
        <f>-6000000</f>
        <v>-6000000</v>
      </c>
      <c r="H605" s="36" t="s">
        <v>1374</v>
      </c>
      <c r="L605" s="104" t="s">
        <v>754</v>
      </c>
      <c r="M605" s="26" t="s">
        <v>448</v>
      </c>
      <c r="N605" s="104" t="s">
        <v>604</v>
      </c>
      <c r="O605" s="104" t="s">
        <v>855</v>
      </c>
      <c r="P605" s="104" t="s">
        <v>1240</v>
      </c>
      <c r="S605" s="59"/>
      <c r="T605" s="59"/>
      <c r="U605" s="59"/>
      <c r="V605" s="59"/>
      <c r="W605" s="59"/>
      <c r="X605" s="59"/>
      <c r="Y605" s="59"/>
      <c r="Z605" s="59"/>
      <c r="AA605" s="59"/>
    </row>
    <row r="606" spans="3:27" x14ac:dyDescent="0.25">
      <c r="C606" s="35" t="s">
        <v>1378</v>
      </c>
      <c r="D606" s="36" t="s">
        <v>331</v>
      </c>
      <c r="E606" s="36" t="s">
        <v>485</v>
      </c>
      <c r="F606" s="36" t="s">
        <v>25</v>
      </c>
      <c r="G606" s="38">
        <f>10000000</f>
        <v>10000000</v>
      </c>
      <c r="H606" s="36" t="s">
        <v>1415</v>
      </c>
      <c r="L606" s="104" t="s">
        <v>1189</v>
      </c>
      <c r="M606" s="26" t="s">
        <v>582</v>
      </c>
      <c r="N606" s="104" t="s">
        <v>606</v>
      </c>
      <c r="O606" s="104" t="s">
        <v>504</v>
      </c>
      <c r="P606" s="104" t="s">
        <v>1240</v>
      </c>
      <c r="S606" s="59"/>
      <c r="T606" s="59"/>
      <c r="U606" s="59"/>
      <c r="V606" s="59"/>
      <c r="W606" s="59"/>
      <c r="X606" s="59"/>
      <c r="Y606" s="59"/>
      <c r="Z606" s="59"/>
      <c r="AA606" s="59"/>
    </row>
    <row r="607" spans="3:27" ht="15.75" thickBot="1" x14ac:dyDescent="0.3">
      <c r="C607" s="134" t="s">
        <v>803</v>
      </c>
      <c r="D607" s="36" t="s">
        <v>331</v>
      </c>
      <c r="E607" s="36" t="s">
        <v>809</v>
      </c>
      <c r="F607" s="36" t="s">
        <v>66</v>
      </c>
      <c r="G607" s="38">
        <f>6000000</f>
        <v>6000000</v>
      </c>
      <c r="H607" s="36" t="s">
        <v>845</v>
      </c>
      <c r="L607" s="107" t="s">
        <v>213</v>
      </c>
      <c r="M607" s="52" t="s">
        <v>563</v>
      </c>
      <c r="N607" s="107" t="s">
        <v>464</v>
      </c>
      <c r="O607" s="107" t="s">
        <v>533</v>
      </c>
      <c r="P607" s="107" t="s">
        <v>1240</v>
      </c>
      <c r="S607" s="59"/>
      <c r="T607" s="59"/>
      <c r="U607" s="59"/>
      <c r="V607" s="59"/>
      <c r="W607" s="59"/>
      <c r="X607" s="59"/>
      <c r="Y607" s="59"/>
      <c r="Z607" s="59"/>
      <c r="AA607" s="59"/>
    </row>
    <row r="608" spans="3:27" x14ac:dyDescent="0.25">
      <c r="C608" s="134" t="s">
        <v>803</v>
      </c>
      <c r="D608" s="36" t="s">
        <v>809</v>
      </c>
      <c r="E608" s="36" t="s">
        <v>331</v>
      </c>
      <c r="F608" s="36" t="s">
        <v>66</v>
      </c>
      <c r="G608" s="38" t="s">
        <v>334</v>
      </c>
      <c r="H608" s="36" t="s">
        <v>796</v>
      </c>
      <c r="L608" s="104" t="s">
        <v>754</v>
      </c>
      <c r="M608" s="26" t="s">
        <v>480</v>
      </c>
      <c r="N608" s="104" t="s">
        <v>569</v>
      </c>
      <c r="O608" s="104" t="s">
        <v>586</v>
      </c>
      <c r="P608" s="104" t="s">
        <v>1271</v>
      </c>
      <c r="S608" s="59"/>
      <c r="T608" s="59"/>
      <c r="U608" s="59"/>
      <c r="V608" s="59"/>
      <c r="W608" s="59"/>
      <c r="X608" s="59"/>
      <c r="Y608" s="59"/>
      <c r="Z608" s="59"/>
      <c r="AA608" s="59"/>
    </row>
    <row r="609" spans="3:27" x14ac:dyDescent="0.25">
      <c r="C609" s="134" t="s">
        <v>214</v>
      </c>
      <c r="D609" s="36" t="s">
        <v>677</v>
      </c>
      <c r="E609" s="36" t="s">
        <v>331</v>
      </c>
      <c r="F609" s="36" t="s">
        <v>215</v>
      </c>
      <c r="G609" s="38">
        <f>-2000000</f>
        <v>-2000000</v>
      </c>
      <c r="H609" s="36" t="s">
        <v>268</v>
      </c>
      <c r="L609" s="104" t="s">
        <v>213</v>
      </c>
      <c r="M609" s="26" t="s">
        <v>482</v>
      </c>
      <c r="N609" s="104" t="s">
        <v>377</v>
      </c>
      <c r="O609" s="104" t="s">
        <v>1241</v>
      </c>
      <c r="P609" t="s">
        <v>1271</v>
      </c>
      <c r="S609" s="59"/>
      <c r="T609" s="59"/>
      <c r="U609" s="59"/>
      <c r="V609" s="59"/>
      <c r="W609" s="59"/>
      <c r="X609" s="59"/>
      <c r="Y609" s="59"/>
      <c r="Z609" s="59"/>
      <c r="AA609" s="59"/>
    </row>
    <row r="610" spans="3:27" x14ac:dyDescent="0.25">
      <c r="C610" s="134" t="s">
        <v>214</v>
      </c>
      <c r="D610" s="36" t="s">
        <v>331</v>
      </c>
      <c r="E610" s="36" t="s">
        <v>345</v>
      </c>
      <c r="F610" s="36" t="s">
        <v>215</v>
      </c>
      <c r="G610" s="38" t="s">
        <v>334</v>
      </c>
      <c r="H610" s="36" t="s">
        <v>268</v>
      </c>
      <c r="L610" s="104" t="s">
        <v>754</v>
      </c>
      <c r="M610" s="26" t="s">
        <v>632</v>
      </c>
      <c r="N610" s="104" t="s">
        <v>536</v>
      </c>
      <c r="O610" s="104" t="s">
        <v>1242</v>
      </c>
      <c r="P610" t="s">
        <v>1271</v>
      </c>
      <c r="S610" s="59"/>
      <c r="T610" s="59"/>
      <c r="U610" s="59"/>
      <c r="V610" s="59"/>
      <c r="W610" s="59"/>
      <c r="X610" s="59"/>
      <c r="Y610" s="59"/>
      <c r="Z610" s="59"/>
      <c r="AA610" s="59"/>
    </row>
    <row r="611" spans="3:27" x14ac:dyDescent="0.25">
      <c r="C611" s="134" t="s">
        <v>90</v>
      </c>
      <c r="D611" s="36" t="s">
        <v>644</v>
      </c>
      <c r="E611" s="36" t="s">
        <v>331</v>
      </c>
      <c r="F611" s="36" t="s">
        <v>92</v>
      </c>
      <c r="G611" s="38">
        <v>0</v>
      </c>
      <c r="H611" s="36" t="s">
        <v>220</v>
      </c>
      <c r="L611" s="104" t="s">
        <v>1189</v>
      </c>
      <c r="M611" s="26" t="s">
        <v>482</v>
      </c>
      <c r="N611" s="104" t="s">
        <v>1262</v>
      </c>
      <c r="O611" s="104" t="s">
        <v>1241</v>
      </c>
      <c r="P611" t="s">
        <v>1271</v>
      </c>
      <c r="S611" s="59"/>
      <c r="T611" s="59"/>
      <c r="U611" s="59"/>
      <c r="V611" s="59"/>
      <c r="W611" s="59"/>
      <c r="X611" s="59"/>
      <c r="Y611" s="59"/>
      <c r="Z611" s="59"/>
      <c r="AA611" s="59"/>
    </row>
    <row r="612" spans="3:27" x14ac:dyDescent="0.25">
      <c r="C612" s="134" t="s">
        <v>90</v>
      </c>
      <c r="D612" s="36" t="s">
        <v>331</v>
      </c>
      <c r="E612" s="36" t="s">
        <v>380</v>
      </c>
      <c r="F612" s="36" t="s">
        <v>92</v>
      </c>
      <c r="G612" s="38">
        <f>80500000</f>
        <v>80500000</v>
      </c>
      <c r="H612" s="36" t="s">
        <v>236</v>
      </c>
      <c r="L612" s="104" t="s">
        <v>1156</v>
      </c>
      <c r="M612" s="26" t="s">
        <v>489</v>
      </c>
      <c r="N612" s="104" t="s">
        <v>528</v>
      </c>
      <c r="O612" s="104" t="s">
        <v>517</v>
      </c>
      <c r="P612" t="s">
        <v>1271</v>
      </c>
      <c r="S612" s="59"/>
      <c r="T612" s="59"/>
      <c r="U612" s="59"/>
      <c r="V612" s="59"/>
      <c r="W612" s="59"/>
      <c r="X612" s="59"/>
      <c r="Y612" s="59"/>
      <c r="Z612" s="59"/>
      <c r="AA612" s="59"/>
    </row>
    <row r="613" spans="3:27" x14ac:dyDescent="0.25">
      <c r="C613" s="134" t="s">
        <v>816</v>
      </c>
      <c r="D613" s="36" t="s">
        <v>331</v>
      </c>
      <c r="E613" s="36" t="s">
        <v>367</v>
      </c>
      <c r="F613" s="36" t="s">
        <v>37</v>
      </c>
      <c r="G613" s="38">
        <f>11500000</f>
        <v>11500000</v>
      </c>
      <c r="H613" s="36" t="s">
        <v>1374</v>
      </c>
      <c r="L613" s="104" t="s">
        <v>213</v>
      </c>
      <c r="M613" s="26" t="s">
        <v>542</v>
      </c>
      <c r="N613" s="104" t="s">
        <v>552</v>
      </c>
      <c r="O613" s="104" t="s">
        <v>473</v>
      </c>
      <c r="P613" t="s">
        <v>1271</v>
      </c>
      <c r="S613" s="59"/>
      <c r="T613" s="59"/>
      <c r="U613" s="59"/>
      <c r="V613" s="59"/>
      <c r="W613" s="59"/>
      <c r="X613" s="59"/>
      <c r="Y613" s="59"/>
      <c r="Z613" s="59"/>
      <c r="AA613" s="59"/>
    </row>
    <row r="614" spans="3:27" x14ac:dyDescent="0.25">
      <c r="C614" s="134" t="s">
        <v>816</v>
      </c>
      <c r="D614" s="36" t="s">
        <v>417</v>
      </c>
      <c r="E614" s="36" t="s">
        <v>331</v>
      </c>
      <c r="F614" s="36" t="s">
        <v>37</v>
      </c>
      <c r="G614" s="38" t="s">
        <v>334</v>
      </c>
      <c r="H614" s="36" t="s">
        <v>800</v>
      </c>
      <c r="L614" s="104" t="s">
        <v>754</v>
      </c>
      <c r="M614" s="26" t="s">
        <v>482</v>
      </c>
      <c r="N614" s="104" t="s">
        <v>604</v>
      </c>
      <c r="O614" s="104" t="s">
        <v>547</v>
      </c>
      <c r="P614" t="s">
        <v>1271</v>
      </c>
      <c r="S614" s="59"/>
      <c r="T614" s="59"/>
      <c r="U614" s="59"/>
      <c r="V614" s="59"/>
      <c r="W614" s="59"/>
      <c r="X614" s="59"/>
      <c r="Y614" s="59"/>
      <c r="Z614" s="59"/>
      <c r="AA614" s="59"/>
    </row>
    <row r="615" spans="3:27" x14ac:dyDescent="0.25">
      <c r="C615" s="134" t="s">
        <v>135</v>
      </c>
      <c r="D615" s="36" t="s">
        <v>308</v>
      </c>
      <c r="E615" s="36" t="s">
        <v>331</v>
      </c>
      <c r="F615" s="36" t="s">
        <v>105</v>
      </c>
      <c r="G615" s="38">
        <f>-30000000</f>
        <v>-30000000</v>
      </c>
      <c r="H615" s="36" t="s">
        <v>270</v>
      </c>
      <c r="L615" s="104" t="s">
        <v>213</v>
      </c>
      <c r="M615" s="26" t="s">
        <v>582</v>
      </c>
      <c r="N615" s="104" t="s">
        <v>525</v>
      </c>
      <c r="O615" s="104" t="s">
        <v>615</v>
      </c>
      <c r="P615" t="s">
        <v>1271</v>
      </c>
      <c r="S615" s="59"/>
      <c r="T615" s="59"/>
      <c r="U615" s="59"/>
      <c r="V615" s="59"/>
      <c r="W615" s="59"/>
      <c r="X615" s="59"/>
      <c r="Y615" s="59"/>
      <c r="Z615" s="59"/>
      <c r="AA615" s="59"/>
    </row>
    <row r="616" spans="3:27" x14ac:dyDescent="0.25">
      <c r="C616" s="134" t="s">
        <v>135</v>
      </c>
      <c r="D616" s="36" t="s">
        <v>331</v>
      </c>
      <c r="E616" s="36" t="s">
        <v>377</v>
      </c>
      <c r="F616" s="36" t="s">
        <v>105</v>
      </c>
      <c r="G616" s="38">
        <f>90000000</f>
        <v>90000000</v>
      </c>
      <c r="H616" s="36" t="s">
        <v>315</v>
      </c>
      <c r="L616" s="118" t="s">
        <v>1156</v>
      </c>
      <c r="M616" s="57" t="s">
        <v>456</v>
      </c>
      <c r="N616" s="23" t="s">
        <v>308</v>
      </c>
      <c r="O616" s="23" t="s">
        <v>526</v>
      </c>
      <c r="P616" s="23" t="s">
        <v>1271</v>
      </c>
      <c r="S616" s="59"/>
      <c r="T616" s="59"/>
      <c r="U616" s="59"/>
      <c r="V616" s="59"/>
      <c r="W616" s="59"/>
      <c r="X616" s="59"/>
      <c r="Y616" s="59"/>
      <c r="Z616" s="59"/>
      <c r="AA616" s="59"/>
    </row>
    <row r="617" spans="3:27" x14ac:dyDescent="0.25">
      <c r="C617" s="134" t="s">
        <v>117</v>
      </c>
      <c r="D617" s="36" t="s">
        <v>331</v>
      </c>
      <c r="E617" s="36" t="s">
        <v>377</v>
      </c>
      <c r="F617" s="36" t="s">
        <v>39</v>
      </c>
      <c r="G617" s="38">
        <f>37000000</f>
        <v>37000000</v>
      </c>
      <c r="H617" s="36" t="s">
        <v>388</v>
      </c>
      <c r="L617" s="104" t="s">
        <v>754</v>
      </c>
      <c r="M617" s="26" t="s">
        <v>503</v>
      </c>
      <c r="N617" s="104" t="s">
        <v>521</v>
      </c>
      <c r="O617" s="104" t="s">
        <v>608</v>
      </c>
      <c r="P617" s="104" t="s">
        <v>1284</v>
      </c>
      <c r="S617" s="59"/>
      <c r="T617" s="59"/>
      <c r="U617" s="59"/>
      <c r="V617" s="59"/>
      <c r="W617" s="59"/>
      <c r="X617" s="59"/>
      <c r="Y617" s="59"/>
      <c r="Z617" s="59"/>
      <c r="AA617" s="59"/>
    </row>
    <row r="618" spans="3:27" x14ac:dyDescent="0.25">
      <c r="C618" s="35" t="s">
        <v>1285</v>
      </c>
      <c r="D618" s="36" t="s">
        <v>1286</v>
      </c>
      <c r="E618" s="36" t="s">
        <v>331</v>
      </c>
      <c r="F618" s="36" t="s">
        <v>61</v>
      </c>
      <c r="G618" s="38">
        <f>-1500000</f>
        <v>-1500000</v>
      </c>
      <c r="H618" s="36" t="s">
        <v>1284</v>
      </c>
      <c r="L618" s="104" t="s">
        <v>754</v>
      </c>
      <c r="M618" s="26" t="s">
        <v>472</v>
      </c>
      <c r="N618" s="104" t="s">
        <v>634</v>
      </c>
      <c r="O618" s="104" t="s">
        <v>671</v>
      </c>
      <c r="P618" s="104" t="s">
        <v>1284</v>
      </c>
      <c r="S618" s="59"/>
      <c r="T618" s="59"/>
      <c r="U618" s="59"/>
      <c r="V618" s="59"/>
      <c r="W618" s="59"/>
      <c r="X618" s="59"/>
      <c r="Y618" s="59"/>
      <c r="Z618" s="59"/>
      <c r="AA618" s="59"/>
    </row>
    <row r="619" spans="3:27" x14ac:dyDescent="0.25">
      <c r="C619" s="35" t="s">
        <v>1285</v>
      </c>
      <c r="D619" s="36" t="s">
        <v>331</v>
      </c>
      <c r="E619" s="36" t="s">
        <v>1056</v>
      </c>
      <c r="F619" s="36" t="s">
        <v>61</v>
      </c>
      <c r="G619" s="38">
        <v>2200000</v>
      </c>
      <c r="H619" s="36" t="s">
        <v>1443</v>
      </c>
      <c r="L619" s="104" t="s">
        <v>1189</v>
      </c>
      <c r="M619" s="26" t="s">
        <v>503</v>
      </c>
      <c r="N619" s="104" t="s">
        <v>525</v>
      </c>
      <c r="O619" s="104" t="s">
        <v>638</v>
      </c>
      <c r="P619" s="104" t="s">
        <v>1284</v>
      </c>
      <c r="S619" s="59"/>
      <c r="T619" s="59"/>
      <c r="U619" s="59"/>
      <c r="V619" s="59"/>
      <c r="W619" s="59"/>
      <c r="X619" s="59"/>
      <c r="Y619" s="59"/>
      <c r="Z619" s="59"/>
      <c r="AA619" s="59"/>
    </row>
    <row r="620" spans="3:27" x14ac:dyDescent="0.25">
      <c r="C620" s="134" t="s">
        <v>200</v>
      </c>
      <c r="D620" s="36" t="s">
        <v>681</v>
      </c>
      <c r="E620" s="36" t="s">
        <v>331</v>
      </c>
      <c r="F620" s="36" t="s">
        <v>66</v>
      </c>
      <c r="G620" s="38">
        <f>-2000000</f>
        <v>-2000000</v>
      </c>
      <c r="H620" s="36" t="s">
        <v>364</v>
      </c>
      <c r="L620" s="104" t="s">
        <v>754</v>
      </c>
      <c r="M620" s="26" t="s">
        <v>582</v>
      </c>
      <c r="N620" s="104" t="s">
        <v>550</v>
      </c>
      <c r="O620" s="104" t="s">
        <v>1241</v>
      </c>
      <c r="P620" s="104" t="s">
        <v>1284</v>
      </c>
      <c r="S620" s="59"/>
      <c r="T620" s="59"/>
      <c r="U620" s="59"/>
      <c r="V620" s="59"/>
      <c r="W620" s="59"/>
      <c r="X620" s="59"/>
      <c r="Y620" s="59"/>
      <c r="Z620" s="59"/>
      <c r="AA620" s="59"/>
    </row>
    <row r="621" spans="3:27" x14ac:dyDescent="0.25">
      <c r="C621" s="134" t="s">
        <v>200</v>
      </c>
      <c r="D621" s="36" t="s">
        <v>331</v>
      </c>
      <c r="E621" s="36" t="s">
        <v>571</v>
      </c>
      <c r="F621" s="36" t="s">
        <v>66</v>
      </c>
      <c r="G621" s="38">
        <f>1400000</f>
        <v>1400000</v>
      </c>
      <c r="H621" s="36" t="s">
        <v>268</v>
      </c>
      <c r="L621" s="104" t="s">
        <v>754</v>
      </c>
      <c r="M621" s="26" t="s">
        <v>472</v>
      </c>
      <c r="N621" s="104" t="s">
        <v>468</v>
      </c>
      <c r="O621" s="104" t="s">
        <v>703</v>
      </c>
      <c r="P621" s="104" t="s">
        <v>1284</v>
      </c>
      <c r="S621" s="59"/>
      <c r="T621" s="59"/>
      <c r="U621" s="59"/>
      <c r="V621" s="59"/>
      <c r="W621" s="59"/>
      <c r="X621" s="59"/>
      <c r="Y621" s="59"/>
      <c r="Z621" s="59"/>
      <c r="AA621" s="59"/>
    </row>
    <row r="622" spans="3:27" x14ac:dyDescent="0.25">
      <c r="C622" s="134" t="s">
        <v>1236</v>
      </c>
      <c r="D622" s="36" t="s">
        <v>408</v>
      </c>
      <c r="E622" s="36" t="s">
        <v>331</v>
      </c>
      <c r="F622" s="36" t="s">
        <v>195</v>
      </c>
      <c r="G622" s="38">
        <f>-1800000</f>
        <v>-1800000</v>
      </c>
      <c r="H622" s="36" t="s">
        <v>1240</v>
      </c>
      <c r="L622" s="104" t="s">
        <v>1189</v>
      </c>
      <c r="M622" s="26" t="s">
        <v>563</v>
      </c>
      <c r="N622" s="104" t="s">
        <v>1044</v>
      </c>
      <c r="O622" s="104" t="s">
        <v>1241</v>
      </c>
      <c r="P622" s="104" t="s">
        <v>1284</v>
      </c>
      <c r="S622" s="59"/>
      <c r="T622" s="59"/>
      <c r="U622" s="59"/>
      <c r="V622" s="59"/>
      <c r="W622" s="59"/>
      <c r="X622" s="59"/>
      <c r="Y622" s="59"/>
      <c r="Z622" s="59"/>
      <c r="AA622" s="59"/>
    </row>
    <row r="623" spans="3:27" x14ac:dyDescent="0.25">
      <c r="C623" s="35" t="s">
        <v>1236</v>
      </c>
      <c r="D623" s="36" t="s">
        <v>331</v>
      </c>
      <c r="E623" s="36" t="s">
        <v>367</v>
      </c>
      <c r="F623" s="36" t="s">
        <v>195</v>
      </c>
      <c r="G623" s="38">
        <f>25000000</f>
        <v>25000000</v>
      </c>
      <c r="H623" s="36" t="s">
        <v>1284</v>
      </c>
      <c r="L623" s="104" t="s">
        <v>213</v>
      </c>
      <c r="M623" s="26" t="s">
        <v>472</v>
      </c>
      <c r="N623" s="104" t="s">
        <v>645</v>
      </c>
      <c r="O623" s="104" t="s">
        <v>588</v>
      </c>
      <c r="P623" s="104" t="s">
        <v>1284</v>
      </c>
      <c r="S623" s="59"/>
      <c r="T623" s="59"/>
      <c r="U623" s="59"/>
      <c r="V623" s="59"/>
      <c r="W623" s="59"/>
      <c r="X623" s="59"/>
      <c r="Y623" s="59"/>
      <c r="Z623" s="59"/>
      <c r="AA623" s="59"/>
    </row>
    <row r="624" spans="3:27" x14ac:dyDescent="0.25">
      <c r="C624" s="134" t="s">
        <v>127</v>
      </c>
      <c r="D624" s="36" t="s">
        <v>331</v>
      </c>
      <c r="E624" s="36" t="s">
        <v>528</v>
      </c>
      <c r="F624" s="36" t="s">
        <v>44</v>
      </c>
      <c r="G624" s="38">
        <f>6500000</f>
        <v>6500000</v>
      </c>
      <c r="H624" s="36" t="s">
        <v>236</v>
      </c>
      <c r="L624" s="104" t="s">
        <v>213</v>
      </c>
      <c r="M624" s="26" t="s">
        <v>482</v>
      </c>
      <c r="N624" s="104" t="s">
        <v>569</v>
      </c>
      <c r="O624" s="104" t="s">
        <v>682</v>
      </c>
      <c r="P624" s="104" t="s">
        <v>1284</v>
      </c>
      <c r="S624" s="59"/>
      <c r="T624" s="59"/>
      <c r="U624" s="59"/>
      <c r="V624" s="59"/>
      <c r="W624" s="59"/>
      <c r="X624" s="59"/>
      <c r="Y624" s="59"/>
      <c r="Z624" s="59"/>
      <c r="AA624" s="59"/>
    </row>
    <row r="625" spans="3:27" x14ac:dyDescent="0.25">
      <c r="C625" s="134" t="s">
        <v>136</v>
      </c>
      <c r="D625" s="36" t="s">
        <v>657</v>
      </c>
      <c r="E625" s="36" t="s">
        <v>331</v>
      </c>
      <c r="F625" s="36" t="s">
        <v>79</v>
      </c>
      <c r="G625" s="38">
        <f>-1000000</f>
        <v>-1000000</v>
      </c>
      <c r="H625" s="36" t="s">
        <v>220</v>
      </c>
      <c r="L625" s="104" t="s">
        <v>213</v>
      </c>
      <c r="M625" s="26" t="s">
        <v>582</v>
      </c>
      <c r="N625" s="104" t="s">
        <v>1044</v>
      </c>
      <c r="O625" s="104" t="s">
        <v>1241</v>
      </c>
      <c r="P625" s="104" t="s">
        <v>1284</v>
      </c>
      <c r="S625" s="59"/>
      <c r="T625" s="59"/>
      <c r="U625" s="59"/>
      <c r="V625" s="59"/>
      <c r="W625" s="59"/>
      <c r="X625" s="59"/>
      <c r="Y625" s="59"/>
      <c r="Z625" s="59"/>
      <c r="AA625" s="59"/>
    </row>
    <row r="626" spans="3:27" x14ac:dyDescent="0.25">
      <c r="C626" s="134" t="s">
        <v>136</v>
      </c>
      <c r="D626" s="36" t="s">
        <v>331</v>
      </c>
      <c r="E626" s="36" t="s">
        <v>577</v>
      </c>
      <c r="F626" s="36" t="s">
        <v>79</v>
      </c>
      <c r="G626" s="38">
        <f>1300000</f>
        <v>1300000</v>
      </c>
      <c r="H626" s="36" t="s">
        <v>364</v>
      </c>
      <c r="L626" s="104" t="s">
        <v>1189</v>
      </c>
      <c r="M626" s="26" t="s">
        <v>456</v>
      </c>
      <c r="N626" s="104" t="s">
        <v>578</v>
      </c>
      <c r="O626" s="104" t="s">
        <v>854</v>
      </c>
      <c r="P626" s="104" t="s">
        <v>1284</v>
      </c>
      <c r="S626" s="59"/>
      <c r="T626" s="59"/>
      <c r="U626" s="59"/>
      <c r="V626" s="59"/>
      <c r="W626" s="59"/>
      <c r="X626" s="59"/>
      <c r="Y626" s="59"/>
      <c r="Z626" s="59"/>
      <c r="AA626" s="59"/>
    </row>
    <row r="627" spans="3:27" x14ac:dyDescent="0.25">
      <c r="C627" s="134" t="s">
        <v>172</v>
      </c>
      <c r="D627" s="36" t="s">
        <v>331</v>
      </c>
      <c r="E627" s="36" t="s">
        <v>606</v>
      </c>
      <c r="F627" s="36" t="s">
        <v>171</v>
      </c>
      <c r="G627" s="38">
        <f>500000</f>
        <v>500000</v>
      </c>
      <c r="H627" s="36" t="s">
        <v>239</v>
      </c>
      <c r="L627" s="118" t="s">
        <v>754</v>
      </c>
      <c r="M627" s="57" t="s">
        <v>482</v>
      </c>
      <c r="N627" s="118" t="s">
        <v>606</v>
      </c>
      <c r="O627" s="118" t="s">
        <v>533</v>
      </c>
      <c r="P627" s="118" t="s">
        <v>1284</v>
      </c>
      <c r="S627" s="59"/>
      <c r="T627" s="59"/>
      <c r="U627" s="59"/>
      <c r="V627" s="59"/>
      <c r="W627" s="59"/>
      <c r="X627" s="59"/>
      <c r="Y627" s="59"/>
      <c r="Z627" s="59"/>
      <c r="AA627" s="59"/>
    </row>
    <row r="628" spans="3:27" x14ac:dyDescent="0.25">
      <c r="C628" s="134" t="s">
        <v>85</v>
      </c>
      <c r="D628" s="36" t="s">
        <v>331</v>
      </c>
      <c r="E628" s="36" t="s">
        <v>631</v>
      </c>
      <c r="F628" s="36" t="s">
        <v>31</v>
      </c>
      <c r="G628" s="38">
        <f>110000</f>
        <v>110000</v>
      </c>
      <c r="H628" s="36" t="s">
        <v>551</v>
      </c>
      <c r="L628" s="104" t="s">
        <v>1189</v>
      </c>
      <c r="M628" s="26" t="s">
        <v>563</v>
      </c>
      <c r="N628" s="104" t="s">
        <v>367</v>
      </c>
      <c r="O628" s="104" t="s">
        <v>18</v>
      </c>
      <c r="P628" s="104" t="s">
        <v>1323</v>
      </c>
      <c r="S628" s="59"/>
      <c r="T628" s="59"/>
      <c r="U628" s="59"/>
      <c r="V628" s="59"/>
      <c r="W628" s="59"/>
      <c r="X628" s="59"/>
      <c r="Y628" s="59"/>
      <c r="Z628" s="59"/>
      <c r="AA628" s="59"/>
    </row>
    <row r="629" spans="3:27" x14ac:dyDescent="0.25">
      <c r="C629" s="134" t="s">
        <v>147</v>
      </c>
      <c r="D629" s="36" t="s">
        <v>331</v>
      </c>
      <c r="E629" s="36" t="s">
        <v>812</v>
      </c>
      <c r="F629" s="36" t="s">
        <v>31</v>
      </c>
      <c r="G629" s="38" t="s">
        <v>334</v>
      </c>
      <c r="H629" s="36" t="s">
        <v>796</v>
      </c>
      <c r="L629" s="157" t="s">
        <v>1325</v>
      </c>
      <c r="M629" s="26" t="s">
        <v>542</v>
      </c>
      <c r="N629" s="104" t="s">
        <v>367</v>
      </c>
      <c r="O629" s="104" t="s">
        <v>561</v>
      </c>
      <c r="P629" s="104" t="s">
        <v>1323</v>
      </c>
      <c r="Q629" s="104"/>
      <c r="S629" s="59"/>
      <c r="T629" s="59"/>
      <c r="U629" s="59"/>
      <c r="V629" s="59"/>
      <c r="W629" s="59"/>
      <c r="X629" s="59"/>
      <c r="Y629" s="59"/>
      <c r="Z629" s="59"/>
      <c r="AA629" s="59"/>
    </row>
    <row r="630" spans="3:27" x14ac:dyDescent="0.25">
      <c r="C630" s="134" t="s">
        <v>166</v>
      </c>
      <c r="D630" s="36" t="s">
        <v>331</v>
      </c>
      <c r="E630" s="36" t="s">
        <v>464</v>
      </c>
      <c r="F630" s="36" t="s">
        <v>31</v>
      </c>
      <c r="G630" s="38">
        <f>10000000</f>
        <v>10000000</v>
      </c>
      <c r="H630" s="36" t="s">
        <v>388</v>
      </c>
      <c r="L630" s="104" t="s">
        <v>1189</v>
      </c>
      <c r="M630" s="26" t="s">
        <v>456</v>
      </c>
      <c r="N630" s="104" t="s">
        <v>762</v>
      </c>
      <c r="O630" s="104" t="s">
        <v>687</v>
      </c>
      <c r="P630" s="104" t="s">
        <v>1323</v>
      </c>
      <c r="S630" s="59"/>
      <c r="T630" s="59"/>
      <c r="U630" s="59"/>
      <c r="V630" s="59"/>
      <c r="W630" s="59"/>
      <c r="X630" s="59"/>
      <c r="Y630" s="59"/>
      <c r="Z630" s="59"/>
      <c r="AA630" s="59"/>
    </row>
    <row r="631" spans="3:27" x14ac:dyDescent="0.25">
      <c r="C631" s="134" t="s">
        <v>179</v>
      </c>
      <c r="D631" s="36" t="s">
        <v>331</v>
      </c>
      <c r="E631" s="36" t="s">
        <v>377</v>
      </c>
      <c r="F631" s="36" t="s">
        <v>31</v>
      </c>
      <c r="G631" s="38">
        <f>23500000</f>
        <v>23500000</v>
      </c>
      <c r="H631" s="36" t="s">
        <v>800</v>
      </c>
      <c r="L631" s="157" t="s">
        <v>1326</v>
      </c>
      <c r="M631" s="26" t="s">
        <v>480</v>
      </c>
      <c r="N631" s="104" t="s">
        <v>590</v>
      </c>
      <c r="O631" s="104" t="s">
        <v>591</v>
      </c>
      <c r="P631" s="104" t="s">
        <v>1323</v>
      </c>
      <c r="S631" s="59"/>
      <c r="T631" s="59"/>
      <c r="U631" s="59"/>
      <c r="V631" s="59"/>
      <c r="W631" s="59"/>
      <c r="X631" s="59"/>
      <c r="Y631" s="59"/>
      <c r="Z631" s="59"/>
      <c r="AA631" s="59"/>
    </row>
    <row r="632" spans="3:27" x14ac:dyDescent="0.25">
      <c r="C632" s="134" t="s">
        <v>189</v>
      </c>
      <c r="D632" s="36" t="s">
        <v>331</v>
      </c>
      <c r="E632" s="36" t="s">
        <v>471</v>
      </c>
      <c r="F632" s="36" t="s">
        <v>25</v>
      </c>
      <c r="G632" s="38">
        <f>15000000</f>
        <v>15000000</v>
      </c>
      <c r="H632" s="36" t="s">
        <v>223</v>
      </c>
      <c r="L632" s="104" t="s">
        <v>754</v>
      </c>
      <c r="M632" s="26" t="s">
        <v>582</v>
      </c>
      <c r="N632" s="104" t="s">
        <v>468</v>
      </c>
      <c r="O632" s="104" t="s">
        <v>547</v>
      </c>
      <c r="P632" s="104" t="s">
        <v>1323</v>
      </c>
      <c r="S632" s="59"/>
      <c r="T632" s="59"/>
      <c r="U632" s="59"/>
      <c r="V632" s="59"/>
      <c r="W632" s="59"/>
      <c r="X632" s="59"/>
      <c r="Y632" s="59"/>
      <c r="Z632" s="59"/>
      <c r="AA632" s="59"/>
    </row>
    <row r="633" spans="3:27" x14ac:dyDescent="0.25">
      <c r="C633" s="35" t="s">
        <v>1505</v>
      </c>
      <c r="D633" s="36" t="s">
        <v>1506</v>
      </c>
      <c r="E633" s="36" t="s">
        <v>331</v>
      </c>
      <c r="F633" s="36" t="s">
        <v>31</v>
      </c>
      <c r="G633" s="38">
        <f>-49500000</f>
        <v>-49500000</v>
      </c>
      <c r="H633" s="36" t="s">
        <v>1467</v>
      </c>
      <c r="L633" s="104" t="s">
        <v>213</v>
      </c>
      <c r="M633" s="26" t="s">
        <v>482</v>
      </c>
      <c r="N633" s="104" t="s">
        <v>1175</v>
      </c>
      <c r="O633" s="104" t="s">
        <v>477</v>
      </c>
      <c r="P633" s="104" t="s">
        <v>1323</v>
      </c>
      <c r="S633" s="59"/>
      <c r="T633" s="59"/>
      <c r="U633" s="59"/>
      <c r="V633" s="59"/>
      <c r="W633" s="59"/>
      <c r="X633" s="59"/>
      <c r="Y633" s="59"/>
      <c r="Z633" s="59"/>
      <c r="AA633" s="59"/>
    </row>
    <row r="634" spans="3:27" x14ac:dyDescent="0.25">
      <c r="C634" s="134" t="s">
        <v>771</v>
      </c>
      <c r="D634" s="36" t="s">
        <v>331</v>
      </c>
      <c r="E634" s="36" t="s">
        <v>468</v>
      </c>
      <c r="F634" s="36" t="s">
        <v>773</v>
      </c>
      <c r="G634" s="38" t="s">
        <v>334</v>
      </c>
      <c r="H634" s="36" t="s">
        <v>845</v>
      </c>
      <c r="L634" s="104" t="s">
        <v>1189</v>
      </c>
      <c r="M634" s="26" t="s">
        <v>482</v>
      </c>
      <c r="N634" s="104" t="s">
        <v>367</v>
      </c>
      <c r="O634" s="104" t="s">
        <v>615</v>
      </c>
      <c r="P634" s="104" t="s">
        <v>1323</v>
      </c>
      <c r="S634" s="59"/>
      <c r="T634" s="59"/>
      <c r="U634" s="59"/>
      <c r="V634" s="59"/>
      <c r="W634" s="59"/>
      <c r="X634" s="59"/>
      <c r="Y634" s="59"/>
      <c r="Z634" s="59"/>
      <c r="AA634" s="59"/>
    </row>
    <row r="635" spans="3:27" x14ac:dyDescent="0.25">
      <c r="C635" s="134" t="s">
        <v>204</v>
      </c>
      <c r="D635" s="36" t="s">
        <v>714</v>
      </c>
      <c r="E635" s="36" t="s">
        <v>331</v>
      </c>
      <c r="F635" s="36" t="s">
        <v>130</v>
      </c>
      <c r="G635" s="38">
        <f>-13000000</f>
        <v>-13000000</v>
      </c>
      <c r="H635" s="36" t="s">
        <v>388</v>
      </c>
      <c r="L635" s="104" t="s">
        <v>213</v>
      </c>
      <c r="M635" s="26" t="s">
        <v>542</v>
      </c>
      <c r="N635" s="104" t="s">
        <v>536</v>
      </c>
      <c r="O635" s="104" t="s">
        <v>526</v>
      </c>
      <c r="P635" s="104" t="s">
        <v>1323</v>
      </c>
      <c r="S635" s="59"/>
      <c r="T635" s="59"/>
      <c r="U635" s="59"/>
      <c r="V635" s="59"/>
      <c r="W635" s="59"/>
      <c r="X635" s="59"/>
      <c r="Y635" s="59"/>
      <c r="Z635" s="59"/>
      <c r="AA635" s="59"/>
    </row>
    <row r="636" spans="3:27" x14ac:dyDescent="0.25">
      <c r="C636" s="134" t="s">
        <v>26</v>
      </c>
      <c r="D636" s="36" t="s">
        <v>331</v>
      </c>
      <c r="E636" s="36" t="s">
        <v>441</v>
      </c>
      <c r="F636" s="36" t="s">
        <v>27</v>
      </c>
      <c r="G636" s="38">
        <f>20000000</f>
        <v>20000000</v>
      </c>
      <c r="H636" s="36" t="s">
        <v>278</v>
      </c>
      <c r="L636" s="116" t="s">
        <v>1290</v>
      </c>
      <c r="M636" s="26" t="s">
        <v>489</v>
      </c>
      <c r="N636" s="104" t="s">
        <v>554</v>
      </c>
      <c r="O636" s="104" t="s">
        <v>712</v>
      </c>
      <c r="P636" s="104" t="s">
        <v>1323</v>
      </c>
      <c r="S636" s="59"/>
      <c r="T636" s="59"/>
      <c r="U636" s="59"/>
      <c r="V636" s="59"/>
      <c r="W636" s="59"/>
      <c r="X636" s="59"/>
      <c r="Y636" s="59"/>
      <c r="Z636" s="59"/>
      <c r="AA636" s="59"/>
    </row>
    <row r="637" spans="3:27" x14ac:dyDescent="0.25">
      <c r="C637" s="134" t="s">
        <v>723</v>
      </c>
      <c r="D637" s="36" t="s">
        <v>331</v>
      </c>
      <c r="E637" s="36" t="s">
        <v>396</v>
      </c>
      <c r="F637" s="36" t="s">
        <v>188</v>
      </c>
      <c r="G637" s="38">
        <f>35000000</f>
        <v>35000000</v>
      </c>
      <c r="H637" s="36" t="s">
        <v>770</v>
      </c>
      <c r="L637" s="104" t="s">
        <v>1185</v>
      </c>
      <c r="M637" s="26" t="s">
        <v>456</v>
      </c>
      <c r="N637" s="104" t="s">
        <v>515</v>
      </c>
      <c r="O637" s="104" t="s">
        <v>1244</v>
      </c>
      <c r="P637" s="104" t="s">
        <v>1323</v>
      </c>
      <c r="S637" s="59"/>
      <c r="T637" s="59"/>
      <c r="U637" s="59"/>
      <c r="V637" s="59"/>
      <c r="W637" s="59"/>
      <c r="X637" s="59"/>
      <c r="Y637" s="59"/>
      <c r="Z637" s="59"/>
      <c r="AA637" s="59"/>
    </row>
    <row r="638" spans="3:27" x14ac:dyDescent="0.25">
      <c r="C638" s="134" t="s">
        <v>97</v>
      </c>
      <c r="D638" s="36" t="s">
        <v>340</v>
      </c>
      <c r="E638" s="36" t="s">
        <v>331</v>
      </c>
      <c r="F638" s="36" t="s">
        <v>37</v>
      </c>
      <c r="G638" s="38">
        <f>-4000000+ -7500000</f>
        <v>-11500000</v>
      </c>
      <c r="H638" s="36" t="s">
        <v>236</v>
      </c>
      <c r="L638" s="104" t="s">
        <v>1290</v>
      </c>
      <c r="M638" s="26" t="s">
        <v>511</v>
      </c>
      <c r="N638" s="104" t="s">
        <v>471</v>
      </c>
      <c r="O638" s="104" t="s">
        <v>700</v>
      </c>
      <c r="P638" s="104" t="s">
        <v>1323</v>
      </c>
      <c r="S638" s="59"/>
      <c r="T638" s="59"/>
      <c r="U638" s="59"/>
      <c r="V638" s="59"/>
      <c r="W638" s="59"/>
      <c r="X638" s="59"/>
      <c r="Y638" s="59"/>
      <c r="Z638" s="59"/>
      <c r="AA638" s="59"/>
    </row>
    <row r="639" spans="3:27" x14ac:dyDescent="0.25">
      <c r="C639" s="134" t="s">
        <v>97</v>
      </c>
      <c r="D639" s="36" t="s">
        <v>331</v>
      </c>
      <c r="E639" s="36" t="s">
        <v>396</v>
      </c>
      <c r="F639" s="36" t="s">
        <v>37</v>
      </c>
      <c r="G639" s="38">
        <f>48000000</f>
        <v>48000000</v>
      </c>
      <c r="H639" s="36" t="s">
        <v>276</v>
      </c>
      <c r="L639" s="118" t="s">
        <v>1189</v>
      </c>
      <c r="M639" s="57" t="s">
        <v>472</v>
      </c>
      <c r="N639" s="118" t="s">
        <v>308</v>
      </c>
      <c r="O639" s="118" t="s">
        <v>533</v>
      </c>
      <c r="P639" s="118" t="s">
        <v>1323</v>
      </c>
      <c r="S639" s="59"/>
      <c r="T639" s="59"/>
      <c r="U639" s="59"/>
      <c r="V639" s="59"/>
      <c r="W639" s="59"/>
      <c r="X639" s="59"/>
      <c r="Y639" s="59"/>
      <c r="Z639" s="59"/>
      <c r="AA639" s="59"/>
    </row>
    <row r="640" spans="3:27" x14ac:dyDescent="0.25">
      <c r="C640" s="134" t="s">
        <v>498</v>
      </c>
      <c r="D640" s="36" t="s">
        <v>331</v>
      </c>
      <c r="E640" s="36" t="s">
        <v>499</v>
      </c>
      <c r="F640" s="36" t="s">
        <v>333</v>
      </c>
      <c r="G640" s="38">
        <f>10500000</f>
        <v>10500000</v>
      </c>
      <c r="H640" s="36" t="s">
        <v>239</v>
      </c>
      <c r="L640" s="104" t="s">
        <v>213</v>
      </c>
      <c r="M640" s="26" t="s">
        <v>456</v>
      </c>
      <c r="N640" s="104" t="s">
        <v>521</v>
      </c>
      <c r="O640" s="104" t="s">
        <v>638</v>
      </c>
      <c r="P640" s="104" t="s">
        <v>1349</v>
      </c>
      <c r="S640" s="59"/>
      <c r="T640" s="59"/>
      <c r="U640" s="59"/>
      <c r="V640" s="59"/>
      <c r="W640" s="59"/>
      <c r="X640" s="59"/>
      <c r="Y640" s="59"/>
      <c r="Z640" s="59"/>
      <c r="AA640" s="59"/>
    </row>
    <row r="641" spans="3:27" x14ac:dyDescent="0.25">
      <c r="C641" s="134" t="s">
        <v>42</v>
      </c>
      <c r="D641" s="36" t="s">
        <v>331</v>
      </c>
      <c r="E641" s="36" t="s">
        <v>254</v>
      </c>
      <c r="F641" s="36" t="s">
        <v>44</v>
      </c>
      <c r="G641" s="38" t="s">
        <v>358</v>
      </c>
      <c r="H641" s="36" t="s">
        <v>800</v>
      </c>
      <c r="L641" t="s">
        <v>213</v>
      </c>
      <c r="M641" s="26" t="s">
        <v>582</v>
      </c>
      <c r="N641" s="104" t="s">
        <v>705</v>
      </c>
      <c r="O641" s="104" t="s">
        <v>487</v>
      </c>
      <c r="P641" t="s">
        <v>1349</v>
      </c>
      <c r="S641" s="59"/>
      <c r="T641" s="59"/>
      <c r="U641" s="59"/>
      <c r="V641" s="59"/>
      <c r="W641" s="59"/>
      <c r="X641" s="59"/>
      <c r="Y641" s="59"/>
      <c r="Z641" s="59"/>
      <c r="AA641" s="59"/>
    </row>
    <row r="642" spans="3:27" x14ac:dyDescent="0.25">
      <c r="C642" s="134" t="s">
        <v>1239</v>
      </c>
      <c r="D642" s="36" t="s">
        <v>1245</v>
      </c>
      <c r="E642" s="36" t="s">
        <v>331</v>
      </c>
      <c r="F642" s="36" t="s">
        <v>75</v>
      </c>
      <c r="G642" s="38">
        <f>-500000</f>
        <v>-500000</v>
      </c>
      <c r="H642" s="36" t="s">
        <v>1240</v>
      </c>
      <c r="L642" t="s">
        <v>1189</v>
      </c>
      <c r="M642" s="26" t="s">
        <v>1362</v>
      </c>
      <c r="N642" s="104" t="s">
        <v>762</v>
      </c>
      <c r="O642" s="104" t="s">
        <v>619</v>
      </c>
      <c r="P642" t="s">
        <v>1349</v>
      </c>
      <c r="S642" s="59"/>
      <c r="T642" s="59"/>
      <c r="U642" s="59"/>
      <c r="V642" s="59"/>
      <c r="W642" s="59"/>
      <c r="X642" s="59"/>
      <c r="Y642" s="59"/>
      <c r="Z642" s="59"/>
      <c r="AA642" s="59"/>
    </row>
    <row r="643" spans="3:27" x14ac:dyDescent="0.25">
      <c r="C643" s="35" t="s">
        <v>1239</v>
      </c>
      <c r="D643" s="36" t="s">
        <v>331</v>
      </c>
      <c r="E643" s="36" t="s">
        <v>809</v>
      </c>
      <c r="F643" s="36" t="s">
        <v>75</v>
      </c>
      <c r="G643" s="38">
        <f>42500000</f>
        <v>42500000</v>
      </c>
      <c r="H643" s="36" t="s">
        <v>1323</v>
      </c>
      <c r="L643" t="s">
        <v>754</v>
      </c>
      <c r="M643" s="26" t="s">
        <v>1362</v>
      </c>
      <c r="N643" s="104" t="s">
        <v>762</v>
      </c>
      <c r="O643" s="104" t="s">
        <v>619</v>
      </c>
      <c r="P643" t="s">
        <v>1349</v>
      </c>
      <c r="S643" s="59"/>
      <c r="T643" s="59"/>
      <c r="U643" s="59"/>
      <c r="V643" s="59"/>
      <c r="W643" s="59"/>
      <c r="X643" s="59"/>
      <c r="Y643" s="59"/>
      <c r="Z643" s="59"/>
      <c r="AA643" s="59"/>
    </row>
    <row r="644" spans="3:27" x14ac:dyDescent="0.25">
      <c r="C644" s="134" t="s">
        <v>114</v>
      </c>
      <c r="D644" s="36" t="s">
        <v>331</v>
      </c>
      <c r="E644" s="36" t="s">
        <v>414</v>
      </c>
      <c r="F644" s="36" t="s">
        <v>31</v>
      </c>
      <c r="G644" s="38">
        <f>3300000</f>
        <v>3300000</v>
      </c>
      <c r="H644" s="36" t="s">
        <v>268</v>
      </c>
      <c r="L644" t="s">
        <v>754</v>
      </c>
      <c r="M644" s="26" t="s">
        <v>546</v>
      </c>
      <c r="N644" s="104" t="s">
        <v>471</v>
      </c>
      <c r="O644" s="104" t="s">
        <v>586</v>
      </c>
      <c r="P644" t="s">
        <v>1349</v>
      </c>
      <c r="S644" s="59"/>
      <c r="T644" s="59"/>
      <c r="U644" s="59"/>
      <c r="V644" s="59"/>
      <c r="W644" s="59"/>
      <c r="X644" s="59"/>
      <c r="Y644" s="59"/>
      <c r="Z644" s="59"/>
      <c r="AA644" s="59"/>
    </row>
    <row r="645" spans="3:27" x14ac:dyDescent="0.25">
      <c r="C645" s="134" t="s">
        <v>995</v>
      </c>
      <c r="D645" s="36" t="s">
        <v>610</v>
      </c>
      <c r="E645" s="36" t="s">
        <v>331</v>
      </c>
      <c r="F645" s="36" t="s">
        <v>996</v>
      </c>
      <c r="G645" s="38">
        <f>-7000000</f>
        <v>-7000000</v>
      </c>
      <c r="H645" s="36" t="s">
        <v>860</v>
      </c>
      <c r="L645" t="s">
        <v>1290</v>
      </c>
      <c r="M645" s="26" t="s">
        <v>472</v>
      </c>
      <c r="N645" s="104" t="s">
        <v>950</v>
      </c>
      <c r="O645" s="104" t="s">
        <v>1241</v>
      </c>
      <c r="P645" t="s">
        <v>1349</v>
      </c>
      <c r="S645" s="59"/>
      <c r="T645" s="59"/>
      <c r="U645" s="59"/>
      <c r="V645" s="59"/>
      <c r="W645" s="59"/>
      <c r="X645" s="59"/>
      <c r="Y645" s="59"/>
      <c r="Z645" s="59"/>
      <c r="AA645" s="59"/>
    </row>
    <row r="646" spans="3:27" x14ac:dyDescent="0.25">
      <c r="C646" s="35" t="s">
        <v>995</v>
      </c>
      <c r="D646" s="36" t="s">
        <v>331</v>
      </c>
      <c r="E646" s="36" t="s">
        <v>441</v>
      </c>
      <c r="F646" s="36" t="s">
        <v>996</v>
      </c>
      <c r="G646" s="38">
        <f>20000000</f>
        <v>20000000</v>
      </c>
      <c r="H646" s="36" t="s">
        <v>1284</v>
      </c>
      <c r="L646" t="s">
        <v>1189</v>
      </c>
      <c r="M646" s="26" t="s">
        <v>472</v>
      </c>
      <c r="N646" s="104" t="s">
        <v>345</v>
      </c>
      <c r="O646" s="104" t="s">
        <v>561</v>
      </c>
      <c r="P646" t="s">
        <v>1349</v>
      </c>
      <c r="S646" s="59"/>
      <c r="T646" s="59"/>
      <c r="U646" s="59"/>
      <c r="V646" s="59"/>
      <c r="W646" s="59"/>
      <c r="X646" s="59"/>
      <c r="Y646" s="59"/>
      <c r="Z646" s="59"/>
      <c r="AA646" s="59"/>
    </row>
    <row r="647" spans="3:27" x14ac:dyDescent="0.25">
      <c r="C647" s="35" t="s">
        <v>1469</v>
      </c>
      <c r="D647" s="36" t="s">
        <v>331</v>
      </c>
      <c r="E647" s="36" t="s">
        <v>417</v>
      </c>
      <c r="F647" s="36" t="s">
        <v>79</v>
      </c>
      <c r="G647" s="38">
        <f>23500000</f>
        <v>23500000</v>
      </c>
      <c r="H647" s="36" t="s">
        <v>1468</v>
      </c>
      <c r="L647" t="s">
        <v>1189</v>
      </c>
      <c r="M647" s="26" t="s">
        <v>456</v>
      </c>
      <c r="N647" s="104" t="s">
        <v>578</v>
      </c>
      <c r="O647" s="104" t="s">
        <v>687</v>
      </c>
      <c r="P647" t="s">
        <v>1349</v>
      </c>
      <c r="S647" s="59"/>
      <c r="T647" s="59"/>
      <c r="U647" s="59"/>
      <c r="V647" s="59"/>
      <c r="W647" s="59"/>
      <c r="X647" s="59"/>
      <c r="Y647" s="59"/>
      <c r="Z647" s="59"/>
      <c r="AA647" s="59"/>
    </row>
    <row r="648" spans="3:27" x14ac:dyDescent="0.25">
      <c r="C648" s="35" t="s">
        <v>1405</v>
      </c>
      <c r="D648" s="36" t="s">
        <v>331</v>
      </c>
      <c r="E648" s="36" t="s">
        <v>528</v>
      </c>
      <c r="F648" s="36" t="s">
        <v>333</v>
      </c>
      <c r="G648" s="38">
        <f>3300000</f>
        <v>3300000</v>
      </c>
      <c r="H648" s="36" t="s">
        <v>1468</v>
      </c>
      <c r="L648" t="s">
        <v>754</v>
      </c>
      <c r="M648" s="26" t="s">
        <v>503</v>
      </c>
      <c r="N648" s="104" t="s">
        <v>607</v>
      </c>
      <c r="O648" s="104" t="s">
        <v>473</v>
      </c>
      <c r="P648" t="s">
        <v>1349</v>
      </c>
      <c r="S648" s="59"/>
      <c r="T648" s="59"/>
      <c r="U648" s="59"/>
      <c r="V648" s="59"/>
      <c r="W648" s="59"/>
      <c r="X648" s="59"/>
      <c r="Y648" s="59"/>
      <c r="Z648" s="59"/>
      <c r="AA648" s="59"/>
    </row>
    <row r="649" spans="3:27" x14ac:dyDescent="0.25">
      <c r="C649" s="35" t="s">
        <v>1524</v>
      </c>
      <c r="D649" s="36" t="s">
        <v>705</v>
      </c>
      <c r="E649" s="36" t="s">
        <v>331</v>
      </c>
      <c r="F649" s="36" t="s">
        <v>37</v>
      </c>
      <c r="G649" s="38">
        <f>-16000000</f>
        <v>-16000000</v>
      </c>
      <c r="H649" s="36" t="s">
        <v>1468</v>
      </c>
      <c r="L649" t="s">
        <v>1290</v>
      </c>
      <c r="M649" s="26" t="s">
        <v>582</v>
      </c>
      <c r="N649" s="104" t="s">
        <v>536</v>
      </c>
      <c r="O649" s="104" t="s">
        <v>539</v>
      </c>
      <c r="P649" t="s">
        <v>1349</v>
      </c>
      <c r="S649" s="59"/>
      <c r="T649" s="59"/>
      <c r="U649" s="59"/>
      <c r="V649" s="59"/>
      <c r="W649" s="59"/>
      <c r="X649" s="59"/>
      <c r="Y649" s="59"/>
      <c r="Z649" s="59"/>
      <c r="AA649" s="59"/>
    </row>
    <row r="650" spans="3:27" x14ac:dyDescent="0.25">
      <c r="C650" s="35" t="s">
        <v>1407</v>
      </c>
      <c r="D650" s="36" t="s">
        <v>331</v>
      </c>
      <c r="E650" s="36" t="s">
        <v>1113</v>
      </c>
      <c r="F650" s="36" t="s">
        <v>153</v>
      </c>
      <c r="G650" s="38">
        <f>12000000</f>
        <v>12000000</v>
      </c>
      <c r="H650" s="36" t="s">
        <v>1468</v>
      </c>
      <c r="L650" t="s">
        <v>213</v>
      </c>
      <c r="M650" s="26" t="s">
        <v>632</v>
      </c>
      <c r="N650" s="104" t="s">
        <v>762</v>
      </c>
      <c r="O650" s="104" t="s">
        <v>837</v>
      </c>
      <c r="P650" t="s">
        <v>1349</v>
      </c>
      <c r="S650" s="59"/>
      <c r="T650" s="59"/>
      <c r="U650" s="59"/>
      <c r="V650" s="59"/>
      <c r="W650" s="59"/>
      <c r="X650" s="59"/>
      <c r="Y650" s="59"/>
      <c r="Z650" s="59"/>
      <c r="AA650" s="59"/>
    </row>
    <row r="651" spans="3:27" x14ac:dyDescent="0.25">
      <c r="C651" s="35" t="s">
        <v>1406</v>
      </c>
      <c r="D651" s="36" t="s">
        <v>331</v>
      </c>
      <c r="E651" s="36" t="s">
        <v>705</v>
      </c>
      <c r="F651" s="36" t="s">
        <v>209</v>
      </c>
      <c r="G651" s="38">
        <f>6500000</f>
        <v>6500000</v>
      </c>
      <c r="H651" s="36" t="s">
        <v>1468</v>
      </c>
      <c r="L651" t="s">
        <v>1189</v>
      </c>
      <c r="M651" s="26" t="s">
        <v>542</v>
      </c>
      <c r="N651" s="104" t="s">
        <v>1175</v>
      </c>
      <c r="O651" s="104" t="s">
        <v>700</v>
      </c>
      <c r="P651" t="s">
        <v>1349</v>
      </c>
      <c r="S651" s="59"/>
      <c r="T651" s="59"/>
      <c r="U651" s="59"/>
      <c r="V651" s="59"/>
      <c r="W651" s="59"/>
      <c r="X651" s="59"/>
      <c r="Y651" s="59"/>
      <c r="Z651" s="59"/>
      <c r="AA651" s="59"/>
    </row>
    <row r="652" spans="3:27" x14ac:dyDescent="0.25">
      <c r="C652" s="35" t="s">
        <v>1525</v>
      </c>
      <c r="D652" s="36" t="s">
        <v>308</v>
      </c>
      <c r="E652" s="36" t="s">
        <v>331</v>
      </c>
      <c r="F652" s="36" t="s">
        <v>37</v>
      </c>
      <c r="G652" s="38">
        <f>-15000000</f>
        <v>-15000000</v>
      </c>
      <c r="H652" s="36" t="s">
        <v>1468</v>
      </c>
      <c r="L652" s="23" t="s">
        <v>754</v>
      </c>
      <c r="M652" s="57" t="s">
        <v>472</v>
      </c>
      <c r="N652" s="23" t="s">
        <v>345</v>
      </c>
      <c r="O652" s="23" t="s">
        <v>504</v>
      </c>
      <c r="P652" s="23" t="s">
        <v>1349</v>
      </c>
      <c r="S652" s="59"/>
      <c r="T652" s="59"/>
      <c r="U652" s="59"/>
      <c r="V652" s="59"/>
      <c r="W652" s="59"/>
      <c r="X652" s="59"/>
      <c r="Y652" s="59"/>
      <c r="Z652" s="59"/>
      <c r="AA652" s="59"/>
    </row>
    <row r="653" spans="3:27" x14ac:dyDescent="0.25">
      <c r="C653" s="35" t="s">
        <v>1526</v>
      </c>
      <c r="D653" s="36" t="s">
        <v>571</v>
      </c>
      <c r="E653" s="36" t="s">
        <v>331</v>
      </c>
      <c r="F653" s="36" t="s">
        <v>1527</v>
      </c>
      <c r="G653" s="38">
        <f>-30000000</f>
        <v>-30000000</v>
      </c>
      <c r="H653" s="36" t="s">
        <v>1468</v>
      </c>
      <c r="L653" s="104" t="s">
        <v>754</v>
      </c>
      <c r="M653" s="26" t="s">
        <v>472</v>
      </c>
      <c r="N653" s="104" t="s">
        <v>569</v>
      </c>
      <c r="O653" s="104" t="s">
        <v>18</v>
      </c>
      <c r="P653" t="s">
        <v>1374</v>
      </c>
      <c r="S653" s="59"/>
      <c r="T653" s="59"/>
      <c r="U653" s="59"/>
      <c r="V653" s="59"/>
      <c r="W653" s="59"/>
      <c r="X653" s="59"/>
      <c r="Y653" s="59"/>
      <c r="Z653" s="59"/>
      <c r="AA653" s="59"/>
    </row>
    <row r="654" spans="3:27" x14ac:dyDescent="0.25">
      <c r="C654" s="35"/>
      <c r="D654" s="36"/>
      <c r="E654" s="36"/>
      <c r="F654" s="36"/>
      <c r="G654" s="38"/>
      <c r="H654" s="36"/>
      <c r="L654" s="104" t="s">
        <v>754</v>
      </c>
      <c r="M654" s="26" t="s">
        <v>531</v>
      </c>
      <c r="N654" s="104" t="s">
        <v>468</v>
      </c>
      <c r="O654" s="104" t="s">
        <v>506</v>
      </c>
      <c r="P654" t="s">
        <v>1374</v>
      </c>
      <c r="S654" s="59"/>
      <c r="T654" s="59"/>
      <c r="U654" s="59"/>
      <c r="V654" s="59"/>
      <c r="W654" s="59"/>
      <c r="X654" s="59"/>
      <c r="Y654" s="59"/>
      <c r="Z654" s="59"/>
      <c r="AA654" s="59"/>
    </row>
    <row r="655" spans="3:27" x14ac:dyDescent="0.25">
      <c r="C655" s="35"/>
      <c r="D655" s="36"/>
      <c r="E655" s="36"/>
      <c r="F655" s="36"/>
      <c r="G655" s="38"/>
      <c r="H655" s="36"/>
      <c r="L655" s="104" t="s">
        <v>1189</v>
      </c>
      <c r="M655" s="26" t="s">
        <v>1362</v>
      </c>
      <c r="N655" s="104" t="s">
        <v>762</v>
      </c>
      <c r="O655" s="104" t="s">
        <v>537</v>
      </c>
      <c r="P655" t="s">
        <v>1374</v>
      </c>
      <c r="S655" s="59"/>
      <c r="T655" s="59"/>
      <c r="U655" s="59"/>
      <c r="V655" s="59"/>
      <c r="W655" s="59"/>
      <c r="X655" s="59"/>
      <c r="Y655" s="59"/>
      <c r="Z655" s="59"/>
      <c r="AA655" s="59"/>
    </row>
    <row r="656" spans="3:27" x14ac:dyDescent="0.25">
      <c r="C656" s="35"/>
      <c r="D656" s="36"/>
      <c r="E656" s="36"/>
      <c r="F656" s="36"/>
      <c r="G656" s="38"/>
      <c r="H656" s="36"/>
      <c r="L656" s="104" t="s">
        <v>754</v>
      </c>
      <c r="M656" s="26" t="s">
        <v>632</v>
      </c>
      <c r="N656" s="104" t="s">
        <v>405</v>
      </c>
      <c r="O656" s="104" t="s">
        <v>1241</v>
      </c>
      <c r="P656" t="s">
        <v>1374</v>
      </c>
      <c r="S656" s="59"/>
      <c r="T656" s="59"/>
      <c r="U656" s="59"/>
      <c r="V656" s="59"/>
      <c r="W656" s="59"/>
      <c r="X656" s="59"/>
      <c r="Y656" s="59"/>
      <c r="Z656" s="59"/>
      <c r="AA656" s="59"/>
    </row>
    <row r="657" spans="3:27" x14ac:dyDescent="0.25">
      <c r="C657" s="35"/>
      <c r="D657" s="36"/>
      <c r="E657" s="36"/>
      <c r="F657" s="36"/>
      <c r="G657" s="38"/>
      <c r="H657" s="36"/>
      <c r="L657" s="104" t="s">
        <v>1189</v>
      </c>
      <c r="M657" s="26" t="s">
        <v>542</v>
      </c>
      <c r="N657" s="104" t="s">
        <v>1398</v>
      </c>
      <c r="O657" s="104" t="s">
        <v>1241</v>
      </c>
      <c r="P657" t="s">
        <v>1374</v>
      </c>
      <c r="S657" s="59"/>
      <c r="T657" s="59"/>
      <c r="U657" s="59"/>
      <c r="V657" s="59"/>
      <c r="W657" s="59"/>
      <c r="X657" s="59"/>
      <c r="Y657" s="59"/>
      <c r="Z657" s="59"/>
      <c r="AA657" s="59"/>
    </row>
    <row r="658" spans="3:27" x14ac:dyDescent="0.25">
      <c r="C658" s="35"/>
      <c r="D658" s="36"/>
      <c r="E658" s="36"/>
      <c r="F658" s="36"/>
      <c r="G658" s="38"/>
      <c r="H658" s="36"/>
      <c r="L658" s="104" t="s">
        <v>1290</v>
      </c>
      <c r="M658" s="26" t="s">
        <v>454</v>
      </c>
      <c r="N658" s="104" t="s">
        <v>516</v>
      </c>
      <c r="O658" s="104" t="s">
        <v>1242</v>
      </c>
      <c r="P658" t="s">
        <v>1374</v>
      </c>
      <c r="S658" s="59"/>
      <c r="T658" s="59"/>
      <c r="U658" s="59"/>
      <c r="V658" s="59"/>
      <c r="W658" s="59"/>
      <c r="X658" s="59"/>
      <c r="Y658" s="59"/>
      <c r="Z658" s="59"/>
      <c r="AA658" s="59"/>
    </row>
    <row r="659" spans="3:27" x14ac:dyDescent="0.25">
      <c r="C659" s="35"/>
      <c r="D659" s="36"/>
      <c r="E659" s="36"/>
      <c r="F659" s="36"/>
      <c r="G659" s="38"/>
      <c r="H659" s="36"/>
      <c r="L659" s="104" t="s">
        <v>754</v>
      </c>
      <c r="M659" s="26" t="s">
        <v>582</v>
      </c>
      <c r="N659" s="104" t="s">
        <v>459</v>
      </c>
      <c r="O659" s="104" t="s">
        <v>1241</v>
      </c>
      <c r="P659" t="s">
        <v>1374</v>
      </c>
      <c r="S659" s="59"/>
      <c r="T659" s="59"/>
      <c r="U659" s="59"/>
      <c r="V659" s="59"/>
      <c r="W659" s="59"/>
      <c r="X659" s="59"/>
      <c r="Y659" s="59"/>
      <c r="Z659" s="59"/>
      <c r="AA659" s="59"/>
    </row>
    <row r="660" spans="3:27" x14ac:dyDescent="0.25">
      <c r="C660" s="35"/>
      <c r="D660" s="36"/>
      <c r="E660" s="36"/>
      <c r="F660" s="36"/>
      <c r="G660" s="38"/>
      <c r="H660" s="36"/>
      <c r="L660" s="104" t="s">
        <v>754</v>
      </c>
      <c r="M660" s="26" t="s">
        <v>482</v>
      </c>
      <c r="N660" s="104" t="s">
        <v>1398</v>
      </c>
      <c r="O660" s="104" t="s">
        <v>1241</v>
      </c>
      <c r="P660" t="s">
        <v>1374</v>
      </c>
      <c r="S660" s="59"/>
      <c r="T660" s="59"/>
      <c r="U660" s="59"/>
      <c r="V660" s="59"/>
      <c r="W660" s="59"/>
      <c r="X660" s="59"/>
      <c r="Y660" s="59"/>
      <c r="Z660" s="59"/>
      <c r="AA660" s="59"/>
    </row>
    <row r="661" spans="3:27" x14ac:dyDescent="0.25">
      <c r="C661" s="35"/>
      <c r="D661" s="36"/>
      <c r="E661" s="36"/>
      <c r="F661" s="36"/>
      <c r="G661" s="38"/>
      <c r="H661" s="36"/>
      <c r="L661" s="104" t="s">
        <v>1189</v>
      </c>
      <c r="M661" s="26" t="s">
        <v>456</v>
      </c>
      <c r="N661" s="104" t="s">
        <v>405</v>
      </c>
      <c r="O661" s="104" t="s">
        <v>1241</v>
      </c>
      <c r="P661" t="s">
        <v>1374</v>
      </c>
      <c r="S661" s="59"/>
      <c r="T661" s="59"/>
      <c r="U661" s="59"/>
      <c r="V661" s="59"/>
      <c r="W661" s="59"/>
      <c r="X661" s="59"/>
      <c r="Y661" s="59"/>
      <c r="Z661" s="59"/>
      <c r="AA661" s="59"/>
    </row>
    <row r="662" spans="3:27" x14ac:dyDescent="0.25">
      <c r="C662" s="35"/>
      <c r="D662" s="36"/>
      <c r="E662" s="36"/>
      <c r="F662" s="36"/>
      <c r="G662" s="38"/>
      <c r="H662" s="36"/>
      <c r="L662" s="104" t="s">
        <v>1189</v>
      </c>
      <c r="M662" s="26" t="s">
        <v>489</v>
      </c>
      <c r="N662" s="104" t="s">
        <v>471</v>
      </c>
      <c r="O662" s="104" t="s">
        <v>561</v>
      </c>
      <c r="P662" t="s">
        <v>1374</v>
      </c>
      <c r="S662" s="59"/>
      <c r="T662" s="59"/>
      <c r="U662" s="59"/>
      <c r="V662" s="59"/>
      <c r="W662" s="59"/>
      <c r="X662" s="59"/>
      <c r="Y662" s="59"/>
      <c r="Z662" s="59"/>
      <c r="AA662" s="59"/>
    </row>
    <row r="663" spans="3:27" x14ac:dyDescent="0.25">
      <c r="C663" s="35"/>
      <c r="D663" s="36"/>
      <c r="E663" s="36"/>
      <c r="F663" s="36"/>
      <c r="G663" s="38"/>
      <c r="H663" s="36"/>
      <c r="L663" s="104" t="s">
        <v>754</v>
      </c>
      <c r="M663" s="26" t="s">
        <v>546</v>
      </c>
      <c r="N663" s="104" t="s">
        <v>464</v>
      </c>
      <c r="O663" s="104" t="s">
        <v>687</v>
      </c>
      <c r="P663" t="s">
        <v>1374</v>
      </c>
      <c r="S663" s="59"/>
      <c r="T663" s="59"/>
      <c r="U663" s="59"/>
      <c r="V663" s="59"/>
      <c r="W663" s="59"/>
      <c r="X663" s="59"/>
    </row>
    <row r="664" spans="3:27" x14ac:dyDescent="0.25">
      <c r="C664" s="35"/>
      <c r="D664" s="36"/>
      <c r="E664" s="36"/>
      <c r="F664" s="36"/>
      <c r="G664" s="38"/>
      <c r="H664" s="36"/>
      <c r="L664" s="104" t="s">
        <v>754</v>
      </c>
      <c r="M664" s="26" t="s">
        <v>503</v>
      </c>
      <c r="N664" s="104" t="s">
        <v>525</v>
      </c>
      <c r="O664" s="104" t="s">
        <v>473</v>
      </c>
      <c r="P664" t="s">
        <v>1374</v>
      </c>
      <c r="S664" s="59"/>
      <c r="T664" s="59"/>
      <c r="U664" s="59"/>
      <c r="V664" s="59"/>
      <c r="W664" s="59"/>
      <c r="X664" s="59"/>
    </row>
    <row r="665" spans="3:27" x14ac:dyDescent="0.25">
      <c r="C665" s="35"/>
      <c r="D665" s="36"/>
      <c r="E665" s="36"/>
      <c r="F665" s="36"/>
      <c r="G665" s="38"/>
      <c r="H665" s="36"/>
      <c r="L665" s="104" t="s">
        <v>1185</v>
      </c>
      <c r="M665" s="26" t="s">
        <v>582</v>
      </c>
      <c r="N665" s="104" t="s">
        <v>308</v>
      </c>
      <c r="O665" s="104" t="s">
        <v>477</v>
      </c>
      <c r="P665" t="s">
        <v>1374</v>
      </c>
    </row>
    <row r="666" spans="3:27" ht="15.75" thickBot="1" x14ac:dyDescent="0.3">
      <c r="C666" s="35"/>
      <c r="D666" s="35"/>
      <c r="E666" s="35"/>
      <c r="F666" s="35"/>
      <c r="G666" s="61"/>
      <c r="H666" s="36"/>
      <c r="L666" s="104" t="s">
        <v>213</v>
      </c>
      <c r="M666" s="26" t="s">
        <v>1399</v>
      </c>
      <c r="N666" s="104" t="s">
        <v>1175</v>
      </c>
      <c r="O666" s="104" t="s">
        <v>522</v>
      </c>
      <c r="P666" t="s">
        <v>1374</v>
      </c>
    </row>
    <row r="667" spans="3:27" x14ac:dyDescent="0.25">
      <c r="G667" s="182">
        <f>SUM(G365:G666)</f>
        <v>2602005000</v>
      </c>
      <c r="L667" s="118" t="s">
        <v>1185</v>
      </c>
      <c r="M667" s="57" t="s">
        <v>472</v>
      </c>
      <c r="N667" s="118" t="s">
        <v>468</v>
      </c>
      <c r="O667" s="118" t="s">
        <v>615</v>
      </c>
      <c r="P667" s="23" t="s">
        <v>1374</v>
      </c>
    </row>
    <row r="668" spans="3:27" x14ac:dyDescent="0.25">
      <c r="L668" s="104" t="s">
        <v>1189</v>
      </c>
      <c r="M668" s="26" t="s">
        <v>456</v>
      </c>
      <c r="N668" s="104" t="s">
        <v>578</v>
      </c>
      <c r="O668" s="104" t="s">
        <v>487</v>
      </c>
      <c r="P668" s="104" t="s">
        <v>1415</v>
      </c>
    </row>
    <row r="669" spans="3:27" x14ac:dyDescent="0.25">
      <c r="L669" s="157" t="s">
        <v>1425</v>
      </c>
      <c r="M669" s="26" t="s">
        <v>456</v>
      </c>
      <c r="N669" s="104" t="s">
        <v>552</v>
      </c>
      <c r="O669" s="104" t="s">
        <v>619</v>
      </c>
      <c r="P669" t="s">
        <v>1415</v>
      </c>
    </row>
    <row r="670" spans="3:27" x14ac:dyDescent="0.25">
      <c r="L670" s="157" t="s">
        <v>1219</v>
      </c>
      <c r="M670" s="26" t="s">
        <v>472</v>
      </c>
      <c r="N670" s="104" t="s">
        <v>367</v>
      </c>
      <c r="O670" s="104" t="s">
        <v>491</v>
      </c>
      <c r="P670" t="s">
        <v>1415</v>
      </c>
    </row>
    <row r="671" spans="3:27" x14ac:dyDescent="0.25">
      <c r="L671" s="104" t="s">
        <v>213</v>
      </c>
      <c r="M671" s="26" t="s">
        <v>582</v>
      </c>
      <c r="N671" s="104" t="s">
        <v>705</v>
      </c>
      <c r="O671" s="104" t="s">
        <v>469</v>
      </c>
      <c r="P671" t="s">
        <v>1415</v>
      </c>
    </row>
    <row r="672" spans="3:27" x14ac:dyDescent="0.25">
      <c r="L672" s="157" t="s">
        <v>1269</v>
      </c>
      <c r="M672" s="26" t="s">
        <v>582</v>
      </c>
      <c r="N672" s="104" t="s">
        <v>685</v>
      </c>
      <c r="O672" s="104" t="s">
        <v>1241</v>
      </c>
      <c r="P672" t="s">
        <v>1415</v>
      </c>
    </row>
    <row r="673" spans="12:16" x14ac:dyDescent="0.25">
      <c r="L673" s="104" t="s">
        <v>1189</v>
      </c>
      <c r="M673" s="26" t="s">
        <v>807</v>
      </c>
      <c r="N673" s="104" t="s">
        <v>490</v>
      </c>
      <c r="O673" s="104" t="s">
        <v>561</v>
      </c>
      <c r="P673" t="s">
        <v>1415</v>
      </c>
    </row>
    <row r="674" spans="12:16" x14ac:dyDescent="0.25">
      <c r="L674" s="104" t="s">
        <v>1189</v>
      </c>
      <c r="M674" s="26" t="s">
        <v>456</v>
      </c>
      <c r="N674" s="104" t="s">
        <v>471</v>
      </c>
      <c r="O674" s="104" t="s">
        <v>517</v>
      </c>
      <c r="P674" t="s">
        <v>1415</v>
      </c>
    </row>
    <row r="675" spans="12:16" x14ac:dyDescent="0.25">
      <c r="L675" s="104" t="s">
        <v>1425</v>
      </c>
      <c r="M675" s="26" t="s">
        <v>456</v>
      </c>
      <c r="N675" s="104" t="s">
        <v>1426</v>
      </c>
      <c r="O675" s="104" t="s">
        <v>1241</v>
      </c>
      <c r="P675" t="s">
        <v>1415</v>
      </c>
    </row>
    <row r="676" spans="12:16" x14ac:dyDescent="0.25">
      <c r="L676" s="104" t="s">
        <v>1189</v>
      </c>
      <c r="M676" s="26" t="s">
        <v>582</v>
      </c>
      <c r="N676" s="104" t="s">
        <v>614</v>
      </c>
      <c r="O676" s="104" t="s">
        <v>687</v>
      </c>
      <c r="P676" t="s">
        <v>1415</v>
      </c>
    </row>
    <row r="677" spans="12:16" x14ac:dyDescent="0.25">
      <c r="L677" s="104" t="s">
        <v>1189</v>
      </c>
      <c r="M677" s="26" t="s">
        <v>582</v>
      </c>
      <c r="N677" s="104" t="s">
        <v>468</v>
      </c>
      <c r="O677" s="104" t="s">
        <v>547</v>
      </c>
      <c r="P677" t="s">
        <v>1415</v>
      </c>
    </row>
    <row r="678" spans="12:16" x14ac:dyDescent="0.25">
      <c r="L678" s="104" t="s">
        <v>1189</v>
      </c>
      <c r="M678" s="26" t="s">
        <v>582</v>
      </c>
      <c r="N678" s="104" t="s">
        <v>464</v>
      </c>
      <c r="O678" s="104" t="s">
        <v>615</v>
      </c>
      <c r="P678" t="s">
        <v>1415</v>
      </c>
    </row>
    <row r="679" spans="12:16" x14ac:dyDescent="0.25">
      <c r="L679" s="104" t="s">
        <v>1189</v>
      </c>
      <c r="M679" s="26" t="s">
        <v>563</v>
      </c>
      <c r="N679" s="104" t="s">
        <v>441</v>
      </c>
      <c r="O679" s="104" t="s">
        <v>712</v>
      </c>
      <c r="P679" t="s">
        <v>1415</v>
      </c>
    </row>
    <row r="680" spans="12:16" x14ac:dyDescent="0.25">
      <c r="L680" s="104" t="s">
        <v>1425</v>
      </c>
      <c r="M680" s="26" t="s">
        <v>472</v>
      </c>
      <c r="N680" s="104" t="s">
        <v>569</v>
      </c>
      <c r="O680" s="104" t="s">
        <v>700</v>
      </c>
      <c r="P680" t="s">
        <v>1415</v>
      </c>
    </row>
    <row r="681" spans="12:16" x14ac:dyDescent="0.25">
      <c r="L681" s="104" t="s">
        <v>1189</v>
      </c>
      <c r="M681" s="26" t="s">
        <v>472</v>
      </c>
      <c r="N681" s="104" t="s">
        <v>604</v>
      </c>
      <c r="O681" s="104" t="s">
        <v>575</v>
      </c>
      <c r="P681" t="s">
        <v>1415</v>
      </c>
    </row>
    <row r="682" spans="12:16" x14ac:dyDescent="0.25">
      <c r="L682" s="180" t="s">
        <v>1189</v>
      </c>
      <c r="M682" s="46" t="s">
        <v>472</v>
      </c>
      <c r="N682" s="181" t="s">
        <v>367</v>
      </c>
      <c r="O682" s="45" t="s">
        <v>665</v>
      </c>
      <c r="P682" s="45" t="s">
        <v>1415</v>
      </c>
    </row>
    <row r="683" spans="12:16" x14ac:dyDescent="0.25">
      <c r="L683" s="104" t="s">
        <v>1189</v>
      </c>
      <c r="M683" s="26" t="s">
        <v>582</v>
      </c>
      <c r="N683" s="104" t="s">
        <v>569</v>
      </c>
      <c r="O683" s="104" t="s">
        <v>506</v>
      </c>
      <c r="P683" s="104" t="s">
        <v>1436</v>
      </c>
    </row>
    <row r="684" spans="12:16" x14ac:dyDescent="0.25">
      <c r="L684" s="104" t="s">
        <v>1189</v>
      </c>
      <c r="M684" s="26" t="s">
        <v>542</v>
      </c>
      <c r="N684" s="104" t="s">
        <v>367</v>
      </c>
      <c r="O684" s="104" t="s">
        <v>638</v>
      </c>
      <c r="P684" s="104" t="s">
        <v>1436</v>
      </c>
    </row>
    <row r="685" spans="12:16" x14ac:dyDescent="0.25">
      <c r="L685" s="104" t="s">
        <v>1189</v>
      </c>
      <c r="M685" s="26" t="s">
        <v>448</v>
      </c>
      <c r="N685" s="104" t="s">
        <v>614</v>
      </c>
      <c r="O685" s="104" t="s">
        <v>487</v>
      </c>
      <c r="P685" t="s">
        <v>1436</v>
      </c>
    </row>
    <row r="686" spans="12:16" x14ac:dyDescent="0.25">
      <c r="L686" s="104" t="s">
        <v>1189</v>
      </c>
      <c r="M686" s="26" t="s">
        <v>482</v>
      </c>
      <c r="N686" s="104" t="s">
        <v>1175</v>
      </c>
      <c r="O686" s="104" t="s">
        <v>557</v>
      </c>
      <c r="P686" t="s">
        <v>1436</v>
      </c>
    </row>
    <row r="687" spans="12:16" x14ac:dyDescent="0.25">
      <c r="L687" s="104" t="s">
        <v>1189</v>
      </c>
      <c r="M687" s="26" t="s">
        <v>448</v>
      </c>
      <c r="N687" s="104" t="s">
        <v>471</v>
      </c>
      <c r="O687" s="104" t="s">
        <v>1242</v>
      </c>
      <c r="P687" t="s">
        <v>1436</v>
      </c>
    </row>
    <row r="688" spans="12:16" x14ac:dyDescent="0.25">
      <c r="L688" s="104" t="s">
        <v>1189</v>
      </c>
      <c r="M688" s="26" t="s">
        <v>582</v>
      </c>
      <c r="N688" s="104" t="s">
        <v>521</v>
      </c>
      <c r="O688" s="104" t="s">
        <v>469</v>
      </c>
      <c r="P688" t="s">
        <v>1436</v>
      </c>
    </row>
    <row r="689" spans="12:16" x14ac:dyDescent="0.25">
      <c r="L689" s="157" t="s">
        <v>1414</v>
      </c>
      <c r="M689" s="26" t="s">
        <v>563</v>
      </c>
      <c r="N689" s="104" t="s">
        <v>607</v>
      </c>
      <c r="O689" s="104" t="s">
        <v>682</v>
      </c>
      <c r="P689" t="s">
        <v>1436</v>
      </c>
    </row>
    <row r="690" spans="12:16" x14ac:dyDescent="0.25">
      <c r="L690" s="157" t="s">
        <v>1337</v>
      </c>
      <c r="M690" s="26" t="s">
        <v>503</v>
      </c>
      <c r="N690" s="104" t="s">
        <v>606</v>
      </c>
      <c r="O690" s="104" t="s">
        <v>500</v>
      </c>
      <c r="P690" t="s">
        <v>1436</v>
      </c>
    </row>
    <row r="691" spans="12:16" x14ac:dyDescent="0.25">
      <c r="L691" s="104" t="s">
        <v>1425</v>
      </c>
      <c r="M691" s="26" t="s">
        <v>632</v>
      </c>
      <c r="N691" s="104" t="s">
        <v>387</v>
      </c>
      <c r="O691" s="104" t="s">
        <v>712</v>
      </c>
      <c r="P691" t="s">
        <v>1436</v>
      </c>
    </row>
    <row r="692" spans="12:16" x14ac:dyDescent="0.25">
      <c r="L692" s="118" t="s">
        <v>213</v>
      </c>
      <c r="M692" s="57" t="s">
        <v>456</v>
      </c>
      <c r="N692" s="23" t="s">
        <v>536</v>
      </c>
      <c r="O692" s="23" t="s">
        <v>1450</v>
      </c>
      <c r="P692" s="23" t="s">
        <v>1436</v>
      </c>
    </row>
    <row r="693" spans="12:16" x14ac:dyDescent="0.25">
      <c r="L693" s="104" t="s">
        <v>1185</v>
      </c>
      <c r="M693" s="26" t="s">
        <v>508</v>
      </c>
      <c r="N693" s="104" t="s">
        <v>471</v>
      </c>
      <c r="O693" s="104" t="s">
        <v>506</v>
      </c>
      <c r="P693" s="104" t="s">
        <v>1442</v>
      </c>
    </row>
    <row r="694" spans="12:16" x14ac:dyDescent="0.25">
      <c r="L694" s="104" t="s">
        <v>1425</v>
      </c>
      <c r="M694" s="26" t="s">
        <v>632</v>
      </c>
      <c r="N694" s="104" t="s">
        <v>490</v>
      </c>
      <c r="O694" s="104" t="s">
        <v>608</v>
      </c>
      <c r="P694" s="104" t="s">
        <v>1442</v>
      </c>
    </row>
    <row r="695" spans="12:16" x14ac:dyDescent="0.25">
      <c r="L695" s="104" t="s">
        <v>213</v>
      </c>
      <c r="M695" s="26" t="s">
        <v>472</v>
      </c>
      <c r="N695" s="104" t="s">
        <v>1064</v>
      </c>
      <c r="O695" s="104" t="s">
        <v>1241</v>
      </c>
      <c r="P695" t="s">
        <v>1442</v>
      </c>
    </row>
    <row r="696" spans="12:16" x14ac:dyDescent="0.25">
      <c r="L696" s="104" t="s">
        <v>1425</v>
      </c>
      <c r="M696" s="26" t="s">
        <v>542</v>
      </c>
      <c r="N696" s="104" t="s">
        <v>345</v>
      </c>
      <c r="O696" s="104" t="s">
        <v>687</v>
      </c>
      <c r="P696" t="s">
        <v>1442</v>
      </c>
    </row>
    <row r="697" spans="12:16" x14ac:dyDescent="0.25">
      <c r="L697" s="104" t="s">
        <v>1425</v>
      </c>
      <c r="M697" s="26" t="s">
        <v>480</v>
      </c>
      <c r="N697" s="104" t="s">
        <v>552</v>
      </c>
      <c r="O697" s="104" t="s">
        <v>615</v>
      </c>
      <c r="P697" t="s">
        <v>1442</v>
      </c>
    </row>
    <row r="698" spans="12:16" x14ac:dyDescent="0.25">
      <c r="L698" s="104" t="s">
        <v>213</v>
      </c>
      <c r="M698" s="26" t="s">
        <v>542</v>
      </c>
      <c r="N698" s="104" t="s">
        <v>525</v>
      </c>
      <c r="O698" s="104" t="s">
        <v>837</v>
      </c>
      <c r="P698" t="s">
        <v>1442</v>
      </c>
    </row>
    <row r="699" spans="12:16" x14ac:dyDescent="0.25">
      <c r="L699" s="104" t="s">
        <v>1337</v>
      </c>
      <c r="M699" s="26" t="s">
        <v>632</v>
      </c>
      <c r="N699" s="104" t="s">
        <v>396</v>
      </c>
      <c r="O699" s="104" t="s">
        <v>1160</v>
      </c>
      <c r="P699" t="s">
        <v>1442</v>
      </c>
    </row>
    <row r="700" spans="12:16" x14ac:dyDescent="0.25">
      <c r="L700" s="104" t="s">
        <v>1425</v>
      </c>
      <c r="M700" s="26" t="s">
        <v>563</v>
      </c>
      <c r="N700" s="104" t="s">
        <v>528</v>
      </c>
      <c r="O700" s="104" t="s">
        <v>579</v>
      </c>
      <c r="P700" t="s">
        <v>1442</v>
      </c>
    </row>
    <row r="701" spans="12:16" x14ac:dyDescent="0.25">
      <c r="L701" s="104" t="s">
        <v>1269</v>
      </c>
      <c r="M701" s="26" t="s">
        <v>1474</v>
      </c>
      <c r="N701" s="104" t="s">
        <v>536</v>
      </c>
      <c r="O701" s="104" t="s">
        <v>504</v>
      </c>
      <c r="P701" t="s">
        <v>1442</v>
      </c>
    </row>
    <row r="702" spans="12:16" x14ac:dyDescent="0.25">
      <c r="L702" s="118" t="s">
        <v>213</v>
      </c>
      <c r="M702" s="57" t="s">
        <v>1474</v>
      </c>
      <c r="N702" s="118" t="s">
        <v>536</v>
      </c>
      <c r="O702" s="118" t="s">
        <v>504</v>
      </c>
      <c r="P702" s="23" t="s">
        <v>1442</v>
      </c>
    </row>
    <row r="703" spans="12:16" x14ac:dyDescent="0.25">
      <c r="L703" s="104" t="s">
        <v>1425</v>
      </c>
      <c r="M703" s="26" t="s">
        <v>489</v>
      </c>
      <c r="N703" s="104" t="s">
        <v>464</v>
      </c>
      <c r="O703" s="104" t="s">
        <v>506</v>
      </c>
      <c r="P703" s="104" t="s">
        <v>1443</v>
      </c>
    </row>
    <row r="704" spans="12:16" x14ac:dyDescent="0.25">
      <c r="L704" s="104" t="s">
        <v>1425</v>
      </c>
      <c r="M704" s="26" t="s">
        <v>722</v>
      </c>
      <c r="N704" s="104" t="s">
        <v>578</v>
      </c>
      <c r="O704" s="104" t="s">
        <v>19</v>
      </c>
      <c r="P704" s="104" t="s">
        <v>1443</v>
      </c>
    </row>
    <row r="705" spans="12:16" x14ac:dyDescent="0.25">
      <c r="L705" s="104" t="s">
        <v>1425</v>
      </c>
      <c r="M705" s="26" t="s">
        <v>448</v>
      </c>
      <c r="N705" s="104" t="s">
        <v>552</v>
      </c>
      <c r="O705" s="104" t="s">
        <v>671</v>
      </c>
      <c r="P705" t="s">
        <v>1443</v>
      </c>
    </row>
    <row r="706" spans="12:16" x14ac:dyDescent="0.25">
      <c r="L706" s="104" t="s">
        <v>1425</v>
      </c>
      <c r="M706" s="26" t="s">
        <v>632</v>
      </c>
      <c r="N706" s="104" t="s">
        <v>490</v>
      </c>
      <c r="O706" s="104" t="s">
        <v>717</v>
      </c>
      <c r="P706" t="s">
        <v>1443</v>
      </c>
    </row>
    <row r="707" spans="12:16" x14ac:dyDescent="0.25">
      <c r="L707" s="104" t="s">
        <v>1425</v>
      </c>
      <c r="M707" s="26" t="s">
        <v>563</v>
      </c>
      <c r="N707" s="104" t="s">
        <v>515</v>
      </c>
      <c r="O707" s="104" t="s">
        <v>1241</v>
      </c>
      <c r="P707" t="s">
        <v>1443</v>
      </c>
    </row>
    <row r="708" spans="12:16" x14ac:dyDescent="0.25">
      <c r="L708" s="157" t="s">
        <v>1470</v>
      </c>
      <c r="M708" s="26" t="s">
        <v>503</v>
      </c>
      <c r="N708" s="104" t="s">
        <v>536</v>
      </c>
      <c r="O708" s="104" t="s">
        <v>588</v>
      </c>
      <c r="P708" t="s">
        <v>1443</v>
      </c>
    </row>
    <row r="709" spans="12:16" x14ac:dyDescent="0.25">
      <c r="L709" s="104" t="s">
        <v>1425</v>
      </c>
      <c r="M709" s="26" t="s">
        <v>472</v>
      </c>
      <c r="N709" s="104" t="s">
        <v>1175</v>
      </c>
      <c r="O709" s="104" t="s">
        <v>682</v>
      </c>
      <c r="P709" t="s">
        <v>1443</v>
      </c>
    </row>
    <row r="710" spans="12:16" x14ac:dyDescent="0.25">
      <c r="L710" s="104" t="s">
        <v>1425</v>
      </c>
      <c r="M710" s="26" t="s">
        <v>489</v>
      </c>
      <c r="N710" s="104" t="s">
        <v>604</v>
      </c>
      <c r="O710" s="104" t="s">
        <v>561</v>
      </c>
      <c r="P710" t="s">
        <v>1443</v>
      </c>
    </row>
    <row r="711" spans="12:16" x14ac:dyDescent="0.25">
      <c r="L711" s="104" t="s">
        <v>1269</v>
      </c>
      <c r="M711" s="26" t="s">
        <v>582</v>
      </c>
      <c r="N711" s="104" t="s">
        <v>578</v>
      </c>
      <c r="O711" s="104" t="s">
        <v>547</v>
      </c>
      <c r="P711" t="s">
        <v>1443</v>
      </c>
    </row>
    <row r="712" spans="12:16" x14ac:dyDescent="0.25">
      <c r="L712" s="104" t="s">
        <v>1425</v>
      </c>
      <c r="M712" s="26" t="s">
        <v>489</v>
      </c>
      <c r="N712" s="104" t="s">
        <v>1175</v>
      </c>
      <c r="O712" s="104" t="s">
        <v>539</v>
      </c>
      <c r="P712" t="s">
        <v>1443</v>
      </c>
    </row>
    <row r="713" spans="12:16" x14ac:dyDescent="0.25">
      <c r="L713" s="104" t="s">
        <v>1425</v>
      </c>
      <c r="M713" s="26" t="s">
        <v>563</v>
      </c>
      <c r="N713" s="104" t="s">
        <v>340</v>
      </c>
      <c r="O713" s="104" t="s">
        <v>712</v>
      </c>
      <c r="P713" t="s">
        <v>1443</v>
      </c>
    </row>
    <row r="714" spans="12:16" x14ac:dyDescent="0.25">
      <c r="L714" s="104" t="s">
        <v>1414</v>
      </c>
      <c r="M714" s="26" t="s">
        <v>582</v>
      </c>
      <c r="N714" s="104" t="s">
        <v>528</v>
      </c>
      <c r="O714" s="104" t="s">
        <v>500</v>
      </c>
      <c r="P714" t="s">
        <v>1443</v>
      </c>
    </row>
    <row r="715" spans="12:16" x14ac:dyDescent="0.25">
      <c r="L715" s="118" t="s">
        <v>1185</v>
      </c>
      <c r="M715" s="57" t="s">
        <v>472</v>
      </c>
      <c r="N715" s="23" t="s">
        <v>607</v>
      </c>
      <c r="O715" s="23" t="s">
        <v>529</v>
      </c>
      <c r="P715" s="23" t="s">
        <v>1443</v>
      </c>
    </row>
    <row r="716" spans="12:16" x14ac:dyDescent="0.25">
      <c r="L716" s="104" t="s">
        <v>1425</v>
      </c>
      <c r="M716" s="26" t="s">
        <v>456</v>
      </c>
      <c r="N716" s="104" t="s">
        <v>569</v>
      </c>
      <c r="O716" s="104" t="s">
        <v>537</v>
      </c>
      <c r="P716" t="s">
        <v>1467</v>
      </c>
    </row>
    <row r="717" spans="12:16" x14ac:dyDescent="0.25">
      <c r="L717" s="104" t="s">
        <v>1425</v>
      </c>
      <c r="M717" s="26" t="s">
        <v>448</v>
      </c>
      <c r="N717" s="104" t="s">
        <v>515</v>
      </c>
      <c r="O717" s="104" t="s">
        <v>19</v>
      </c>
      <c r="P717" t="s">
        <v>1467</v>
      </c>
    </row>
    <row r="718" spans="12:16" x14ac:dyDescent="0.25">
      <c r="L718" s="104" t="s">
        <v>1425</v>
      </c>
      <c r="M718" s="26" t="s">
        <v>472</v>
      </c>
      <c r="N718" s="104" t="s">
        <v>1175</v>
      </c>
      <c r="O718" s="104" t="s">
        <v>487</v>
      </c>
      <c r="P718" t="s">
        <v>1467</v>
      </c>
    </row>
    <row r="719" spans="12:16" x14ac:dyDescent="0.25">
      <c r="L719" s="104" t="s">
        <v>1470</v>
      </c>
      <c r="M719" s="26" t="s">
        <v>542</v>
      </c>
      <c r="N719" s="104" t="s">
        <v>606</v>
      </c>
      <c r="O719" s="104" t="s">
        <v>717</v>
      </c>
      <c r="P719" t="s">
        <v>1467</v>
      </c>
    </row>
    <row r="720" spans="12:16" x14ac:dyDescent="0.25">
      <c r="L720" s="104" t="s">
        <v>1470</v>
      </c>
      <c r="M720" s="26" t="s">
        <v>456</v>
      </c>
      <c r="N720" s="104" t="s">
        <v>345</v>
      </c>
      <c r="O720" s="104" t="s">
        <v>703</v>
      </c>
      <c r="P720" t="s">
        <v>1467</v>
      </c>
    </row>
    <row r="721" spans="12:16" x14ac:dyDescent="0.25">
      <c r="L721" s="104" t="s">
        <v>1470</v>
      </c>
      <c r="M721" s="26" t="s">
        <v>489</v>
      </c>
      <c r="N721" s="104" t="s">
        <v>471</v>
      </c>
      <c r="O721" s="104" t="s">
        <v>557</v>
      </c>
      <c r="P721" t="s">
        <v>1467</v>
      </c>
    </row>
    <row r="722" spans="12:16" x14ac:dyDescent="0.25">
      <c r="L722" s="104" t="s">
        <v>1425</v>
      </c>
      <c r="M722" s="26" t="s">
        <v>489</v>
      </c>
      <c r="N722" s="104" t="s">
        <v>525</v>
      </c>
      <c r="O722" s="104" t="s">
        <v>687</v>
      </c>
      <c r="P722" t="s">
        <v>1467</v>
      </c>
    </row>
    <row r="723" spans="12:16" x14ac:dyDescent="0.25">
      <c r="L723" s="104" t="s">
        <v>1470</v>
      </c>
      <c r="M723" s="26" t="s">
        <v>503</v>
      </c>
      <c r="N723" s="104" t="s">
        <v>532</v>
      </c>
      <c r="O723" s="104" t="s">
        <v>627</v>
      </c>
      <c r="P723" t="s">
        <v>1467</v>
      </c>
    </row>
    <row r="724" spans="12:16" x14ac:dyDescent="0.25">
      <c r="L724" s="104" t="s">
        <v>1425</v>
      </c>
      <c r="M724" s="26" t="s">
        <v>582</v>
      </c>
      <c r="N724" s="104" t="s">
        <v>308</v>
      </c>
      <c r="O724" s="104" t="s">
        <v>837</v>
      </c>
      <c r="P724" t="s">
        <v>1467</v>
      </c>
    </row>
    <row r="725" spans="12:16" x14ac:dyDescent="0.25">
      <c r="L725" s="104" t="s">
        <v>1425</v>
      </c>
      <c r="M725" s="26" t="s">
        <v>542</v>
      </c>
      <c r="N725" s="104" t="s">
        <v>367</v>
      </c>
      <c r="O725" s="104" t="s">
        <v>1244</v>
      </c>
      <c r="P725" t="s">
        <v>1467</v>
      </c>
    </row>
    <row r="726" spans="12:16" x14ac:dyDescent="0.25">
      <c r="L726" s="104" t="s">
        <v>1425</v>
      </c>
      <c r="M726" s="26" t="s">
        <v>448</v>
      </c>
      <c r="N726" s="104" t="s">
        <v>396</v>
      </c>
      <c r="O726" s="104" t="s">
        <v>1160</v>
      </c>
      <c r="P726" t="s">
        <v>1467</v>
      </c>
    </row>
    <row r="727" spans="12:16" x14ac:dyDescent="0.25">
      <c r="L727" s="104" t="s">
        <v>1425</v>
      </c>
      <c r="M727" s="26" t="s">
        <v>489</v>
      </c>
      <c r="N727" s="104" t="s">
        <v>614</v>
      </c>
      <c r="O727" s="104" t="s">
        <v>529</v>
      </c>
      <c r="P727" t="s">
        <v>1467</v>
      </c>
    </row>
    <row r="728" spans="12:16" x14ac:dyDescent="0.25">
      <c r="L728" s="118" t="s">
        <v>1425</v>
      </c>
      <c r="M728" s="57" t="s">
        <v>520</v>
      </c>
      <c r="N728" s="118" t="s">
        <v>569</v>
      </c>
      <c r="O728" s="118" t="s">
        <v>533</v>
      </c>
      <c r="P728" s="23" t="s">
        <v>1467</v>
      </c>
    </row>
    <row r="729" spans="12:16" x14ac:dyDescent="0.25">
      <c r="L729" s="104" t="s">
        <v>1425</v>
      </c>
      <c r="M729" s="26" t="s">
        <v>1529</v>
      </c>
      <c r="N729" s="104" t="s">
        <v>1243</v>
      </c>
      <c r="O729" s="104" t="s">
        <v>19</v>
      </c>
      <c r="P729" t="s">
        <v>1468</v>
      </c>
    </row>
    <row r="730" spans="12:16" x14ac:dyDescent="0.25">
      <c r="L730" s="104" t="s">
        <v>1425</v>
      </c>
      <c r="M730" s="26" t="s">
        <v>632</v>
      </c>
      <c r="N730" s="104" t="s">
        <v>610</v>
      </c>
      <c r="O730" s="104" t="s">
        <v>619</v>
      </c>
      <c r="P730" t="s">
        <v>1468</v>
      </c>
    </row>
    <row r="731" spans="12:16" x14ac:dyDescent="0.25">
      <c r="L731" s="104" t="s">
        <v>1425</v>
      </c>
      <c r="M731" s="26" t="s">
        <v>542</v>
      </c>
      <c r="N731" s="104" t="s">
        <v>578</v>
      </c>
      <c r="O731" s="104" t="s">
        <v>557</v>
      </c>
      <c r="P731" t="s">
        <v>1468</v>
      </c>
    </row>
    <row r="732" spans="12:16" x14ac:dyDescent="0.25">
      <c r="L732" s="104" t="s">
        <v>1326</v>
      </c>
      <c r="M732" s="26" t="s">
        <v>456</v>
      </c>
      <c r="N732" s="104" t="s">
        <v>1530</v>
      </c>
      <c r="O732" s="104" t="s">
        <v>1241</v>
      </c>
      <c r="P732" t="s">
        <v>1468</v>
      </c>
    </row>
    <row r="733" spans="12:16" x14ac:dyDescent="0.25">
      <c r="L733" s="104" t="s">
        <v>1425</v>
      </c>
      <c r="M733" s="26" t="s">
        <v>472</v>
      </c>
      <c r="N733" s="104" t="s">
        <v>367</v>
      </c>
      <c r="O733" s="104" t="s">
        <v>517</v>
      </c>
      <c r="P733" t="s">
        <v>1468</v>
      </c>
    </row>
    <row r="734" spans="12:16" x14ac:dyDescent="0.25">
      <c r="L734" s="104" t="s">
        <v>1425</v>
      </c>
      <c r="M734" s="26" t="s">
        <v>482</v>
      </c>
      <c r="N734" s="104" t="s">
        <v>471</v>
      </c>
      <c r="O734" s="104" t="s">
        <v>687</v>
      </c>
      <c r="P734" t="s">
        <v>1468</v>
      </c>
    </row>
    <row r="735" spans="12:16" x14ac:dyDescent="0.25">
      <c r="L735" s="104" t="s">
        <v>1425</v>
      </c>
      <c r="M735" s="26" t="s">
        <v>456</v>
      </c>
      <c r="N735" s="104" t="s">
        <v>345</v>
      </c>
      <c r="O735" s="104" t="s">
        <v>564</v>
      </c>
      <c r="P735" t="s">
        <v>1468</v>
      </c>
    </row>
    <row r="736" spans="12:16" x14ac:dyDescent="0.25">
      <c r="L736" s="104" t="s">
        <v>1425</v>
      </c>
      <c r="M736" s="26" t="s">
        <v>489</v>
      </c>
      <c r="N736" s="104" t="s">
        <v>578</v>
      </c>
      <c r="O736" s="104" t="s">
        <v>1244</v>
      </c>
      <c r="P736" t="s">
        <v>1468</v>
      </c>
    </row>
    <row r="737" spans="12:16" x14ac:dyDescent="0.25">
      <c r="L737" s="104" t="s">
        <v>1425</v>
      </c>
      <c r="M737" s="26" t="s">
        <v>632</v>
      </c>
      <c r="N737" s="104" t="s">
        <v>367</v>
      </c>
      <c r="O737" s="104" t="s">
        <v>700</v>
      </c>
      <c r="P737" t="s">
        <v>1468</v>
      </c>
    </row>
    <row r="738" spans="12:16" x14ac:dyDescent="0.25">
      <c r="L738" s="118" t="s">
        <v>1425</v>
      </c>
      <c r="M738" s="57" t="s">
        <v>489</v>
      </c>
      <c r="N738" s="23" t="s">
        <v>569</v>
      </c>
      <c r="O738" s="23" t="s">
        <v>533</v>
      </c>
      <c r="P738" s="23" t="s">
        <v>1468</v>
      </c>
    </row>
    <row r="739" spans="12:16" x14ac:dyDescent="0.25">
      <c r="M739" s="26"/>
    </row>
    <row r="740" spans="12:16" x14ac:dyDescent="0.25">
      <c r="M740" s="26"/>
    </row>
    <row r="741" spans="12:16" x14ac:dyDescent="0.25">
      <c r="M741" s="26"/>
    </row>
    <row r="742" spans="12:16" x14ac:dyDescent="0.25">
      <c r="M742" s="26"/>
    </row>
    <row r="743" spans="12:16" x14ac:dyDescent="0.25">
      <c r="M743" s="26"/>
    </row>
    <row r="744" spans="12:16" x14ac:dyDescent="0.25">
      <c r="M744" s="26"/>
    </row>
    <row r="745" spans="12:16" x14ac:dyDescent="0.25">
      <c r="M745" s="26"/>
    </row>
    <row r="746" spans="12:16" x14ac:dyDescent="0.25">
      <c r="M746" s="26"/>
    </row>
    <row r="747" spans="12:16" x14ac:dyDescent="0.25">
      <c r="M747" s="26"/>
    </row>
    <row r="748" spans="12:16" x14ac:dyDescent="0.25">
      <c r="M748" s="26"/>
    </row>
    <row r="749" spans="12:16" x14ac:dyDescent="0.25">
      <c r="M749" s="26"/>
    </row>
    <row r="750" spans="12:16" x14ac:dyDescent="0.25">
      <c r="M750" s="26"/>
    </row>
    <row r="751" spans="12:16" x14ac:dyDescent="0.25">
      <c r="M751" s="26"/>
    </row>
    <row r="752" spans="12:16" x14ac:dyDescent="0.25">
      <c r="M752" s="26"/>
    </row>
    <row r="753" spans="13:13" x14ac:dyDescent="0.25">
      <c r="M753" s="26"/>
    </row>
    <row r="754" spans="13:13" x14ac:dyDescent="0.25">
      <c r="M754" s="26"/>
    </row>
    <row r="755" spans="13:13" x14ac:dyDescent="0.25">
      <c r="M755" s="26"/>
    </row>
    <row r="756" spans="13:13" x14ac:dyDescent="0.25">
      <c r="M756" s="26"/>
    </row>
    <row r="757" spans="13:13" x14ac:dyDescent="0.25">
      <c r="M757" s="26"/>
    </row>
    <row r="758" spans="13:13" x14ac:dyDescent="0.25">
      <c r="M758" s="26"/>
    </row>
    <row r="759" spans="13:13" x14ac:dyDescent="0.25">
      <c r="M759" s="26"/>
    </row>
    <row r="760" spans="13:13" x14ac:dyDescent="0.25">
      <c r="M760" s="26"/>
    </row>
    <row r="761" spans="13:13" x14ac:dyDescent="0.25">
      <c r="M761" s="26"/>
    </row>
    <row r="762" spans="13:13" x14ac:dyDescent="0.25">
      <c r="M762" s="26"/>
    </row>
    <row r="763" spans="13:13" x14ac:dyDescent="0.25">
      <c r="M763" s="26"/>
    </row>
    <row r="764" spans="13:13" x14ac:dyDescent="0.25">
      <c r="M764" s="26"/>
    </row>
    <row r="765" spans="13:13" x14ac:dyDescent="0.25">
      <c r="M765" s="26"/>
    </row>
    <row r="766" spans="13:13" x14ac:dyDescent="0.25">
      <c r="M766" s="26"/>
    </row>
    <row r="767" spans="13:13" x14ac:dyDescent="0.25">
      <c r="M767" s="26"/>
    </row>
    <row r="768" spans="13:13" x14ac:dyDescent="0.25">
      <c r="M768" s="26"/>
    </row>
    <row r="769" spans="13:13" x14ac:dyDescent="0.25">
      <c r="M769" s="26"/>
    </row>
    <row r="770" spans="13:13" x14ac:dyDescent="0.25">
      <c r="M770" s="26"/>
    </row>
    <row r="771" spans="13:13" x14ac:dyDescent="0.25">
      <c r="M771" s="26"/>
    </row>
    <row r="772" spans="13:13" x14ac:dyDescent="0.25">
      <c r="M772" s="26"/>
    </row>
    <row r="773" spans="13:13" x14ac:dyDescent="0.25">
      <c r="M773" s="26"/>
    </row>
    <row r="774" spans="13:13" x14ac:dyDescent="0.25">
      <c r="M774" s="26"/>
    </row>
    <row r="775" spans="13:13" x14ac:dyDescent="0.25">
      <c r="M775" s="26"/>
    </row>
    <row r="776" spans="13:13" x14ac:dyDescent="0.25">
      <c r="M776" s="26"/>
    </row>
    <row r="777" spans="13:13" x14ac:dyDescent="0.25">
      <c r="M777" s="26"/>
    </row>
    <row r="778" spans="13:13" x14ac:dyDescent="0.25">
      <c r="M778" s="26"/>
    </row>
    <row r="779" spans="13:13" x14ac:dyDescent="0.25">
      <c r="M779" s="26"/>
    </row>
    <row r="780" spans="13:13" x14ac:dyDescent="0.25">
      <c r="M780" s="26"/>
    </row>
    <row r="781" spans="13:13" x14ac:dyDescent="0.25">
      <c r="M781" s="26"/>
    </row>
    <row r="782" spans="13:13" x14ac:dyDescent="0.25">
      <c r="M782" s="26"/>
    </row>
    <row r="783" spans="13:13" x14ac:dyDescent="0.25">
      <c r="M783" s="26"/>
    </row>
    <row r="784" spans="13:13" x14ac:dyDescent="0.25">
      <c r="M784" s="26"/>
    </row>
    <row r="785" spans="13:13" x14ac:dyDescent="0.25">
      <c r="M785" s="26"/>
    </row>
    <row r="786" spans="13:13" x14ac:dyDescent="0.25">
      <c r="M786" s="26"/>
    </row>
    <row r="787" spans="13:13" x14ac:dyDescent="0.25">
      <c r="M787" s="26"/>
    </row>
    <row r="788" spans="13:13" x14ac:dyDescent="0.25">
      <c r="M788" s="26"/>
    </row>
    <row r="789" spans="13:13" x14ac:dyDescent="0.25">
      <c r="M789" s="26"/>
    </row>
    <row r="790" spans="13:13" x14ac:dyDescent="0.25">
      <c r="M790" s="26"/>
    </row>
    <row r="791" spans="13:13" x14ac:dyDescent="0.25">
      <c r="M791" s="26"/>
    </row>
    <row r="792" spans="13:13" x14ac:dyDescent="0.25">
      <c r="M792" s="26"/>
    </row>
    <row r="793" spans="13:13" x14ac:dyDescent="0.25">
      <c r="M793" s="26"/>
    </row>
    <row r="794" spans="13:13" x14ac:dyDescent="0.25">
      <c r="M794" s="26"/>
    </row>
    <row r="795" spans="13:13" x14ac:dyDescent="0.25">
      <c r="M795" s="26"/>
    </row>
    <row r="796" spans="13:13" x14ac:dyDescent="0.25">
      <c r="M796" s="26"/>
    </row>
    <row r="797" spans="13:13" x14ac:dyDescent="0.25">
      <c r="M797" s="26"/>
    </row>
    <row r="798" spans="13:13" x14ac:dyDescent="0.25">
      <c r="M798" s="26"/>
    </row>
    <row r="799" spans="13:13" x14ac:dyDescent="0.25">
      <c r="M799" s="26"/>
    </row>
    <row r="800" spans="13:13" x14ac:dyDescent="0.25">
      <c r="M800" s="26"/>
    </row>
    <row r="801" spans="13:13" x14ac:dyDescent="0.25">
      <c r="M801" s="26"/>
    </row>
    <row r="802" spans="13:13" x14ac:dyDescent="0.25">
      <c r="M802" s="26"/>
    </row>
    <row r="803" spans="13:13" x14ac:dyDescent="0.25">
      <c r="M803" s="26"/>
    </row>
    <row r="804" spans="13:13" x14ac:dyDescent="0.25">
      <c r="M804" s="26"/>
    </row>
    <row r="805" spans="13:13" x14ac:dyDescent="0.25">
      <c r="M805" s="26"/>
    </row>
    <row r="806" spans="13:13" x14ac:dyDescent="0.25">
      <c r="M806" s="26"/>
    </row>
    <row r="807" spans="13:13" x14ac:dyDescent="0.25">
      <c r="M807" s="26"/>
    </row>
    <row r="808" spans="13:13" x14ac:dyDescent="0.25">
      <c r="M808" s="26"/>
    </row>
    <row r="809" spans="13:13" x14ac:dyDescent="0.25">
      <c r="M809" s="26"/>
    </row>
    <row r="810" spans="13:13" x14ac:dyDescent="0.25">
      <c r="M810" s="26"/>
    </row>
    <row r="811" spans="13:13" x14ac:dyDescent="0.25">
      <c r="M811" s="26"/>
    </row>
    <row r="812" spans="13:13" x14ac:dyDescent="0.25">
      <c r="M812" s="26"/>
    </row>
    <row r="813" spans="13:13" x14ac:dyDescent="0.25">
      <c r="M813" s="26"/>
    </row>
    <row r="814" spans="13:13" x14ac:dyDescent="0.25">
      <c r="M814" s="26"/>
    </row>
    <row r="815" spans="13:13" x14ac:dyDescent="0.25">
      <c r="M815" s="26"/>
    </row>
    <row r="816" spans="13:13" x14ac:dyDescent="0.25">
      <c r="M816" s="26"/>
    </row>
    <row r="817" spans="13:13" x14ac:dyDescent="0.25">
      <c r="M817" s="26"/>
    </row>
    <row r="818" spans="13:13" x14ac:dyDescent="0.25">
      <c r="M818" s="26"/>
    </row>
    <row r="819" spans="13:13" x14ac:dyDescent="0.25">
      <c r="M819" s="26"/>
    </row>
    <row r="820" spans="13:13" x14ac:dyDescent="0.25">
      <c r="M820" s="26"/>
    </row>
    <row r="821" spans="13:13" x14ac:dyDescent="0.25">
      <c r="M821" s="26"/>
    </row>
    <row r="822" spans="13:13" x14ac:dyDescent="0.25">
      <c r="M822" s="26"/>
    </row>
    <row r="823" spans="13:13" x14ac:dyDescent="0.25">
      <c r="M823" s="26"/>
    </row>
    <row r="824" spans="13:13" x14ac:dyDescent="0.25">
      <c r="M824" s="26"/>
    </row>
    <row r="825" spans="13:13" x14ac:dyDescent="0.25">
      <c r="M825" s="26"/>
    </row>
    <row r="826" spans="13:13" x14ac:dyDescent="0.25">
      <c r="M826" s="26"/>
    </row>
    <row r="827" spans="13:13" x14ac:dyDescent="0.25">
      <c r="M827" s="26"/>
    </row>
    <row r="828" spans="13:13" x14ac:dyDescent="0.25">
      <c r="M828" s="26"/>
    </row>
    <row r="829" spans="13:13" x14ac:dyDescent="0.25">
      <c r="M829" s="26"/>
    </row>
    <row r="830" spans="13:13" x14ac:dyDescent="0.25">
      <c r="M830" s="26"/>
    </row>
    <row r="831" spans="13:13" x14ac:dyDescent="0.25">
      <c r="M831" s="26"/>
    </row>
    <row r="832" spans="13:13" x14ac:dyDescent="0.25">
      <c r="M832" s="26"/>
    </row>
    <row r="833" spans="13:13" x14ac:dyDescent="0.25">
      <c r="M833" s="26"/>
    </row>
    <row r="834" spans="13:13" x14ac:dyDescent="0.25">
      <c r="M834" s="26"/>
    </row>
    <row r="835" spans="13:13" x14ac:dyDescent="0.25">
      <c r="M835" s="26"/>
    </row>
    <row r="836" spans="13:13" x14ac:dyDescent="0.25">
      <c r="M836" s="26"/>
    </row>
    <row r="837" spans="13:13" x14ac:dyDescent="0.25">
      <c r="M837" s="26"/>
    </row>
    <row r="838" spans="13:13" x14ac:dyDescent="0.25">
      <c r="M838" s="26"/>
    </row>
    <row r="839" spans="13:13" x14ac:dyDescent="0.25">
      <c r="M839" s="26"/>
    </row>
    <row r="840" spans="13:13" x14ac:dyDescent="0.25">
      <c r="M840" s="26"/>
    </row>
    <row r="841" spans="13:13" x14ac:dyDescent="0.25">
      <c r="M841" s="26"/>
    </row>
    <row r="842" spans="13:13" x14ac:dyDescent="0.25">
      <c r="M842" s="26"/>
    </row>
    <row r="843" spans="13:13" x14ac:dyDescent="0.25">
      <c r="M843" s="26"/>
    </row>
    <row r="844" spans="13:13" x14ac:dyDescent="0.25">
      <c r="M844" s="26"/>
    </row>
    <row r="845" spans="13:13" x14ac:dyDescent="0.25">
      <c r="M845" s="26"/>
    </row>
    <row r="846" spans="13:13" x14ac:dyDescent="0.25">
      <c r="M846" s="26"/>
    </row>
    <row r="847" spans="13:13" x14ac:dyDescent="0.25">
      <c r="M847" s="26"/>
    </row>
    <row r="848" spans="13:13" x14ac:dyDescent="0.25">
      <c r="M848" s="26"/>
    </row>
    <row r="849" spans="13:13" x14ac:dyDescent="0.25">
      <c r="M849" s="26"/>
    </row>
    <row r="850" spans="13:13" x14ac:dyDescent="0.25">
      <c r="M850" s="26"/>
    </row>
    <row r="851" spans="13:13" x14ac:dyDescent="0.25">
      <c r="M851" s="26"/>
    </row>
    <row r="852" spans="13:13" x14ac:dyDescent="0.25">
      <c r="M852" s="26"/>
    </row>
    <row r="853" spans="13:13" x14ac:dyDescent="0.25">
      <c r="M853" s="26"/>
    </row>
    <row r="854" spans="13:13" x14ac:dyDescent="0.25">
      <c r="M854" s="26"/>
    </row>
    <row r="855" spans="13:13" x14ac:dyDescent="0.25">
      <c r="M855" s="26"/>
    </row>
    <row r="856" spans="13:13" x14ac:dyDescent="0.25">
      <c r="M856" s="26"/>
    </row>
    <row r="857" spans="13:13" x14ac:dyDescent="0.25">
      <c r="M857" s="26"/>
    </row>
    <row r="858" spans="13:13" x14ac:dyDescent="0.25">
      <c r="M858" s="26"/>
    </row>
    <row r="859" spans="13:13" x14ac:dyDescent="0.25">
      <c r="M859" s="26"/>
    </row>
    <row r="860" spans="13:13" x14ac:dyDescent="0.25">
      <c r="M860" s="26"/>
    </row>
    <row r="861" spans="13:13" x14ac:dyDescent="0.25">
      <c r="M861" s="26"/>
    </row>
    <row r="862" spans="13:13" x14ac:dyDescent="0.25">
      <c r="M862" s="26"/>
    </row>
    <row r="863" spans="13:13" x14ac:dyDescent="0.25">
      <c r="M863" s="26"/>
    </row>
    <row r="864" spans="13:13" x14ac:dyDescent="0.25">
      <c r="M864" s="26"/>
    </row>
    <row r="865" spans="13:13" x14ac:dyDescent="0.25">
      <c r="M865" s="26"/>
    </row>
    <row r="866" spans="13:13" x14ac:dyDescent="0.25">
      <c r="M866" s="26"/>
    </row>
    <row r="867" spans="13:13" x14ac:dyDescent="0.25">
      <c r="M867" s="26"/>
    </row>
    <row r="868" spans="13:13" x14ac:dyDescent="0.25">
      <c r="M868" s="26"/>
    </row>
    <row r="869" spans="13:13" x14ac:dyDescent="0.25">
      <c r="M869" s="26"/>
    </row>
    <row r="870" spans="13:13" x14ac:dyDescent="0.25">
      <c r="M870" s="26"/>
    </row>
    <row r="871" spans="13:13" x14ac:dyDescent="0.25">
      <c r="M871" s="26"/>
    </row>
    <row r="872" spans="13:13" x14ac:dyDescent="0.25">
      <c r="M872" s="26"/>
    </row>
    <row r="873" spans="13:13" x14ac:dyDescent="0.25">
      <c r="M873" s="26"/>
    </row>
    <row r="874" spans="13:13" x14ac:dyDescent="0.25">
      <c r="M874" s="26"/>
    </row>
    <row r="875" spans="13:13" x14ac:dyDescent="0.25">
      <c r="M875" s="26"/>
    </row>
    <row r="876" spans="13:13" x14ac:dyDescent="0.25">
      <c r="M876" s="26"/>
    </row>
    <row r="877" spans="13:13" x14ac:dyDescent="0.25">
      <c r="M877" s="26"/>
    </row>
    <row r="878" spans="13:13" x14ac:dyDescent="0.25">
      <c r="M878" s="26"/>
    </row>
    <row r="879" spans="13:13" x14ac:dyDescent="0.25">
      <c r="M879" s="26"/>
    </row>
    <row r="880" spans="13:13" x14ac:dyDescent="0.25">
      <c r="M880" s="26"/>
    </row>
    <row r="881" spans="13:13" x14ac:dyDescent="0.25">
      <c r="M881" s="26"/>
    </row>
    <row r="882" spans="13:13" x14ac:dyDescent="0.25">
      <c r="M882" s="26"/>
    </row>
    <row r="883" spans="13:13" x14ac:dyDescent="0.25">
      <c r="M883" s="26"/>
    </row>
    <row r="884" spans="13:13" x14ac:dyDescent="0.25">
      <c r="M884" s="26"/>
    </row>
    <row r="885" spans="13:13" x14ac:dyDescent="0.25">
      <c r="M885" s="26"/>
    </row>
    <row r="886" spans="13:13" x14ac:dyDescent="0.25">
      <c r="M886" s="26"/>
    </row>
    <row r="887" spans="13:13" x14ac:dyDescent="0.25">
      <c r="M887" s="26"/>
    </row>
    <row r="888" spans="13:13" x14ac:dyDescent="0.25">
      <c r="M888" s="26"/>
    </row>
    <row r="889" spans="13:13" x14ac:dyDescent="0.25">
      <c r="M889" s="26"/>
    </row>
    <row r="890" spans="13:13" x14ac:dyDescent="0.25">
      <c r="M890" s="26"/>
    </row>
    <row r="891" spans="13:13" x14ac:dyDescent="0.25">
      <c r="M891" s="26"/>
    </row>
    <row r="892" spans="13:13" x14ac:dyDescent="0.25">
      <c r="M892" s="26"/>
    </row>
    <row r="893" spans="13:13" x14ac:dyDescent="0.25">
      <c r="M893" s="26"/>
    </row>
    <row r="894" spans="13:13" x14ac:dyDescent="0.25">
      <c r="M894" s="26"/>
    </row>
    <row r="895" spans="13:13" x14ac:dyDescent="0.25">
      <c r="M895" s="26"/>
    </row>
    <row r="896" spans="13:13" x14ac:dyDescent="0.25">
      <c r="M896" s="26"/>
    </row>
    <row r="897" spans="13:13" x14ac:dyDescent="0.25">
      <c r="M897" s="26"/>
    </row>
    <row r="898" spans="13:13" x14ac:dyDescent="0.25">
      <c r="M898" s="26"/>
    </row>
    <row r="899" spans="13:13" x14ac:dyDescent="0.25">
      <c r="M899" s="26"/>
    </row>
    <row r="900" spans="13:13" x14ac:dyDescent="0.25">
      <c r="M900" s="26"/>
    </row>
    <row r="901" spans="13:13" x14ac:dyDescent="0.25">
      <c r="M901" s="26"/>
    </row>
    <row r="902" spans="13:13" x14ac:dyDescent="0.25">
      <c r="M902" s="26"/>
    </row>
    <row r="903" spans="13:13" x14ac:dyDescent="0.25">
      <c r="M903" s="26"/>
    </row>
    <row r="904" spans="13:13" x14ac:dyDescent="0.25">
      <c r="M904" s="26"/>
    </row>
    <row r="905" spans="13:13" x14ac:dyDescent="0.25">
      <c r="M905" s="26"/>
    </row>
    <row r="906" spans="13:13" x14ac:dyDescent="0.25">
      <c r="M906" s="26"/>
    </row>
    <row r="907" spans="13:13" x14ac:dyDescent="0.25">
      <c r="M907" s="26"/>
    </row>
    <row r="908" spans="13:13" x14ac:dyDescent="0.25">
      <c r="M908" s="26"/>
    </row>
    <row r="909" spans="13:13" x14ac:dyDescent="0.25">
      <c r="M909" s="26"/>
    </row>
    <row r="910" spans="13:13" x14ac:dyDescent="0.25">
      <c r="M910" s="26"/>
    </row>
    <row r="911" spans="13:13" x14ac:dyDescent="0.25">
      <c r="M911" s="26"/>
    </row>
    <row r="912" spans="13:13" x14ac:dyDescent="0.25">
      <c r="M912" s="26"/>
    </row>
    <row r="913" spans="13:13" x14ac:dyDescent="0.25">
      <c r="M913" s="26"/>
    </row>
    <row r="914" spans="13:13" x14ac:dyDescent="0.25">
      <c r="M914" s="26"/>
    </row>
    <row r="915" spans="13:13" x14ac:dyDescent="0.25">
      <c r="M915" s="26"/>
    </row>
    <row r="916" spans="13:13" x14ac:dyDescent="0.25">
      <c r="M916" s="26"/>
    </row>
    <row r="917" spans="13:13" x14ac:dyDescent="0.25">
      <c r="M917" s="26"/>
    </row>
    <row r="918" spans="13:13" x14ac:dyDescent="0.25">
      <c r="M918" s="26"/>
    </row>
    <row r="919" spans="13:13" x14ac:dyDescent="0.25">
      <c r="M919" s="26"/>
    </row>
    <row r="920" spans="13:13" x14ac:dyDescent="0.25">
      <c r="M920" s="26"/>
    </row>
    <row r="921" spans="13:13" x14ac:dyDescent="0.25">
      <c r="M921" s="26"/>
    </row>
    <row r="922" spans="13:13" x14ac:dyDescent="0.25">
      <c r="M922" s="26"/>
    </row>
    <row r="923" spans="13:13" x14ac:dyDescent="0.25">
      <c r="M923" s="26"/>
    </row>
    <row r="924" spans="13:13" x14ac:dyDescent="0.25">
      <c r="M924" s="26"/>
    </row>
    <row r="925" spans="13:13" x14ac:dyDescent="0.25">
      <c r="M925" s="26"/>
    </row>
    <row r="926" spans="13:13" x14ac:dyDescent="0.25">
      <c r="M926" s="26"/>
    </row>
    <row r="927" spans="13:13" x14ac:dyDescent="0.25">
      <c r="M927" s="26"/>
    </row>
    <row r="928" spans="13:13" x14ac:dyDescent="0.25">
      <c r="M928" s="26"/>
    </row>
    <row r="929" spans="13:13" x14ac:dyDescent="0.25">
      <c r="M929" s="26"/>
    </row>
    <row r="930" spans="13:13" x14ac:dyDescent="0.25">
      <c r="M930" s="26"/>
    </row>
    <row r="931" spans="13:13" x14ac:dyDescent="0.25">
      <c r="M931" s="26"/>
    </row>
    <row r="932" spans="13:13" x14ac:dyDescent="0.25">
      <c r="M932" s="26"/>
    </row>
    <row r="933" spans="13:13" x14ac:dyDescent="0.25">
      <c r="M933" s="26"/>
    </row>
    <row r="934" spans="13:13" x14ac:dyDescent="0.25">
      <c r="M934" s="26"/>
    </row>
    <row r="935" spans="13:13" x14ac:dyDescent="0.25">
      <c r="M935" s="26"/>
    </row>
    <row r="936" spans="13:13" x14ac:dyDescent="0.25">
      <c r="M936" s="26"/>
    </row>
    <row r="937" spans="13:13" x14ac:dyDescent="0.25">
      <c r="M937" s="26"/>
    </row>
    <row r="938" spans="13:13" x14ac:dyDescent="0.25">
      <c r="M938" s="26"/>
    </row>
    <row r="939" spans="13:13" x14ac:dyDescent="0.25">
      <c r="M939" s="26"/>
    </row>
    <row r="940" spans="13:13" x14ac:dyDescent="0.25">
      <c r="M940" s="26"/>
    </row>
    <row r="941" spans="13:13" x14ac:dyDescent="0.25">
      <c r="M941" s="26"/>
    </row>
    <row r="942" spans="13:13" x14ac:dyDescent="0.25">
      <c r="M942" s="26"/>
    </row>
    <row r="943" spans="13:13" x14ac:dyDescent="0.25">
      <c r="M943" s="26"/>
    </row>
    <row r="944" spans="13:13" x14ac:dyDescent="0.25">
      <c r="M944" s="26"/>
    </row>
    <row r="945" spans="13:13" x14ac:dyDescent="0.25">
      <c r="M945" s="26"/>
    </row>
    <row r="946" spans="13:13" x14ac:dyDescent="0.25">
      <c r="M946" s="26"/>
    </row>
    <row r="947" spans="13:13" x14ac:dyDescent="0.25">
      <c r="M947" s="26"/>
    </row>
    <row r="948" spans="13:13" x14ac:dyDescent="0.25">
      <c r="M948" s="26"/>
    </row>
    <row r="949" spans="13:13" x14ac:dyDescent="0.25">
      <c r="M949" s="26"/>
    </row>
    <row r="950" spans="13:13" x14ac:dyDescent="0.25">
      <c r="M950" s="26"/>
    </row>
    <row r="951" spans="13:13" x14ac:dyDescent="0.25">
      <c r="M951" s="26"/>
    </row>
    <row r="952" spans="13:13" x14ac:dyDescent="0.25">
      <c r="M952" s="26"/>
    </row>
    <row r="953" spans="13:13" x14ac:dyDescent="0.25">
      <c r="M953" s="26"/>
    </row>
    <row r="954" spans="13:13" x14ac:dyDescent="0.25">
      <c r="M954" s="26"/>
    </row>
    <row r="955" spans="13:13" x14ac:dyDescent="0.25">
      <c r="M955" s="26"/>
    </row>
    <row r="956" spans="13:13" x14ac:dyDescent="0.25">
      <c r="M956" s="26"/>
    </row>
    <row r="957" spans="13:13" x14ac:dyDescent="0.25">
      <c r="M957" s="26"/>
    </row>
    <row r="958" spans="13:13" x14ac:dyDescent="0.25">
      <c r="M958" s="26"/>
    </row>
    <row r="959" spans="13:13" x14ac:dyDescent="0.25">
      <c r="M959" s="26"/>
    </row>
    <row r="960" spans="13:13" x14ac:dyDescent="0.25">
      <c r="M960" s="26"/>
    </row>
    <row r="961" spans="13:13" x14ac:dyDescent="0.25">
      <c r="M961" s="26"/>
    </row>
    <row r="962" spans="13:13" x14ac:dyDescent="0.25">
      <c r="M962" s="26"/>
    </row>
    <row r="963" spans="13:13" x14ac:dyDescent="0.25">
      <c r="M963" s="26"/>
    </row>
    <row r="964" spans="13:13" x14ac:dyDescent="0.25">
      <c r="M964" s="26"/>
    </row>
    <row r="965" spans="13:13" x14ac:dyDescent="0.25">
      <c r="M965" s="26"/>
    </row>
    <row r="966" spans="13:13" x14ac:dyDescent="0.25">
      <c r="M966" s="26"/>
    </row>
    <row r="967" spans="13:13" x14ac:dyDescent="0.25">
      <c r="M967" s="26"/>
    </row>
    <row r="968" spans="13:13" x14ac:dyDescent="0.25">
      <c r="M968" s="26"/>
    </row>
    <row r="969" spans="13:13" x14ac:dyDescent="0.25">
      <c r="M969" s="26"/>
    </row>
    <row r="970" spans="13:13" x14ac:dyDescent="0.25">
      <c r="M970" s="26"/>
    </row>
    <row r="971" spans="13:13" x14ac:dyDescent="0.25">
      <c r="M971" s="26"/>
    </row>
    <row r="972" spans="13:13" x14ac:dyDescent="0.25">
      <c r="M972" s="26"/>
    </row>
    <row r="973" spans="13:13" x14ac:dyDescent="0.25">
      <c r="M973" s="26"/>
    </row>
    <row r="974" spans="13:13" x14ac:dyDescent="0.25">
      <c r="M974" s="26"/>
    </row>
    <row r="975" spans="13:13" x14ac:dyDescent="0.25">
      <c r="M975" s="26"/>
    </row>
    <row r="976" spans="13:13" x14ac:dyDescent="0.25">
      <c r="M976" s="26"/>
    </row>
    <row r="977" spans="13:13" x14ac:dyDescent="0.25">
      <c r="M977" s="26"/>
    </row>
    <row r="978" spans="13:13" x14ac:dyDescent="0.25">
      <c r="M978" s="26"/>
    </row>
    <row r="979" spans="13:13" x14ac:dyDescent="0.25">
      <c r="M979" s="26"/>
    </row>
    <row r="980" spans="13:13" x14ac:dyDescent="0.25">
      <c r="M980" s="26"/>
    </row>
    <row r="981" spans="13:13" x14ac:dyDescent="0.25">
      <c r="M981" s="26"/>
    </row>
    <row r="982" spans="13:13" x14ac:dyDescent="0.25">
      <c r="M982" s="26"/>
    </row>
    <row r="983" spans="13:13" x14ac:dyDescent="0.25">
      <c r="M983" s="26"/>
    </row>
    <row r="984" spans="13:13" x14ac:dyDescent="0.25">
      <c r="M984" s="26"/>
    </row>
    <row r="985" spans="13:13" x14ac:dyDescent="0.25">
      <c r="M985" s="26"/>
    </row>
    <row r="986" spans="13:13" x14ac:dyDescent="0.25">
      <c r="M986" s="26"/>
    </row>
    <row r="987" spans="13:13" x14ac:dyDescent="0.25">
      <c r="M987" s="26"/>
    </row>
    <row r="988" spans="13:13" x14ac:dyDescent="0.25">
      <c r="M988" s="26"/>
    </row>
    <row r="989" spans="13:13" x14ac:dyDescent="0.25">
      <c r="M989" s="26"/>
    </row>
    <row r="990" spans="13:13" x14ac:dyDescent="0.25">
      <c r="M990" s="26"/>
    </row>
    <row r="991" spans="13:13" x14ac:dyDescent="0.25">
      <c r="M991" s="26"/>
    </row>
    <row r="992" spans="13:13" x14ac:dyDescent="0.25">
      <c r="M992" s="26"/>
    </row>
    <row r="993" spans="13:13" x14ac:dyDescent="0.25">
      <c r="M993" s="26"/>
    </row>
    <row r="994" spans="13:13" x14ac:dyDescent="0.25">
      <c r="M994" s="26"/>
    </row>
    <row r="995" spans="13:13" x14ac:dyDescent="0.25">
      <c r="M995" s="26"/>
    </row>
    <row r="996" spans="13:13" x14ac:dyDescent="0.25">
      <c r="M996" s="26"/>
    </row>
    <row r="997" spans="13:13" x14ac:dyDescent="0.25">
      <c r="M997" s="26"/>
    </row>
    <row r="998" spans="13:13" x14ac:dyDescent="0.25">
      <c r="M998" s="26"/>
    </row>
    <row r="999" spans="13:13" x14ac:dyDescent="0.25">
      <c r="M999" s="26"/>
    </row>
    <row r="1000" spans="13:13" x14ac:dyDescent="0.25">
      <c r="M1000" s="26"/>
    </row>
    <row r="1001" spans="13:13" x14ac:dyDescent="0.25">
      <c r="M1001" s="26"/>
    </row>
    <row r="1002" spans="13:13" x14ac:dyDescent="0.25">
      <c r="M1002" s="26"/>
    </row>
    <row r="1003" spans="13:13" x14ac:dyDescent="0.25">
      <c r="M1003" s="26"/>
    </row>
    <row r="1004" spans="13:13" x14ac:dyDescent="0.25">
      <c r="M1004" s="26"/>
    </row>
    <row r="1005" spans="13:13" x14ac:dyDescent="0.25">
      <c r="M1005" s="26"/>
    </row>
    <row r="1006" spans="13:13" x14ac:dyDescent="0.25">
      <c r="M1006" s="26"/>
    </row>
    <row r="1007" spans="13:13" x14ac:dyDescent="0.25">
      <c r="M1007" s="26"/>
    </row>
    <row r="1008" spans="13:13" x14ac:dyDescent="0.25">
      <c r="M1008" s="26"/>
    </row>
    <row r="1009" spans="13:13" x14ac:dyDescent="0.25">
      <c r="M1009" s="26"/>
    </row>
    <row r="1010" spans="13:13" x14ac:dyDescent="0.25">
      <c r="M1010" s="26"/>
    </row>
    <row r="1011" spans="13:13" x14ac:dyDescent="0.25">
      <c r="M1011" s="26"/>
    </row>
    <row r="1012" spans="13:13" x14ac:dyDescent="0.25">
      <c r="M1012" s="26"/>
    </row>
    <row r="1013" spans="13:13" x14ac:dyDescent="0.25">
      <c r="M1013" s="26"/>
    </row>
    <row r="1014" spans="13:13" x14ac:dyDescent="0.25">
      <c r="M1014" s="26"/>
    </row>
    <row r="1015" spans="13:13" x14ac:dyDescent="0.25">
      <c r="M1015" s="26"/>
    </row>
    <row r="1016" spans="13:13" x14ac:dyDescent="0.25">
      <c r="M1016" s="26"/>
    </row>
    <row r="1017" spans="13:13" x14ac:dyDescent="0.25">
      <c r="M1017" s="26"/>
    </row>
    <row r="1018" spans="13:13" x14ac:dyDescent="0.25">
      <c r="M1018" s="26"/>
    </row>
    <row r="1019" spans="13:13" x14ac:dyDescent="0.25">
      <c r="M1019" s="26"/>
    </row>
    <row r="1020" spans="13:13" x14ac:dyDescent="0.25">
      <c r="M1020" s="26"/>
    </row>
    <row r="1021" spans="13:13" x14ac:dyDescent="0.25">
      <c r="M1021" s="26"/>
    </row>
    <row r="1022" spans="13:13" x14ac:dyDescent="0.25">
      <c r="M1022" s="26"/>
    </row>
    <row r="1023" spans="13:13" x14ac:dyDescent="0.25">
      <c r="M1023" s="26"/>
    </row>
    <row r="1024" spans="13:13" x14ac:dyDescent="0.25">
      <c r="M1024" s="26"/>
    </row>
    <row r="1025" spans="13:13" x14ac:dyDescent="0.25">
      <c r="M1025" s="26"/>
    </row>
    <row r="1026" spans="13:13" x14ac:dyDescent="0.25">
      <c r="M1026" s="26"/>
    </row>
    <row r="1027" spans="13:13" x14ac:dyDescent="0.25">
      <c r="M1027" s="26"/>
    </row>
    <row r="1028" spans="13:13" x14ac:dyDescent="0.25">
      <c r="M1028" s="26"/>
    </row>
    <row r="1029" spans="13:13" x14ac:dyDescent="0.25">
      <c r="M1029" s="26"/>
    </row>
    <row r="1030" spans="13:13" x14ac:dyDescent="0.25">
      <c r="M1030" s="26"/>
    </row>
    <row r="1031" spans="13:13" x14ac:dyDescent="0.25">
      <c r="M1031" s="26"/>
    </row>
    <row r="1032" spans="13:13" x14ac:dyDescent="0.25">
      <c r="M1032" s="26"/>
    </row>
    <row r="1033" spans="13:13" x14ac:dyDescent="0.25">
      <c r="M1033" s="26"/>
    </row>
    <row r="1034" spans="13:13" x14ac:dyDescent="0.25">
      <c r="M1034" s="26"/>
    </row>
    <row r="1035" spans="13:13" x14ac:dyDescent="0.25">
      <c r="M1035" s="26"/>
    </row>
    <row r="1036" spans="13:13" x14ac:dyDescent="0.25">
      <c r="M1036" s="26"/>
    </row>
    <row r="1037" spans="13:13" x14ac:dyDescent="0.25">
      <c r="M1037" s="26"/>
    </row>
    <row r="1038" spans="13:13" x14ac:dyDescent="0.25">
      <c r="M1038" s="26"/>
    </row>
    <row r="1039" spans="13:13" x14ac:dyDescent="0.25">
      <c r="M1039" s="26"/>
    </row>
    <row r="1040" spans="13:13" x14ac:dyDescent="0.25">
      <c r="M1040" s="26"/>
    </row>
    <row r="1041" spans="13:13" x14ac:dyDescent="0.25">
      <c r="M1041" s="26"/>
    </row>
    <row r="1042" spans="13:13" x14ac:dyDescent="0.25">
      <c r="M1042" s="26"/>
    </row>
    <row r="1043" spans="13:13" x14ac:dyDescent="0.25">
      <c r="M1043" s="26"/>
    </row>
    <row r="1044" spans="13:13" x14ac:dyDescent="0.25">
      <c r="M1044" s="26"/>
    </row>
    <row r="1045" spans="13:13" x14ac:dyDescent="0.25">
      <c r="M1045" s="26"/>
    </row>
    <row r="1046" spans="13:13" x14ac:dyDescent="0.25">
      <c r="M1046" s="26"/>
    </row>
    <row r="1047" spans="13:13" x14ac:dyDescent="0.25">
      <c r="M1047" s="26"/>
    </row>
    <row r="1048" spans="13:13" x14ac:dyDescent="0.25">
      <c r="M1048" s="26"/>
    </row>
    <row r="1049" spans="13:13" x14ac:dyDescent="0.25">
      <c r="M1049" s="26"/>
    </row>
    <row r="1050" spans="13:13" x14ac:dyDescent="0.25">
      <c r="M1050" s="26"/>
    </row>
    <row r="1051" spans="13:13" x14ac:dyDescent="0.25">
      <c r="M1051" s="26"/>
    </row>
    <row r="1052" spans="13:13" x14ac:dyDescent="0.25">
      <c r="M1052" s="26"/>
    </row>
    <row r="1053" spans="13:13" x14ac:dyDescent="0.25">
      <c r="M1053" s="26"/>
    </row>
    <row r="1054" spans="13:13" x14ac:dyDescent="0.25">
      <c r="M1054" s="26"/>
    </row>
    <row r="1055" spans="13:13" x14ac:dyDescent="0.25">
      <c r="M1055" s="26"/>
    </row>
    <row r="1056" spans="13:13" x14ac:dyDescent="0.25">
      <c r="M1056" s="26"/>
    </row>
    <row r="1057" spans="13:13" x14ac:dyDescent="0.25">
      <c r="M1057" s="26"/>
    </row>
    <row r="1058" spans="13:13" x14ac:dyDescent="0.25">
      <c r="M1058" s="26"/>
    </row>
    <row r="1059" spans="13:13" x14ac:dyDescent="0.25">
      <c r="M1059" s="26"/>
    </row>
    <row r="1060" spans="13:13" x14ac:dyDescent="0.25">
      <c r="M1060" s="26"/>
    </row>
    <row r="1061" spans="13:13" x14ac:dyDescent="0.25">
      <c r="M1061" s="26"/>
    </row>
    <row r="1062" spans="13:13" x14ac:dyDescent="0.25">
      <c r="M1062" s="26"/>
    </row>
    <row r="1063" spans="13:13" x14ac:dyDescent="0.25">
      <c r="M1063" s="26"/>
    </row>
    <row r="1064" spans="13:13" x14ac:dyDescent="0.25">
      <c r="M1064" s="26"/>
    </row>
    <row r="1065" spans="13:13" x14ac:dyDescent="0.25">
      <c r="M1065" s="26"/>
    </row>
    <row r="1066" spans="13:13" x14ac:dyDescent="0.25">
      <c r="M1066" s="26"/>
    </row>
    <row r="1067" spans="13:13" x14ac:dyDescent="0.25">
      <c r="M1067" s="26"/>
    </row>
    <row r="1068" spans="13:13" x14ac:dyDescent="0.25">
      <c r="M1068" s="26"/>
    </row>
    <row r="1069" spans="13:13" x14ac:dyDescent="0.25">
      <c r="M1069" s="26"/>
    </row>
    <row r="1070" spans="13:13" x14ac:dyDescent="0.25">
      <c r="M1070" s="26"/>
    </row>
    <row r="1071" spans="13:13" x14ac:dyDescent="0.25">
      <c r="M1071" s="26"/>
    </row>
    <row r="1072" spans="13:13" x14ac:dyDescent="0.25">
      <c r="M1072" s="26"/>
    </row>
    <row r="1073" spans="13:13" x14ac:dyDescent="0.25">
      <c r="M1073" s="26"/>
    </row>
    <row r="1074" spans="13:13" x14ac:dyDescent="0.25">
      <c r="M1074" s="26"/>
    </row>
    <row r="1075" spans="13:13" x14ac:dyDescent="0.25">
      <c r="M1075" s="26"/>
    </row>
    <row r="1076" spans="13:13" x14ac:dyDescent="0.25">
      <c r="M1076" s="26"/>
    </row>
    <row r="1077" spans="13:13" x14ac:dyDescent="0.25">
      <c r="M1077" s="26"/>
    </row>
    <row r="1078" spans="13:13" x14ac:dyDescent="0.25">
      <c r="M1078" s="26"/>
    </row>
    <row r="1079" spans="13:13" x14ac:dyDescent="0.25">
      <c r="M1079" s="26"/>
    </row>
    <row r="1080" spans="13:13" x14ac:dyDescent="0.25">
      <c r="M1080" s="26"/>
    </row>
    <row r="1081" spans="13:13" x14ac:dyDescent="0.25">
      <c r="M1081" s="26"/>
    </row>
    <row r="1082" spans="13:13" x14ac:dyDescent="0.25">
      <c r="M1082" s="26"/>
    </row>
    <row r="1083" spans="13:13" x14ac:dyDescent="0.25">
      <c r="M1083" s="26"/>
    </row>
    <row r="1084" spans="13:13" x14ac:dyDescent="0.25">
      <c r="M1084" s="26"/>
    </row>
    <row r="1085" spans="13:13" x14ac:dyDescent="0.25">
      <c r="M1085" s="26"/>
    </row>
    <row r="1086" spans="13:13" x14ac:dyDescent="0.25">
      <c r="M1086" s="26"/>
    </row>
    <row r="1087" spans="13:13" x14ac:dyDescent="0.25">
      <c r="M1087" s="26"/>
    </row>
    <row r="1088" spans="13:13" x14ac:dyDescent="0.25">
      <c r="M1088" s="26"/>
    </row>
    <row r="1089" spans="13:13" x14ac:dyDescent="0.25">
      <c r="M1089" s="26"/>
    </row>
    <row r="1090" spans="13:13" x14ac:dyDescent="0.25">
      <c r="M1090" s="26"/>
    </row>
    <row r="1091" spans="13:13" x14ac:dyDescent="0.25">
      <c r="M1091" s="26"/>
    </row>
    <row r="1092" spans="13:13" x14ac:dyDescent="0.25">
      <c r="M1092" s="26"/>
    </row>
    <row r="1093" spans="13:13" x14ac:dyDescent="0.25">
      <c r="M1093" s="26"/>
    </row>
    <row r="1094" spans="13:13" x14ac:dyDescent="0.25">
      <c r="M1094" s="26"/>
    </row>
    <row r="1095" spans="13:13" x14ac:dyDescent="0.25">
      <c r="M1095" s="26"/>
    </row>
    <row r="1096" spans="13:13" x14ac:dyDescent="0.25">
      <c r="M1096" s="26"/>
    </row>
    <row r="1097" spans="13:13" x14ac:dyDescent="0.25">
      <c r="M1097" s="26"/>
    </row>
    <row r="1098" spans="13:13" x14ac:dyDescent="0.25">
      <c r="M1098" s="26"/>
    </row>
    <row r="1099" spans="13:13" x14ac:dyDescent="0.25">
      <c r="M1099" s="26"/>
    </row>
    <row r="1100" spans="13:13" x14ac:dyDescent="0.25">
      <c r="M1100" s="26"/>
    </row>
    <row r="1101" spans="13:13" x14ac:dyDescent="0.25">
      <c r="M1101" s="26"/>
    </row>
    <row r="1102" spans="13:13" x14ac:dyDescent="0.25">
      <c r="M1102" s="26"/>
    </row>
    <row r="1103" spans="13:13" x14ac:dyDescent="0.25">
      <c r="M1103" s="26"/>
    </row>
    <row r="1104" spans="13:13" x14ac:dyDescent="0.25">
      <c r="M1104" s="26"/>
    </row>
    <row r="1105" spans="13:13" x14ac:dyDescent="0.25">
      <c r="M1105" s="26"/>
    </row>
    <row r="1106" spans="13:13" x14ac:dyDescent="0.25">
      <c r="M1106" s="26"/>
    </row>
    <row r="1107" spans="13:13" x14ac:dyDescent="0.25">
      <c r="M1107" s="26"/>
    </row>
    <row r="1108" spans="13:13" x14ac:dyDescent="0.25">
      <c r="M1108" s="26"/>
    </row>
    <row r="1109" spans="13:13" x14ac:dyDescent="0.25">
      <c r="M1109" s="26"/>
    </row>
    <row r="1110" spans="13:13" x14ac:dyDescent="0.25">
      <c r="M1110" s="26"/>
    </row>
    <row r="1111" spans="13:13" x14ac:dyDescent="0.25">
      <c r="M1111" s="26"/>
    </row>
    <row r="1112" spans="13:13" x14ac:dyDescent="0.25">
      <c r="M1112" s="26"/>
    </row>
    <row r="1113" spans="13:13" x14ac:dyDescent="0.25">
      <c r="M1113" s="26"/>
    </row>
    <row r="1114" spans="13:13" x14ac:dyDescent="0.25">
      <c r="M1114" s="26"/>
    </row>
    <row r="1115" spans="13:13" x14ac:dyDescent="0.25">
      <c r="M1115" s="26"/>
    </row>
    <row r="1116" spans="13:13" x14ac:dyDescent="0.25">
      <c r="M1116" s="26"/>
    </row>
    <row r="1117" spans="13:13" x14ac:dyDescent="0.25">
      <c r="M1117" s="26"/>
    </row>
    <row r="1118" spans="13:13" x14ac:dyDescent="0.25">
      <c r="M1118" s="26"/>
    </row>
    <row r="1119" spans="13:13" x14ac:dyDescent="0.25">
      <c r="M1119" s="26"/>
    </row>
    <row r="1120" spans="13:13" x14ac:dyDescent="0.25">
      <c r="M1120" s="26"/>
    </row>
    <row r="1121" spans="13:13" x14ac:dyDescent="0.25">
      <c r="M1121" s="26"/>
    </row>
    <row r="1122" spans="13:13" x14ac:dyDescent="0.25">
      <c r="M1122" s="26"/>
    </row>
    <row r="1123" spans="13:13" x14ac:dyDescent="0.25">
      <c r="M1123" s="26"/>
    </row>
    <row r="1124" spans="13:13" x14ac:dyDescent="0.25">
      <c r="M1124" s="26"/>
    </row>
    <row r="1125" spans="13:13" x14ac:dyDescent="0.25">
      <c r="M1125" s="26"/>
    </row>
    <row r="1126" spans="13:13" x14ac:dyDescent="0.25">
      <c r="M1126" s="26"/>
    </row>
    <row r="1127" spans="13:13" x14ac:dyDescent="0.25">
      <c r="M1127" s="26"/>
    </row>
    <row r="1128" spans="13:13" x14ac:dyDescent="0.25">
      <c r="M1128" s="26"/>
    </row>
    <row r="1129" spans="13:13" x14ac:dyDescent="0.25">
      <c r="M1129" s="26"/>
    </row>
    <row r="1130" spans="13:13" x14ac:dyDescent="0.25">
      <c r="M1130" s="26"/>
    </row>
    <row r="1131" spans="13:13" x14ac:dyDescent="0.25">
      <c r="M1131" s="26"/>
    </row>
    <row r="1132" spans="13:13" x14ac:dyDescent="0.25">
      <c r="M1132" s="26"/>
    </row>
    <row r="1133" spans="13:13" x14ac:dyDescent="0.25">
      <c r="M1133" s="26"/>
    </row>
    <row r="1134" spans="13:13" x14ac:dyDescent="0.25">
      <c r="M1134" s="26"/>
    </row>
    <row r="1135" spans="13:13" x14ac:dyDescent="0.25">
      <c r="M1135" s="26"/>
    </row>
    <row r="1136" spans="13:13" x14ac:dyDescent="0.25">
      <c r="M1136" s="26"/>
    </row>
    <row r="1137" spans="13:13" x14ac:dyDescent="0.25">
      <c r="M1137" s="26"/>
    </row>
    <row r="1138" spans="13:13" x14ac:dyDescent="0.25">
      <c r="M1138" s="26"/>
    </row>
    <row r="1139" spans="13:13" x14ac:dyDescent="0.25">
      <c r="M1139" s="26"/>
    </row>
    <row r="1140" spans="13:13" x14ac:dyDescent="0.25">
      <c r="M1140" s="26"/>
    </row>
    <row r="1141" spans="13:13" x14ac:dyDescent="0.25">
      <c r="M1141" s="26"/>
    </row>
    <row r="1142" spans="13:13" x14ac:dyDescent="0.25">
      <c r="M1142" s="26"/>
    </row>
    <row r="1143" spans="13:13" x14ac:dyDescent="0.25">
      <c r="M1143" s="26"/>
    </row>
    <row r="1144" spans="13:13" x14ac:dyDescent="0.25">
      <c r="M1144" s="26"/>
    </row>
    <row r="1145" spans="13:13" x14ac:dyDescent="0.25">
      <c r="M1145" s="26"/>
    </row>
    <row r="1146" spans="13:13" x14ac:dyDescent="0.25">
      <c r="M1146" s="26"/>
    </row>
    <row r="1147" spans="13:13" x14ac:dyDescent="0.25">
      <c r="M1147" s="26"/>
    </row>
    <row r="1148" spans="13:13" x14ac:dyDescent="0.25">
      <c r="M1148" s="26"/>
    </row>
  </sheetData>
  <autoFilter ref="C220:X267" xr:uid="{7D744734-301C-4E3C-A553-CE883163B352}">
    <sortState xmlns:xlrd2="http://schemas.microsoft.com/office/spreadsheetml/2017/richdata2" ref="C221:X267">
      <sortCondition descending="1" ref="K220:K267"/>
    </sortState>
  </autoFilter>
  <mergeCells count="7">
    <mergeCell ref="J365:J367"/>
    <mergeCell ref="J341:J343"/>
    <mergeCell ref="J344:J346"/>
    <mergeCell ref="J347:J349"/>
    <mergeCell ref="J351:J352"/>
    <mergeCell ref="J359:J361"/>
    <mergeCell ref="J362:J364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CE7ED-D850-4E3B-984E-C68F6B3259CA}">
  <dimension ref="A1:M284"/>
  <sheetViews>
    <sheetView zoomScale="60" zoomScaleNormal="90" workbookViewId="0">
      <selection activeCell="B39" sqref="B39:B42"/>
    </sheetView>
  </sheetViews>
  <sheetFormatPr baseColWidth="10" defaultRowHeight="15" x14ac:dyDescent="0.25"/>
  <cols>
    <col min="1" max="1" width="23" bestFit="1" customWidth="1"/>
    <col min="2" max="2" width="22.7109375" bestFit="1" customWidth="1"/>
    <col min="3" max="3" width="26.85546875" bestFit="1" customWidth="1"/>
    <col min="4" max="4" width="27.5703125" bestFit="1" customWidth="1"/>
    <col min="5" max="5" width="25.28515625" bestFit="1" customWidth="1"/>
    <col min="8" max="8" width="23" bestFit="1" customWidth="1"/>
    <col min="9" max="9" width="25.85546875" customWidth="1"/>
    <col min="11" max="11" width="21.5703125" bestFit="1" customWidth="1"/>
    <col min="12" max="12" width="25.28515625" bestFit="1" customWidth="1"/>
  </cols>
  <sheetData>
    <row r="1" spans="1:13" x14ac:dyDescent="0.25">
      <c r="A1" t="s">
        <v>871</v>
      </c>
      <c r="B1" s="27" t="s">
        <v>872</v>
      </c>
      <c r="C1" s="27" t="s">
        <v>874</v>
      </c>
      <c r="D1" s="27" t="s">
        <v>5</v>
      </c>
      <c r="E1" s="27" t="s">
        <v>885</v>
      </c>
      <c r="F1" s="27" t="s">
        <v>218</v>
      </c>
      <c r="H1" t="s">
        <v>871</v>
      </c>
      <c r="I1" s="27" t="s">
        <v>873</v>
      </c>
      <c r="J1" s="27" t="s">
        <v>875</v>
      </c>
      <c r="K1" s="27" t="s">
        <v>5</v>
      </c>
      <c r="L1" s="27" t="s">
        <v>885</v>
      </c>
      <c r="M1" s="27" t="s">
        <v>218</v>
      </c>
    </row>
    <row r="2" spans="1:13" x14ac:dyDescent="0.25">
      <c r="B2" t="s">
        <v>883</v>
      </c>
      <c r="C2">
        <v>21</v>
      </c>
      <c r="D2" t="s">
        <v>799</v>
      </c>
      <c r="E2" t="s">
        <v>367</v>
      </c>
      <c r="F2" t="s">
        <v>551</v>
      </c>
      <c r="I2" t="s">
        <v>891</v>
      </c>
      <c r="J2">
        <v>12</v>
      </c>
      <c r="K2" t="s">
        <v>178</v>
      </c>
      <c r="L2" t="s">
        <v>367</v>
      </c>
      <c r="M2" t="s">
        <v>551</v>
      </c>
    </row>
    <row r="3" spans="1:13" x14ac:dyDescent="0.25">
      <c r="B3" t="s">
        <v>884</v>
      </c>
      <c r="C3">
        <v>25</v>
      </c>
      <c r="D3" t="s">
        <v>92</v>
      </c>
      <c r="E3" t="s">
        <v>308</v>
      </c>
      <c r="F3" t="s">
        <v>220</v>
      </c>
      <c r="I3" t="s">
        <v>884</v>
      </c>
      <c r="J3">
        <v>16</v>
      </c>
      <c r="K3" t="s">
        <v>92</v>
      </c>
      <c r="L3" t="s">
        <v>308</v>
      </c>
      <c r="M3" t="s">
        <v>220</v>
      </c>
    </row>
    <row r="4" spans="1:13" x14ac:dyDescent="0.25">
      <c r="B4" t="s">
        <v>883</v>
      </c>
      <c r="C4">
        <v>22</v>
      </c>
      <c r="D4" t="s">
        <v>799</v>
      </c>
      <c r="E4" t="s">
        <v>367</v>
      </c>
      <c r="F4" t="s">
        <v>364</v>
      </c>
      <c r="I4" t="s">
        <v>883</v>
      </c>
      <c r="J4">
        <v>17</v>
      </c>
      <c r="K4" t="s">
        <v>799</v>
      </c>
      <c r="L4" t="s">
        <v>367</v>
      </c>
      <c r="M4" t="s">
        <v>364</v>
      </c>
    </row>
    <row r="5" spans="1:13" x14ac:dyDescent="0.25">
      <c r="B5" t="s">
        <v>886</v>
      </c>
      <c r="C5">
        <v>33</v>
      </c>
      <c r="D5" t="s">
        <v>192</v>
      </c>
      <c r="E5" t="s">
        <v>331</v>
      </c>
      <c r="F5" t="s">
        <v>268</v>
      </c>
      <c r="I5" t="s">
        <v>892</v>
      </c>
      <c r="J5">
        <v>21</v>
      </c>
      <c r="K5" t="s">
        <v>61</v>
      </c>
      <c r="L5" t="s">
        <v>331</v>
      </c>
      <c r="M5" t="s">
        <v>268</v>
      </c>
    </row>
    <row r="6" spans="1:13" x14ac:dyDescent="0.25">
      <c r="B6" t="s">
        <v>887</v>
      </c>
      <c r="C6">
        <v>23</v>
      </c>
      <c r="D6" t="s">
        <v>209</v>
      </c>
      <c r="E6" t="s">
        <v>308</v>
      </c>
      <c r="F6" t="s">
        <v>282</v>
      </c>
      <c r="I6" t="s">
        <v>475</v>
      </c>
      <c r="J6">
        <v>15</v>
      </c>
      <c r="K6" t="s">
        <v>79</v>
      </c>
      <c r="L6" t="s">
        <v>331</v>
      </c>
      <c r="M6" t="s">
        <v>282</v>
      </c>
    </row>
    <row r="7" spans="1:13" x14ac:dyDescent="0.25">
      <c r="B7" t="s">
        <v>888</v>
      </c>
      <c r="C7">
        <v>41</v>
      </c>
      <c r="D7" t="s">
        <v>178</v>
      </c>
      <c r="E7" t="s">
        <v>331</v>
      </c>
      <c r="F7" t="s">
        <v>223</v>
      </c>
      <c r="I7" t="s">
        <v>90</v>
      </c>
      <c r="J7">
        <v>14</v>
      </c>
      <c r="K7" t="s">
        <v>92</v>
      </c>
      <c r="L7" t="s">
        <v>331</v>
      </c>
      <c r="M7" t="s">
        <v>223</v>
      </c>
    </row>
    <row r="8" spans="1:13" x14ac:dyDescent="0.25">
      <c r="B8" t="s">
        <v>888</v>
      </c>
      <c r="C8">
        <v>37</v>
      </c>
      <c r="D8" t="s">
        <v>178</v>
      </c>
      <c r="E8" t="s">
        <v>331</v>
      </c>
      <c r="F8" t="s">
        <v>343</v>
      </c>
      <c r="I8" t="s">
        <v>90</v>
      </c>
      <c r="J8">
        <v>22</v>
      </c>
      <c r="K8" t="s">
        <v>92</v>
      </c>
      <c r="L8" t="s">
        <v>331</v>
      </c>
      <c r="M8" t="s">
        <v>343</v>
      </c>
    </row>
    <row r="9" spans="1:13" x14ac:dyDescent="0.25">
      <c r="B9" t="s">
        <v>888</v>
      </c>
      <c r="C9">
        <v>52</v>
      </c>
      <c r="D9" t="s">
        <v>178</v>
      </c>
      <c r="E9" t="s">
        <v>331</v>
      </c>
      <c r="F9" t="s">
        <v>232</v>
      </c>
      <c r="I9" t="s">
        <v>475</v>
      </c>
      <c r="J9">
        <v>18</v>
      </c>
      <c r="K9" t="s">
        <v>79</v>
      </c>
      <c r="L9" t="s">
        <v>331</v>
      </c>
      <c r="M9" t="s">
        <v>232</v>
      </c>
    </row>
    <row r="10" spans="1:13" x14ac:dyDescent="0.25">
      <c r="B10" t="s">
        <v>888</v>
      </c>
      <c r="C10">
        <v>40</v>
      </c>
      <c r="D10" t="s">
        <v>178</v>
      </c>
      <c r="E10" t="s">
        <v>331</v>
      </c>
      <c r="F10" t="s">
        <v>236</v>
      </c>
      <c r="I10" t="s">
        <v>893</v>
      </c>
      <c r="J10">
        <v>18</v>
      </c>
      <c r="K10" t="s">
        <v>66</v>
      </c>
      <c r="L10" t="s">
        <v>331</v>
      </c>
      <c r="M10" t="s">
        <v>236</v>
      </c>
    </row>
    <row r="11" spans="1:13" x14ac:dyDescent="0.25">
      <c r="B11" t="s">
        <v>888</v>
      </c>
      <c r="C11">
        <v>42</v>
      </c>
      <c r="D11" t="s">
        <v>178</v>
      </c>
      <c r="E11" t="s">
        <v>331</v>
      </c>
      <c r="F11" t="s">
        <v>239</v>
      </c>
      <c r="I11" t="s">
        <v>894</v>
      </c>
      <c r="J11">
        <v>23</v>
      </c>
      <c r="K11" t="s">
        <v>66</v>
      </c>
      <c r="L11" t="s">
        <v>331</v>
      </c>
      <c r="M11" t="s">
        <v>239</v>
      </c>
    </row>
    <row r="12" spans="1:13" x14ac:dyDescent="0.25">
      <c r="B12" t="s">
        <v>888</v>
      </c>
      <c r="C12">
        <v>39</v>
      </c>
      <c r="D12" t="s">
        <v>178</v>
      </c>
      <c r="E12" t="s">
        <v>331</v>
      </c>
      <c r="F12" t="s">
        <v>270</v>
      </c>
      <c r="I12" t="s">
        <v>894</v>
      </c>
      <c r="J12">
        <v>27</v>
      </c>
      <c r="K12" t="s">
        <v>66</v>
      </c>
      <c r="L12" t="s">
        <v>331</v>
      </c>
      <c r="M12" t="s">
        <v>270</v>
      </c>
    </row>
    <row r="13" spans="1:13" x14ac:dyDescent="0.25">
      <c r="B13" t="s">
        <v>888</v>
      </c>
      <c r="C13">
        <v>73</v>
      </c>
      <c r="D13" t="s">
        <v>178</v>
      </c>
      <c r="E13" t="s">
        <v>331</v>
      </c>
      <c r="F13" t="s">
        <v>315</v>
      </c>
      <c r="I13" t="s">
        <v>894</v>
      </c>
      <c r="J13">
        <v>38</v>
      </c>
      <c r="K13" t="s">
        <v>66</v>
      </c>
      <c r="L13" t="s">
        <v>331</v>
      </c>
      <c r="M13" t="s">
        <v>315</v>
      </c>
    </row>
    <row r="14" spans="1:13" x14ac:dyDescent="0.25">
      <c r="B14" t="s">
        <v>888</v>
      </c>
      <c r="C14">
        <v>59</v>
      </c>
      <c r="D14" t="s">
        <v>178</v>
      </c>
      <c r="E14" t="s">
        <v>331</v>
      </c>
      <c r="F14" t="s">
        <v>347</v>
      </c>
      <c r="I14" t="s">
        <v>894</v>
      </c>
      <c r="J14">
        <v>31</v>
      </c>
      <c r="K14" t="s">
        <v>66</v>
      </c>
      <c r="L14" t="s">
        <v>331</v>
      </c>
      <c r="M14" t="s">
        <v>347</v>
      </c>
    </row>
    <row r="15" spans="1:13" x14ac:dyDescent="0.25">
      <c r="B15" t="s">
        <v>888</v>
      </c>
      <c r="C15">
        <v>46</v>
      </c>
      <c r="D15" t="s">
        <v>178</v>
      </c>
      <c r="E15" t="s">
        <v>331</v>
      </c>
      <c r="F15" t="s">
        <v>278</v>
      </c>
      <c r="I15" t="s">
        <v>894</v>
      </c>
      <c r="J15">
        <v>39</v>
      </c>
      <c r="K15" t="s">
        <v>66</v>
      </c>
      <c r="L15" t="s">
        <v>331</v>
      </c>
      <c r="M15" t="s">
        <v>278</v>
      </c>
    </row>
    <row r="16" spans="1:13" ht="15.75" thickBot="1" x14ac:dyDescent="0.3">
      <c r="B16" s="44" t="s">
        <v>889</v>
      </c>
      <c r="C16" s="44">
        <v>37</v>
      </c>
      <c r="D16" s="44" t="s">
        <v>31</v>
      </c>
      <c r="E16" s="44" t="s">
        <v>331</v>
      </c>
      <c r="F16" s="44" t="s">
        <v>388</v>
      </c>
      <c r="I16" s="44" t="s">
        <v>895</v>
      </c>
      <c r="J16" s="44">
        <v>21</v>
      </c>
      <c r="K16" s="44" t="s">
        <v>184</v>
      </c>
      <c r="L16" s="44" t="s">
        <v>331</v>
      </c>
      <c r="M16" s="44" t="s">
        <v>388</v>
      </c>
    </row>
    <row r="17" spans="2:13" x14ac:dyDescent="0.25">
      <c r="B17" t="s">
        <v>889</v>
      </c>
      <c r="C17">
        <v>40</v>
      </c>
      <c r="D17" t="s">
        <v>31</v>
      </c>
      <c r="E17" t="s">
        <v>331</v>
      </c>
      <c r="F17" t="s">
        <v>369</v>
      </c>
      <c r="I17" t="s">
        <v>98</v>
      </c>
      <c r="J17">
        <v>24</v>
      </c>
      <c r="K17" t="s">
        <v>799</v>
      </c>
      <c r="L17" t="s">
        <v>331</v>
      </c>
      <c r="M17" t="s">
        <v>369</v>
      </c>
    </row>
    <row r="18" spans="2:13" x14ac:dyDescent="0.25">
      <c r="B18" t="s">
        <v>889</v>
      </c>
      <c r="C18">
        <v>40</v>
      </c>
      <c r="D18" t="s">
        <v>31</v>
      </c>
      <c r="E18" t="s">
        <v>331</v>
      </c>
      <c r="F18" t="s">
        <v>276</v>
      </c>
      <c r="I18" t="s">
        <v>106</v>
      </c>
      <c r="J18">
        <v>23</v>
      </c>
      <c r="K18" t="s">
        <v>107</v>
      </c>
      <c r="L18" t="s">
        <v>331</v>
      </c>
      <c r="M18" t="s">
        <v>276</v>
      </c>
    </row>
    <row r="19" spans="2:13" x14ac:dyDescent="0.25">
      <c r="B19" t="s">
        <v>889</v>
      </c>
      <c r="C19">
        <v>39</v>
      </c>
      <c r="D19" t="s">
        <v>31</v>
      </c>
      <c r="E19" t="s">
        <v>331</v>
      </c>
      <c r="F19" t="s">
        <v>286</v>
      </c>
      <c r="I19" t="s">
        <v>98</v>
      </c>
      <c r="J19">
        <v>16</v>
      </c>
      <c r="K19" t="s">
        <v>799</v>
      </c>
      <c r="L19" t="s">
        <v>331</v>
      </c>
      <c r="M19" t="s">
        <v>286</v>
      </c>
    </row>
    <row r="20" spans="2:13" x14ac:dyDescent="0.25">
      <c r="B20" t="s">
        <v>889</v>
      </c>
      <c r="C20">
        <v>56</v>
      </c>
      <c r="D20" t="s">
        <v>31</v>
      </c>
      <c r="E20" t="s">
        <v>331</v>
      </c>
      <c r="F20" t="s">
        <v>295</v>
      </c>
      <c r="I20" t="s">
        <v>98</v>
      </c>
      <c r="J20">
        <v>25</v>
      </c>
      <c r="K20" t="s">
        <v>799</v>
      </c>
      <c r="L20" t="s">
        <v>331</v>
      </c>
      <c r="M20" t="s">
        <v>295</v>
      </c>
    </row>
    <row r="21" spans="2:13" x14ac:dyDescent="0.25">
      <c r="B21" t="s">
        <v>889</v>
      </c>
      <c r="C21">
        <v>44</v>
      </c>
      <c r="D21" t="s">
        <v>31</v>
      </c>
      <c r="E21" t="s">
        <v>331</v>
      </c>
      <c r="F21" t="s">
        <v>742</v>
      </c>
      <c r="I21" t="s">
        <v>106</v>
      </c>
      <c r="J21">
        <v>20</v>
      </c>
      <c r="K21" t="s">
        <v>107</v>
      </c>
      <c r="L21" t="s">
        <v>331</v>
      </c>
      <c r="M21" t="s">
        <v>742</v>
      </c>
    </row>
    <row r="22" spans="2:13" x14ac:dyDescent="0.25">
      <c r="B22" t="s">
        <v>889</v>
      </c>
      <c r="C22">
        <v>57</v>
      </c>
      <c r="D22" t="s">
        <v>31</v>
      </c>
      <c r="E22" t="s">
        <v>331</v>
      </c>
      <c r="F22" t="s">
        <v>770</v>
      </c>
      <c r="I22" t="s">
        <v>106</v>
      </c>
      <c r="J22">
        <v>30</v>
      </c>
      <c r="K22" t="s">
        <v>107</v>
      </c>
      <c r="L22" t="s">
        <v>331</v>
      </c>
      <c r="M22" t="s">
        <v>770</v>
      </c>
    </row>
    <row r="23" spans="2:13" x14ac:dyDescent="0.25">
      <c r="B23" t="s">
        <v>889</v>
      </c>
      <c r="C23">
        <v>36</v>
      </c>
      <c r="D23" t="s">
        <v>31</v>
      </c>
      <c r="E23" t="s">
        <v>331</v>
      </c>
      <c r="F23" t="s">
        <v>796</v>
      </c>
      <c r="I23" t="s">
        <v>106</v>
      </c>
      <c r="J23">
        <v>22</v>
      </c>
      <c r="K23" t="s">
        <v>107</v>
      </c>
      <c r="L23" t="s">
        <v>331</v>
      </c>
      <c r="M23" t="s">
        <v>796</v>
      </c>
    </row>
    <row r="24" spans="2:13" x14ac:dyDescent="0.25">
      <c r="B24" t="s">
        <v>106</v>
      </c>
      <c r="C24">
        <v>19</v>
      </c>
      <c r="D24" t="s">
        <v>107</v>
      </c>
      <c r="E24" t="s">
        <v>331</v>
      </c>
      <c r="F24" t="s">
        <v>800</v>
      </c>
      <c r="I24" t="s">
        <v>106</v>
      </c>
      <c r="J24">
        <v>31</v>
      </c>
      <c r="K24" t="s">
        <v>107</v>
      </c>
      <c r="L24" t="s">
        <v>331</v>
      </c>
      <c r="M24" t="s">
        <v>800</v>
      </c>
    </row>
    <row r="25" spans="2:13" x14ac:dyDescent="0.25">
      <c r="B25" t="s">
        <v>890</v>
      </c>
      <c r="C25">
        <v>37</v>
      </c>
      <c r="D25" t="s">
        <v>159</v>
      </c>
      <c r="E25" t="s">
        <v>331</v>
      </c>
      <c r="F25" t="s">
        <v>829</v>
      </c>
      <c r="I25" t="s">
        <v>106</v>
      </c>
      <c r="J25">
        <v>16</v>
      </c>
      <c r="K25" t="s">
        <v>107</v>
      </c>
      <c r="L25" t="s">
        <v>331</v>
      </c>
      <c r="M25" t="s">
        <v>829</v>
      </c>
    </row>
    <row r="26" spans="2:13" x14ac:dyDescent="0.25">
      <c r="B26" t="s">
        <v>890</v>
      </c>
      <c r="C26">
        <v>26</v>
      </c>
      <c r="D26" t="s">
        <v>159</v>
      </c>
      <c r="E26" t="s">
        <v>331</v>
      </c>
      <c r="F26" t="s">
        <v>845</v>
      </c>
      <c r="I26" t="s">
        <v>98</v>
      </c>
      <c r="J26">
        <v>18</v>
      </c>
      <c r="K26" t="s">
        <v>799</v>
      </c>
      <c r="L26" t="s">
        <v>331</v>
      </c>
      <c r="M26" t="s">
        <v>845</v>
      </c>
    </row>
    <row r="27" spans="2:13" x14ac:dyDescent="0.25">
      <c r="B27" t="s">
        <v>890</v>
      </c>
      <c r="C27">
        <v>26</v>
      </c>
      <c r="D27" t="s">
        <v>159</v>
      </c>
      <c r="E27" t="s">
        <v>331</v>
      </c>
      <c r="F27" t="s">
        <v>860</v>
      </c>
      <c r="I27" t="s">
        <v>106</v>
      </c>
      <c r="J27">
        <v>19</v>
      </c>
      <c r="K27" t="s">
        <v>107</v>
      </c>
      <c r="L27" t="s">
        <v>331</v>
      </c>
      <c r="M27" t="s">
        <v>860</v>
      </c>
    </row>
    <row r="28" spans="2:13" x14ac:dyDescent="0.25">
      <c r="B28" t="s">
        <v>890</v>
      </c>
      <c r="C28">
        <v>31</v>
      </c>
      <c r="D28" t="s">
        <v>159</v>
      </c>
      <c r="E28" t="s">
        <v>331</v>
      </c>
      <c r="F28" t="s">
        <v>1013</v>
      </c>
      <c r="I28" t="s">
        <v>890</v>
      </c>
      <c r="J28">
        <v>15</v>
      </c>
      <c r="K28" t="s">
        <v>159</v>
      </c>
      <c r="L28" t="s">
        <v>331</v>
      </c>
      <c r="M28" t="s">
        <v>1013</v>
      </c>
    </row>
    <row r="29" spans="2:13" x14ac:dyDescent="0.25">
      <c r="B29" t="s">
        <v>1009</v>
      </c>
      <c r="C29">
        <f>29</f>
        <v>29</v>
      </c>
      <c r="D29" t="s">
        <v>31</v>
      </c>
      <c r="E29" t="s">
        <v>331</v>
      </c>
      <c r="F29" t="s">
        <v>1180</v>
      </c>
      <c r="I29" t="s">
        <v>890</v>
      </c>
      <c r="J29">
        <v>12</v>
      </c>
      <c r="K29" t="s">
        <v>159</v>
      </c>
      <c r="L29" t="s">
        <v>331</v>
      </c>
      <c r="M29" t="s">
        <v>1180</v>
      </c>
    </row>
    <row r="30" spans="2:13" x14ac:dyDescent="0.25">
      <c r="B30" t="s">
        <v>1009</v>
      </c>
      <c r="C30">
        <v>34</v>
      </c>
      <c r="D30" t="s">
        <v>31</v>
      </c>
      <c r="E30" t="s">
        <v>331</v>
      </c>
      <c r="F30" t="s">
        <v>1210</v>
      </c>
      <c r="I30" t="s">
        <v>890</v>
      </c>
      <c r="J30">
        <v>11</v>
      </c>
      <c r="K30" t="s">
        <v>159</v>
      </c>
      <c r="L30" t="s">
        <v>331</v>
      </c>
      <c r="M30" t="s">
        <v>1210</v>
      </c>
    </row>
    <row r="31" spans="2:13" ht="15.75" thickBot="1" x14ac:dyDescent="0.3">
      <c r="B31" s="44" t="s">
        <v>890</v>
      </c>
      <c r="C31" s="44">
        <v>33</v>
      </c>
      <c r="D31" s="44" t="s">
        <v>159</v>
      </c>
      <c r="E31" s="44" t="s">
        <v>331</v>
      </c>
      <c r="F31" s="44" t="s">
        <v>1240</v>
      </c>
      <c r="I31" s="44" t="s">
        <v>1253</v>
      </c>
      <c r="J31" s="44">
        <v>20</v>
      </c>
      <c r="K31" s="44" t="s">
        <v>130</v>
      </c>
      <c r="L31" s="44" t="s">
        <v>331</v>
      </c>
      <c r="M31" s="44" t="s">
        <v>1240</v>
      </c>
    </row>
    <row r="32" spans="2:13" x14ac:dyDescent="0.25">
      <c r="B32" t="s">
        <v>1009</v>
      </c>
      <c r="C32">
        <v>31</v>
      </c>
      <c r="D32" t="s">
        <v>31</v>
      </c>
      <c r="E32" t="s">
        <v>331</v>
      </c>
      <c r="F32" t="s">
        <v>1271</v>
      </c>
      <c r="I32" t="s">
        <v>1253</v>
      </c>
      <c r="J32">
        <v>14</v>
      </c>
      <c r="K32" t="s">
        <v>130</v>
      </c>
      <c r="L32" t="s">
        <v>331</v>
      </c>
      <c r="M32" t="s">
        <v>1271</v>
      </c>
    </row>
    <row r="33" spans="2:13" x14ac:dyDescent="0.25">
      <c r="B33" t="s">
        <v>1009</v>
      </c>
      <c r="C33">
        <v>28</v>
      </c>
      <c r="D33" t="s">
        <v>31</v>
      </c>
      <c r="E33" t="s">
        <v>331</v>
      </c>
      <c r="F33" t="s">
        <v>1292</v>
      </c>
      <c r="I33" t="s">
        <v>1293</v>
      </c>
      <c r="J33">
        <v>20</v>
      </c>
      <c r="K33" t="s">
        <v>1294</v>
      </c>
      <c r="L33" t="s">
        <v>331</v>
      </c>
      <c r="M33" t="s">
        <v>1284</v>
      </c>
    </row>
    <row r="34" spans="2:13" x14ac:dyDescent="0.25">
      <c r="B34" t="s">
        <v>1254</v>
      </c>
      <c r="C34">
        <f>32</f>
        <v>32</v>
      </c>
      <c r="D34" t="s">
        <v>37</v>
      </c>
      <c r="E34" t="s">
        <v>331</v>
      </c>
      <c r="F34" t="s">
        <v>1323</v>
      </c>
      <c r="I34" t="s">
        <v>1253</v>
      </c>
      <c r="J34">
        <f>19</f>
        <v>19</v>
      </c>
      <c r="K34" t="s">
        <v>130</v>
      </c>
      <c r="L34" t="s">
        <v>331</v>
      </c>
      <c r="M34" t="s">
        <v>1323</v>
      </c>
    </row>
    <row r="35" spans="2:13" x14ac:dyDescent="0.25">
      <c r="B35" t="s">
        <v>1254</v>
      </c>
      <c r="C35">
        <v>36</v>
      </c>
      <c r="D35" t="s">
        <v>37</v>
      </c>
      <c r="E35" t="s">
        <v>331</v>
      </c>
      <c r="F35" t="s">
        <v>1349</v>
      </c>
      <c r="I35" t="s">
        <v>1253</v>
      </c>
      <c r="J35">
        <v>21</v>
      </c>
      <c r="K35" t="s">
        <v>130</v>
      </c>
      <c r="L35" t="s">
        <v>331</v>
      </c>
      <c r="M35" t="s">
        <v>1349</v>
      </c>
    </row>
    <row r="36" spans="2:13" x14ac:dyDescent="0.25">
      <c r="B36" t="s">
        <v>1009</v>
      </c>
      <c r="C36">
        <v>29</v>
      </c>
      <c r="D36" t="s">
        <v>31</v>
      </c>
      <c r="E36" t="s">
        <v>331</v>
      </c>
      <c r="F36" t="s">
        <v>1374</v>
      </c>
      <c r="I36" t="s">
        <v>1254</v>
      </c>
      <c r="J36">
        <v>18</v>
      </c>
      <c r="K36" t="s">
        <v>37</v>
      </c>
      <c r="L36" t="s">
        <v>331</v>
      </c>
      <c r="M36" t="s">
        <v>1349</v>
      </c>
    </row>
    <row r="37" spans="2:13" x14ac:dyDescent="0.25">
      <c r="B37" t="s">
        <v>1254</v>
      </c>
      <c r="C37">
        <v>46</v>
      </c>
      <c r="D37" t="s">
        <v>37</v>
      </c>
      <c r="E37" t="s">
        <v>331</v>
      </c>
      <c r="F37" t="s">
        <v>1415</v>
      </c>
      <c r="I37" t="s">
        <v>1427</v>
      </c>
      <c r="J37">
        <v>17</v>
      </c>
      <c r="K37" t="s">
        <v>1270</v>
      </c>
      <c r="L37" t="s">
        <v>331</v>
      </c>
      <c r="M37" t="s">
        <v>1415</v>
      </c>
    </row>
    <row r="38" spans="2:13" x14ac:dyDescent="0.25">
      <c r="B38" t="s">
        <v>908</v>
      </c>
      <c r="C38">
        <v>27</v>
      </c>
      <c r="D38" t="s">
        <v>37</v>
      </c>
      <c r="E38" t="s">
        <v>367</v>
      </c>
      <c r="F38" t="s">
        <v>1436</v>
      </c>
      <c r="I38" t="s">
        <v>1427</v>
      </c>
      <c r="J38">
        <v>18</v>
      </c>
      <c r="K38" t="s">
        <v>1270</v>
      </c>
      <c r="L38" t="s">
        <v>331</v>
      </c>
      <c r="M38" t="s">
        <v>1436</v>
      </c>
    </row>
    <row r="39" spans="2:13" x14ac:dyDescent="0.25">
      <c r="B39" t="s">
        <v>1457</v>
      </c>
      <c r="C39">
        <v>30</v>
      </c>
      <c r="D39" t="s">
        <v>178</v>
      </c>
      <c r="E39" t="s">
        <v>331</v>
      </c>
      <c r="F39" t="s">
        <v>1442</v>
      </c>
      <c r="I39" t="s">
        <v>902</v>
      </c>
      <c r="J39">
        <v>16</v>
      </c>
      <c r="K39" t="s">
        <v>130</v>
      </c>
      <c r="L39" t="s">
        <v>331</v>
      </c>
      <c r="M39" t="s">
        <v>1442</v>
      </c>
    </row>
    <row r="40" spans="2:13" x14ac:dyDescent="0.25">
      <c r="B40" t="s">
        <v>1457</v>
      </c>
      <c r="C40">
        <v>37</v>
      </c>
      <c r="D40" t="s">
        <v>178</v>
      </c>
      <c r="E40" t="s">
        <v>331</v>
      </c>
      <c r="F40" t="s">
        <v>1443</v>
      </c>
      <c r="I40" t="s">
        <v>1483</v>
      </c>
      <c r="J40">
        <v>14</v>
      </c>
      <c r="K40" t="s">
        <v>79</v>
      </c>
      <c r="L40" t="s">
        <v>331</v>
      </c>
      <c r="M40" t="s">
        <v>1443</v>
      </c>
    </row>
    <row r="41" spans="2:13" x14ac:dyDescent="0.25">
      <c r="B41" t="s">
        <v>1457</v>
      </c>
      <c r="C41">
        <v>48</v>
      </c>
      <c r="D41" t="s">
        <v>178</v>
      </c>
      <c r="E41" t="s">
        <v>331</v>
      </c>
      <c r="F41" t="s">
        <v>1467</v>
      </c>
      <c r="I41" t="s">
        <v>1483</v>
      </c>
      <c r="J41">
        <v>12</v>
      </c>
      <c r="K41" t="s">
        <v>79</v>
      </c>
      <c r="L41" t="s">
        <v>331</v>
      </c>
      <c r="M41" t="s">
        <v>1467</v>
      </c>
    </row>
    <row r="42" spans="2:13" x14ac:dyDescent="0.25">
      <c r="B42" t="s">
        <v>1457</v>
      </c>
      <c r="C42">
        <v>48</v>
      </c>
      <c r="D42" t="s">
        <v>178</v>
      </c>
      <c r="E42" t="s">
        <v>331</v>
      </c>
      <c r="F42" t="s">
        <v>1468</v>
      </c>
      <c r="I42" t="s">
        <v>902</v>
      </c>
      <c r="J42">
        <v>13</v>
      </c>
      <c r="K42" t="s">
        <v>1519</v>
      </c>
      <c r="L42" t="s">
        <v>331</v>
      </c>
      <c r="M42" t="s">
        <v>1468</v>
      </c>
    </row>
    <row r="50" spans="1:13" x14ac:dyDescent="0.25">
      <c r="A50" t="s">
        <v>876</v>
      </c>
      <c r="B50" s="27" t="s">
        <v>872</v>
      </c>
      <c r="C50" s="27" t="s">
        <v>874</v>
      </c>
      <c r="D50" s="27" t="s">
        <v>5</v>
      </c>
      <c r="E50" s="27" t="s">
        <v>885</v>
      </c>
      <c r="F50" s="27" t="s">
        <v>218</v>
      </c>
      <c r="H50" t="s">
        <v>876</v>
      </c>
      <c r="I50" s="27" t="s">
        <v>873</v>
      </c>
      <c r="J50" s="27" t="s">
        <v>875</v>
      </c>
      <c r="K50" s="27" t="s">
        <v>5</v>
      </c>
      <c r="L50" s="27" t="s">
        <v>885</v>
      </c>
      <c r="M50" s="27" t="s">
        <v>218</v>
      </c>
    </row>
    <row r="51" spans="1:13" x14ac:dyDescent="0.25">
      <c r="B51" t="s">
        <v>896</v>
      </c>
      <c r="C51">
        <v>9</v>
      </c>
      <c r="D51" t="s">
        <v>195</v>
      </c>
      <c r="E51" t="s">
        <v>897</v>
      </c>
      <c r="F51" t="s">
        <v>220</v>
      </c>
      <c r="I51" t="s">
        <v>912</v>
      </c>
      <c r="J51">
        <v>6</v>
      </c>
      <c r="K51" t="s">
        <v>25</v>
      </c>
      <c r="L51" t="s">
        <v>331</v>
      </c>
      <c r="M51" t="s">
        <v>220</v>
      </c>
    </row>
    <row r="52" spans="1:13" x14ac:dyDescent="0.25">
      <c r="B52" t="s">
        <v>898</v>
      </c>
      <c r="C52">
        <v>7</v>
      </c>
      <c r="D52" t="s">
        <v>159</v>
      </c>
      <c r="E52" t="s">
        <v>377</v>
      </c>
      <c r="F52" t="s">
        <v>364</v>
      </c>
      <c r="I52" t="s">
        <v>913</v>
      </c>
      <c r="J52">
        <v>4</v>
      </c>
      <c r="K52" t="s">
        <v>50</v>
      </c>
      <c r="L52" t="s">
        <v>459</v>
      </c>
      <c r="M52" t="s">
        <v>364</v>
      </c>
    </row>
    <row r="53" spans="1:13" x14ac:dyDescent="0.25">
      <c r="B53" t="s">
        <v>884</v>
      </c>
      <c r="C53">
        <v>14</v>
      </c>
      <c r="D53" t="s">
        <v>92</v>
      </c>
      <c r="E53" t="s">
        <v>399</v>
      </c>
      <c r="F53" t="s">
        <v>268</v>
      </c>
      <c r="I53" t="s">
        <v>884</v>
      </c>
      <c r="J53">
        <v>6</v>
      </c>
      <c r="K53" t="s">
        <v>92</v>
      </c>
      <c r="L53" t="s">
        <v>399</v>
      </c>
      <c r="M53" t="s">
        <v>268</v>
      </c>
    </row>
    <row r="54" spans="1:13" x14ac:dyDescent="0.25">
      <c r="B54" t="s">
        <v>887</v>
      </c>
      <c r="C54">
        <v>9</v>
      </c>
      <c r="D54" t="s">
        <v>209</v>
      </c>
      <c r="E54" t="s">
        <v>308</v>
      </c>
      <c r="F54" t="s">
        <v>282</v>
      </c>
      <c r="I54" t="s">
        <v>898</v>
      </c>
      <c r="J54">
        <v>5</v>
      </c>
      <c r="K54" t="s">
        <v>914</v>
      </c>
      <c r="L54" t="s">
        <v>377</v>
      </c>
      <c r="M54" t="s">
        <v>282</v>
      </c>
    </row>
    <row r="55" spans="1:13" x14ac:dyDescent="0.25">
      <c r="B55" t="s">
        <v>899</v>
      </c>
      <c r="C55">
        <v>10</v>
      </c>
      <c r="D55" t="s">
        <v>799</v>
      </c>
      <c r="E55" t="s">
        <v>493</v>
      </c>
      <c r="F55" t="s">
        <v>223</v>
      </c>
      <c r="I55" t="s">
        <v>475</v>
      </c>
      <c r="J55">
        <v>6</v>
      </c>
      <c r="K55" t="s">
        <v>79</v>
      </c>
      <c r="L55" t="s">
        <v>331</v>
      </c>
      <c r="M55" t="s">
        <v>223</v>
      </c>
    </row>
    <row r="56" spans="1:13" x14ac:dyDescent="0.25">
      <c r="B56" t="s">
        <v>181</v>
      </c>
      <c r="C56">
        <v>12</v>
      </c>
      <c r="D56" t="s">
        <v>31</v>
      </c>
      <c r="E56" t="s">
        <v>331</v>
      </c>
      <c r="F56" t="s">
        <v>343</v>
      </c>
      <c r="I56" t="s">
        <v>475</v>
      </c>
      <c r="J56">
        <v>7</v>
      </c>
      <c r="K56" t="s">
        <v>79</v>
      </c>
      <c r="L56" t="s">
        <v>331</v>
      </c>
      <c r="M56" t="s">
        <v>343</v>
      </c>
    </row>
    <row r="57" spans="1:13" x14ac:dyDescent="0.25">
      <c r="B57" t="s">
        <v>181</v>
      </c>
      <c r="C57">
        <v>18</v>
      </c>
      <c r="D57" t="s">
        <v>31</v>
      </c>
      <c r="E57" t="s">
        <v>331</v>
      </c>
      <c r="F57" t="s">
        <v>232</v>
      </c>
      <c r="I57" t="s">
        <v>181</v>
      </c>
      <c r="J57">
        <v>7</v>
      </c>
      <c r="K57" t="s">
        <v>31</v>
      </c>
      <c r="L57" t="s">
        <v>331</v>
      </c>
      <c r="M57" t="s">
        <v>232</v>
      </c>
    </row>
    <row r="58" spans="1:13" x14ac:dyDescent="0.25">
      <c r="B58" t="s">
        <v>181</v>
      </c>
      <c r="C58">
        <v>18</v>
      </c>
      <c r="D58" t="s">
        <v>31</v>
      </c>
      <c r="E58" t="s">
        <v>331</v>
      </c>
      <c r="F58" t="s">
        <v>236</v>
      </c>
      <c r="I58" t="s">
        <v>895</v>
      </c>
      <c r="J58">
        <v>7</v>
      </c>
      <c r="K58" t="s">
        <v>184</v>
      </c>
      <c r="L58" t="s">
        <v>331</v>
      </c>
      <c r="M58" t="s">
        <v>236</v>
      </c>
    </row>
    <row r="59" spans="1:13" x14ac:dyDescent="0.25">
      <c r="B59" t="s">
        <v>181</v>
      </c>
      <c r="C59">
        <v>14</v>
      </c>
      <c r="D59" t="s">
        <v>31</v>
      </c>
      <c r="E59" t="s">
        <v>331</v>
      </c>
      <c r="F59" t="s">
        <v>239</v>
      </c>
      <c r="I59" t="s">
        <v>915</v>
      </c>
      <c r="J59">
        <v>8</v>
      </c>
      <c r="K59" t="s">
        <v>83</v>
      </c>
      <c r="L59" t="s">
        <v>380</v>
      </c>
      <c r="M59" t="s">
        <v>239</v>
      </c>
    </row>
    <row r="60" spans="1:13" x14ac:dyDescent="0.25">
      <c r="B60" t="s">
        <v>181</v>
      </c>
      <c r="C60">
        <v>14</v>
      </c>
      <c r="D60" t="s">
        <v>31</v>
      </c>
      <c r="E60" t="s">
        <v>331</v>
      </c>
      <c r="F60" t="s">
        <v>270</v>
      </c>
      <c r="I60" t="s">
        <v>181</v>
      </c>
      <c r="J60">
        <v>7</v>
      </c>
      <c r="K60" t="s">
        <v>31</v>
      </c>
      <c r="L60" t="s">
        <v>331</v>
      </c>
      <c r="M60" t="s">
        <v>270</v>
      </c>
    </row>
    <row r="61" spans="1:13" x14ac:dyDescent="0.25">
      <c r="B61" t="s">
        <v>900</v>
      </c>
      <c r="C61">
        <v>12</v>
      </c>
      <c r="D61" t="s">
        <v>965</v>
      </c>
      <c r="E61" t="s">
        <v>901</v>
      </c>
      <c r="F61" t="s">
        <v>315</v>
      </c>
      <c r="I61" t="s">
        <v>193</v>
      </c>
      <c r="J61">
        <v>6</v>
      </c>
      <c r="K61" t="s">
        <v>59</v>
      </c>
      <c r="L61" t="s">
        <v>331</v>
      </c>
      <c r="M61" t="s">
        <v>315</v>
      </c>
    </row>
    <row r="62" spans="1:13" x14ac:dyDescent="0.25">
      <c r="B62" t="s">
        <v>889</v>
      </c>
      <c r="C62">
        <v>14</v>
      </c>
      <c r="D62" t="s">
        <v>31</v>
      </c>
      <c r="E62" t="s">
        <v>331</v>
      </c>
      <c r="F62" t="s">
        <v>347</v>
      </c>
      <c r="I62" t="s">
        <v>916</v>
      </c>
      <c r="J62">
        <v>7</v>
      </c>
      <c r="K62" t="s">
        <v>125</v>
      </c>
      <c r="L62" t="s">
        <v>917</v>
      </c>
      <c r="M62" t="s">
        <v>347</v>
      </c>
    </row>
    <row r="63" spans="1:13" x14ac:dyDescent="0.25">
      <c r="B63" t="s">
        <v>889</v>
      </c>
      <c r="C63">
        <v>17</v>
      </c>
      <c r="D63" t="s">
        <v>31</v>
      </c>
      <c r="E63" t="s">
        <v>331</v>
      </c>
      <c r="F63" t="s">
        <v>278</v>
      </c>
      <c r="I63" t="s">
        <v>918</v>
      </c>
      <c r="J63">
        <v>6</v>
      </c>
      <c r="K63" t="s">
        <v>37</v>
      </c>
      <c r="L63" t="s">
        <v>331</v>
      </c>
      <c r="M63" t="s">
        <v>278</v>
      </c>
    </row>
    <row r="64" spans="1:13" x14ac:dyDescent="0.25">
      <c r="B64" t="s">
        <v>902</v>
      </c>
      <c r="C64">
        <v>11</v>
      </c>
      <c r="D64" t="s">
        <v>130</v>
      </c>
      <c r="E64" t="s">
        <v>331</v>
      </c>
      <c r="F64" t="s">
        <v>388</v>
      </c>
      <c r="I64" t="s">
        <v>888</v>
      </c>
      <c r="J64">
        <v>7</v>
      </c>
      <c r="K64" t="s">
        <v>178</v>
      </c>
      <c r="L64" t="s">
        <v>387</v>
      </c>
      <c r="M64" t="s">
        <v>388</v>
      </c>
    </row>
    <row r="65" spans="2:13" x14ac:dyDescent="0.25">
      <c r="B65" t="s">
        <v>889</v>
      </c>
      <c r="C65">
        <v>10</v>
      </c>
      <c r="D65" t="s">
        <v>31</v>
      </c>
      <c r="E65" t="s">
        <v>331</v>
      </c>
      <c r="F65" t="s">
        <v>369</v>
      </c>
      <c r="I65" t="s">
        <v>106</v>
      </c>
      <c r="J65">
        <v>9</v>
      </c>
      <c r="K65" t="s">
        <v>107</v>
      </c>
      <c r="L65" t="s">
        <v>331</v>
      </c>
      <c r="M65" t="s">
        <v>369</v>
      </c>
    </row>
    <row r="66" spans="2:13" ht="15.75" thickBot="1" x14ac:dyDescent="0.3">
      <c r="B66" s="44" t="s">
        <v>903</v>
      </c>
      <c r="C66" s="44">
        <v>8</v>
      </c>
      <c r="D66" s="44" t="s">
        <v>209</v>
      </c>
      <c r="E66" s="44" t="s">
        <v>441</v>
      </c>
      <c r="F66" s="44" t="s">
        <v>276</v>
      </c>
      <c r="I66" s="44" t="s">
        <v>919</v>
      </c>
      <c r="J66" s="44">
        <v>5</v>
      </c>
      <c r="K66" s="44" t="s">
        <v>66</v>
      </c>
      <c r="L66" s="44" t="s">
        <v>574</v>
      </c>
      <c r="M66" s="44" t="s">
        <v>276</v>
      </c>
    </row>
    <row r="67" spans="2:13" x14ac:dyDescent="0.25">
      <c r="B67" t="s">
        <v>904</v>
      </c>
      <c r="C67">
        <v>11</v>
      </c>
      <c r="D67" t="s">
        <v>159</v>
      </c>
      <c r="E67" t="s">
        <v>905</v>
      </c>
      <c r="F67" t="s">
        <v>286</v>
      </c>
      <c r="I67" t="s">
        <v>920</v>
      </c>
      <c r="J67">
        <v>6</v>
      </c>
      <c r="K67" t="s">
        <v>799</v>
      </c>
      <c r="L67" t="s">
        <v>331</v>
      </c>
      <c r="M67" t="s">
        <v>286</v>
      </c>
    </row>
    <row r="68" spans="2:13" x14ac:dyDescent="0.25">
      <c r="B68" t="s">
        <v>906</v>
      </c>
      <c r="C68">
        <v>9</v>
      </c>
      <c r="D68" t="s">
        <v>907</v>
      </c>
      <c r="E68" t="s">
        <v>435</v>
      </c>
      <c r="F68" t="s">
        <v>295</v>
      </c>
      <c r="I68" t="s">
        <v>42</v>
      </c>
      <c r="J68">
        <v>5</v>
      </c>
      <c r="K68" t="s">
        <v>44</v>
      </c>
      <c r="L68" t="s">
        <v>331</v>
      </c>
      <c r="M68" t="s">
        <v>295</v>
      </c>
    </row>
    <row r="69" spans="2:13" x14ac:dyDescent="0.25">
      <c r="B69" t="s">
        <v>889</v>
      </c>
      <c r="C69">
        <v>11</v>
      </c>
      <c r="D69" t="s">
        <v>31</v>
      </c>
      <c r="E69" t="s">
        <v>331</v>
      </c>
      <c r="F69" t="s">
        <v>742</v>
      </c>
      <c r="I69" t="s">
        <v>920</v>
      </c>
      <c r="J69">
        <v>8</v>
      </c>
      <c r="K69" t="s">
        <v>799</v>
      </c>
      <c r="L69" t="s">
        <v>331</v>
      </c>
      <c r="M69" t="s">
        <v>742</v>
      </c>
    </row>
    <row r="70" spans="2:13" x14ac:dyDescent="0.25">
      <c r="B70" t="s">
        <v>908</v>
      </c>
      <c r="C70">
        <v>11</v>
      </c>
      <c r="D70" t="s">
        <v>37</v>
      </c>
      <c r="E70" t="s">
        <v>399</v>
      </c>
      <c r="F70" t="s">
        <v>770</v>
      </c>
      <c r="I70" t="s">
        <v>908</v>
      </c>
      <c r="J70">
        <v>5</v>
      </c>
      <c r="K70" t="s">
        <v>37</v>
      </c>
      <c r="L70" t="s">
        <v>399</v>
      </c>
      <c r="M70" t="s">
        <v>770</v>
      </c>
    </row>
    <row r="71" spans="2:13" x14ac:dyDescent="0.25">
      <c r="B71" t="s">
        <v>889</v>
      </c>
      <c r="C71">
        <v>13</v>
      </c>
      <c r="D71" t="s">
        <v>31</v>
      </c>
      <c r="E71" t="s">
        <v>331</v>
      </c>
      <c r="F71" t="s">
        <v>796</v>
      </c>
      <c r="I71" t="s">
        <v>921</v>
      </c>
      <c r="J71">
        <v>9</v>
      </c>
      <c r="K71" t="s">
        <v>195</v>
      </c>
      <c r="L71" t="s">
        <v>464</v>
      </c>
      <c r="M71" t="s">
        <v>796</v>
      </c>
    </row>
    <row r="72" spans="2:13" x14ac:dyDescent="0.25">
      <c r="B72" t="s">
        <v>909</v>
      </c>
      <c r="C72">
        <v>10</v>
      </c>
      <c r="D72" t="s">
        <v>910</v>
      </c>
      <c r="E72" t="s">
        <v>387</v>
      </c>
      <c r="F72" t="s">
        <v>800</v>
      </c>
      <c r="I72" t="s">
        <v>922</v>
      </c>
      <c r="J72">
        <v>5</v>
      </c>
      <c r="K72" t="s">
        <v>31</v>
      </c>
      <c r="L72" t="s">
        <v>917</v>
      </c>
      <c r="M72" t="s">
        <v>800</v>
      </c>
    </row>
    <row r="73" spans="2:13" x14ac:dyDescent="0.25">
      <c r="B73" t="s">
        <v>890</v>
      </c>
      <c r="C73">
        <v>11</v>
      </c>
      <c r="D73" t="s">
        <v>159</v>
      </c>
      <c r="E73" t="s">
        <v>331</v>
      </c>
      <c r="F73" t="s">
        <v>829</v>
      </c>
      <c r="I73" t="s">
        <v>908</v>
      </c>
      <c r="J73">
        <v>10</v>
      </c>
      <c r="K73" t="s">
        <v>37</v>
      </c>
      <c r="L73" t="s">
        <v>399</v>
      </c>
      <c r="M73" t="s">
        <v>829</v>
      </c>
    </row>
    <row r="74" spans="2:13" x14ac:dyDescent="0.25">
      <c r="B74" t="s">
        <v>911</v>
      </c>
      <c r="C74">
        <v>10</v>
      </c>
      <c r="D74" t="s">
        <v>37</v>
      </c>
      <c r="E74" t="s">
        <v>459</v>
      </c>
      <c r="F74" t="s">
        <v>845</v>
      </c>
      <c r="I74" t="s">
        <v>106</v>
      </c>
      <c r="J74">
        <v>7</v>
      </c>
      <c r="K74" t="s">
        <v>107</v>
      </c>
      <c r="L74" t="s">
        <v>331</v>
      </c>
      <c r="M74" t="s">
        <v>845</v>
      </c>
    </row>
    <row r="75" spans="2:13" x14ac:dyDescent="0.25">
      <c r="B75" t="s">
        <v>1009</v>
      </c>
      <c r="C75">
        <v>10</v>
      </c>
      <c r="D75" t="s">
        <v>31</v>
      </c>
      <c r="E75" t="s">
        <v>331</v>
      </c>
      <c r="F75" t="s">
        <v>860</v>
      </c>
      <c r="I75" t="s">
        <v>1010</v>
      </c>
      <c r="J75">
        <v>7</v>
      </c>
      <c r="K75" t="s">
        <v>209</v>
      </c>
      <c r="L75" t="s">
        <v>331</v>
      </c>
      <c r="M75" t="s">
        <v>860</v>
      </c>
    </row>
    <row r="76" spans="2:13" x14ac:dyDescent="0.25">
      <c r="B76" t="s">
        <v>890</v>
      </c>
      <c r="C76">
        <v>16</v>
      </c>
      <c r="D76" t="s">
        <v>159</v>
      </c>
      <c r="E76" t="s">
        <v>331</v>
      </c>
      <c r="F76" t="s">
        <v>1013</v>
      </c>
      <c r="I76" t="s">
        <v>1169</v>
      </c>
      <c r="J76">
        <v>7</v>
      </c>
      <c r="K76" t="s">
        <v>910</v>
      </c>
      <c r="L76" t="s">
        <v>519</v>
      </c>
      <c r="M76" t="s">
        <v>1013</v>
      </c>
    </row>
    <row r="77" spans="2:13" x14ac:dyDescent="0.25">
      <c r="B77" t="s">
        <v>1009</v>
      </c>
      <c r="C77">
        <v>12</v>
      </c>
      <c r="D77" t="s">
        <v>31</v>
      </c>
      <c r="E77" t="s">
        <v>331</v>
      </c>
      <c r="F77" t="s">
        <v>1180</v>
      </c>
      <c r="I77" t="s">
        <v>1200</v>
      </c>
      <c r="J77">
        <v>6</v>
      </c>
      <c r="K77" t="s">
        <v>31</v>
      </c>
      <c r="L77" t="s">
        <v>331</v>
      </c>
      <c r="M77" t="s">
        <v>1180</v>
      </c>
    </row>
    <row r="78" spans="2:13" x14ac:dyDescent="0.25">
      <c r="B78" t="s">
        <v>890</v>
      </c>
      <c r="C78">
        <v>15</v>
      </c>
      <c r="D78" t="s">
        <v>159</v>
      </c>
      <c r="E78" t="s">
        <v>331</v>
      </c>
      <c r="F78" t="s">
        <v>1210</v>
      </c>
      <c r="I78" t="s">
        <v>1224</v>
      </c>
      <c r="J78">
        <v>6</v>
      </c>
      <c r="K78" t="s">
        <v>31</v>
      </c>
      <c r="L78" t="s">
        <v>331</v>
      </c>
      <c r="M78" t="s">
        <v>1210</v>
      </c>
    </row>
    <row r="79" spans="2:13" ht="15.75" thickBot="1" x14ac:dyDescent="0.3">
      <c r="B79" s="44" t="s">
        <v>1256</v>
      </c>
      <c r="C79" s="44">
        <v>11</v>
      </c>
      <c r="D79" s="44" t="s">
        <v>907</v>
      </c>
      <c r="E79" s="44" t="s">
        <v>377</v>
      </c>
      <c r="F79" s="44" t="s">
        <v>1240</v>
      </c>
      <c r="I79" s="44" t="s">
        <v>1257</v>
      </c>
      <c r="J79" s="44">
        <v>6</v>
      </c>
      <c r="K79" s="44" t="s">
        <v>79</v>
      </c>
      <c r="L79" s="44" t="s">
        <v>377</v>
      </c>
      <c r="M79" s="44" t="s">
        <v>1240</v>
      </c>
    </row>
    <row r="80" spans="2:13" x14ac:dyDescent="0.25">
      <c r="B80" s="104" t="s">
        <v>966</v>
      </c>
      <c r="C80" s="104">
        <v>10</v>
      </c>
      <c r="D80" s="104" t="s">
        <v>50</v>
      </c>
      <c r="E80" s="104" t="s">
        <v>387</v>
      </c>
      <c r="F80" t="s">
        <v>1271</v>
      </c>
      <c r="I80" s="104" t="s">
        <v>1253</v>
      </c>
      <c r="J80" s="104">
        <v>6</v>
      </c>
      <c r="K80" s="104" t="s">
        <v>130</v>
      </c>
      <c r="L80" s="104" t="s">
        <v>331</v>
      </c>
      <c r="M80" t="s">
        <v>1271</v>
      </c>
    </row>
    <row r="81" spans="1:13" x14ac:dyDescent="0.25">
      <c r="B81" s="104" t="s">
        <v>890</v>
      </c>
      <c r="C81" s="104">
        <v>9</v>
      </c>
      <c r="D81" s="104" t="s">
        <v>159</v>
      </c>
      <c r="E81" s="104" t="s">
        <v>331</v>
      </c>
      <c r="F81" s="104" t="s">
        <v>1284</v>
      </c>
      <c r="I81" s="104" t="s">
        <v>1253</v>
      </c>
      <c r="J81" s="104">
        <v>6</v>
      </c>
      <c r="K81" s="104" t="s">
        <v>130</v>
      </c>
      <c r="L81" s="104" t="s">
        <v>331</v>
      </c>
      <c r="M81" s="104" t="s">
        <v>1284</v>
      </c>
    </row>
    <row r="82" spans="1:13" x14ac:dyDescent="0.25">
      <c r="B82" s="104" t="s">
        <v>1006</v>
      </c>
      <c r="C82" s="104">
        <v>8</v>
      </c>
      <c r="D82" s="104" t="s">
        <v>31</v>
      </c>
      <c r="E82" s="104" t="s">
        <v>377</v>
      </c>
      <c r="F82" t="s">
        <v>1323</v>
      </c>
      <c r="I82" s="104" t="s">
        <v>902</v>
      </c>
      <c r="J82" s="104">
        <v>6</v>
      </c>
      <c r="K82" s="104" t="s">
        <v>130</v>
      </c>
      <c r="L82" s="104" t="s">
        <v>331</v>
      </c>
      <c r="M82" t="s">
        <v>1323</v>
      </c>
    </row>
    <row r="83" spans="1:13" x14ac:dyDescent="0.25">
      <c r="B83" s="104" t="s">
        <v>1370</v>
      </c>
      <c r="C83" s="104">
        <v>11</v>
      </c>
      <c r="D83" s="104" t="s">
        <v>79</v>
      </c>
      <c r="E83" s="104" t="s">
        <v>399</v>
      </c>
      <c r="F83" s="104" t="s">
        <v>1349</v>
      </c>
      <c r="I83" s="104" t="s">
        <v>1254</v>
      </c>
      <c r="J83" s="104">
        <v>6</v>
      </c>
      <c r="K83" s="104" t="s">
        <v>37</v>
      </c>
      <c r="L83" s="104" t="s">
        <v>331</v>
      </c>
      <c r="M83" s="104" t="s">
        <v>1349</v>
      </c>
    </row>
    <row r="84" spans="1:13" x14ac:dyDescent="0.25">
      <c r="B84" s="104" t="s">
        <v>1009</v>
      </c>
      <c r="C84" s="104">
        <v>15</v>
      </c>
      <c r="D84" s="104" t="s">
        <v>31</v>
      </c>
      <c r="E84" s="104" t="s">
        <v>331</v>
      </c>
      <c r="F84" t="s">
        <v>1374</v>
      </c>
      <c r="I84" s="104" t="s">
        <v>1254</v>
      </c>
      <c r="J84" s="104">
        <v>10</v>
      </c>
      <c r="K84" s="104" t="s">
        <v>37</v>
      </c>
      <c r="L84" s="104" t="s">
        <v>331</v>
      </c>
      <c r="M84" t="s">
        <v>1374</v>
      </c>
    </row>
    <row r="85" spans="1:13" x14ac:dyDescent="0.25">
      <c r="B85" s="104" t="s">
        <v>1254</v>
      </c>
      <c r="C85" s="104">
        <v>15</v>
      </c>
      <c r="D85" s="104" t="s">
        <v>37</v>
      </c>
      <c r="E85" s="104" t="s">
        <v>331</v>
      </c>
      <c r="F85" t="s">
        <v>1415</v>
      </c>
      <c r="I85" s="104" t="s">
        <v>1254</v>
      </c>
      <c r="J85" s="104">
        <v>11</v>
      </c>
      <c r="K85" s="104" t="s">
        <v>37</v>
      </c>
      <c r="L85" s="104" t="s">
        <v>331</v>
      </c>
      <c r="M85" s="104" t="s">
        <v>1415</v>
      </c>
    </row>
    <row r="86" spans="1:13" x14ac:dyDescent="0.25">
      <c r="B86" s="104" t="s">
        <v>1457</v>
      </c>
      <c r="C86" s="104">
        <v>10</v>
      </c>
      <c r="D86" s="104" t="s">
        <v>178</v>
      </c>
      <c r="E86" s="104" t="s">
        <v>331</v>
      </c>
      <c r="F86" t="s">
        <v>1436</v>
      </c>
      <c r="I86" s="104" t="s">
        <v>1427</v>
      </c>
      <c r="J86" s="104">
        <v>8</v>
      </c>
      <c r="K86" s="104" t="s">
        <v>1270</v>
      </c>
      <c r="L86" s="104" t="s">
        <v>331</v>
      </c>
      <c r="M86" t="s">
        <v>1436</v>
      </c>
    </row>
    <row r="87" spans="1:13" x14ac:dyDescent="0.25">
      <c r="B87" s="104" t="s">
        <v>1457</v>
      </c>
      <c r="C87" s="104">
        <v>10</v>
      </c>
      <c r="D87" s="104" t="s">
        <v>178</v>
      </c>
      <c r="E87" s="104" t="s">
        <v>331</v>
      </c>
      <c r="F87" t="s">
        <v>1442</v>
      </c>
      <c r="I87" s="104" t="s">
        <v>1427</v>
      </c>
      <c r="J87" s="104">
        <v>6</v>
      </c>
      <c r="K87" s="104" t="s">
        <v>1270</v>
      </c>
      <c r="L87" s="104" t="s">
        <v>331</v>
      </c>
      <c r="M87" t="s">
        <v>1442</v>
      </c>
    </row>
    <row r="88" spans="1:13" x14ac:dyDescent="0.25">
      <c r="B88" s="104" t="s">
        <v>1457</v>
      </c>
      <c r="C88" s="104">
        <v>16</v>
      </c>
      <c r="D88" s="104" t="s">
        <v>178</v>
      </c>
      <c r="E88" s="104" t="s">
        <v>331</v>
      </c>
      <c r="F88" t="s">
        <v>1443</v>
      </c>
      <c r="I88" s="104" t="s">
        <v>1483</v>
      </c>
      <c r="J88" s="104">
        <v>7</v>
      </c>
      <c r="K88" s="104" t="s">
        <v>79</v>
      </c>
      <c r="L88" s="104" t="s">
        <v>331</v>
      </c>
      <c r="M88" t="s">
        <v>1443</v>
      </c>
    </row>
    <row r="89" spans="1:13" x14ac:dyDescent="0.25">
      <c r="B89" s="104" t="s">
        <v>1457</v>
      </c>
      <c r="C89" s="104">
        <v>17</v>
      </c>
      <c r="D89" s="104" t="s">
        <v>178</v>
      </c>
      <c r="E89" s="104" t="s">
        <v>331</v>
      </c>
      <c r="F89" t="s">
        <v>1467</v>
      </c>
      <c r="I89" s="104" t="s">
        <v>1512</v>
      </c>
      <c r="J89" s="104">
        <v>10</v>
      </c>
      <c r="K89" s="104" t="s">
        <v>31</v>
      </c>
      <c r="L89" s="104" t="s">
        <v>331</v>
      </c>
      <c r="M89" t="s">
        <v>1467</v>
      </c>
    </row>
    <row r="90" spans="1:13" x14ac:dyDescent="0.25">
      <c r="B90" s="104" t="s">
        <v>1457</v>
      </c>
      <c r="C90" s="104">
        <v>13</v>
      </c>
      <c r="D90" s="104" t="s">
        <v>178</v>
      </c>
      <c r="E90" s="104" t="s">
        <v>331</v>
      </c>
      <c r="F90" t="s">
        <v>1468</v>
      </c>
      <c r="I90" s="104" t="s">
        <v>1520</v>
      </c>
      <c r="J90" s="104">
        <v>8</v>
      </c>
      <c r="K90" s="104" t="s">
        <v>31</v>
      </c>
      <c r="L90" s="104" t="s">
        <v>331</v>
      </c>
      <c r="M90" t="s">
        <v>1468</v>
      </c>
    </row>
    <row r="91" spans="1:13" x14ac:dyDescent="0.25">
      <c r="B91" s="104"/>
      <c r="C91" s="104"/>
      <c r="D91" s="104"/>
      <c r="E91" s="104"/>
      <c r="I91" s="104"/>
      <c r="J91" s="104"/>
      <c r="K91" s="104"/>
      <c r="L91" s="104"/>
    </row>
    <row r="96" spans="1:13" x14ac:dyDescent="0.25">
      <c r="A96" t="s">
        <v>877</v>
      </c>
      <c r="B96" s="27" t="s">
        <v>872</v>
      </c>
      <c r="C96" s="27" t="s">
        <v>874</v>
      </c>
      <c r="D96" s="27" t="s">
        <v>5</v>
      </c>
      <c r="E96" s="27" t="s">
        <v>885</v>
      </c>
      <c r="F96" s="27" t="s">
        <v>218</v>
      </c>
      <c r="H96" t="s">
        <v>877</v>
      </c>
      <c r="I96" s="27" t="s">
        <v>873</v>
      </c>
      <c r="J96" s="27" t="s">
        <v>875</v>
      </c>
      <c r="K96" s="27" t="s">
        <v>5</v>
      </c>
      <c r="L96" s="27" t="s">
        <v>885</v>
      </c>
      <c r="M96" s="27" t="s">
        <v>218</v>
      </c>
    </row>
    <row r="97" spans="2:13" x14ac:dyDescent="0.25">
      <c r="B97" t="s">
        <v>924</v>
      </c>
      <c r="C97">
        <v>10</v>
      </c>
      <c r="D97" t="s">
        <v>209</v>
      </c>
      <c r="E97" t="s">
        <v>925</v>
      </c>
      <c r="F97" t="s">
        <v>220</v>
      </c>
      <c r="I97" t="s">
        <v>951</v>
      </c>
      <c r="J97">
        <v>5</v>
      </c>
      <c r="K97" t="s">
        <v>31</v>
      </c>
      <c r="L97" t="s">
        <v>350</v>
      </c>
      <c r="M97" t="s">
        <v>220</v>
      </c>
    </row>
    <row r="98" spans="2:13" x14ac:dyDescent="0.25">
      <c r="B98" t="s">
        <v>926</v>
      </c>
      <c r="C98">
        <v>11</v>
      </c>
      <c r="D98" t="s">
        <v>50</v>
      </c>
      <c r="E98" t="s">
        <v>927</v>
      </c>
      <c r="F98" t="s">
        <v>364</v>
      </c>
      <c r="I98" t="s">
        <v>952</v>
      </c>
      <c r="J98">
        <v>5</v>
      </c>
      <c r="K98" t="s">
        <v>79</v>
      </c>
      <c r="L98" t="s">
        <v>536</v>
      </c>
      <c r="M98" t="s">
        <v>364</v>
      </c>
    </row>
    <row r="99" spans="2:13" x14ac:dyDescent="0.25">
      <c r="B99" t="s">
        <v>915</v>
      </c>
      <c r="C99">
        <v>14</v>
      </c>
      <c r="D99" t="s">
        <v>83</v>
      </c>
      <c r="E99" t="s">
        <v>380</v>
      </c>
      <c r="F99" t="s">
        <v>268</v>
      </c>
      <c r="I99" t="s">
        <v>931</v>
      </c>
      <c r="J99">
        <v>6</v>
      </c>
      <c r="K99" t="s">
        <v>59</v>
      </c>
      <c r="L99" t="s">
        <v>340</v>
      </c>
      <c r="M99" t="s">
        <v>268</v>
      </c>
    </row>
    <row r="100" spans="2:13" x14ac:dyDescent="0.25">
      <c r="B100" t="s">
        <v>928</v>
      </c>
      <c r="C100">
        <v>13</v>
      </c>
      <c r="D100" t="s">
        <v>739</v>
      </c>
      <c r="E100" t="s">
        <v>901</v>
      </c>
      <c r="F100" t="s">
        <v>282</v>
      </c>
      <c r="I100" t="s">
        <v>899</v>
      </c>
      <c r="J100">
        <v>5</v>
      </c>
      <c r="K100" t="s">
        <v>799</v>
      </c>
      <c r="L100" t="s">
        <v>519</v>
      </c>
      <c r="M100" t="s">
        <v>282</v>
      </c>
    </row>
    <row r="101" spans="2:13" x14ac:dyDescent="0.25">
      <c r="B101" t="s">
        <v>929</v>
      </c>
      <c r="C101">
        <v>9</v>
      </c>
      <c r="D101" t="s">
        <v>50</v>
      </c>
      <c r="E101" t="s">
        <v>350</v>
      </c>
      <c r="F101" t="s">
        <v>223</v>
      </c>
      <c r="I101" t="s">
        <v>953</v>
      </c>
      <c r="J101">
        <v>5</v>
      </c>
      <c r="K101" t="s">
        <v>66</v>
      </c>
      <c r="L101" t="s">
        <v>809</v>
      </c>
      <c r="M101" t="s">
        <v>223</v>
      </c>
    </row>
    <row r="102" spans="2:13" x14ac:dyDescent="0.25">
      <c r="B102" t="s">
        <v>930</v>
      </c>
      <c r="C102">
        <v>10</v>
      </c>
      <c r="D102" t="s">
        <v>184</v>
      </c>
      <c r="E102" t="s">
        <v>421</v>
      </c>
      <c r="F102" t="s">
        <v>343</v>
      </c>
      <c r="I102" t="s">
        <v>908</v>
      </c>
      <c r="J102">
        <v>7</v>
      </c>
      <c r="K102" t="s">
        <v>37</v>
      </c>
      <c r="L102" t="s">
        <v>459</v>
      </c>
      <c r="M102" t="s">
        <v>343</v>
      </c>
    </row>
    <row r="103" spans="2:13" x14ac:dyDescent="0.25">
      <c r="B103" t="s">
        <v>931</v>
      </c>
      <c r="C103">
        <v>11</v>
      </c>
      <c r="D103" t="s">
        <v>59</v>
      </c>
      <c r="E103" t="s">
        <v>340</v>
      </c>
      <c r="F103" t="s">
        <v>232</v>
      </c>
      <c r="I103" t="s">
        <v>930</v>
      </c>
      <c r="J103">
        <v>5</v>
      </c>
      <c r="K103" t="s">
        <v>184</v>
      </c>
      <c r="L103" t="s">
        <v>954</v>
      </c>
      <c r="M103" t="s">
        <v>232</v>
      </c>
    </row>
    <row r="104" spans="2:13" x14ac:dyDescent="0.25">
      <c r="B104" t="s">
        <v>932</v>
      </c>
      <c r="C104">
        <v>13</v>
      </c>
      <c r="D104" t="s">
        <v>817</v>
      </c>
      <c r="E104" t="s">
        <v>809</v>
      </c>
      <c r="F104" t="s">
        <v>236</v>
      </c>
      <c r="I104" t="s">
        <v>906</v>
      </c>
      <c r="J104">
        <v>7</v>
      </c>
      <c r="K104" t="s">
        <v>907</v>
      </c>
      <c r="L104" t="s">
        <v>408</v>
      </c>
      <c r="M104" t="s">
        <v>236</v>
      </c>
    </row>
    <row r="105" spans="2:13" x14ac:dyDescent="0.25">
      <c r="B105" t="s">
        <v>933</v>
      </c>
      <c r="C105">
        <v>10</v>
      </c>
      <c r="D105" t="s">
        <v>50</v>
      </c>
      <c r="E105" t="s">
        <v>441</v>
      </c>
      <c r="F105" t="s">
        <v>239</v>
      </c>
      <c r="I105" t="s">
        <v>931</v>
      </c>
      <c r="J105">
        <v>7</v>
      </c>
      <c r="K105" t="s">
        <v>59</v>
      </c>
      <c r="L105" t="s">
        <v>340</v>
      </c>
      <c r="M105" t="s">
        <v>239</v>
      </c>
    </row>
    <row r="106" spans="2:13" x14ac:dyDescent="0.25">
      <c r="B106" t="s">
        <v>196</v>
      </c>
      <c r="C106">
        <v>10</v>
      </c>
      <c r="D106" t="s">
        <v>37</v>
      </c>
      <c r="E106" t="s">
        <v>350</v>
      </c>
      <c r="F106" t="s">
        <v>270</v>
      </c>
      <c r="I106" t="s">
        <v>908</v>
      </c>
      <c r="J106">
        <v>5</v>
      </c>
      <c r="K106" t="s">
        <v>37</v>
      </c>
      <c r="L106" t="s">
        <v>459</v>
      </c>
      <c r="M106" t="s">
        <v>270</v>
      </c>
    </row>
    <row r="107" spans="2:13" x14ac:dyDescent="0.25">
      <c r="B107" t="s">
        <v>934</v>
      </c>
      <c r="C107">
        <v>13</v>
      </c>
      <c r="D107" t="s">
        <v>37</v>
      </c>
      <c r="E107" t="s">
        <v>809</v>
      </c>
      <c r="F107" t="s">
        <v>315</v>
      </c>
      <c r="I107" t="s">
        <v>955</v>
      </c>
      <c r="J107">
        <v>7</v>
      </c>
      <c r="K107" t="s">
        <v>37</v>
      </c>
      <c r="L107" t="s">
        <v>405</v>
      </c>
      <c r="M107" t="s">
        <v>315</v>
      </c>
    </row>
    <row r="108" spans="2:13" x14ac:dyDescent="0.25">
      <c r="B108" t="s">
        <v>935</v>
      </c>
      <c r="C108">
        <v>11</v>
      </c>
      <c r="D108" t="s">
        <v>31</v>
      </c>
      <c r="E108" t="s">
        <v>936</v>
      </c>
      <c r="F108" t="s">
        <v>347</v>
      </c>
      <c r="I108" t="s">
        <v>956</v>
      </c>
      <c r="J108">
        <v>7</v>
      </c>
      <c r="K108" t="s">
        <v>159</v>
      </c>
      <c r="L108" t="s">
        <v>957</v>
      </c>
      <c r="M108" t="s">
        <v>347</v>
      </c>
    </row>
    <row r="109" spans="2:13" x14ac:dyDescent="0.25">
      <c r="B109" t="s">
        <v>937</v>
      </c>
      <c r="C109">
        <v>13</v>
      </c>
      <c r="D109" t="s">
        <v>938</v>
      </c>
      <c r="E109" t="s">
        <v>685</v>
      </c>
      <c r="F109" t="s">
        <v>278</v>
      </c>
      <c r="I109" t="s">
        <v>902</v>
      </c>
      <c r="J109">
        <v>8</v>
      </c>
      <c r="K109" t="s">
        <v>130</v>
      </c>
      <c r="L109" t="s">
        <v>714</v>
      </c>
      <c r="M109" t="s">
        <v>278</v>
      </c>
    </row>
    <row r="110" spans="2:13" ht="15.75" thickBot="1" x14ac:dyDescent="0.3">
      <c r="B110" s="44" t="s">
        <v>939</v>
      </c>
      <c r="C110" s="44">
        <v>11</v>
      </c>
      <c r="D110" s="44" t="s">
        <v>31</v>
      </c>
      <c r="E110" s="44" t="s">
        <v>614</v>
      </c>
      <c r="F110" s="44" t="s">
        <v>388</v>
      </c>
      <c r="I110" s="44" t="s">
        <v>958</v>
      </c>
      <c r="J110" s="44">
        <v>6</v>
      </c>
      <c r="K110" s="44" t="s">
        <v>959</v>
      </c>
      <c r="L110" s="44" t="s">
        <v>944</v>
      </c>
      <c r="M110" s="44" t="s">
        <v>388</v>
      </c>
    </row>
    <row r="111" spans="2:13" x14ac:dyDescent="0.25">
      <c r="B111" t="s">
        <v>940</v>
      </c>
      <c r="C111">
        <v>9</v>
      </c>
      <c r="D111" t="s">
        <v>159</v>
      </c>
      <c r="E111" t="s">
        <v>917</v>
      </c>
      <c r="F111" t="s">
        <v>369</v>
      </c>
      <c r="I111" t="s">
        <v>960</v>
      </c>
      <c r="J111">
        <v>5</v>
      </c>
      <c r="K111" t="s">
        <v>50</v>
      </c>
      <c r="L111" t="s">
        <v>459</v>
      </c>
      <c r="M111" t="s">
        <v>369</v>
      </c>
    </row>
    <row r="112" spans="2:13" x14ac:dyDescent="0.25">
      <c r="B112" t="s">
        <v>941</v>
      </c>
      <c r="C112">
        <v>12</v>
      </c>
      <c r="D112" t="s">
        <v>61</v>
      </c>
      <c r="E112" t="s">
        <v>387</v>
      </c>
      <c r="F112" t="s">
        <v>276</v>
      </c>
      <c r="I112" t="s">
        <v>961</v>
      </c>
      <c r="J112">
        <v>7</v>
      </c>
      <c r="K112" t="s">
        <v>962</v>
      </c>
      <c r="L112" t="s">
        <v>554</v>
      </c>
      <c r="M112" t="s">
        <v>276</v>
      </c>
    </row>
    <row r="113" spans="2:13" x14ac:dyDescent="0.25">
      <c r="B113" t="s">
        <v>942</v>
      </c>
      <c r="C113">
        <v>12</v>
      </c>
      <c r="D113" t="s">
        <v>153</v>
      </c>
      <c r="E113" t="s">
        <v>809</v>
      </c>
      <c r="F113" t="s">
        <v>286</v>
      </c>
      <c r="I113" t="s">
        <v>930</v>
      </c>
      <c r="J113">
        <v>6</v>
      </c>
      <c r="K113" t="s">
        <v>184</v>
      </c>
      <c r="L113" t="s">
        <v>380</v>
      </c>
      <c r="M113" t="s">
        <v>286</v>
      </c>
    </row>
    <row r="114" spans="2:13" x14ac:dyDescent="0.25">
      <c r="B114" t="s">
        <v>943</v>
      </c>
      <c r="C114">
        <v>11</v>
      </c>
      <c r="D114" t="s">
        <v>159</v>
      </c>
      <c r="E114" t="s">
        <v>574</v>
      </c>
      <c r="F114" t="s">
        <v>295</v>
      </c>
      <c r="I114" t="s">
        <v>963</v>
      </c>
      <c r="J114">
        <v>9</v>
      </c>
      <c r="K114" t="s">
        <v>25</v>
      </c>
      <c r="L114" t="s">
        <v>574</v>
      </c>
      <c r="M114" t="s">
        <v>295</v>
      </c>
    </row>
    <row r="115" spans="2:13" x14ac:dyDescent="0.25">
      <c r="B115" t="s">
        <v>931</v>
      </c>
      <c r="C115">
        <v>11</v>
      </c>
      <c r="D115" t="s">
        <v>59</v>
      </c>
      <c r="E115" t="s">
        <v>944</v>
      </c>
      <c r="F115" t="s">
        <v>742</v>
      </c>
      <c r="I115" t="s">
        <v>931</v>
      </c>
      <c r="J115">
        <v>6</v>
      </c>
      <c r="K115" t="s">
        <v>59</v>
      </c>
      <c r="L115" t="s">
        <v>944</v>
      </c>
      <c r="M115" t="s">
        <v>742</v>
      </c>
    </row>
    <row r="116" spans="2:13" x14ac:dyDescent="0.25">
      <c r="B116" t="s">
        <v>945</v>
      </c>
      <c r="C116">
        <v>11</v>
      </c>
      <c r="D116" t="s">
        <v>153</v>
      </c>
      <c r="E116" t="s">
        <v>408</v>
      </c>
      <c r="F116" t="s">
        <v>770</v>
      </c>
      <c r="I116" t="s">
        <v>896</v>
      </c>
      <c r="J116">
        <v>6</v>
      </c>
      <c r="K116" t="s">
        <v>195</v>
      </c>
      <c r="L116" t="s">
        <v>408</v>
      </c>
      <c r="M116" t="s">
        <v>770</v>
      </c>
    </row>
    <row r="117" spans="2:13" x14ac:dyDescent="0.25">
      <c r="B117" t="s">
        <v>946</v>
      </c>
      <c r="C117">
        <v>11</v>
      </c>
      <c r="D117" t="s">
        <v>79</v>
      </c>
      <c r="E117" t="s">
        <v>947</v>
      </c>
      <c r="F117" t="s">
        <v>796</v>
      </c>
      <c r="I117" t="s">
        <v>946</v>
      </c>
      <c r="J117">
        <v>6</v>
      </c>
      <c r="K117" t="s">
        <v>79</v>
      </c>
      <c r="L117" t="s">
        <v>947</v>
      </c>
      <c r="M117" t="s">
        <v>796</v>
      </c>
    </row>
    <row r="118" spans="2:13" x14ac:dyDescent="0.25">
      <c r="B118" t="s">
        <v>948</v>
      </c>
      <c r="C118">
        <v>10</v>
      </c>
      <c r="D118" t="s">
        <v>739</v>
      </c>
      <c r="E118" t="s">
        <v>441</v>
      </c>
      <c r="F118" t="s">
        <v>800</v>
      </c>
      <c r="I118" t="s">
        <v>911</v>
      </c>
      <c r="J118">
        <v>11</v>
      </c>
      <c r="K118" t="s">
        <v>37</v>
      </c>
      <c r="L118" t="s">
        <v>459</v>
      </c>
      <c r="M118" t="s">
        <v>800</v>
      </c>
    </row>
    <row r="119" spans="2:13" x14ac:dyDescent="0.25">
      <c r="B119" t="s">
        <v>930</v>
      </c>
      <c r="C119">
        <v>13</v>
      </c>
      <c r="D119" t="s">
        <v>184</v>
      </c>
      <c r="E119" t="s">
        <v>380</v>
      </c>
      <c r="F119" t="s">
        <v>829</v>
      </c>
      <c r="I119" t="s">
        <v>964</v>
      </c>
      <c r="J119">
        <v>7</v>
      </c>
      <c r="K119" t="s">
        <v>44</v>
      </c>
      <c r="L119" t="s">
        <v>950</v>
      </c>
      <c r="M119" t="s">
        <v>829</v>
      </c>
    </row>
    <row r="120" spans="2:13" x14ac:dyDescent="0.25">
      <c r="B120" t="s">
        <v>949</v>
      </c>
      <c r="C120">
        <v>10</v>
      </c>
      <c r="D120" t="s">
        <v>37</v>
      </c>
      <c r="E120" t="s">
        <v>950</v>
      </c>
      <c r="F120" t="s">
        <v>845</v>
      </c>
      <c r="I120" t="s">
        <v>964</v>
      </c>
      <c r="J120">
        <v>8</v>
      </c>
      <c r="K120" t="s">
        <v>44</v>
      </c>
      <c r="L120" t="s">
        <v>950</v>
      </c>
      <c r="M120" t="s">
        <v>845</v>
      </c>
    </row>
    <row r="121" spans="2:13" x14ac:dyDescent="0.25">
      <c r="B121" t="s">
        <v>1012</v>
      </c>
      <c r="C121">
        <v>12</v>
      </c>
      <c r="D121" t="s">
        <v>59</v>
      </c>
      <c r="E121" t="s">
        <v>387</v>
      </c>
      <c r="F121" t="s">
        <v>860</v>
      </c>
      <c r="I121" t="s">
        <v>1011</v>
      </c>
      <c r="J121">
        <v>6</v>
      </c>
      <c r="K121" t="s">
        <v>66</v>
      </c>
      <c r="L121" t="s">
        <v>574</v>
      </c>
      <c r="M121" t="s">
        <v>860</v>
      </c>
    </row>
    <row r="122" spans="2:13" x14ac:dyDescent="0.25">
      <c r="B122" t="s">
        <v>934</v>
      </c>
      <c r="C122">
        <v>14</v>
      </c>
      <c r="D122" t="s">
        <v>37</v>
      </c>
      <c r="E122" t="s">
        <v>396</v>
      </c>
      <c r="F122" t="s">
        <v>1013</v>
      </c>
      <c r="I122" t="s">
        <v>1170</v>
      </c>
      <c r="J122">
        <v>7</v>
      </c>
      <c r="K122" t="s">
        <v>188</v>
      </c>
      <c r="L122" t="s">
        <v>396</v>
      </c>
      <c r="M122" t="s">
        <v>1013</v>
      </c>
    </row>
    <row r="123" spans="2:13" x14ac:dyDescent="0.25">
      <c r="B123" t="s">
        <v>1202</v>
      </c>
      <c r="C123">
        <v>10</v>
      </c>
      <c r="D123" t="s">
        <v>907</v>
      </c>
      <c r="E123" t="s">
        <v>421</v>
      </c>
      <c r="F123" t="s">
        <v>1180</v>
      </c>
      <c r="I123" t="s">
        <v>1201</v>
      </c>
      <c r="J123">
        <v>8</v>
      </c>
      <c r="K123" t="s">
        <v>113</v>
      </c>
      <c r="L123" t="s">
        <v>809</v>
      </c>
      <c r="M123" t="s">
        <v>1180</v>
      </c>
    </row>
    <row r="124" spans="2:13" x14ac:dyDescent="0.25">
      <c r="B124" t="s">
        <v>1225</v>
      </c>
      <c r="C124">
        <v>13</v>
      </c>
      <c r="D124" t="s">
        <v>50</v>
      </c>
      <c r="E124" t="s">
        <v>350</v>
      </c>
      <c r="F124" t="s">
        <v>1210</v>
      </c>
      <c r="I124" t="s">
        <v>1226</v>
      </c>
      <c r="J124">
        <v>5</v>
      </c>
      <c r="K124" t="s">
        <v>31</v>
      </c>
      <c r="L124" t="s">
        <v>521</v>
      </c>
      <c r="M124" t="s">
        <v>1210</v>
      </c>
    </row>
    <row r="125" spans="2:13" ht="15.75" thickBot="1" x14ac:dyDescent="0.3">
      <c r="B125" s="44" t="s">
        <v>1258</v>
      </c>
      <c r="C125" s="44">
        <v>12</v>
      </c>
      <c r="D125" s="44" t="s">
        <v>79</v>
      </c>
      <c r="E125" s="44" t="s">
        <v>441</v>
      </c>
      <c r="F125" s="44" t="s">
        <v>1240</v>
      </c>
      <c r="I125" s="44" t="s">
        <v>1259</v>
      </c>
      <c r="J125" s="44">
        <v>7</v>
      </c>
      <c r="K125" s="44" t="s">
        <v>209</v>
      </c>
      <c r="L125" s="44" t="s">
        <v>464</v>
      </c>
      <c r="M125" s="44" t="s">
        <v>1240</v>
      </c>
    </row>
    <row r="126" spans="2:13" x14ac:dyDescent="0.25">
      <c r="B126" s="104" t="s">
        <v>908</v>
      </c>
      <c r="C126" s="104">
        <v>9</v>
      </c>
      <c r="D126" s="104" t="s">
        <v>37</v>
      </c>
      <c r="E126" s="104" t="s">
        <v>367</v>
      </c>
      <c r="F126" t="s">
        <v>1271</v>
      </c>
      <c r="I126" s="104" t="s">
        <v>1280</v>
      </c>
      <c r="J126" s="104">
        <v>6</v>
      </c>
      <c r="K126" s="104" t="s">
        <v>50</v>
      </c>
      <c r="L126" s="104" t="s">
        <v>519</v>
      </c>
      <c r="M126" t="s">
        <v>1271</v>
      </c>
    </row>
    <row r="127" spans="2:13" x14ac:dyDescent="0.25">
      <c r="B127" s="104" t="s">
        <v>906</v>
      </c>
      <c r="C127" s="104">
        <v>9</v>
      </c>
      <c r="D127" s="104" t="s">
        <v>907</v>
      </c>
      <c r="E127" s="104" t="s">
        <v>408</v>
      </c>
      <c r="F127" s="104" t="s">
        <v>1284</v>
      </c>
      <c r="I127" s="104" t="s">
        <v>1295</v>
      </c>
      <c r="J127" s="104">
        <f>6</f>
        <v>6</v>
      </c>
      <c r="K127" s="104" t="s">
        <v>209</v>
      </c>
      <c r="L127" s="104" t="s">
        <v>441</v>
      </c>
      <c r="M127" s="104" t="s">
        <v>1284</v>
      </c>
    </row>
    <row r="128" spans="2:13" x14ac:dyDescent="0.25">
      <c r="B128" s="104" t="s">
        <v>940</v>
      </c>
      <c r="C128" s="104">
        <v>9</v>
      </c>
      <c r="D128" s="104" t="s">
        <v>159</v>
      </c>
      <c r="E128" s="104" t="s">
        <v>917</v>
      </c>
      <c r="F128" t="s">
        <v>1323</v>
      </c>
      <c r="I128" s="104" t="s">
        <v>963</v>
      </c>
      <c r="J128" s="104">
        <v>6</v>
      </c>
      <c r="K128" s="104" t="s">
        <v>25</v>
      </c>
      <c r="L128" s="104" t="s">
        <v>574</v>
      </c>
      <c r="M128" t="s">
        <v>1323</v>
      </c>
    </row>
    <row r="129" spans="1:13" x14ac:dyDescent="0.25">
      <c r="B129" s="104" t="s">
        <v>1371</v>
      </c>
      <c r="C129" s="104">
        <v>13</v>
      </c>
      <c r="D129" s="104" t="s">
        <v>209</v>
      </c>
      <c r="E129" s="104" t="s">
        <v>550</v>
      </c>
      <c r="F129" s="104" t="s">
        <v>1349</v>
      </c>
      <c r="I129" s="104" t="s">
        <v>1372</v>
      </c>
      <c r="J129" s="104">
        <v>6</v>
      </c>
      <c r="K129" s="104" t="s">
        <v>159</v>
      </c>
      <c r="L129" s="104" t="s">
        <v>1373</v>
      </c>
      <c r="M129" s="104" t="s">
        <v>1349</v>
      </c>
    </row>
    <row r="130" spans="1:13" x14ac:dyDescent="0.25">
      <c r="B130" s="104" t="s">
        <v>1400</v>
      </c>
      <c r="C130" s="104">
        <v>12</v>
      </c>
      <c r="D130" s="104" t="s">
        <v>195</v>
      </c>
      <c r="E130" s="104" t="s">
        <v>417</v>
      </c>
      <c r="F130" t="s">
        <v>1374</v>
      </c>
      <c r="I130" s="104" t="s">
        <v>1401</v>
      </c>
      <c r="J130" s="104">
        <v>6</v>
      </c>
      <c r="K130" s="104" t="s">
        <v>153</v>
      </c>
      <c r="L130" s="104" t="s">
        <v>350</v>
      </c>
      <c r="M130" t="s">
        <v>1374</v>
      </c>
    </row>
    <row r="131" spans="1:13" x14ac:dyDescent="0.25">
      <c r="B131" s="104" t="s">
        <v>1428</v>
      </c>
      <c r="C131" s="104">
        <v>11</v>
      </c>
      <c r="D131" s="104" t="s">
        <v>66</v>
      </c>
      <c r="E131" s="104" t="s">
        <v>417</v>
      </c>
      <c r="F131" t="s">
        <v>1415</v>
      </c>
      <c r="I131" s="104" t="s">
        <v>1429</v>
      </c>
      <c r="J131" s="104">
        <v>5</v>
      </c>
      <c r="K131" s="104" t="s">
        <v>61</v>
      </c>
      <c r="L131" s="104" t="s">
        <v>828</v>
      </c>
      <c r="M131" s="104" t="s">
        <v>1415</v>
      </c>
    </row>
    <row r="132" spans="1:13" x14ac:dyDescent="0.25">
      <c r="B132" s="104" t="s">
        <v>1458</v>
      </c>
      <c r="C132" s="104">
        <v>14</v>
      </c>
      <c r="D132" s="104" t="s">
        <v>209</v>
      </c>
      <c r="E132" s="104" t="s">
        <v>917</v>
      </c>
      <c r="F132" t="s">
        <v>1436</v>
      </c>
      <c r="I132" s="104" t="s">
        <v>1401</v>
      </c>
      <c r="J132" s="104">
        <v>9</v>
      </c>
      <c r="K132" s="104" t="s">
        <v>153</v>
      </c>
      <c r="L132" s="104" t="s">
        <v>350</v>
      </c>
      <c r="M132" t="s">
        <v>1436</v>
      </c>
    </row>
    <row r="133" spans="1:13" x14ac:dyDescent="0.25">
      <c r="B133" s="104" t="s">
        <v>1479</v>
      </c>
      <c r="C133" s="104">
        <v>11</v>
      </c>
      <c r="D133" s="104" t="s">
        <v>1364</v>
      </c>
      <c r="E133" s="104" t="s">
        <v>950</v>
      </c>
      <c r="F133" t="s">
        <v>1442</v>
      </c>
      <c r="I133" s="104" t="s">
        <v>1480</v>
      </c>
      <c r="J133" s="104">
        <v>7</v>
      </c>
      <c r="K133" s="104" t="s">
        <v>159</v>
      </c>
      <c r="L133" s="104" t="s">
        <v>1481</v>
      </c>
      <c r="M133" t="s">
        <v>1442</v>
      </c>
    </row>
    <row r="134" spans="1:13" x14ac:dyDescent="0.25">
      <c r="B134" s="104" t="s">
        <v>1495</v>
      </c>
      <c r="C134" s="104">
        <v>10</v>
      </c>
      <c r="D134" s="104" t="s">
        <v>88</v>
      </c>
      <c r="E134" s="104" t="s">
        <v>1481</v>
      </c>
      <c r="F134" t="s">
        <v>1443</v>
      </c>
      <c r="I134" s="104" t="s">
        <v>1496</v>
      </c>
      <c r="J134" s="104">
        <v>7</v>
      </c>
      <c r="K134" s="104" t="s">
        <v>59</v>
      </c>
      <c r="L134" s="104" t="s">
        <v>766</v>
      </c>
      <c r="M134" t="s">
        <v>1443</v>
      </c>
    </row>
    <row r="135" spans="1:13" x14ac:dyDescent="0.25">
      <c r="B135" s="104" t="s">
        <v>1513</v>
      </c>
      <c r="C135" s="104">
        <v>10</v>
      </c>
      <c r="D135" s="104" t="s">
        <v>799</v>
      </c>
      <c r="E135" s="104" t="s">
        <v>417</v>
      </c>
      <c r="F135" t="s">
        <v>1467</v>
      </c>
      <c r="I135" s="104" t="s">
        <v>896</v>
      </c>
      <c r="J135" s="104">
        <v>6</v>
      </c>
      <c r="K135" s="104" t="s">
        <v>195</v>
      </c>
      <c r="L135" s="104" t="s">
        <v>417</v>
      </c>
      <c r="M135" t="s">
        <v>1467</v>
      </c>
    </row>
    <row r="136" spans="1:13" x14ac:dyDescent="0.25">
      <c r="B136" s="104" t="s">
        <v>1522</v>
      </c>
      <c r="C136" s="104">
        <v>11</v>
      </c>
      <c r="D136" s="104" t="s">
        <v>151</v>
      </c>
      <c r="E136" s="104" t="s">
        <v>396</v>
      </c>
      <c r="F136" t="s">
        <v>1468</v>
      </c>
      <c r="I136" s="104" t="s">
        <v>1521</v>
      </c>
      <c r="J136" s="104">
        <v>6</v>
      </c>
      <c r="K136" s="104" t="s">
        <v>79</v>
      </c>
      <c r="L136" s="104" t="s">
        <v>396</v>
      </c>
      <c r="M136" t="s">
        <v>1468</v>
      </c>
    </row>
    <row r="137" spans="1:13" x14ac:dyDescent="0.25">
      <c r="B137" s="104"/>
      <c r="C137" s="104"/>
      <c r="D137" s="104"/>
      <c r="E137" s="104"/>
      <c r="I137" s="104"/>
      <c r="J137" s="104"/>
      <c r="K137" s="104"/>
      <c r="L137" s="104"/>
    </row>
    <row r="142" spans="1:13" x14ac:dyDescent="0.25">
      <c r="A142" t="s">
        <v>878</v>
      </c>
      <c r="B142" s="27" t="s">
        <v>872</v>
      </c>
      <c r="C142" s="27" t="s">
        <v>874</v>
      </c>
      <c r="D142" s="27" t="s">
        <v>5</v>
      </c>
      <c r="E142" s="27" t="s">
        <v>885</v>
      </c>
      <c r="F142" s="27" t="s">
        <v>218</v>
      </c>
      <c r="H142" t="s">
        <v>878</v>
      </c>
      <c r="I142" s="27" t="s">
        <v>873</v>
      </c>
      <c r="J142" s="27" t="s">
        <v>875</v>
      </c>
      <c r="K142" s="27" t="s">
        <v>5</v>
      </c>
      <c r="L142" s="27" t="s">
        <v>885</v>
      </c>
      <c r="M142" s="27" t="s">
        <v>218</v>
      </c>
    </row>
    <row r="143" spans="1:13" x14ac:dyDescent="0.25">
      <c r="B143" t="s">
        <v>1007</v>
      </c>
      <c r="C143">
        <v>3</v>
      </c>
      <c r="D143" t="s">
        <v>31</v>
      </c>
      <c r="E143" t="s">
        <v>578</v>
      </c>
      <c r="F143" t="s">
        <v>860</v>
      </c>
      <c r="I143" t="s">
        <v>1008</v>
      </c>
      <c r="J143">
        <v>2</v>
      </c>
      <c r="L143" t="s">
        <v>367</v>
      </c>
      <c r="M143" t="s">
        <v>860</v>
      </c>
    </row>
    <row r="144" spans="1:13" x14ac:dyDescent="0.25">
      <c r="B144" t="s">
        <v>890</v>
      </c>
      <c r="C144">
        <v>7</v>
      </c>
      <c r="D144" t="s">
        <v>159</v>
      </c>
      <c r="E144" t="s">
        <v>331</v>
      </c>
      <c r="F144" t="s">
        <v>1013</v>
      </c>
      <c r="I144" t="s">
        <v>890</v>
      </c>
      <c r="J144">
        <v>4</v>
      </c>
      <c r="K144" t="s">
        <v>159</v>
      </c>
      <c r="L144" t="s">
        <v>331</v>
      </c>
      <c r="M144" t="s">
        <v>1013</v>
      </c>
    </row>
    <row r="145" spans="2:13" x14ac:dyDescent="0.25">
      <c r="B145" t="s">
        <v>1203</v>
      </c>
      <c r="C145">
        <v>6</v>
      </c>
      <c r="D145" t="s">
        <v>50</v>
      </c>
      <c r="E145" t="s">
        <v>536</v>
      </c>
      <c r="F145" t="s">
        <v>1180</v>
      </c>
      <c r="I145" t="s">
        <v>1204</v>
      </c>
      <c r="J145">
        <v>3</v>
      </c>
      <c r="K145" t="s">
        <v>27</v>
      </c>
      <c r="L145" t="s">
        <v>614</v>
      </c>
      <c r="M145" t="s">
        <v>1180</v>
      </c>
    </row>
    <row r="146" spans="2:13" x14ac:dyDescent="0.25">
      <c r="B146" t="s">
        <v>890</v>
      </c>
      <c r="C146">
        <v>5</v>
      </c>
      <c r="D146" t="s">
        <v>159</v>
      </c>
      <c r="E146" t="s">
        <v>331</v>
      </c>
      <c r="F146" t="s">
        <v>1210</v>
      </c>
      <c r="I146" t="s">
        <v>1227</v>
      </c>
      <c r="J146">
        <v>3</v>
      </c>
      <c r="K146" t="s">
        <v>31</v>
      </c>
      <c r="L146" t="s">
        <v>1228</v>
      </c>
      <c r="M146" t="s">
        <v>1210</v>
      </c>
    </row>
    <row r="147" spans="2:13" x14ac:dyDescent="0.25">
      <c r="B147" s="23" t="s">
        <v>1254</v>
      </c>
      <c r="C147" s="23">
        <v>4</v>
      </c>
      <c r="D147" s="23" t="s">
        <v>37</v>
      </c>
      <c r="E147" s="23" t="s">
        <v>331</v>
      </c>
      <c r="F147" s="23" t="s">
        <v>1240</v>
      </c>
      <c r="I147" s="23" t="s">
        <v>1255</v>
      </c>
      <c r="J147" s="23">
        <v>3</v>
      </c>
      <c r="K147" s="23" t="s">
        <v>31</v>
      </c>
      <c r="L147" s="23" t="s">
        <v>528</v>
      </c>
      <c r="M147" s="23" t="s">
        <v>1240</v>
      </c>
    </row>
    <row r="148" spans="2:13" x14ac:dyDescent="0.25">
      <c r="B148" s="104" t="s">
        <v>1185</v>
      </c>
      <c r="C148" s="104">
        <v>4</v>
      </c>
      <c r="D148" s="104" t="s">
        <v>130</v>
      </c>
      <c r="E148" s="104" t="s">
        <v>331</v>
      </c>
      <c r="F148" t="s">
        <v>1271</v>
      </c>
      <c r="I148" s="104" t="s">
        <v>1281</v>
      </c>
      <c r="J148" s="104">
        <v>4</v>
      </c>
      <c r="K148" s="104" t="s">
        <v>31</v>
      </c>
      <c r="L148" s="104" t="s">
        <v>578</v>
      </c>
      <c r="M148" t="s">
        <v>1271</v>
      </c>
    </row>
    <row r="149" spans="2:13" x14ac:dyDescent="0.25">
      <c r="B149" s="104" t="s">
        <v>1285</v>
      </c>
      <c r="C149" s="104">
        <v>4</v>
      </c>
      <c r="D149" s="104" t="s">
        <v>61</v>
      </c>
      <c r="E149" s="104" t="s">
        <v>331</v>
      </c>
      <c r="F149" s="104" t="s">
        <v>1296</v>
      </c>
      <c r="I149" s="104" t="s">
        <v>1239</v>
      </c>
      <c r="J149" s="104">
        <v>3</v>
      </c>
      <c r="K149" s="104" t="s">
        <v>75</v>
      </c>
      <c r="L149" s="104" t="s">
        <v>331</v>
      </c>
      <c r="M149" s="104" t="s">
        <v>1284</v>
      </c>
    </row>
    <row r="150" spans="2:13" x14ac:dyDescent="0.25">
      <c r="B150" s="104" t="s">
        <v>1326</v>
      </c>
      <c r="C150" s="104">
        <v>4</v>
      </c>
      <c r="D150" s="104" t="s">
        <v>31</v>
      </c>
      <c r="E150" s="104" t="s">
        <v>331</v>
      </c>
      <c r="F150" t="s">
        <v>1323</v>
      </c>
      <c r="I150" s="104" t="s">
        <v>1269</v>
      </c>
      <c r="J150" s="104">
        <v>3</v>
      </c>
      <c r="K150" s="104" t="s">
        <v>1270</v>
      </c>
      <c r="L150" s="104" t="s">
        <v>331</v>
      </c>
      <c r="M150" t="s">
        <v>1323</v>
      </c>
    </row>
    <row r="151" spans="2:13" x14ac:dyDescent="0.25">
      <c r="B151" s="104" t="s">
        <v>1254</v>
      </c>
      <c r="C151" s="104">
        <v>4</v>
      </c>
      <c r="D151" s="104" t="s">
        <v>37</v>
      </c>
      <c r="E151" s="104" t="s">
        <v>331</v>
      </c>
      <c r="F151" s="104" t="s">
        <v>1349</v>
      </c>
      <c r="I151" s="104" t="s">
        <v>1285</v>
      </c>
      <c r="J151" s="104">
        <v>3</v>
      </c>
      <c r="K151" s="104" t="s">
        <v>61</v>
      </c>
      <c r="L151" s="104" t="s">
        <v>331</v>
      </c>
      <c r="M151" s="104" t="s">
        <v>1323</v>
      </c>
    </row>
    <row r="152" spans="2:13" x14ac:dyDescent="0.25">
      <c r="B152" s="104" t="s">
        <v>890</v>
      </c>
      <c r="C152" s="104">
        <v>5</v>
      </c>
      <c r="D152" s="104" t="s">
        <v>159</v>
      </c>
      <c r="E152" s="104" t="s">
        <v>331</v>
      </c>
      <c r="F152" t="s">
        <v>1374</v>
      </c>
      <c r="I152" s="104" t="s">
        <v>1285</v>
      </c>
      <c r="J152" s="104">
        <v>3</v>
      </c>
      <c r="K152" s="104" t="s">
        <v>61</v>
      </c>
      <c r="L152" s="104" t="s">
        <v>331</v>
      </c>
      <c r="M152" t="s">
        <v>1374</v>
      </c>
    </row>
    <row r="153" spans="2:13" x14ac:dyDescent="0.25">
      <c r="B153" s="104" t="s">
        <v>1254</v>
      </c>
      <c r="C153" s="104">
        <v>4</v>
      </c>
      <c r="D153" s="104" t="s">
        <v>37</v>
      </c>
      <c r="E153" s="104" t="s">
        <v>331</v>
      </c>
      <c r="F153" t="s">
        <v>1415</v>
      </c>
      <c r="I153" s="104" t="s">
        <v>902</v>
      </c>
      <c r="J153" s="104">
        <v>5</v>
      </c>
      <c r="K153" s="104" t="s">
        <v>130</v>
      </c>
      <c r="L153" s="104" t="s">
        <v>331</v>
      </c>
      <c r="M153" t="s">
        <v>1415</v>
      </c>
    </row>
    <row r="154" spans="2:13" x14ac:dyDescent="0.25">
      <c r="B154" s="104" t="s">
        <v>1457</v>
      </c>
      <c r="C154" s="104">
        <v>5</v>
      </c>
      <c r="D154" s="104" t="s">
        <v>178</v>
      </c>
      <c r="E154" s="104" t="s">
        <v>331</v>
      </c>
      <c r="F154" t="s">
        <v>1436</v>
      </c>
      <c r="I154" s="104" t="s">
        <v>1456</v>
      </c>
      <c r="J154" s="104">
        <v>3</v>
      </c>
      <c r="K154" s="104" t="s">
        <v>1217</v>
      </c>
      <c r="L154" s="104" t="s">
        <v>331</v>
      </c>
      <c r="M154" t="s">
        <v>1436</v>
      </c>
    </row>
    <row r="155" spans="2:13" x14ac:dyDescent="0.25">
      <c r="B155" s="104" t="s">
        <v>890</v>
      </c>
      <c r="C155" s="104">
        <v>5</v>
      </c>
      <c r="D155" s="104" t="s">
        <v>159</v>
      </c>
      <c r="E155" s="104" t="s">
        <v>331</v>
      </c>
      <c r="F155" t="s">
        <v>1442</v>
      </c>
      <c r="I155" s="104" t="s">
        <v>1482</v>
      </c>
      <c r="J155" s="104">
        <v>3</v>
      </c>
      <c r="K155" s="104" t="s">
        <v>31</v>
      </c>
      <c r="L155" s="104" t="s">
        <v>536</v>
      </c>
      <c r="M155" t="s">
        <v>1442</v>
      </c>
    </row>
    <row r="156" spans="2:13" x14ac:dyDescent="0.25">
      <c r="B156" s="104" t="s">
        <v>1457</v>
      </c>
      <c r="C156" s="104">
        <v>6</v>
      </c>
      <c r="D156" s="104" t="s">
        <v>178</v>
      </c>
      <c r="E156" s="104" t="s">
        <v>331</v>
      </c>
      <c r="F156" t="s">
        <v>1443</v>
      </c>
      <c r="I156" s="104" t="s">
        <v>1497</v>
      </c>
      <c r="J156" s="104">
        <v>5</v>
      </c>
      <c r="K156" s="104" t="s">
        <v>44</v>
      </c>
      <c r="L156" s="104" t="s">
        <v>331</v>
      </c>
      <c r="M156" t="s">
        <v>1443</v>
      </c>
    </row>
    <row r="157" spans="2:13" x14ac:dyDescent="0.25">
      <c r="B157" s="104" t="s">
        <v>1515</v>
      </c>
      <c r="C157" s="104">
        <v>4</v>
      </c>
      <c r="D157" s="104" t="s">
        <v>1514</v>
      </c>
      <c r="E157" s="104" t="s">
        <v>331</v>
      </c>
      <c r="F157" t="s">
        <v>1467</v>
      </c>
      <c r="I157" s="104" t="s">
        <v>1470</v>
      </c>
      <c r="J157" s="104">
        <v>4</v>
      </c>
      <c r="K157" s="104" t="s">
        <v>1471</v>
      </c>
      <c r="L157" s="104" t="s">
        <v>331</v>
      </c>
      <c r="M157" t="s">
        <v>1467</v>
      </c>
    </row>
    <row r="158" spans="2:13" x14ac:dyDescent="0.25">
      <c r="B158" s="104" t="s">
        <v>993</v>
      </c>
      <c r="C158" s="104">
        <v>4</v>
      </c>
      <c r="D158" s="104" t="s">
        <v>31</v>
      </c>
      <c r="E158" s="104" t="s">
        <v>578</v>
      </c>
      <c r="F158" t="s">
        <v>1468</v>
      </c>
      <c r="I158" s="104" t="s">
        <v>1523</v>
      </c>
      <c r="J158" s="104">
        <v>2</v>
      </c>
      <c r="K158" s="104" t="s">
        <v>59</v>
      </c>
      <c r="L158" s="104" t="s">
        <v>578</v>
      </c>
      <c r="M158" t="s">
        <v>1468</v>
      </c>
    </row>
    <row r="159" spans="2:13" x14ac:dyDescent="0.25">
      <c r="B159" s="104"/>
      <c r="C159" s="104"/>
      <c r="D159" s="104"/>
      <c r="E159" s="104"/>
      <c r="I159" s="104"/>
      <c r="J159" s="104"/>
      <c r="K159" s="104"/>
      <c r="L159" s="104"/>
    </row>
    <row r="160" spans="2:13" x14ac:dyDescent="0.25">
      <c r="B160" s="104"/>
      <c r="C160" s="104"/>
      <c r="D160" s="104"/>
      <c r="E160" s="104"/>
      <c r="I160" s="104"/>
      <c r="J160" s="104"/>
      <c r="K160" s="104"/>
      <c r="L160" s="104"/>
    </row>
    <row r="161" spans="1:13" x14ac:dyDescent="0.25">
      <c r="B161" s="104"/>
      <c r="C161" s="104"/>
      <c r="D161" s="104"/>
      <c r="E161" s="104"/>
      <c r="I161" s="104"/>
      <c r="J161" s="104"/>
      <c r="K161" s="104"/>
      <c r="L161" s="104"/>
    </row>
    <row r="162" spans="1:13" x14ac:dyDescent="0.25">
      <c r="B162" s="104"/>
      <c r="C162" s="104"/>
      <c r="D162" s="104"/>
      <c r="E162" s="104"/>
      <c r="I162" s="104"/>
      <c r="J162" s="104"/>
      <c r="K162" s="104"/>
      <c r="L162" s="104"/>
    </row>
    <row r="163" spans="1:13" x14ac:dyDescent="0.25">
      <c r="B163" s="104"/>
      <c r="C163" s="104"/>
      <c r="D163" s="104"/>
      <c r="E163" s="104"/>
      <c r="I163" s="104"/>
      <c r="J163" s="104"/>
      <c r="K163" s="104"/>
      <c r="L163" s="104"/>
    </row>
    <row r="168" spans="1:13" x14ac:dyDescent="0.25">
      <c r="A168" t="s">
        <v>879</v>
      </c>
      <c r="B168" s="27" t="s">
        <v>872</v>
      </c>
      <c r="C168" s="27" t="s">
        <v>874</v>
      </c>
      <c r="D168" s="27" t="s">
        <v>5</v>
      </c>
      <c r="E168" s="27" t="s">
        <v>885</v>
      </c>
      <c r="F168" s="27" t="s">
        <v>218</v>
      </c>
      <c r="H168" t="s">
        <v>879</v>
      </c>
      <c r="I168" s="27" t="s">
        <v>873</v>
      </c>
      <c r="J168" s="27" t="s">
        <v>875</v>
      </c>
      <c r="K168" s="27" t="s">
        <v>5</v>
      </c>
      <c r="L168" s="27" t="s">
        <v>885</v>
      </c>
      <c r="M168" s="27" t="s">
        <v>218</v>
      </c>
    </row>
    <row r="169" spans="1:13" x14ac:dyDescent="0.25">
      <c r="B169" t="s">
        <v>1006</v>
      </c>
      <c r="C169">
        <v>5</v>
      </c>
      <c r="D169" t="s">
        <v>31</v>
      </c>
      <c r="E169" t="s">
        <v>331</v>
      </c>
      <c r="F169" t="s">
        <v>860</v>
      </c>
      <c r="I169" t="s">
        <v>761</v>
      </c>
      <c r="J169">
        <v>3</v>
      </c>
      <c r="K169" t="s">
        <v>31</v>
      </c>
      <c r="L169" t="s">
        <v>331</v>
      </c>
      <c r="M169" t="s">
        <v>860</v>
      </c>
    </row>
    <row r="170" spans="1:13" x14ac:dyDescent="0.25">
      <c r="B170" t="s">
        <v>1171</v>
      </c>
      <c r="C170">
        <v>4</v>
      </c>
      <c r="D170" t="s">
        <v>747</v>
      </c>
      <c r="E170" t="s">
        <v>1172</v>
      </c>
      <c r="F170" t="s">
        <v>1013</v>
      </c>
      <c r="I170" t="s">
        <v>1173</v>
      </c>
      <c r="J170">
        <v>2</v>
      </c>
      <c r="K170" t="s">
        <v>209</v>
      </c>
      <c r="L170" t="s">
        <v>367</v>
      </c>
      <c r="M170" t="s">
        <v>1013</v>
      </c>
    </row>
    <row r="171" spans="1:13" x14ac:dyDescent="0.25">
      <c r="B171" t="s">
        <v>1205</v>
      </c>
      <c r="C171">
        <v>4</v>
      </c>
      <c r="D171" t="s">
        <v>184</v>
      </c>
      <c r="E171" t="s">
        <v>578</v>
      </c>
      <c r="F171" t="s">
        <v>1180</v>
      </c>
      <c r="I171" t="s">
        <v>1206</v>
      </c>
      <c r="J171">
        <v>3</v>
      </c>
      <c r="K171" t="s">
        <v>159</v>
      </c>
      <c r="L171" t="s">
        <v>367</v>
      </c>
      <c r="M171" t="s">
        <v>1180</v>
      </c>
    </row>
    <row r="172" spans="1:13" x14ac:dyDescent="0.25">
      <c r="B172" t="s">
        <v>1203</v>
      </c>
      <c r="C172">
        <v>4</v>
      </c>
      <c r="D172" t="s">
        <v>50</v>
      </c>
      <c r="E172" t="s">
        <v>1229</v>
      </c>
      <c r="F172" t="s">
        <v>1210</v>
      </c>
      <c r="I172" t="s">
        <v>1230</v>
      </c>
      <c r="J172">
        <v>3</v>
      </c>
      <c r="K172" t="s">
        <v>27</v>
      </c>
      <c r="L172" t="s">
        <v>331</v>
      </c>
      <c r="M172" t="s">
        <v>1210</v>
      </c>
    </row>
    <row r="173" spans="1:13" ht="15.75" thickBot="1" x14ac:dyDescent="0.3">
      <c r="B173" s="44" t="s">
        <v>890</v>
      </c>
      <c r="C173" s="44">
        <v>4</v>
      </c>
      <c r="D173" s="44" t="s">
        <v>159</v>
      </c>
      <c r="E173" s="44" t="s">
        <v>331</v>
      </c>
      <c r="F173" s="44" t="s">
        <v>1240</v>
      </c>
      <c r="I173" s="44" t="s">
        <v>1009</v>
      </c>
      <c r="J173" s="44">
        <v>4</v>
      </c>
      <c r="K173" s="44" t="s">
        <v>31</v>
      </c>
      <c r="L173" s="44" t="s">
        <v>331</v>
      </c>
      <c r="M173" s="44" t="s">
        <v>1240</v>
      </c>
    </row>
    <row r="174" spans="1:13" x14ac:dyDescent="0.25">
      <c r="B174" s="104" t="s">
        <v>1283</v>
      </c>
      <c r="C174" s="104">
        <v>4</v>
      </c>
      <c r="D174" s="104" t="s">
        <v>153</v>
      </c>
      <c r="E174" s="104" t="s">
        <v>464</v>
      </c>
      <c r="F174" t="s">
        <v>1271</v>
      </c>
      <c r="I174" s="104" t="s">
        <v>1282</v>
      </c>
      <c r="J174" s="104">
        <v>3</v>
      </c>
      <c r="K174" s="104" t="s">
        <v>959</v>
      </c>
      <c r="L174" s="104" t="s">
        <v>464</v>
      </c>
      <c r="M174" t="s">
        <v>1271</v>
      </c>
    </row>
    <row r="175" spans="1:13" x14ac:dyDescent="0.25">
      <c r="B175" s="104" t="s">
        <v>1290</v>
      </c>
      <c r="C175" s="104">
        <v>5</v>
      </c>
      <c r="D175" s="104" t="s">
        <v>103</v>
      </c>
      <c r="E175" s="104" t="s">
        <v>331</v>
      </c>
      <c r="F175" s="104" t="s">
        <v>1284</v>
      </c>
      <c r="I175" s="104" t="s">
        <v>1269</v>
      </c>
      <c r="J175" s="104">
        <v>5</v>
      </c>
      <c r="K175" s="104" t="s">
        <v>1270</v>
      </c>
      <c r="L175" s="104" t="s">
        <v>331</v>
      </c>
      <c r="M175" s="104" t="s">
        <v>1284</v>
      </c>
    </row>
    <row r="176" spans="1:13" x14ac:dyDescent="0.25">
      <c r="B176" s="104" t="s">
        <v>890</v>
      </c>
      <c r="C176" s="104">
        <v>5</v>
      </c>
      <c r="D176" s="104" t="s">
        <v>159</v>
      </c>
      <c r="E176" s="104" t="s">
        <v>331</v>
      </c>
      <c r="F176" t="s">
        <v>1323</v>
      </c>
      <c r="I176" s="104" t="s">
        <v>1285</v>
      </c>
      <c r="J176" s="104">
        <v>4</v>
      </c>
      <c r="K176" s="104" t="s">
        <v>61</v>
      </c>
      <c r="L176" s="104" t="s">
        <v>331</v>
      </c>
      <c r="M176" t="s">
        <v>1323</v>
      </c>
    </row>
    <row r="177" spans="2:13" x14ac:dyDescent="0.25">
      <c r="B177" s="104" t="s">
        <v>1254</v>
      </c>
      <c r="C177" s="104">
        <v>6</v>
      </c>
      <c r="D177" s="104" t="s">
        <v>37</v>
      </c>
      <c r="E177" s="104" t="s">
        <v>331</v>
      </c>
      <c r="F177" s="104" t="s">
        <v>1349</v>
      </c>
      <c r="I177" s="104" t="s">
        <v>1254</v>
      </c>
      <c r="J177" s="104">
        <v>3</v>
      </c>
      <c r="K177" s="104" t="s">
        <v>37</v>
      </c>
      <c r="L177" s="104" t="s">
        <v>331</v>
      </c>
      <c r="M177" s="104" t="s">
        <v>1349</v>
      </c>
    </row>
    <row r="178" spans="2:13" x14ac:dyDescent="0.25">
      <c r="B178" s="104" t="s">
        <v>890</v>
      </c>
      <c r="C178" s="104">
        <v>7</v>
      </c>
      <c r="D178" s="104" t="s">
        <v>159</v>
      </c>
      <c r="E178" s="104" t="s">
        <v>331</v>
      </c>
      <c r="F178" t="s">
        <v>1374</v>
      </c>
      <c r="I178" s="104" t="s">
        <v>1290</v>
      </c>
      <c r="J178" s="104">
        <v>3</v>
      </c>
      <c r="K178" s="104" t="s">
        <v>103</v>
      </c>
      <c r="L178" s="104" t="s">
        <v>331</v>
      </c>
      <c r="M178" t="s">
        <v>1374</v>
      </c>
    </row>
    <row r="179" spans="2:13" x14ac:dyDescent="0.25">
      <c r="B179" s="104" t="s">
        <v>890</v>
      </c>
      <c r="C179" s="104">
        <v>6</v>
      </c>
      <c r="D179" s="104" t="s">
        <v>159</v>
      </c>
      <c r="E179" s="104" t="s">
        <v>331</v>
      </c>
      <c r="F179" t="s">
        <v>1415</v>
      </c>
      <c r="I179" s="104" t="s">
        <v>1350</v>
      </c>
      <c r="J179" s="104">
        <v>6</v>
      </c>
      <c r="K179" s="104" t="s">
        <v>66</v>
      </c>
      <c r="L179" s="104" t="s">
        <v>528</v>
      </c>
      <c r="M179" t="s">
        <v>1415</v>
      </c>
    </row>
    <row r="180" spans="2:13" x14ac:dyDescent="0.25">
      <c r="B180" s="104" t="s">
        <v>890</v>
      </c>
      <c r="C180" s="104">
        <v>5</v>
      </c>
      <c r="D180" s="104" t="s">
        <v>159</v>
      </c>
      <c r="E180" s="104" t="s">
        <v>331</v>
      </c>
      <c r="F180" t="s">
        <v>1436</v>
      </c>
      <c r="I180" s="104" t="s">
        <v>1285</v>
      </c>
      <c r="J180" s="104">
        <v>4</v>
      </c>
      <c r="K180" s="104" t="s">
        <v>61</v>
      </c>
      <c r="L180" s="104" t="s">
        <v>331</v>
      </c>
      <c r="M180" t="s">
        <v>1436</v>
      </c>
    </row>
    <row r="181" spans="2:13" x14ac:dyDescent="0.25">
      <c r="B181" s="104" t="s">
        <v>1470</v>
      </c>
      <c r="C181" s="104">
        <v>7</v>
      </c>
      <c r="D181" s="104" t="s">
        <v>1471</v>
      </c>
      <c r="E181" s="104" t="s">
        <v>331</v>
      </c>
      <c r="F181" t="s">
        <v>1442</v>
      </c>
      <c r="I181" s="104" t="s">
        <v>1483</v>
      </c>
      <c r="J181" s="104">
        <v>4</v>
      </c>
      <c r="K181" s="104" t="s">
        <v>79</v>
      </c>
      <c r="L181" s="104" t="s">
        <v>331</v>
      </c>
      <c r="M181" t="s">
        <v>1442</v>
      </c>
    </row>
    <row r="182" spans="2:13" x14ac:dyDescent="0.25">
      <c r="B182" s="104" t="s">
        <v>1498</v>
      </c>
      <c r="C182" s="104">
        <v>5</v>
      </c>
      <c r="D182" s="104" t="s">
        <v>31</v>
      </c>
      <c r="E182" s="104" t="s">
        <v>464</v>
      </c>
      <c r="F182" t="s">
        <v>1443</v>
      </c>
      <c r="I182" s="104" t="s">
        <v>1499</v>
      </c>
      <c r="J182" s="104">
        <v>4</v>
      </c>
      <c r="K182" s="104" t="s">
        <v>153</v>
      </c>
      <c r="L182" s="104" t="s">
        <v>614</v>
      </c>
      <c r="M182" t="s">
        <v>1443</v>
      </c>
    </row>
    <row r="183" spans="2:13" x14ac:dyDescent="0.25">
      <c r="B183" s="104" t="s">
        <v>1470</v>
      </c>
      <c r="C183" s="104">
        <v>6</v>
      </c>
      <c r="D183" s="104" t="s">
        <v>1471</v>
      </c>
      <c r="E183" s="104" t="s">
        <v>331</v>
      </c>
      <c r="F183" t="s">
        <v>1467</v>
      </c>
      <c r="I183" s="104" t="s">
        <v>1516</v>
      </c>
      <c r="J183" s="104">
        <v>7</v>
      </c>
      <c r="K183" s="104" t="s">
        <v>192</v>
      </c>
      <c r="L183" s="104" t="s">
        <v>331</v>
      </c>
      <c r="M183" t="s">
        <v>1467</v>
      </c>
    </row>
    <row r="184" spans="2:13" x14ac:dyDescent="0.25">
      <c r="B184" s="104" t="s">
        <v>1470</v>
      </c>
      <c r="C184" s="104">
        <v>5</v>
      </c>
      <c r="D184" s="104" t="s">
        <v>1471</v>
      </c>
      <c r="E184" s="104" t="s">
        <v>331</v>
      </c>
      <c r="F184" t="s">
        <v>1468</v>
      </c>
      <c r="I184" s="104" t="s">
        <v>1470</v>
      </c>
      <c r="J184" s="104">
        <v>4</v>
      </c>
      <c r="K184" s="104" t="s">
        <v>1471</v>
      </c>
      <c r="L184" s="104" t="s">
        <v>331</v>
      </c>
      <c r="M184" t="s">
        <v>1468</v>
      </c>
    </row>
    <row r="185" spans="2:13" x14ac:dyDescent="0.25">
      <c r="B185" s="104"/>
      <c r="C185" s="104"/>
      <c r="D185" s="104"/>
      <c r="E185" s="104"/>
      <c r="I185" s="104"/>
      <c r="J185" s="104"/>
      <c r="K185" s="104"/>
      <c r="L185" s="104"/>
    </row>
    <row r="186" spans="2:13" x14ac:dyDescent="0.25">
      <c r="B186" s="104"/>
      <c r="C186" s="104"/>
      <c r="D186" s="104"/>
      <c r="E186" s="104"/>
      <c r="I186" s="104"/>
      <c r="J186" s="104"/>
      <c r="K186" s="104"/>
      <c r="L186" s="104"/>
    </row>
    <row r="187" spans="2:13" x14ac:dyDescent="0.25">
      <c r="B187" s="104"/>
      <c r="C187" s="104"/>
      <c r="D187" s="104"/>
      <c r="E187" s="104"/>
      <c r="I187" s="104"/>
      <c r="J187" s="104"/>
      <c r="K187" s="104"/>
      <c r="L187" s="104"/>
    </row>
    <row r="188" spans="2:13" x14ac:dyDescent="0.25">
      <c r="B188" s="104"/>
      <c r="C188" s="104"/>
      <c r="D188" s="104"/>
      <c r="E188" s="104"/>
      <c r="I188" s="104"/>
      <c r="J188" s="104"/>
      <c r="K188" s="104"/>
      <c r="L188" s="104"/>
    </row>
    <row r="189" spans="2:13" x14ac:dyDescent="0.25">
      <c r="B189" s="104"/>
      <c r="C189" s="104"/>
      <c r="D189" s="104"/>
      <c r="E189" s="104"/>
      <c r="I189" s="104"/>
      <c r="J189" s="104"/>
      <c r="K189" s="104"/>
      <c r="L189" s="104"/>
    </row>
    <row r="193" spans="1:12" x14ac:dyDescent="0.25">
      <c r="A193" t="s">
        <v>880</v>
      </c>
      <c r="B193" s="27" t="s">
        <v>872</v>
      </c>
      <c r="C193" s="27" t="s">
        <v>874</v>
      </c>
      <c r="D193" s="27" t="s">
        <v>5</v>
      </c>
      <c r="E193" s="27" t="s">
        <v>218</v>
      </c>
      <c r="H193" t="s">
        <v>880</v>
      </c>
      <c r="I193" s="27" t="s">
        <v>873</v>
      </c>
      <c r="J193" s="27" t="s">
        <v>875</v>
      </c>
      <c r="K193" s="27" t="s">
        <v>5</v>
      </c>
      <c r="L193" s="27" t="s">
        <v>218</v>
      </c>
    </row>
    <row r="194" spans="1:12" x14ac:dyDescent="0.25">
      <c r="B194" t="s">
        <v>904</v>
      </c>
      <c r="C194">
        <v>5</v>
      </c>
      <c r="D194" t="s">
        <v>159</v>
      </c>
      <c r="E194">
        <v>2014</v>
      </c>
      <c r="I194" t="s">
        <v>971</v>
      </c>
      <c r="J194">
        <v>5</v>
      </c>
      <c r="K194" t="s">
        <v>79</v>
      </c>
      <c r="L194">
        <v>2014</v>
      </c>
    </row>
    <row r="195" spans="1:12" x14ac:dyDescent="0.25">
      <c r="B195" t="s">
        <v>966</v>
      </c>
      <c r="C195">
        <v>4</v>
      </c>
      <c r="D195" t="s">
        <v>50</v>
      </c>
      <c r="E195">
        <v>2018</v>
      </c>
      <c r="I195" t="s">
        <v>972</v>
      </c>
      <c r="J195">
        <v>4</v>
      </c>
      <c r="K195" t="s">
        <v>92</v>
      </c>
      <c r="L195">
        <v>2018</v>
      </c>
    </row>
    <row r="196" spans="1:12" x14ac:dyDescent="0.25">
      <c r="B196" t="s">
        <v>967</v>
      </c>
      <c r="C196">
        <v>5</v>
      </c>
      <c r="D196" t="s">
        <v>195</v>
      </c>
      <c r="E196">
        <v>2022</v>
      </c>
      <c r="I196" t="s">
        <v>970</v>
      </c>
      <c r="J196">
        <v>4</v>
      </c>
      <c r="K196" t="s">
        <v>50</v>
      </c>
      <c r="L196">
        <v>2022</v>
      </c>
    </row>
    <row r="197" spans="1:12" ht="15.75" thickBot="1" x14ac:dyDescent="0.3">
      <c r="B197" s="44" t="s">
        <v>968</v>
      </c>
      <c r="C197" s="44">
        <v>6</v>
      </c>
      <c r="D197" s="44" t="s">
        <v>61</v>
      </c>
      <c r="E197" s="44">
        <v>2026</v>
      </c>
      <c r="I197" s="44" t="s">
        <v>973</v>
      </c>
      <c r="J197" s="44">
        <v>5</v>
      </c>
      <c r="K197" s="44" t="s">
        <v>59</v>
      </c>
      <c r="L197" s="44">
        <v>2026</v>
      </c>
    </row>
    <row r="198" spans="1:12" x14ac:dyDescent="0.25">
      <c r="B198" t="s">
        <v>922</v>
      </c>
      <c r="C198">
        <v>5</v>
      </c>
      <c r="D198" t="s">
        <v>31</v>
      </c>
      <c r="E198">
        <v>2014</v>
      </c>
      <c r="I198" t="s">
        <v>974</v>
      </c>
      <c r="J198">
        <v>3</v>
      </c>
      <c r="K198" t="s">
        <v>50</v>
      </c>
      <c r="L198">
        <v>2014</v>
      </c>
    </row>
    <row r="199" spans="1:12" x14ac:dyDescent="0.25">
      <c r="B199" t="s">
        <v>969</v>
      </c>
      <c r="C199">
        <v>7</v>
      </c>
      <c r="D199" t="s">
        <v>79</v>
      </c>
      <c r="E199">
        <v>2018</v>
      </c>
      <c r="I199" t="s">
        <v>975</v>
      </c>
      <c r="J199">
        <v>4</v>
      </c>
      <c r="K199" t="s">
        <v>61</v>
      </c>
      <c r="L199">
        <v>2018</v>
      </c>
    </row>
    <row r="200" spans="1:12" x14ac:dyDescent="0.25">
      <c r="B200" t="s">
        <v>970</v>
      </c>
      <c r="C200">
        <v>7</v>
      </c>
      <c r="D200" t="s">
        <v>50</v>
      </c>
      <c r="E200">
        <v>2022</v>
      </c>
      <c r="I200" t="s">
        <v>976</v>
      </c>
      <c r="J200">
        <v>3</v>
      </c>
      <c r="K200" t="s">
        <v>66</v>
      </c>
      <c r="L200">
        <v>2022</v>
      </c>
    </row>
    <row r="201" spans="1:12" ht="15.75" thickBot="1" x14ac:dyDescent="0.3">
      <c r="B201" s="44" t="s">
        <v>1211</v>
      </c>
      <c r="C201" s="44">
        <v>8</v>
      </c>
      <c r="D201" s="44" t="s">
        <v>66</v>
      </c>
      <c r="E201" s="44">
        <v>2026</v>
      </c>
      <c r="I201" s="44" t="s">
        <v>1014</v>
      </c>
      <c r="J201" s="44">
        <v>6</v>
      </c>
      <c r="K201" s="44" t="s">
        <v>61</v>
      </c>
      <c r="L201" s="44">
        <v>2026</v>
      </c>
    </row>
    <row r="202" spans="1:12" x14ac:dyDescent="0.25">
      <c r="B202" s="104" t="s">
        <v>1253</v>
      </c>
      <c r="C202" s="104">
        <v>5</v>
      </c>
      <c r="D202" s="104" t="s">
        <v>130</v>
      </c>
      <c r="E202" s="104">
        <v>2014</v>
      </c>
      <c r="I202" s="104" t="s">
        <v>1253</v>
      </c>
      <c r="J202" s="104">
        <v>5</v>
      </c>
      <c r="K202" s="104" t="s">
        <v>130</v>
      </c>
      <c r="L202" s="104">
        <v>2014</v>
      </c>
    </row>
    <row r="203" spans="1:12" x14ac:dyDescent="0.25">
      <c r="B203" s="104" t="s">
        <v>1432</v>
      </c>
      <c r="C203" s="104">
        <v>8</v>
      </c>
      <c r="D203" s="104" t="s">
        <v>31</v>
      </c>
      <c r="E203" s="104">
        <v>2018</v>
      </c>
      <c r="I203" s="104" t="s">
        <v>1433</v>
      </c>
      <c r="J203" s="104">
        <v>3</v>
      </c>
      <c r="K203" s="104" t="s">
        <v>31</v>
      </c>
      <c r="L203" s="104">
        <v>2018</v>
      </c>
    </row>
    <row r="204" spans="1:12" x14ac:dyDescent="0.25">
      <c r="B204" s="104" t="s">
        <v>1350</v>
      </c>
      <c r="C204" s="104">
        <v>8</v>
      </c>
      <c r="D204" s="104" t="s">
        <v>66</v>
      </c>
      <c r="E204" s="104">
        <v>2022</v>
      </c>
      <c r="I204" s="104" t="s">
        <v>1517</v>
      </c>
      <c r="J204" s="104">
        <v>3</v>
      </c>
      <c r="K204" s="104" t="s">
        <v>34</v>
      </c>
      <c r="L204" s="104">
        <v>2022</v>
      </c>
    </row>
    <row r="208" spans="1:12" x14ac:dyDescent="0.25">
      <c r="A208" t="s">
        <v>881</v>
      </c>
      <c r="B208" s="27" t="s">
        <v>872</v>
      </c>
      <c r="C208" s="27" t="s">
        <v>874</v>
      </c>
      <c r="D208" s="27" t="s">
        <v>5</v>
      </c>
      <c r="E208" s="27" t="s">
        <v>218</v>
      </c>
      <c r="H208" t="s">
        <v>881</v>
      </c>
      <c r="I208" s="27" t="s">
        <v>873</v>
      </c>
      <c r="J208" s="27" t="s">
        <v>875</v>
      </c>
      <c r="K208" s="27" t="s">
        <v>5</v>
      </c>
      <c r="L208" s="27" t="s">
        <v>218</v>
      </c>
    </row>
    <row r="209" spans="1:12" ht="15.75" thickBot="1" x14ac:dyDescent="0.3">
      <c r="B209" s="44" t="s">
        <v>894</v>
      </c>
      <c r="C209" s="44">
        <v>4</v>
      </c>
      <c r="D209" s="44" t="s">
        <v>66</v>
      </c>
      <c r="E209" s="44">
        <v>2020</v>
      </c>
      <c r="I209" s="44" t="s">
        <v>893</v>
      </c>
      <c r="J209" s="44">
        <v>2</v>
      </c>
      <c r="K209" s="44" t="s">
        <v>66</v>
      </c>
      <c r="L209" s="44">
        <v>2020</v>
      </c>
    </row>
    <row r="210" spans="1:12" x14ac:dyDescent="0.25">
      <c r="B210" t="s">
        <v>977</v>
      </c>
      <c r="C210">
        <v>4</v>
      </c>
      <c r="D210" t="s">
        <v>159</v>
      </c>
      <c r="E210">
        <v>2016</v>
      </c>
      <c r="I210" t="s">
        <v>978</v>
      </c>
      <c r="J210">
        <v>2</v>
      </c>
      <c r="K210" t="s">
        <v>209</v>
      </c>
      <c r="L210">
        <v>2016</v>
      </c>
    </row>
    <row r="211" spans="1:12" ht="15.75" thickBot="1" x14ac:dyDescent="0.3">
      <c r="B211" s="44" t="s">
        <v>1014</v>
      </c>
      <c r="C211" s="44">
        <v>5</v>
      </c>
      <c r="D211" s="44" t="s">
        <v>61</v>
      </c>
      <c r="E211" s="44">
        <v>2024</v>
      </c>
      <c r="I211" s="44" t="s">
        <v>1015</v>
      </c>
      <c r="J211" s="44">
        <v>4</v>
      </c>
      <c r="K211" s="44" t="s">
        <v>61</v>
      </c>
      <c r="L211" s="44">
        <v>2024</v>
      </c>
    </row>
    <row r="212" spans="1:12" x14ac:dyDescent="0.25">
      <c r="B212" s="104" t="s">
        <v>1350</v>
      </c>
      <c r="C212" s="104">
        <v>4</v>
      </c>
      <c r="D212" s="104" t="s">
        <v>66</v>
      </c>
      <c r="E212" s="104">
        <v>2016</v>
      </c>
      <c r="I212" s="104" t="s">
        <v>1351</v>
      </c>
      <c r="J212" s="104">
        <v>2</v>
      </c>
      <c r="K212" s="104" t="s">
        <v>66</v>
      </c>
      <c r="L212" s="104">
        <v>2016</v>
      </c>
    </row>
    <row r="213" spans="1:12" x14ac:dyDescent="0.25">
      <c r="B213" s="104" t="s">
        <v>1432</v>
      </c>
      <c r="C213" s="104">
        <v>4</v>
      </c>
      <c r="D213" s="104" t="s">
        <v>31</v>
      </c>
      <c r="E213" s="104">
        <v>2020</v>
      </c>
      <c r="I213" s="104" t="s">
        <v>941</v>
      </c>
      <c r="J213" s="104">
        <v>3</v>
      </c>
      <c r="K213" s="104" t="s">
        <v>61</v>
      </c>
      <c r="L213" s="104">
        <v>2020</v>
      </c>
    </row>
    <row r="214" spans="1:12" x14ac:dyDescent="0.25">
      <c r="B214" s="104"/>
      <c r="C214" s="104"/>
      <c r="D214" s="104"/>
      <c r="E214" s="104"/>
      <c r="I214" s="104"/>
      <c r="J214" s="104"/>
      <c r="K214" s="104"/>
      <c r="L214" s="104"/>
    </row>
    <row r="215" spans="1:12" x14ac:dyDescent="0.25">
      <c r="B215" s="104"/>
      <c r="C215" s="104"/>
      <c r="D215" s="104"/>
      <c r="E215" s="104"/>
      <c r="I215" s="104"/>
      <c r="J215" s="104"/>
      <c r="K215" s="104"/>
      <c r="L215" s="104"/>
    </row>
    <row r="219" spans="1:12" x14ac:dyDescent="0.25">
      <c r="A219" t="s">
        <v>736</v>
      </c>
      <c r="B219" s="27" t="s">
        <v>872</v>
      </c>
      <c r="C219" s="27" t="s">
        <v>874</v>
      </c>
      <c r="D219" s="27" t="s">
        <v>5</v>
      </c>
      <c r="E219" s="27" t="s">
        <v>218</v>
      </c>
      <c r="H219" t="s">
        <v>736</v>
      </c>
      <c r="I219" s="27" t="s">
        <v>873</v>
      </c>
      <c r="J219" s="27" t="s">
        <v>875</v>
      </c>
      <c r="K219" s="27" t="s">
        <v>5</v>
      </c>
      <c r="L219" s="27" t="s">
        <v>218</v>
      </c>
    </row>
    <row r="220" spans="1:12" x14ac:dyDescent="0.25">
      <c r="B220" t="s">
        <v>979</v>
      </c>
      <c r="C220">
        <v>4</v>
      </c>
      <c r="D220" t="s">
        <v>799</v>
      </c>
      <c r="E220">
        <v>2018</v>
      </c>
      <c r="I220" t="s">
        <v>982</v>
      </c>
      <c r="J220">
        <v>4</v>
      </c>
      <c r="K220" t="s">
        <v>799</v>
      </c>
      <c r="L220">
        <v>2018</v>
      </c>
    </row>
    <row r="221" spans="1:12" x14ac:dyDescent="0.25">
      <c r="B221" t="s">
        <v>980</v>
      </c>
      <c r="C221">
        <v>5</v>
      </c>
      <c r="D221" t="s">
        <v>303</v>
      </c>
      <c r="E221">
        <v>2022</v>
      </c>
      <c r="I221" t="s">
        <v>983</v>
      </c>
      <c r="J221">
        <v>3</v>
      </c>
      <c r="K221" t="s">
        <v>27</v>
      </c>
      <c r="L221">
        <v>2022</v>
      </c>
    </row>
    <row r="222" spans="1:12" ht="15.75" thickBot="1" x14ac:dyDescent="0.3">
      <c r="B222" s="44" t="s">
        <v>981</v>
      </c>
      <c r="C222" s="44">
        <v>5</v>
      </c>
      <c r="D222" s="44" t="s">
        <v>27</v>
      </c>
      <c r="E222" s="44">
        <v>2026</v>
      </c>
      <c r="I222" s="44" t="s">
        <v>984</v>
      </c>
      <c r="J222" s="44">
        <v>3</v>
      </c>
      <c r="K222" s="44" t="s">
        <v>799</v>
      </c>
      <c r="L222" s="44">
        <v>2026</v>
      </c>
    </row>
    <row r="223" spans="1:12" x14ac:dyDescent="0.25">
      <c r="B223" t="s">
        <v>908</v>
      </c>
      <c r="C223">
        <v>5</v>
      </c>
      <c r="D223" t="s">
        <v>37</v>
      </c>
      <c r="E223">
        <v>2014</v>
      </c>
      <c r="I223" t="s">
        <v>908</v>
      </c>
      <c r="J223">
        <v>3</v>
      </c>
      <c r="K223" t="s">
        <v>37</v>
      </c>
      <c r="L223">
        <v>2014</v>
      </c>
    </row>
    <row r="224" spans="1:12" x14ac:dyDescent="0.25">
      <c r="B224" t="s">
        <v>908</v>
      </c>
      <c r="C224">
        <v>4</v>
      </c>
      <c r="D224" t="s">
        <v>37</v>
      </c>
      <c r="E224">
        <v>2018</v>
      </c>
      <c r="I224" t="s">
        <v>908</v>
      </c>
      <c r="J224">
        <v>3</v>
      </c>
      <c r="K224" t="s">
        <v>37</v>
      </c>
      <c r="L224">
        <v>2018</v>
      </c>
    </row>
    <row r="225" spans="1:12" ht="15.75" thickBot="1" x14ac:dyDescent="0.3">
      <c r="B225" s="44" t="s">
        <v>934</v>
      </c>
      <c r="C225" s="44">
        <v>4</v>
      </c>
      <c r="D225" s="44" t="s">
        <v>37</v>
      </c>
      <c r="E225" s="44">
        <v>2022</v>
      </c>
      <c r="I225" s="44" t="s">
        <v>1179</v>
      </c>
      <c r="J225" s="44">
        <v>3</v>
      </c>
      <c r="K225" s="44" t="s">
        <v>799</v>
      </c>
      <c r="L225" s="44">
        <v>2022</v>
      </c>
    </row>
    <row r="226" spans="1:12" x14ac:dyDescent="0.25">
      <c r="B226" s="104" t="s">
        <v>990</v>
      </c>
      <c r="C226" s="104">
        <v>6</v>
      </c>
      <c r="D226" s="104" t="s">
        <v>27</v>
      </c>
      <c r="E226" s="104">
        <v>2015</v>
      </c>
      <c r="I226" s="104" t="s">
        <v>1324</v>
      </c>
      <c r="J226" s="104">
        <v>4</v>
      </c>
      <c r="K226" s="104" t="s">
        <v>37</v>
      </c>
      <c r="L226" s="104">
        <v>2015</v>
      </c>
    </row>
    <row r="227" spans="1:12" x14ac:dyDescent="0.25">
      <c r="B227" s="104" t="s">
        <v>1254</v>
      </c>
      <c r="C227" s="104">
        <v>5</v>
      </c>
      <c r="D227" s="104" t="s">
        <v>37</v>
      </c>
      <c r="E227" s="104">
        <v>2019</v>
      </c>
      <c r="I227" s="104" t="s">
        <v>1254</v>
      </c>
      <c r="J227" s="104">
        <v>3</v>
      </c>
      <c r="K227" s="104" t="s">
        <v>37</v>
      </c>
      <c r="L227" s="104">
        <v>2019</v>
      </c>
    </row>
    <row r="228" spans="1:12" x14ac:dyDescent="0.25">
      <c r="B228" s="104" t="s">
        <v>1537</v>
      </c>
      <c r="C228" s="104">
        <v>5</v>
      </c>
      <c r="D228" s="104" t="s">
        <v>27</v>
      </c>
      <c r="E228" s="104">
        <v>2023</v>
      </c>
      <c r="I228" s="104" t="s">
        <v>1537</v>
      </c>
      <c r="J228" s="104">
        <v>3</v>
      </c>
      <c r="K228" s="104" t="s">
        <v>27</v>
      </c>
      <c r="L228" s="104">
        <v>2023</v>
      </c>
    </row>
    <row r="229" spans="1:12" x14ac:dyDescent="0.25">
      <c r="B229" s="104"/>
      <c r="C229" s="104"/>
      <c r="D229" s="104"/>
      <c r="E229" s="104"/>
      <c r="I229" s="104"/>
      <c r="J229" s="104"/>
      <c r="K229" s="104"/>
      <c r="L229" s="104"/>
    </row>
    <row r="230" spans="1:12" x14ac:dyDescent="0.25">
      <c r="B230" s="104"/>
      <c r="C230" s="104"/>
      <c r="D230" s="104"/>
      <c r="E230" s="104"/>
      <c r="I230" s="104"/>
      <c r="J230" s="104"/>
      <c r="K230" s="104"/>
      <c r="L230" s="104"/>
    </row>
    <row r="234" spans="1:12" x14ac:dyDescent="0.25">
      <c r="A234" t="s">
        <v>882</v>
      </c>
      <c r="B234" s="27" t="s">
        <v>872</v>
      </c>
      <c r="C234" s="27" t="s">
        <v>874</v>
      </c>
      <c r="D234" s="27" t="s">
        <v>5</v>
      </c>
      <c r="E234" s="27" t="s">
        <v>218</v>
      </c>
      <c r="H234" t="s">
        <v>882</v>
      </c>
      <c r="I234" s="27" t="s">
        <v>873</v>
      </c>
      <c r="J234" s="27" t="s">
        <v>875</v>
      </c>
      <c r="K234" s="27" t="s">
        <v>5</v>
      </c>
      <c r="L234" s="27" t="s">
        <v>218</v>
      </c>
    </row>
    <row r="235" spans="1:12" x14ac:dyDescent="0.25">
      <c r="B235" t="s">
        <v>985</v>
      </c>
      <c r="C235">
        <v>5</v>
      </c>
      <c r="D235" t="s">
        <v>31</v>
      </c>
      <c r="E235">
        <v>2017</v>
      </c>
      <c r="I235" t="s">
        <v>889</v>
      </c>
      <c r="J235">
        <v>4</v>
      </c>
      <c r="K235" t="s">
        <v>31</v>
      </c>
      <c r="L235">
        <v>2017</v>
      </c>
    </row>
    <row r="236" spans="1:12" ht="15.75" thickBot="1" x14ac:dyDescent="0.3">
      <c r="B236" s="44" t="s">
        <v>1181</v>
      </c>
      <c r="C236" s="44">
        <v>3</v>
      </c>
      <c r="D236" s="44" t="s">
        <v>37</v>
      </c>
      <c r="E236" s="44">
        <v>2025</v>
      </c>
      <c r="I236" s="44" t="s">
        <v>1182</v>
      </c>
      <c r="J236" s="44">
        <v>1</v>
      </c>
      <c r="K236" s="44" t="s">
        <v>61</v>
      </c>
      <c r="L236" s="44">
        <v>2025</v>
      </c>
    </row>
    <row r="237" spans="1:12" x14ac:dyDescent="0.25">
      <c r="B237" s="104" t="s">
        <v>1253</v>
      </c>
      <c r="C237">
        <f>3</f>
        <v>3</v>
      </c>
      <c r="D237" s="104" t="s">
        <v>130</v>
      </c>
      <c r="E237">
        <v>2017</v>
      </c>
      <c r="I237" s="104" t="s">
        <v>932</v>
      </c>
      <c r="J237">
        <v>2</v>
      </c>
      <c r="K237" s="104" t="s">
        <v>817</v>
      </c>
      <c r="L237">
        <v>2017</v>
      </c>
    </row>
    <row r="238" spans="1:12" x14ac:dyDescent="0.25">
      <c r="B238" s="104" t="s">
        <v>1254</v>
      </c>
      <c r="C238">
        <v>5</v>
      </c>
      <c r="D238" s="104" t="s">
        <v>37</v>
      </c>
      <c r="E238">
        <v>2021</v>
      </c>
      <c r="I238" s="104" t="s">
        <v>896</v>
      </c>
      <c r="J238">
        <v>2</v>
      </c>
      <c r="K238" s="104" t="s">
        <v>195</v>
      </c>
      <c r="L238">
        <v>2021</v>
      </c>
    </row>
    <row r="239" spans="1:12" x14ac:dyDescent="0.25">
      <c r="B239" s="104"/>
      <c r="D239" s="104"/>
      <c r="I239" s="104"/>
      <c r="K239" s="104"/>
    </row>
    <row r="244" spans="1:5" x14ac:dyDescent="0.25">
      <c r="A244" t="s">
        <v>986</v>
      </c>
      <c r="B244" s="27" t="s">
        <v>2</v>
      </c>
      <c r="C244" s="27" t="s">
        <v>885</v>
      </c>
      <c r="D244" s="27" t="s">
        <v>5</v>
      </c>
      <c r="E244" s="27" t="s">
        <v>218</v>
      </c>
    </row>
    <row r="245" spans="1:5" x14ac:dyDescent="0.25">
      <c r="B245" t="s">
        <v>891</v>
      </c>
      <c r="C245" t="s">
        <v>367</v>
      </c>
      <c r="D245" t="s">
        <v>178</v>
      </c>
      <c r="E245" t="s">
        <v>220</v>
      </c>
    </row>
    <row r="246" spans="1:5" x14ac:dyDescent="0.25">
      <c r="B246" t="s">
        <v>884</v>
      </c>
      <c r="C246" t="s">
        <v>308</v>
      </c>
      <c r="D246" t="s">
        <v>92</v>
      </c>
      <c r="E246" t="s">
        <v>364</v>
      </c>
    </row>
    <row r="247" spans="1:5" x14ac:dyDescent="0.25">
      <c r="B247" t="s">
        <v>883</v>
      </c>
      <c r="C247" t="s">
        <v>367</v>
      </c>
      <c r="D247" t="s">
        <v>799</v>
      </c>
      <c r="E247" t="s">
        <v>268</v>
      </c>
    </row>
    <row r="248" spans="1:5" x14ac:dyDescent="0.25">
      <c r="B248" t="s">
        <v>987</v>
      </c>
      <c r="C248" t="s">
        <v>367</v>
      </c>
      <c r="D248" t="s">
        <v>153</v>
      </c>
      <c r="E248" t="s">
        <v>282</v>
      </c>
    </row>
    <row r="249" spans="1:5" x14ac:dyDescent="0.25">
      <c r="B249" t="s">
        <v>887</v>
      </c>
      <c r="C249" t="s">
        <v>308</v>
      </c>
      <c r="D249" t="s">
        <v>209</v>
      </c>
      <c r="E249" t="s">
        <v>223</v>
      </c>
    </row>
    <row r="250" spans="1:5" x14ac:dyDescent="0.25">
      <c r="B250" t="s">
        <v>988</v>
      </c>
      <c r="C250" t="s">
        <v>536</v>
      </c>
      <c r="D250" t="s">
        <v>153</v>
      </c>
      <c r="E250" t="s">
        <v>343</v>
      </c>
    </row>
    <row r="251" spans="1:5" x14ac:dyDescent="0.25">
      <c r="B251" t="s">
        <v>426</v>
      </c>
      <c r="C251" t="s">
        <v>614</v>
      </c>
      <c r="D251" t="s">
        <v>195</v>
      </c>
      <c r="E251" t="s">
        <v>232</v>
      </c>
    </row>
    <row r="252" spans="1:5" x14ac:dyDescent="0.25">
      <c r="B252" t="s">
        <v>888</v>
      </c>
      <c r="C252" t="s">
        <v>331</v>
      </c>
      <c r="D252" t="s">
        <v>178</v>
      </c>
      <c r="E252" t="s">
        <v>236</v>
      </c>
    </row>
    <row r="253" spans="1:5" x14ac:dyDescent="0.25">
      <c r="B253" t="s">
        <v>887</v>
      </c>
      <c r="C253" t="s">
        <v>308</v>
      </c>
      <c r="D253" t="s">
        <v>209</v>
      </c>
      <c r="E253" t="s">
        <v>239</v>
      </c>
    </row>
    <row r="254" spans="1:5" x14ac:dyDescent="0.25">
      <c r="B254" t="s">
        <v>888</v>
      </c>
      <c r="C254" t="s">
        <v>331</v>
      </c>
      <c r="D254" t="s">
        <v>178</v>
      </c>
      <c r="E254" t="s">
        <v>270</v>
      </c>
    </row>
    <row r="255" spans="1:5" x14ac:dyDescent="0.25">
      <c r="B255" t="s">
        <v>888</v>
      </c>
      <c r="C255" t="s">
        <v>331</v>
      </c>
      <c r="D255" t="s">
        <v>178</v>
      </c>
      <c r="E255" t="s">
        <v>315</v>
      </c>
    </row>
    <row r="256" spans="1:5" x14ac:dyDescent="0.25">
      <c r="B256" t="s">
        <v>888</v>
      </c>
      <c r="C256" t="s">
        <v>331</v>
      </c>
      <c r="D256" t="s">
        <v>178</v>
      </c>
      <c r="E256" t="s">
        <v>347</v>
      </c>
    </row>
    <row r="257" spans="2:5" x14ac:dyDescent="0.25">
      <c r="B257" t="s">
        <v>888</v>
      </c>
      <c r="C257" t="s">
        <v>331</v>
      </c>
      <c r="D257" t="s">
        <v>178</v>
      </c>
      <c r="E257" t="s">
        <v>278</v>
      </c>
    </row>
    <row r="258" spans="2:5" x14ac:dyDescent="0.25">
      <c r="B258" t="s">
        <v>181</v>
      </c>
      <c r="C258" t="s">
        <v>367</v>
      </c>
      <c r="D258" t="s">
        <v>31</v>
      </c>
      <c r="E258" t="s">
        <v>388</v>
      </c>
    </row>
    <row r="259" spans="2:5" ht="15.75" thickBot="1" x14ac:dyDescent="0.3">
      <c r="B259" s="44" t="s">
        <v>989</v>
      </c>
      <c r="C259" s="44" t="s">
        <v>578</v>
      </c>
      <c r="D259" s="44" t="s">
        <v>153</v>
      </c>
      <c r="E259" s="44" t="s">
        <v>369</v>
      </c>
    </row>
    <row r="260" spans="2:5" x14ac:dyDescent="0.25">
      <c r="B260" t="s">
        <v>990</v>
      </c>
      <c r="C260" t="s">
        <v>528</v>
      </c>
      <c r="D260" t="s">
        <v>27</v>
      </c>
      <c r="E260" t="s">
        <v>276</v>
      </c>
    </row>
    <row r="261" spans="2:5" x14ac:dyDescent="0.25">
      <c r="B261" t="s">
        <v>991</v>
      </c>
      <c r="C261" t="s">
        <v>536</v>
      </c>
      <c r="D261" t="s">
        <v>31</v>
      </c>
      <c r="E261" t="s">
        <v>286</v>
      </c>
    </row>
    <row r="262" spans="2:5" x14ac:dyDescent="0.25">
      <c r="B262" t="s">
        <v>889</v>
      </c>
      <c r="C262" t="s">
        <v>331</v>
      </c>
      <c r="D262" t="s">
        <v>31</v>
      </c>
      <c r="E262" t="s">
        <v>295</v>
      </c>
    </row>
    <row r="263" spans="2:5" x14ac:dyDescent="0.25">
      <c r="B263" t="s">
        <v>889</v>
      </c>
      <c r="C263" t="s">
        <v>331</v>
      </c>
      <c r="D263" t="s">
        <v>31</v>
      </c>
      <c r="E263" t="s">
        <v>742</v>
      </c>
    </row>
    <row r="264" spans="2:5" x14ac:dyDescent="0.25">
      <c r="B264" t="s">
        <v>883</v>
      </c>
      <c r="C264" t="s">
        <v>367</v>
      </c>
      <c r="D264" t="s">
        <v>799</v>
      </c>
      <c r="E264" t="s">
        <v>770</v>
      </c>
    </row>
    <row r="265" spans="2:5" x14ac:dyDescent="0.25">
      <c r="B265" t="s">
        <v>889</v>
      </c>
      <c r="C265" t="s">
        <v>331</v>
      </c>
      <c r="D265" t="s">
        <v>31</v>
      </c>
      <c r="E265" t="s">
        <v>796</v>
      </c>
    </row>
    <row r="266" spans="2:5" x14ac:dyDescent="0.25">
      <c r="B266" t="s">
        <v>889</v>
      </c>
      <c r="C266" t="s">
        <v>331</v>
      </c>
      <c r="D266" t="s">
        <v>31</v>
      </c>
      <c r="E266" t="s">
        <v>800</v>
      </c>
    </row>
    <row r="267" spans="2:5" x14ac:dyDescent="0.25">
      <c r="B267" t="s">
        <v>992</v>
      </c>
      <c r="C267" t="s">
        <v>614</v>
      </c>
      <c r="D267" t="s">
        <v>31</v>
      </c>
      <c r="E267" t="s">
        <v>829</v>
      </c>
    </row>
    <row r="268" spans="2:5" x14ac:dyDescent="0.25">
      <c r="B268" t="s">
        <v>993</v>
      </c>
      <c r="C268" t="s">
        <v>578</v>
      </c>
      <c r="D268" t="s">
        <v>31</v>
      </c>
      <c r="E268" t="s">
        <v>845</v>
      </c>
    </row>
    <row r="269" spans="2:5" x14ac:dyDescent="0.25">
      <c r="B269" t="s">
        <v>994</v>
      </c>
      <c r="C269" t="s">
        <v>536</v>
      </c>
      <c r="D269" t="s">
        <v>50</v>
      </c>
      <c r="E269" t="s">
        <v>860</v>
      </c>
    </row>
    <row r="270" spans="2:5" x14ac:dyDescent="0.25">
      <c r="B270" t="s">
        <v>890</v>
      </c>
      <c r="C270" t="s">
        <v>331</v>
      </c>
      <c r="D270" t="s">
        <v>159</v>
      </c>
      <c r="E270" t="s">
        <v>1013</v>
      </c>
    </row>
    <row r="271" spans="2:5" x14ac:dyDescent="0.25">
      <c r="B271" t="s">
        <v>1179</v>
      </c>
      <c r="C271" t="s">
        <v>525</v>
      </c>
      <c r="D271" t="s">
        <v>799</v>
      </c>
      <c r="E271" t="s">
        <v>1180</v>
      </c>
    </row>
    <row r="272" spans="2:5" x14ac:dyDescent="0.25">
      <c r="B272" t="s">
        <v>1205</v>
      </c>
      <c r="C272" t="s">
        <v>578</v>
      </c>
      <c r="D272" t="s">
        <v>184</v>
      </c>
      <c r="E272" t="s">
        <v>1210</v>
      </c>
    </row>
    <row r="273" spans="2:8" ht="15.75" thickBot="1" x14ac:dyDescent="0.3">
      <c r="B273" s="44" t="s">
        <v>1206</v>
      </c>
      <c r="C273" s="44" t="s">
        <v>367</v>
      </c>
      <c r="D273" s="44" t="s">
        <v>159</v>
      </c>
      <c r="E273" s="44" t="s">
        <v>1240</v>
      </c>
    </row>
    <row r="274" spans="2:8" x14ac:dyDescent="0.25">
      <c r="B274" s="104" t="s">
        <v>883</v>
      </c>
      <c r="C274" s="104" t="s">
        <v>367</v>
      </c>
      <c r="D274" s="104" t="s">
        <v>799</v>
      </c>
      <c r="E274" s="104" t="s">
        <v>1271</v>
      </c>
    </row>
    <row r="275" spans="2:8" x14ac:dyDescent="0.25">
      <c r="B275" s="104" t="s">
        <v>1269</v>
      </c>
      <c r="C275" s="94" t="s">
        <v>331</v>
      </c>
      <c r="D275" s="94" t="s">
        <v>1270</v>
      </c>
      <c r="E275" s="142" t="s">
        <v>1284</v>
      </c>
      <c r="F275" s="94"/>
      <c r="G275" s="94"/>
      <c r="H275" s="94"/>
    </row>
    <row r="276" spans="2:8" x14ac:dyDescent="0.25">
      <c r="B276" s="104" t="s">
        <v>1348</v>
      </c>
      <c r="C276" s="104" t="s">
        <v>468</v>
      </c>
      <c r="D276" s="104" t="s">
        <v>25</v>
      </c>
      <c r="E276" s="160" t="s">
        <v>1323</v>
      </c>
    </row>
    <row r="277" spans="2:8" x14ac:dyDescent="0.25">
      <c r="B277" s="104" t="s">
        <v>908</v>
      </c>
      <c r="C277" s="104" t="s">
        <v>367</v>
      </c>
      <c r="D277" s="104" t="s">
        <v>37</v>
      </c>
      <c r="E277" s="160" t="s">
        <v>1349</v>
      </c>
    </row>
    <row r="278" spans="2:8" x14ac:dyDescent="0.25">
      <c r="B278" s="104" t="s">
        <v>1156</v>
      </c>
      <c r="C278" s="104" t="s">
        <v>331</v>
      </c>
      <c r="D278" s="104" t="s">
        <v>130</v>
      </c>
      <c r="E278" t="s">
        <v>1415</v>
      </c>
    </row>
    <row r="279" spans="2:8" x14ac:dyDescent="0.25">
      <c r="B279" s="104" t="s">
        <v>1254</v>
      </c>
      <c r="C279" s="104" t="s">
        <v>331</v>
      </c>
      <c r="D279" s="104" t="s">
        <v>37</v>
      </c>
      <c r="E279" s="104" t="s">
        <v>1436</v>
      </c>
    </row>
    <row r="280" spans="2:8" x14ac:dyDescent="0.25">
      <c r="B280" s="104" t="s">
        <v>908</v>
      </c>
      <c r="C280" s="104" t="s">
        <v>367</v>
      </c>
      <c r="D280" s="104" t="s">
        <v>37</v>
      </c>
      <c r="E280" s="104" t="s">
        <v>1442</v>
      </c>
    </row>
    <row r="281" spans="2:8" x14ac:dyDescent="0.25">
      <c r="B281" s="104" t="s">
        <v>1457</v>
      </c>
      <c r="C281" s="104" t="s">
        <v>331</v>
      </c>
      <c r="D281" s="104" t="s">
        <v>178</v>
      </c>
      <c r="E281" t="s">
        <v>1443</v>
      </c>
    </row>
    <row r="282" spans="2:8" x14ac:dyDescent="0.25">
      <c r="B282" s="104" t="s">
        <v>1457</v>
      </c>
      <c r="C282" s="104" t="s">
        <v>331</v>
      </c>
      <c r="D282" s="104" t="s">
        <v>178</v>
      </c>
      <c r="E282" t="s">
        <v>1467</v>
      </c>
    </row>
    <row r="283" spans="2:8" x14ac:dyDescent="0.25">
      <c r="B283" s="104" t="s">
        <v>1457</v>
      </c>
      <c r="C283" s="104" t="s">
        <v>331</v>
      </c>
      <c r="D283" s="104" t="s">
        <v>178</v>
      </c>
      <c r="E283" t="s">
        <v>1467</v>
      </c>
    </row>
    <row r="284" spans="2:8" x14ac:dyDescent="0.25">
      <c r="B284" s="104" t="s">
        <v>1457</v>
      </c>
      <c r="C284" s="104" t="s">
        <v>331</v>
      </c>
      <c r="D284" s="104" t="s">
        <v>178</v>
      </c>
      <c r="E284" t="s">
        <v>1468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040AD-D5BC-405E-BC00-63EF579D36E5}">
  <dimension ref="B2:AF42"/>
  <sheetViews>
    <sheetView topLeftCell="A24" workbookViewId="0">
      <selection activeCell="AG42" sqref="AG42"/>
    </sheetView>
  </sheetViews>
  <sheetFormatPr baseColWidth="10" defaultRowHeight="15" x14ac:dyDescent="0.25"/>
  <cols>
    <col min="3" max="3" width="15.28515625" bestFit="1" customWidth="1"/>
    <col min="4" max="4" width="18.7109375" bestFit="1" customWidth="1"/>
    <col min="5" max="5" width="18.42578125" bestFit="1" customWidth="1"/>
    <col min="6" max="6" width="16.28515625" bestFit="1" customWidth="1"/>
    <col min="7" max="7" width="22.7109375" bestFit="1" customWidth="1"/>
    <col min="8" max="8" width="20.140625" bestFit="1" customWidth="1"/>
    <col min="9" max="10" width="17.7109375" bestFit="1" customWidth="1"/>
    <col min="11" max="11" width="12.7109375" bestFit="1" customWidth="1"/>
    <col min="12" max="12" width="15.5703125" bestFit="1" customWidth="1"/>
    <col min="13" max="13" width="13" bestFit="1" customWidth="1"/>
    <col min="14" max="14" width="16.85546875" bestFit="1" customWidth="1"/>
    <col min="15" max="15" width="11" bestFit="1" customWidth="1"/>
    <col min="16" max="16" width="13.140625" bestFit="1" customWidth="1"/>
    <col min="17" max="17" width="14.5703125" bestFit="1" customWidth="1"/>
    <col min="19" max="19" width="16.140625" bestFit="1" customWidth="1"/>
    <col min="20" max="20" width="17.7109375" bestFit="1" customWidth="1"/>
    <col min="21" max="21" width="22.5703125" bestFit="1" customWidth="1"/>
    <col min="22" max="22" width="13.42578125" bestFit="1" customWidth="1"/>
    <col min="23" max="23" width="21.85546875" bestFit="1" customWidth="1"/>
    <col min="24" max="24" width="14.7109375" bestFit="1" customWidth="1"/>
    <col min="25" max="25" width="14.42578125" bestFit="1" customWidth="1"/>
    <col min="26" max="26" width="25.28515625" bestFit="1" customWidth="1"/>
    <col min="27" max="27" width="22.5703125" bestFit="1" customWidth="1"/>
    <col min="28" max="29" width="19.7109375" bestFit="1" customWidth="1"/>
    <col min="30" max="30" width="25.28515625" bestFit="1" customWidth="1"/>
    <col min="31" max="31" width="17.7109375" bestFit="1" customWidth="1"/>
    <col min="32" max="32" width="19.140625" bestFit="1" customWidth="1"/>
  </cols>
  <sheetData>
    <row r="2" spans="2:32" x14ac:dyDescent="0.25">
      <c r="C2" s="27" t="s">
        <v>1016</v>
      </c>
      <c r="D2" s="27" t="s">
        <v>1017</v>
      </c>
      <c r="E2" s="27" t="s">
        <v>1018</v>
      </c>
      <c r="F2" s="27" t="s">
        <v>1019</v>
      </c>
      <c r="G2" s="27" t="s">
        <v>1020</v>
      </c>
      <c r="H2" s="27" t="s">
        <v>1021</v>
      </c>
      <c r="I2" s="27" t="s">
        <v>1022</v>
      </c>
      <c r="J2" s="27" t="s">
        <v>1023</v>
      </c>
      <c r="K2" s="27" t="s">
        <v>15</v>
      </c>
      <c r="L2" s="27" t="s">
        <v>1024</v>
      </c>
      <c r="M2" s="27" t="s">
        <v>1025</v>
      </c>
      <c r="N2" s="27" t="s">
        <v>1026</v>
      </c>
      <c r="O2" s="27" t="s">
        <v>1027</v>
      </c>
      <c r="P2" s="27" t="s">
        <v>1028</v>
      </c>
      <c r="Q2" s="27" t="s">
        <v>1029</v>
      </c>
      <c r="R2" s="27" t="s">
        <v>1030</v>
      </c>
      <c r="S2" s="27" t="s">
        <v>1031</v>
      </c>
      <c r="T2" s="27" t="s">
        <v>1032</v>
      </c>
      <c r="U2" s="27" t="s">
        <v>1033</v>
      </c>
      <c r="V2" s="27" t="s">
        <v>1034</v>
      </c>
      <c r="W2" s="27" t="s">
        <v>1035</v>
      </c>
      <c r="X2" s="27" t="s">
        <v>1036</v>
      </c>
      <c r="Y2" s="27" t="s">
        <v>1037</v>
      </c>
      <c r="Z2" s="27" t="s">
        <v>1038</v>
      </c>
      <c r="AA2" s="27" t="s">
        <v>18</v>
      </c>
      <c r="AB2" s="27" t="s">
        <v>17</v>
      </c>
      <c r="AC2" s="27" t="s">
        <v>16</v>
      </c>
      <c r="AD2" s="27" t="s">
        <v>21</v>
      </c>
      <c r="AE2" s="27" t="s">
        <v>20</v>
      </c>
      <c r="AF2" s="27" t="s">
        <v>19</v>
      </c>
    </row>
    <row r="3" spans="2:32" x14ac:dyDescent="0.25">
      <c r="B3">
        <f t="shared" ref="B3:B25" si="0">B2+1</f>
        <v>1</v>
      </c>
      <c r="C3" s="96" t="s">
        <v>1039</v>
      </c>
      <c r="D3" s="35" t="s">
        <v>515</v>
      </c>
      <c r="E3" s="96" t="s">
        <v>1040</v>
      </c>
      <c r="F3" s="96" t="s">
        <v>1041</v>
      </c>
      <c r="G3" s="35" t="s">
        <v>396</v>
      </c>
      <c r="H3" s="96" t="s">
        <v>1042</v>
      </c>
      <c r="I3" s="96" t="s">
        <v>1043</v>
      </c>
      <c r="J3" s="96" t="s">
        <v>620</v>
      </c>
      <c r="K3" s="97" t="s">
        <v>331</v>
      </c>
      <c r="L3" s="96" t="s">
        <v>308</v>
      </c>
      <c r="M3" s="29" t="s">
        <v>574</v>
      </c>
      <c r="N3" s="96" t="s">
        <v>714</v>
      </c>
      <c r="O3" s="96" t="s">
        <v>1044</v>
      </c>
      <c r="P3" s="96" t="s">
        <v>1045</v>
      </c>
      <c r="Q3" s="96" t="s">
        <v>1046</v>
      </c>
      <c r="R3" s="96" t="s">
        <v>685</v>
      </c>
      <c r="S3" s="96" t="s">
        <v>1047</v>
      </c>
      <c r="T3" s="96" t="s">
        <v>1048</v>
      </c>
      <c r="U3" s="96" t="s">
        <v>1049</v>
      </c>
      <c r="V3" s="96" t="s">
        <v>1050</v>
      </c>
      <c r="W3" s="96" t="s">
        <v>1051</v>
      </c>
      <c r="X3" s="29" t="s">
        <v>399</v>
      </c>
      <c r="Y3" s="96" t="s">
        <v>571</v>
      </c>
      <c r="Z3" s="96" t="s">
        <v>1052</v>
      </c>
      <c r="AA3" s="96"/>
      <c r="AB3" s="96" t="s">
        <v>331</v>
      </c>
      <c r="AC3" s="96" t="s">
        <v>308</v>
      </c>
      <c r="AD3" s="98"/>
      <c r="AE3" s="7"/>
      <c r="AF3" s="35"/>
    </row>
    <row r="4" spans="2:32" x14ac:dyDescent="0.25">
      <c r="B4">
        <f t="shared" si="0"/>
        <v>2</v>
      </c>
      <c r="C4" s="96" t="s">
        <v>1053</v>
      </c>
      <c r="D4" s="35" t="s">
        <v>1054</v>
      </c>
      <c r="E4" s="96" t="s">
        <v>1055</v>
      </c>
      <c r="F4" s="96" t="s">
        <v>1041</v>
      </c>
      <c r="G4" s="35" t="s">
        <v>387</v>
      </c>
      <c r="H4" s="96" t="s">
        <v>1056</v>
      </c>
      <c r="I4" s="96" t="s">
        <v>1057</v>
      </c>
      <c r="J4" s="96" t="s">
        <v>1058</v>
      </c>
      <c r="K4" s="97" t="s">
        <v>367</v>
      </c>
      <c r="L4" s="96" t="s">
        <v>610</v>
      </c>
      <c r="M4" s="29" t="s">
        <v>459</v>
      </c>
      <c r="N4" s="96" t="s">
        <v>812</v>
      </c>
      <c r="O4" s="96" t="s">
        <v>1044</v>
      </c>
      <c r="P4" s="96" t="s">
        <v>1059</v>
      </c>
      <c r="Q4" s="96" t="s">
        <v>1060</v>
      </c>
      <c r="R4" s="96" t="s">
        <v>550</v>
      </c>
      <c r="S4" s="96" t="s">
        <v>1061</v>
      </c>
      <c r="T4" s="96" t="s">
        <v>554</v>
      </c>
      <c r="U4" s="96" t="s">
        <v>1049</v>
      </c>
      <c r="V4" s="96" t="s">
        <v>1062</v>
      </c>
      <c r="W4" s="96" t="s">
        <v>1051</v>
      </c>
      <c r="X4" s="29" t="s">
        <v>377</v>
      </c>
      <c r="Y4" s="96" t="s">
        <v>1063</v>
      </c>
      <c r="Z4" s="96" t="s">
        <v>1064</v>
      </c>
      <c r="AA4" s="96" t="s">
        <v>331</v>
      </c>
      <c r="AB4" s="96" t="s">
        <v>308</v>
      </c>
      <c r="AC4" s="96" t="s">
        <v>331</v>
      </c>
      <c r="AD4" s="98" t="s">
        <v>925</v>
      </c>
      <c r="AE4" s="7" t="s">
        <v>331</v>
      </c>
      <c r="AF4" s="35" t="s">
        <v>459</v>
      </c>
    </row>
    <row r="5" spans="2:32" x14ac:dyDescent="0.25">
      <c r="B5">
        <f t="shared" si="0"/>
        <v>3</v>
      </c>
      <c r="C5" s="96" t="s">
        <v>1053</v>
      </c>
      <c r="D5" s="35" t="s">
        <v>515</v>
      </c>
      <c r="E5" s="96" t="s">
        <v>1065</v>
      </c>
      <c r="F5" s="96" t="s">
        <v>1041</v>
      </c>
      <c r="G5" s="35" t="s">
        <v>435</v>
      </c>
      <c r="H5" s="96" t="s">
        <v>1042</v>
      </c>
      <c r="I5" s="96" t="s">
        <v>1066</v>
      </c>
      <c r="J5" s="96" t="s">
        <v>1067</v>
      </c>
      <c r="K5" s="97" t="s">
        <v>331</v>
      </c>
      <c r="L5" s="96" t="s">
        <v>486</v>
      </c>
      <c r="M5" s="29" t="s">
        <v>459</v>
      </c>
      <c r="N5" s="96" t="s">
        <v>664</v>
      </c>
      <c r="O5" s="96" t="s">
        <v>1044</v>
      </c>
      <c r="P5" s="96" t="s">
        <v>1045</v>
      </c>
      <c r="Q5" s="96" t="s">
        <v>1060</v>
      </c>
      <c r="R5" s="96" t="s">
        <v>685</v>
      </c>
      <c r="S5" s="96" t="s">
        <v>1061</v>
      </c>
      <c r="T5" s="96" t="s">
        <v>554</v>
      </c>
      <c r="U5" s="96" t="s">
        <v>1049</v>
      </c>
      <c r="V5" s="96" t="s">
        <v>1050</v>
      </c>
      <c r="W5" s="96" t="s">
        <v>1051</v>
      </c>
      <c r="X5" s="29" t="s">
        <v>377</v>
      </c>
      <c r="Y5" s="96" t="s">
        <v>1068</v>
      </c>
      <c r="Z5" s="96" t="s">
        <v>1069</v>
      </c>
      <c r="AA5" s="96" t="s">
        <v>367</v>
      </c>
      <c r="AB5" s="96" t="s">
        <v>367</v>
      </c>
      <c r="AC5" s="96" t="s">
        <v>464</v>
      </c>
      <c r="AD5" s="98" t="s">
        <v>578</v>
      </c>
      <c r="AE5" s="7" t="s">
        <v>331</v>
      </c>
      <c r="AF5" s="35" t="s">
        <v>331</v>
      </c>
    </row>
    <row r="6" spans="2:32" x14ac:dyDescent="0.25">
      <c r="B6">
        <f t="shared" si="0"/>
        <v>4</v>
      </c>
      <c r="C6" s="96" t="s">
        <v>1039</v>
      </c>
      <c r="D6" s="35" t="s">
        <v>515</v>
      </c>
      <c r="E6" s="96" t="s">
        <v>1070</v>
      </c>
      <c r="F6" s="96" t="s">
        <v>1041</v>
      </c>
      <c r="G6" s="35" t="s">
        <v>387</v>
      </c>
      <c r="H6" s="96" t="s">
        <v>1071</v>
      </c>
      <c r="I6" s="96" t="s">
        <v>1057</v>
      </c>
      <c r="J6" s="96" t="s">
        <v>1072</v>
      </c>
      <c r="K6" s="97" t="s">
        <v>331</v>
      </c>
      <c r="L6" s="96" t="s">
        <v>552</v>
      </c>
      <c r="M6" s="29" t="s">
        <v>417</v>
      </c>
      <c r="N6" s="96" t="s">
        <v>1073</v>
      </c>
      <c r="O6" s="96" t="s">
        <v>1044</v>
      </c>
      <c r="P6" s="96" t="s">
        <v>1059</v>
      </c>
      <c r="Q6" s="96" t="s">
        <v>1060</v>
      </c>
      <c r="R6" s="96" t="s">
        <v>550</v>
      </c>
      <c r="S6" s="96" t="s">
        <v>1047</v>
      </c>
      <c r="T6" s="96" t="s">
        <v>554</v>
      </c>
      <c r="U6" s="96" t="s">
        <v>1049</v>
      </c>
      <c r="V6" s="96" t="s">
        <v>1062</v>
      </c>
      <c r="W6" s="96" t="s">
        <v>1051</v>
      </c>
      <c r="X6" s="29" t="s">
        <v>399</v>
      </c>
      <c r="Y6" s="96" t="s">
        <v>1074</v>
      </c>
      <c r="Z6" s="96" t="s">
        <v>1064</v>
      </c>
      <c r="AA6" s="96" t="s">
        <v>331</v>
      </c>
      <c r="AB6" s="96" t="s">
        <v>536</v>
      </c>
      <c r="AC6" s="96" t="s">
        <v>331</v>
      </c>
      <c r="AD6" s="98" t="s">
        <v>380</v>
      </c>
      <c r="AE6" s="7" t="s">
        <v>331</v>
      </c>
      <c r="AF6" s="35" t="s">
        <v>331</v>
      </c>
    </row>
    <row r="7" spans="2:32" x14ac:dyDescent="0.25">
      <c r="B7">
        <f t="shared" si="0"/>
        <v>5</v>
      </c>
      <c r="C7" s="96" t="s">
        <v>1039</v>
      </c>
      <c r="D7" s="35" t="s">
        <v>901</v>
      </c>
      <c r="E7" s="96" t="s">
        <v>596</v>
      </c>
      <c r="F7" s="96" t="s">
        <v>1075</v>
      </c>
      <c r="G7" s="35" t="s">
        <v>387</v>
      </c>
      <c r="H7" s="96" t="s">
        <v>1076</v>
      </c>
      <c r="I7" s="96" t="s">
        <v>1077</v>
      </c>
      <c r="J7" s="96" t="s">
        <v>1078</v>
      </c>
      <c r="K7" s="97" t="s">
        <v>331</v>
      </c>
      <c r="L7" s="96" t="s">
        <v>705</v>
      </c>
      <c r="M7" s="29" t="s">
        <v>459</v>
      </c>
      <c r="N7" s="96" t="s">
        <v>744</v>
      </c>
      <c r="O7" s="96" t="s">
        <v>1044</v>
      </c>
      <c r="P7" s="96" t="s">
        <v>1059</v>
      </c>
      <c r="Q7" s="96" t="s">
        <v>1060</v>
      </c>
      <c r="R7" s="96" t="s">
        <v>685</v>
      </c>
      <c r="S7" s="96" t="s">
        <v>1061</v>
      </c>
      <c r="T7" s="96" t="s">
        <v>1048</v>
      </c>
      <c r="U7" s="96" t="s">
        <v>1049</v>
      </c>
      <c r="V7" s="96" t="s">
        <v>1062</v>
      </c>
      <c r="W7" s="96" t="s">
        <v>1051</v>
      </c>
      <c r="X7" s="29" t="s">
        <v>377</v>
      </c>
      <c r="Y7" s="96" t="s">
        <v>1079</v>
      </c>
      <c r="Z7" s="96" t="s">
        <v>1064</v>
      </c>
      <c r="AA7" s="96" t="s">
        <v>331</v>
      </c>
      <c r="AB7" s="96" t="s">
        <v>331</v>
      </c>
      <c r="AC7" s="96" t="s">
        <v>331</v>
      </c>
      <c r="AD7" s="98" t="s">
        <v>380</v>
      </c>
      <c r="AE7" s="7" t="s">
        <v>308</v>
      </c>
      <c r="AF7" s="35" t="s">
        <v>331</v>
      </c>
    </row>
    <row r="8" spans="2:32" x14ac:dyDescent="0.25">
      <c r="B8">
        <f t="shared" si="0"/>
        <v>6</v>
      </c>
      <c r="C8" s="96" t="s">
        <v>1039</v>
      </c>
      <c r="D8" s="35" t="s">
        <v>515</v>
      </c>
      <c r="E8" s="96" t="s">
        <v>1080</v>
      </c>
      <c r="F8" s="96" t="s">
        <v>1041</v>
      </c>
      <c r="G8" s="35" t="s">
        <v>387</v>
      </c>
      <c r="H8" s="96" t="s">
        <v>670</v>
      </c>
      <c r="I8" s="96" t="s">
        <v>1081</v>
      </c>
      <c r="J8" s="96" t="s">
        <v>1058</v>
      </c>
      <c r="K8" s="97" t="s">
        <v>331</v>
      </c>
      <c r="L8" s="96" t="s">
        <v>569</v>
      </c>
      <c r="M8" s="29" t="s">
        <v>574</v>
      </c>
      <c r="N8" s="96" t="s">
        <v>681</v>
      </c>
      <c r="O8" s="96" t="s">
        <v>509</v>
      </c>
      <c r="P8" s="96" t="s">
        <v>1059</v>
      </c>
      <c r="Q8" s="96" t="s">
        <v>1046</v>
      </c>
      <c r="R8" s="96" t="s">
        <v>685</v>
      </c>
      <c r="S8" s="96" t="s">
        <v>1082</v>
      </c>
      <c r="T8" s="96" t="s">
        <v>1048</v>
      </c>
      <c r="U8" s="96" t="s">
        <v>1049</v>
      </c>
      <c r="V8" s="96" t="s">
        <v>1050</v>
      </c>
      <c r="W8" s="96" t="s">
        <v>1051</v>
      </c>
      <c r="X8" s="29" t="s">
        <v>377</v>
      </c>
      <c r="Y8" s="96" t="s">
        <v>1083</v>
      </c>
      <c r="Z8" s="96" t="s">
        <v>1064</v>
      </c>
      <c r="AA8" s="96" t="s">
        <v>331</v>
      </c>
      <c r="AB8" s="96" t="s">
        <v>331</v>
      </c>
      <c r="AC8" s="96" t="s">
        <v>331</v>
      </c>
      <c r="AD8" s="98" t="s">
        <v>377</v>
      </c>
      <c r="AE8" s="7" t="s">
        <v>331</v>
      </c>
      <c r="AF8" s="35" t="s">
        <v>308</v>
      </c>
    </row>
    <row r="9" spans="2:32" x14ac:dyDescent="0.25">
      <c r="B9">
        <f t="shared" si="0"/>
        <v>7</v>
      </c>
      <c r="C9" s="96" t="s">
        <v>1039</v>
      </c>
      <c r="D9" s="35" t="s">
        <v>1054</v>
      </c>
      <c r="E9" s="96" t="s">
        <v>596</v>
      </c>
      <c r="F9" s="96" t="s">
        <v>1084</v>
      </c>
      <c r="G9" s="35" t="s">
        <v>435</v>
      </c>
      <c r="H9" s="96" t="s">
        <v>1085</v>
      </c>
      <c r="I9" s="96" t="s">
        <v>1086</v>
      </c>
      <c r="J9" s="96" t="s">
        <v>1087</v>
      </c>
      <c r="K9" s="97" t="s">
        <v>331</v>
      </c>
      <c r="L9" s="96" t="s">
        <v>610</v>
      </c>
      <c r="M9" s="29" t="s">
        <v>459</v>
      </c>
      <c r="N9" s="96" t="s">
        <v>744</v>
      </c>
      <c r="O9" s="96" t="s">
        <v>1088</v>
      </c>
      <c r="P9" s="96" t="s">
        <v>1059</v>
      </c>
      <c r="Q9" s="96" t="s">
        <v>1060</v>
      </c>
      <c r="R9" s="96" t="s">
        <v>685</v>
      </c>
      <c r="S9" s="96" t="s">
        <v>1089</v>
      </c>
      <c r="T9" s="96" t="s">
        <v>1048</v>
      </c>
      <c r="U9" s="96" t="s">
        <v>1049</v>
      </c>
      <c r="V9" s="96" t="s">
        <v>1050</v>
      </c>
      <c r="W9" s="96" t="s">
        <v>1051</v>
      </c>
      <c r="X9" s="29" t="s">
        <v>399</v>
      </c>
      <c r="Y9" s="96" t="s">
        <v>1090</v>
      </c>
      <c r="Z9" s="96" t="s">
        <v>1064</v>
      </c>
      <c r="AA9" s="96" t="s">
        <v>308</v>
      </c>
      <c r="AB9" s="96" t="s">
        <v>468</v>
      </c>
      <c r="AC9" s="96" t="s">
        <v>331</v>
      </c>
      <c r="AD9" s="98" t="s">
        <v>421</v>
      </c>
      <c r="AE9" s="7" t="s">
        <v>331</v>
      </c>
      <c r="AF9" s="35" t="s">
        <v>331</v>
      </c>
    </row>
    <row r="10" spans="2:32" x14ac:dyDescent="0.25">
      <c r="B10">
        <f t="shared" si="0"/>
        <v>8</v>
      </c>
      <c r="C10" s="96" t="s">
        <v>1039</v>
      </c>
      <c r="D10" s="35" t="s">
        <v>515</v>
      </c>
      <c r="E10" s="96" t="s">
        <v>1091</v>
      </c>
      <c r="F10" s="96" t="s">
        <v>1041</v>
      </c>
      <c r="G10" s="35" t="s">
        <v>435</v>
      </c>
      <c r="H10" s="96" t="s">
        <v>1076</v>
      </c>
      <c r="I10" s="96" t="s">
        <v>1092</v>
      </c>
      <c r="J10" s="96" t="s">
        <v>1093</v>
      </c>
      <c r="K10" s="97" t="s">
        <v>331</v>
      </c>
      <c r="L10" s="96" t="s">
        <v>606</v>
      </c>
      <c r="M10" s="29" t="s">
        <v>380</v>
      </c>
      <c r="N10" s="96" t="s">
        <v>1094</v>
      </c>
      <c r="O10" s="96" t="s">
        <v>509</v>
      </c>
      <c r="P10" s="96" t="s">
        <v>1095</v>
      </c>
      <c r="Q10" s="96" t="s">
        <v>1060</v>
      </c>
      <c r="R10" s="96" t="s">
        <v>583</v>
      </c>
      <c r="S10" s="96" t="s">
        <v>1061</v>
      </c>
      <c r="T10" s="96" t="s">
        <v>1048</v>
      </c>
      <c r="U10" s="96" t="s">
        <v>1049</v>
      </c>
      <c r="V10" s="96" t="s">
        <v>1050</v>
      </c>
      <c r="W10" s="96" t="s">
        <v>1051</v>
      </c>
      <c r="X10" s="29" t="s">
        <v>377</v>
      </c>
      <c r="Y10" s="96" t="s">
        <v>657</v>
      </c>
      <c r="Z10" s="96" t="s">
        <v>1064</v>
      </c>
      <c r="AA10" s="96" t="s">
        <v>331</v>
      </c>
      <c r="AB10" s="96" t="s">
        <v>331</v>
      </c>
      <c r="AC10" s="96" t="s">
        <v>331</v>
      </c>
      <c r="AD10" s="98" t="s">
        <v>399</v>
      </c>
      <c r="AE10" s="7" t="s">
        <v>331</v>
      </c>
      <c r="AF10" s="35" t="s">
        <v>331</v>
      </c>
    </row>
    <row r="11" spans="2:32" x14ac:dyDescent="0.25">
      <c r="B11">
        <f t="shared" si="0"/>
        <v>9</v>
      </c>
      <c r="C11" s="96" t="s">
        <v>1039</v>
      </c>
      <c r="D11" s="35" t="s">
        <v>1054</v>
      </c>
      <c r="E11" s="96" t="s">
        <v>1096</v>
      </c>
      <c r="F11" s="96" t="s">
        <v>1084</v>
      </c>
      <c r="G11" s="35" t="s">
        <v>435</v>
      </c>
      <c r="H11" s="96" t="s">
        <v>603</v>
      </c>
      <c r="I11" s="96" t="s">
        <v>613</v>
      </c>
      <c r="J11" s="96" t="s">
        <v>1087</v>
      </c>
      <c r="K11" s="97" t="s">
        <v>331</v>
      </c>
      <c r="L11" s="96" t="s">
        <v>1097</v>
      </c>
      <c r="M11" s="29" t="s">
        <v>459</v>
      </c>
      <c r="N11" s="96" t="s">
        <v>1098</v>
      </c>
      <c r="O11" s="96" t="s">
        <v>1044</v>
      </c>
      <c r="P11" s="96" t="s">
        <v>1059</v>
      </c>
      <c r="Q11" s="96" t="s">
        <v>1060</v>
      </c>
      <c r="R11" s="96" t="s">
        <v>550</v>
      </c>
      <c r="S11" s="96" t="s">
        <v>1099</v>
      </c>
      <c r="T11" s="96" t="s">
        <v>554</v>
      </c>
      <c r="U11" s="96" t="s">
        <v>1049</v>
      </c>
      <c r="V11" s="96" t="s">
        <v>1062</v>
      </c>
      <c r="W11" s="96" t="s">
        <v>1051</v>
      </c>
      <c r="X11" s="29" t="s">
        <v>947</v>
      </c>
      <c r="Y11" s="96" t="s">
        <v>1100</v>
      </c>
      <c r="Z11" s="96" t="s">
        <v>1064</v>
      </c>
      <c r="AA11" s="96" t="s">
        <v>331</v>
      </c>
      <c r="AB11" s="96" t="s">
        <v>331</v>
      </c>
      <c r="AC11" s="96" t="s">
        <v>331</v>
      </c>
      <c r="AD11" s="98" t="s">
        <v>408</v>
      </c>
      <c r="AE11" s="7" t="s">
        <v>331</v>
      </c>
      <c r="AF11" s="35" t="s">
        <v>331</v>
      </c>
    </row>
    <row r="12" spans="2:32" x14ac:dyDescent="0.25">
      <c r="B12">
        <f t="shared" si="0"/>
        <v>10</v>
      </c>
      <c r="C12" s="96" t="s">
        <v>1039</v>
      </c>
      <c r="D12" s="35" t="s">
        <v>515</v>
      </c>
      <c r="E12" s="96" t="s">
        <v>1055</v>
      </c>
      <c r="F12" s="96" t="s">
        <v>1041</v>
      </c>
      <c r="G12" s="35" t="s">
        <v>421</v>
      </c>
      <c r="H12" s="96" t="s">
        <v>1056</v>
      </c>
      <c r="I12" s="96" t="s">
        <v>1101</v>
      </c>
      <c r="J12" s="96" t="s">
        <v>1102</v>
      </c>
      <c r="K12" s="97" t="s">
        <v>331</v>
      </c>
      <c r="L12" s="96" t="s">
        <v>604</v>
      </c>
      <c r="M12" s="29" t="s">
        <v>574</v>
      </c>
      <c r="N12" s="96" t="s">
        <v>812</v>
      </c>
      <c r="O12" s="96" t="s">
        <v>509</v>
      </c>
      <c r="P12" s="96" t="s">
        <v>1059</v>
      </c>
      <c r="Q12" s="96" t="s">
        <v>1046</v>
      </c>
      <c r="R12" s="96" t="s">
        <v>685</v>
      </c>
      <c r="S12" s="96" t="s">
        <v>1103</v>
      </c>
      <c r="T12" s="96" t="s">
        <v>1104</v>
      </c>
      <c r="U12" s="96" t="s">
        <v>1049</v>
      </c>
      <c r="V12" s="96" t="s">
        <v>1062</v>
      </c>
      <c r="W12" s="96" t="s">
        <v>1051</v>
      </c>
      <c r="X12" s="29" t="s">
        <v>377</v>
      </c>
      <c r="Y12" s="96" t="s">
        <v>1105</v>
      </c>
      <c r="Z12" s="96" t="s">
        <v>1064</v>
      </c>
      <c r="AA12" s="96" t="s">
        <v>331</v>
      </c>
      <c r="AB12" s="96" t="s">
        <v>308</v>
      </c>
      <c r="AC12" s="96" t="s">
        <v>308</v>
      </c>
      <c r="AD12" s="98" t="s">
        <v>367</v>
      </c>
      <c r="AE12" s="7" t="s">
        <v>331</v>
      </c>
      <c r="AF12" s="35" t="s">
        <v>408</v>
      </c>
    </row>
    <row r="13" spans="2:32" x14ac:dyDescent="0.25">
      <c r="B13">
        <f t="shared" si="0"/>
        <v>11</v>
      </c>
      <c r="C13" s="96" t="s">
        <v>1039</v>
      </c>
      <c r="D13" s="35" t="s">
        <v>515</v>
      </c>
      <c r="E13" s="96" t="s">
        <v>1065</v>
      </c>
      <c r="F13" s="96" t="s">
        <v>1075</v>
      </c>
      <c r="G13" s="35" t="s">
        <v>396</v>
      </c>
      <c r="H13" s="96" t="s">
        <v>1042</v>
      </c>
      <c r="I13" s="96" t="s">
        <v>1081</v>
      </c>
      <c r="J13" s="96" t="s">
        <v>1072</v>
      </c>
      <c r="K13" s="97" t="s">
        <v>331</v>
      </c>
      <c r="L13" s="96" t="s">
        <v>623</v>
      </c>
      <c r="M13" s="29" t="s">
        <v>380</v>
      </c>
      <c r="N13" s="96" t="s">
        <v>1106</v>
      </c>
      <c r="O13" s="96" t="s">
        <v>1107</v>
      </c>
      <c r="P13" s="96" t="s">
        <v>1059</v>
      </c>
      <c r="Q13" s="96" t="s">
        <v>1046</v>
      </c>
      <c r="R13" s="96" t="s">
        <v>550</v>
      </c>
      <c r="S13" s="96" t="s">
        <v>1099</v>
      </c>
      <c r="T13" s="96" t="s">
        <v>554</v>
      </c>
      <c r="U13" s="96" t="s">
        <v>1049</v>
      </c>
      <c r="V13" s="96" t="s">
        <v>1062</v>
      </c>
      <c r="W13" s="96" t="s">
        <v>1108</v>
      </c>
      <c r="X13" s="29" t="s">
        <v>377</v>
      </c>
      <c r="Y13" s="96" t="s">
        <v>1109</v>
      </c>
      <c r="Z13" s="96" t="s">
        <v>1069</v>
      </c>
      <c r="AA13" s="96" t="s">
        <v>331</v>
      </c>
      <c r="AB13" s="96" t="s">
        <v>331</v>
      </c>
      <c r="AC13" s="96" t="s">
        <v>308</v>
      </c>
      <c r="AD13" s="98" t="s">
        <v>396</v>
      </c>
      <c r="AE13" s="7" t="s">
        <v>331</v>
      </c>
      <c r="AF13" s="35" t="s">
        <v>331</v>
      </c>
    </row>
    <row r="14" spans="2:32" x14ac:dyDescent="0.25">
      <c r="B14">
        <f t="shared" si="0"/>
        <v>12</v>
      </c>
      <c r="C14" s="96" t="s">
        <v>1039</v>
      </c>
      <c r="D14" s="35" t="s">
        <v>515</v>
      </c>
      <c r="E14" s="96" t="s">
        <v>1110</v>
      </c>
      <c r="F14" s="96" t="s">
        <v>1041</v>
      </c>
      <c r="G14" s="35" t="s">
        <v>435</v>
      </c>
      <c r="H14" s="96" t="s">
        <v>828</v>
      </c>
      <c r="I14" s="96" t="s">
        <v>1066</v>
      </c>
      <c r="J14" s="96" t="s">
        <v>1111</v>
      </c>
      <c r="K14" s="97" t="s">
        <v>331</v>
      </c>
      <c r="L14" s="96" t="s">
        <v>569</v>
      </c>
      <c r="M14" s="29" t="s">
        <v>574</v>
      </c>
      <c r="N14" s="96" t="s">
        <v>699</v>
      </c>
      <c r="O14" s="96" t="s">
        <v>1107</v>
      </c>
      <c r="P14" s="96" t="s">
        <v>1059</v>
      </c>
      <c r="Q14" s="96" t="s">
        <v>1046</v>
      </c>
      <c r="R14" s="96" t="s">
        <v>685</v>
      </c>
      <c r="S14" s="96" t="s">
        <v>1103</v>
      </c>
      <c r="T14" s="96" t="s">
        <v>554</v>
      </c>
      <c r="U14" s="96" t="s">
        <v>1049</v>
      </c>
      <c r="V14" s="96" t="s">
        <v>1050</v>
      </c>
      <c r="W14" s="96" t="s">
        <v>1051</v>
      </c>
      <c r="X14" s="29" t="s">
        <v>377</v>
      </c>
      <c r="Y14" s="96" t="s">
        <v>1105</v>
      </c>
      <c r="Z14" s="96" t="s">
        <v>1052</v>
      </c>
      <c r="AA14" s="96" t="s">
        <v>331</v>
      </c>
      <c r="AB14" s="96" t="s">
        <v>367</v>
      </c>
      <c r="AC14" s="96" t="s">
        <v>1112</v>
      </c>
      <c r="AD14" s="98" t="s">
        <v>405</v>
      </c>
      <c r="AE14" s="7" t="s">
        <v>331</v>
      </c>
      <c r="AF14" s="35" t="s">
        <v>396</v>
      </c>
    </row>
    <row r="15" spans="2:32" x14ac:dyDescent="0.25">
      <c r="B15">
        <f t="shared" si="0"/>
        <v>13</v>
      </c>
      <c r="C15" s="96" t="s">
        <v>1039</v>
      </c>
      <c r="D15" s="35" t="s">
        <v>515</v>
      </c>
      <c r="E15" s="96" t="s">
        <v>1055</v>
      </c>
      <c r="F15" s="96" t="s">
        <v>1041</v>
      </c>
      <c r="G15" s="35" t="s">
        <v>917</v>
      </c>
      <c r="H15" s="96" t="s">
        <v>1113</v>
      </c>
      <c r="I15" s="96" t="s">
        <v>1067</v>
      </c>
      <c r="J15" s="96" t="s">
        <v>1114</v>
      </c>
      <c r="K15" s="97" t="s">
        <v>331</v>
      </c>
      <c r="L15" s="96" t="s">
        <v>606</v>
      </c>
      <c r="M15" s="29" t="s">
        <v>574</v>
      </c>
      <c r="N15" s="96" t="s">
        <v>1073</v>
      </c>
      <c r="O15" s="96" t="s">
        <v>509</v>
      </c>
      <c r="P15" s="96" t="s">
        <v>1059</v>
      </c>
      <c r="Q15" s="96" t="s">
        <v>1115</v>
      </c>
      <c r="R15" s="96" t="s">
        <v>1116</v>
      </c>
      <c r="S15" s="96" t="s">
        <v>1061</v>
      </c>
      <c r="T15" s="96" t="s">
        <v>554</v>
      </c>
      <c r="U15" s="96" t="s">
        <v>1117</v>
      </c>
      <c r="V15" s="96" t="s">
        <v>1118</v>
      </c>
      <c r="W15" s="96" t="s">
        <v>1051</v>
      </c>
      <c r="X15" s="29" t="s">
        <v>493</v>
      </c>
      <c r="Y15" s="96" t="s">
        <v>1119</v>
      </c>
      <c r="Z15" s="96" t="s">
        <v>1052</v>
      </c>
      <c r="AA15" s="96" t="s">
        <v>331</v>
      </c>
      <c r="AB15" s="96" t="s">
        <v>331</v>
      </c>
      <c r="AC15" s="96" t="s">
        <v>331</v>
      </c>
      <c r="AD15" s="98" t="s">
        <v>350</v>
      </c>
      <c r="AE15" s="7" t="s">
        <v>331</v>
      </c>
      <c r="AF15" s="35" t="s">
        <v>331</v>
      </c>
    </row>
    <row r="16" spans="2:32" x14ac:dyDescent="0.25">
      <c r="B16">
        <f t="shared" si="0"/>
        <v>14</v>
      </c>
      <c r="C16" s="96" t="s">
        <v>1039</v>
      </c>
      <c r="D16" s="35" t="s">
        <v>901</v>
      </c>
      <c r="E16" s="96" t="s">
        <v>1120</v>
      </c>
      <c r="F16" s="96" t="s">
        <v>1041</v>
      </c>
      <c r="G16" s="35" t="s">
        <v>435</v>
      </c>
      <c r="H16" s="96" t="s">
        <v>1121</v>
      </c>
      <c r="I16" s="96" t="s">
        <v>1122</v>
      </c>
      <c r="J16" s="96" t="s">
        <v>1123</v>
      </c>
      <c r="K16" s="97" t="s">
        <v>331</v>
      </c>
      <c r="L16" s="96" t="s">
        <v>1124</v>
      </c>
      <c r="M16" s="29" t="s">
        <v>380</v>
      </c>
      <c r="N16" s="96" t="s">
        <v>1125</v>
      </c>
      <c r="O16" s="96" t="s">
        <v>509</v>
      </c>
      <c r="P16" s="96" t="s">
        <v>1126</v>
      </c>
      <c r="Q16" s="96" t="s">
        <v>1060</v>
      </c>
      <c r="R16" s="96" t="s">
        <v>685</v>
      </c>
      <c r="S16" s="96" t="s">
        <v>1061</v>
      </c>
      <c r="T16" s="96" t="s">
        <v>936</v>
      </c>
      <c r="U16" s="96" t="s">
        <v>1049</v>
      </c>
      <c r="V16" s="96" t="s">
        <v>1118</v>
      </c>
      <c r="W16" s="96" t="s">
        <v>1051</v>
      </c>
      <c r="X16" s="29" t="s">
        <v>377</v>
      </c>
      <c r="Y16" s="96" t="s">
        <v>1127</v>
      </c>
      <c r="Z16" s="96" t="s">
        <v>1052</v>
      </c>
      <c r="AA16" s="96" t="s">
        <v>308</v>
      </c>
      <c r="AB16" s="96" t="s">
        <v>331</v>
      </c>
      <c r="AC16" s="96" t="s">
        <v>331</v>
      </c>
      <c r="AD16" s="98" t="s">
        <v>405</v>
      </c>
      <c r="AE16" s="7" t="s">
        <v>331</v>
      </c>
      <c r="AF16" s="35" t="s">
        <v>331</v>
      </c>
    </row>
    <row r="17" spans="2:32" x14ac:dyDescent="0.25">
      <c r="B17">
        <f t="shared" si="0"/>
        <v>15</v>
      </c>
      <c r="C17" s="128" t="s">
        <v>1039</v>
      </c>
      <c r="D17" s="129" t="s">
        <v>515</v>
      </c>
      <c r="E17" s="128" t="s">
        <v>1128</v>
      </c>
      <c r="F17" s="128" t="s">
        <v>1075</v>
      </c>
      <c r="G17" s="129" t="s">
        <v>387</v>
      </c>
      <c r="H17" s="128" t="s">
        <v>1056</v>
      </c>
      <c r="I17" s="128" t="s">
        <v>1077</v>
      </c>
      <c r="J17" s="128" t="s">
        <v>1129</v>
      </c>
      <c r="K17" s="130" t="s">
        <v>331</v>
      </c>
      <c r="L17" s="128" t="s">
        <v>528</v>
      </c>
      <c r="M17" s="131" t="s">
        <v>809</v>
      </c>
      <c r="N17" s="128" t="s">
        <v>1106</v>
      </c>
      <c r="O17" s="128" t="s">
        <v>1044</v>
      </c>
      <c r="P17" s="128" t="s">
        <v>1126</v>
      </c>
      <c r="Q17" s="128" t="s">
        <v>1060</v>
      </c>
      <c r="R17" s="128" t="s">
        <v>1130</v>
      </c>
      <c r="S17" s="128" t="s">
        <v>1099</v>
      </c>
      <c r="T17" s="128" t="s">
        <v>1048</v>
      </c>
      <c r="U17" s="128" t="s">
        <v>1117</v>
      </c>
      <c r="V17" s="128" t="s">
        <v>1118</v>
      </c>
      <c r="W17" s="128" t="s">
        <v>1131</v>
      </c>
      <c r="X17" s="131" t="s">
        <v>377</v>
      </c>
      <c r="Y17" s="128" t="s">
        <v>1119</v>
      </c>
      <c r="Z17" s="128" t="s">
        <v>1064</v>
      </c>
      <c r="AA17" s="128" t="s">
        <v>331</v>
      </c>
      <c r="AB17" s="128" t="s">
        <v>578</v>
      </c>
      <c r="AC17" s="128" t="s">
        <v>331</v>
      </c>
      <c r="AD17" s="132" t="s">
        <v>459</v>
      </c>
      <c r="AE17" s="133" t="s">
        <v>331</v>
      </c>
      <c r="AF17" s="129" t="s">
        <v>331</v>
      </c>
    </row>
    <row r="18" spans="2:32" x14ac:dyDescent="0.25">
      <c r="B18">
        <f t="shared" si="0"/>
        <v>16</v>
      </c>
      <c r="C18" s="96" t="s">
        <v>1039</v>
      </c>
      <c r="D18" s="35" t="s">
        <v>515</v>
      </c>
      <c r="E18" s="96" t="s">
        <v>1128</v>
      </c>
      <c r="F18" s="96" t="s">
        <v>1041</v>
      </c>
      <c r="G18" s="35" t="s">
        <v>435</v>
      </c>
      <c r="H18" s="96" t="s">
        <v>1056</v>
      </c>
      <c r="I18" s="96" t="s">
        <v>1066</v>
      </c>
      <c r="J18" s="96" t="s">
        <v>620</v>
      </c>
      <c r="K18" s="97" t="s">
        <v>331</v>
      </c>
      <c r="L18" s="96" t="s">
        <v>516</v>
      </c>
      <c r="M18" s="29" t="s">
        <v>459</v>
      </c>
      <c r="N18" s="96" t="s">
        <v>714</v>
      </c>
      <c r="O18" s="96" t="s">
        <v>1044</v>
      </c>
      <c r="P18" s="96" t="s">
        <v>1045</v>
      </c>
      <c r="Q18" s="96" t="s">
        <v>1060</v>
      </c>
      <c r="R18" s="96" t="s">
        <v>550</v>
      </c>
      <c r="S18" s="96" t="s">
        <v>1061</v>
      </c>
      <c r="T18" s="96" t="s">
        <v>936</v>
      </c>
      <c r="U18" s="96" t="s">
        <v>1049</v>
      </c>
      <c r="V18" s="96" t="s">
        <v>1050</v>
      </c>
      <c r="W18" s="96" t="s">
        <v>1051</v>
      </c>
      <c r="X18" s="29" t="s">
        <v>399</v>
      </c>
      <c r="Y18" s="96" t="s">
        <v>1100</v>
      </c>
      <c r="Z18" s="96" t="s">
        <v>1069</v>
      </c>
      <c r="AA18" s="96"/>
      <c r="AB18" s="96" t="s">
        <v>331</v>
      </c>
      <c r="AC18" s="96" t="s">
        <v>578</v>
      </c>
      <c r="AD18" s="98" t="s">
        <v>408</v>
      </c>
      <c r="AE18" s="7" t="s">
        <v>331</v>
      </c>
      <c r="AF18" s="35"/>
    </row>
    <row r="19" spans="2:32" x14ac:dyDescent="0.25">
      <c r="B19">
        <f t="shared" si="0"/>
        <v>17</v>
      </c>
      <c r="C19" s="96" t="s">
        <v>1039</v>
      </c>
      <c r="D19" s="35" t="s">
        <v>1054</v>
      </c>
      <c r="E19" s="96" t="s">
        <v>596</v>
      </c>
      <c r="F19" s="96" t="s">
        <v>1041</v>
      </c>
      <c r="G19" s="35" t="s">
        <v>387</v>
      </c>
      <c r="H19" s="96" t="s">
        <v>1132</v>
      </c>
      <c r="I19" s="96" t="s">
        <v>1133</v>
      </c>
      <c r="J19" s="96" t="s">
        <v>1058</v>
      </c>
      <c r="K19" s="97" t="s">
        <v>331</v>
      </c>
      <c r="L19" s="96" t="s">
        <v>552</v>
      </c>
      <c r="M19" s="29" t="s">
        <v>574</v>
      </c>
      <c r="N19" s="96" t="s">
        <v>812</v>
      </c>
      <c r="O19" s="96" t="s">
        <v>1044</v>
      </c>
      <c r="P19" s="96" t="s">
        <v>1045</v>
      </c>
      <c r="Q19" s="96" t="s">
        <v>1060</v>
      </c>
      <c r="R19" s="96" t="s">
        <v>685</v>
      </c>
      <c r="S19" s="96" t="s">
        <v>1082</v>
      </c>
      <c r="T19" s="96" t="s">
        <v>936</v>
      </c>
      <c r="U19" s="96" t="s">
        <v>1049</v>
      </c>
      <c r="V19" s="96" t="s">
        <v>1134</v>
      </c>
      <c r="W19" s="96" t="s">
        <v>1051</v>
      </c>
      <c r="X19" s="29" t="s">
        <v>377</v>
      </c>
      <c r="Y19" s="96" t="s">
        <v>1090</v>
      </c>
      <c r="Z19" s="96" t="s">
        <v>1064</v>
      </c>
      <c r="AA19" s="96" t="s">
        <v>331</v>
      </c>
      <c r="AB19" s="96" t="s">
        <v>331</v>
      </c>
      <c r="AC19" s="96" t="s">
        <v>468</v>
      </c>
      <c r="AD19" s="98" t="s">
        <v>396</v>
      </c>
      <c r="AE19" s="7" t="s">
        <v>331</v>
      </c>
      <c r="AF19" s="35" t="s">
        <v>331</v>
      </c>
    </row>
    <row r="20" spans="2:32" x14ac:dyDescent="0.25">
      <c r="B20">
        <f t="shared" si="0"/>
        <v>18</v>
      </c>
      <c r="C20" s="96" t="s">
        <v>1053</v>
      </c>
      <c r="D20" s="35" t="s">
        <v>515</v>
      </c>
      <c r="E20" s="96" t="s">
        <v>1091</v>
      </c>
      <c r="F20" s="96" t="s">
        <v>1041</v>
      </c>
      <c r="G20" s="35" t="s">
        <v>421</v>
      </c>
      <c r="H20" s="96" t="s">
        <v>1076</v>
      </c>
      <c r="I20" s="96" t="s">
        <v>1135</v>
      </c>
      <c r="J20" s="96" t="s">
        <v>1136</v>
      </c>
      <c r="K20" s="97" t="s">
        <v>331</v>
      </c>
      <c r="L20" s="96" t="s">
        <v>606</v>
      </c>
      <c r="M20" s="29" t="s">
        <v>459</v>
      </c>
      <c r="N20" s="96" t="s">
        <v>714</v>
      </c>
      <c r="O20" s="96" t="s">
        <v>1044</v>
      </c>
      <c r="P20" s="96" t="s">
        <v>1059</v>
      </c>
      <c r="Q20" s="96" t="s">
        <v>1060</v>
      </c>
      <c r="R20" s="96" t="s">
        <v>685</v>
      </c>
      <c r="S20" s="96" t="s">
        <v>1047</v>
      </c>
      <c r="T20" s="96" t="s">
        <v>554</v>
      </c>
      <c r="U20" s="96" t="s">
        <v>1049</v>
      </c>
      <c r="V20" s="96" t="s">
        <v>1050</v>
      </c>
      <c r="W20" s="96" t="s">
        <v>1051</v>
      </c>
      <c r="X20" s="29" t="s">
        <v>399</v>
      </c>
      <c r="Y20" s="96" t="s">
        <v>571</v>
      </c>
      <c r="Z20" s="96" t="s">
        <v>1064</v>
      </c>
      <c r="AA20" s="96" t="s">
        <v>331</v>
      </c>
      <c r="AB20" s="96" t="s">
        <v>331</v>
      </c>
      <c r="AC20" s="96" t="s">
        <v>331</v>
      </c>
      <c r="AD20" s="98" t="s">
        <v>408</v>
      </c>
      <c r="AE20" s="7" t="s">
        <v>331</v>
      </c>
      <c r="AF20" s="35" t="s">
        <v>396</v>
      </c>
    </row>
    <row r="21" spans="2:32" x14ac:dyDescent="0.25">
      <c r="B21">
        <f t="shared" si="0"/>
        <v>19</v>
      </c>
      <c r="C21" s="96" t="s">
        <v>1039</v>
      </c>
      <c r="D21" s="35" t="s">
        <v>515</v>
      </c>
      <c r="E21" s="96" t="s">
        <v>1096</v>
      </c>
      <c r="F21" s="96" t="s">
        <v>1041</v>
      </c>
      <c r="G21" s="35" t="s">
        <v>421</v>
      </c>
      <c r="H21" s="96" t="s">
        <v>1137</v>
      </c>
      <c r="I21" s="96" t="s">
        <v>613</v>
      </c>
      <c r="J21" s="96" t="s">
        <v>1138</v>
      </c>
      <c r="K21" s="97" t="s">
        <v>331</v>
      </c>
      <c r="L21" s="96" t="s">
        <v>345</v>
      </c>
      <c r="M21" s="29" t="s">
        <v>459</v>
      </c>
      <c r="N21" s="96" t="s">
        <v>1139</v>
      </c>
      <c r="O21" s="96" t="s">
        <v>1044</v>
      </c>
      <c r="P21" s="96" t="s">
        <v>1059</v>
      </c>
      <c r="Q21" s="96" t="s">
        <v>1046</v>
      </c>
      <c r="R21" s="96" t="s">
        <v>685</v>
      </c>
      <c r="S21" s="96" t="s">
        <v>1082</v>
      </c>
      <c r="T21" s="96" t="s">
        <v>554</v>
      </c>
      <c r="U21" s="96" t="s">
        <v>1049</v>
      </c>
      <c r="V21" s="96" t="s">
        <v>1050</v>
      </c>
      <c r="W21" s="96" t="s">
        <v>1051</v>
      </c>
      <c r="X21" s="29" t="s">
        <v>399</v>
      </c>
      <c r="Y21" s="96" t="s">
        <v>1119</v>
      </c>
      <c r="Z21" s="96" t="s">
        <v>1052</v>
      </c>
      <c r="AA21" s="96" t="s">
        <v>331</v>
      </c>
      <c r="AB21" s="96" t="s">
        <v>367</v>
      </c>
      <c r="AC21" s="96" t="s">
        <v>331</v>
      </c>
      <c r="AD21" s="98" t="s">
        <v>574</v>
      </c>
      <c r="AE21" s="7" t="s">
        <v>331</v>
      </c>
      <c r="AF21" s="35" t="s">
        <v>331</v>
      </c>
    </row>
    <row r="22" spans="2:32" x14ac:dyDescent="0.25">
      <c r="B22">
        <f t="shared" si="0"/>
        <v>20</v>
      </c>
      <c r="C22" s="96" t="s">
        <v>1039</v>
      </c>
      <c r="D22" s="35" t="s">
        <v>515</v>
      </c>
      <c r="E22" s="96" t="s">
        <v>1140</v>
      </c>
      <c r="F22" s="96" t="s">
        <v>1041</v>
      </c>
      <c r="G22" s="35" t="s">
        <v>396</v>
      </c>
      <c r="H22" s="96" t="s">
        <v>1071</v>
      </c>
      <c r="I22" s="96" t="s">
        <v>620</v>
      </c>
      <c r="J22" s="96" t="s">
        <v>1102</v>
      </c>
      <c r="K22" s="97" t="s">
        <v>331</v>
      </c>
      <c r="L22" s="96" t="s">
        <v>362</v>
      </c>
      <c r="M22" s="29" t="s">
        <v>459</v>
      </c>
      <c r="N22" s="96" t="s">
        <v>1094</v>
      </c>
      <c r="O22" s="96" t="s">
        <v>1107</v>
      </c>
      <c r="P22" s="96" t="s">
        <v>1059</v>
      </c>
      <c r="Q22" s="96" t="s">
        <v>1060</v>
      </c>
      <c r="R22" s="96" t="s">
        <v>685</v>
      </c>
      <c r="S22" s="96" t="s">
        <v>1061</v>
      </c>
      <c r="T22" s="96" t="s">
        <v>554</v>
      </c>
      <c r="U22" s="96" t="s">
        <v>1049</v>
      </c>
      <c r="V22" s="96" t="s">
        <v>1062</v>
      </c>
      <c r="W22" s="96" t="s">
        <v>1051</v>
      </c>
      <c r="X22" s="29" t="s">
        <v>399</v>
      </c>
      <c r="Y22" s="96" t="s">
        <v>1141</v>
      </c>
      <c r="Z22" s="96" t="s">
        <v>1064</v>
      </c>
      <c r="AA22" s="96" t="s">
        <v>331</v>
      </c>
      <c r="AB22" s="96" t="s">
        <v>468</v>
      </c>
      <c r="AC22" s="96" t="s">
        <v>367</v>
      </c>
      <c r="AD22" s="98" t="s">
        <v>350</v>
      </c>
      <c r="AE22" s="7" t="s">
        <v>331</v>
      </c>
      <c r="AF22" s="35" t="s">
        <v>331</v>
      </c>
    </row>
    <row r="23" spans="2:32" x14ac:dyDescent="0.25">
      <c r="B23">
        <f t="shared" si="0"/>
        <v>21</v>
      </c>
      <c r="C23" s="96" t="s">
        <v>1039</v>
      </c>
      <c r="D23" s="35" t="s">
        <v>515</v>
      </c>
      <c r="E23" s="96" t="s">
        <v>1128</v>
      </c>
      <c r="F23" s="96" t="s">
        <v>1041</v>
      </c>
      <c r="G23" s="35" t="s">
        <v>387</v>
      </c>
      <c r="H23" s="96" t="s">
        <v>1137</v>
      </c>
      <c r="I23" s="96" t="s">
        <v>1086</v>
      </c>
      <c r="J23" s="96" t="s">
        <v>1142</v>
      </c>
      <c r="K23" s="97" t="s">
        <v>331</v>
      </c>
      <c r="L23" s="96" t="s">
        <v>606</v>
      </c>
      <c r="M23" s="29" t="s">
        <v>380</v>
      </c>
      <c r="N23" s="96" t="s">
        <v>1073</v>
      </c>
      <c r="O23" s="96" t="s">
        <v>509</v>
      </c>
      <c r="P23" s="96" t="s">
        <v>1059</v>
      </c>
      <c r="Q23" s="96" t="s">
        <v>1060</v>
      </c>
      <c r="R23" s="96" t="s">
        <v>583</v>
      </c>
      <c r="S23" s="96" t="s">
        <v>1061</v>
      </c>
      <c r="T23" s="96" t="s">
        <v>554</v>
      </c>
      <c r="U23" s="96" t="s">
        <v>1049</v>
      </c>
      <c r="V23" s="96" t="s">
        <v>1050</v>
      </c>
      <c r="W23" s="96" t="s">
        <v>1051</v>
      </c>
      <c r="X23" s="29" t="s">
        <v>377</v>
      </c>
      <c r="Y23" s="96" t="s">
        <v>1143</v>
      </c>
      <c r="Z23" s="96" t="s">
        <v>1052</v>
      </c>
      <c r="AA23" s="96" t="s">
        <v>331</v>
      </c>
      <c r="AB23" s="96" t="s">
        <v>536</v>
      </c>
      <c r="AC23" s="96" t="s">
        <v>331</v>
      </c>
      <c r="AD23" s="98" t="s">
        <v>350</v>
      </c>
      <c r="AE23" s="7" t="s">
        <v>331</v>
      </c>
      <c r="AF23" s="35" t="s">
        <v>331</v>
      </c>
    </row>
    <row r="24" spans="2:32" x14ac:dyDescent="0.25">
      <c r="B24">
        <f t="shared" si="0"/>
        <v>22</v>
      </c>
      <c r="C24" s="96" t="s">
        <v>1039</v>
      </c>
      <c r="D24" s="35" t="s">
        <v>515</v>
      </c>
      <c r="E24" s="96" t="s">
        <v>1065</v>
      </c>
      <c r="F24" s="96" t="s">
        <v>1041</v>
      </c>
      <c r="G24" s="35" t="s">
        <v>917</v>
      </c>
      <c r="H24" s="96" t="s">
        <v>815</v>
      </c>
      <c r="I24" s="96" t="s">
        <v>1066</v>
      </c>
      <c r="J24" s="96" t="s">
        <v>1102</v>
      </c>
      <c r="K24" s="97" t="s">
        <v>331</v>
      </c>
      <c r="L24" s="96" t="s">
        <v>705</v>
      </c>
      <c r="M24" s="29" t="s">
        <v>380</v>
      </c>
      <c r="N24" s="96" t="s">
        <v>1094</v>
      </c>
      <c r="O24" s="96" t="s">
        <v>509</v>
      </c>
      <c r="P24" s="96" t="s">
        <v>1059</v>
      </c>
      <c r="Q24" s="96" t="s">
        <v>1144</v>
      </c>
      <c r="R24" s="96" t="s">
        <v>685</v>
      </c>
      <c r="S24" s="96" t="s">
        <v>1089</v>
      </c>
      <c r="T24" s="96" t="s">
        <v>554</v>
      </c>
      <c r="U24" s="96" t="s">
        <v>1049</v>
      </c>
      <c r="V24" s="96" t="s">
        <v>1050</v>
      </c>
      <c r="W24" s="96" t="s">
        <v>1051</v>
      </c>
      <c r="X24" s="29" t="s">
        <v>399</v>
      </c>
      <c r="Y24" s="96" t="s">
        <v>1141</v>
      </c>
      <c r="Z24" s="96" t="s">
        <v>1064</v>
      </c>
      <c r="AA24" s="96" t="s">
        <v>331</v>
      </c>
      <c r="AB24" s="96" t="s">
        <v>536</v>
      </c>
      <c r="AC24" s="96" t="s">
        <v>521</v>
      </c>
      <c r="AD24" s="98" t="s">
        <v>1145</v>
      </c>
      <c r="AE24" s="7" t="s">
        <v>331</v>
      </c>
      <c r="AF24" s="35" t="s">
        <v>331</v>
      </c>
    </row>
    <row r="25" spans="2:32" x14ac:dyDescent="0.25">
      <c r="B25">
        <f t="shared" si="0"/>
        <v>23</v>
      </c>
      <c r="C25" s="96" t="s">
        <v>1039</v>
      </c>
      <c r="D25" s="35" t="s">
        <v>515</v>
      </c>
      <c r="E25" s="96" t="s">
        <v>1128</v>
      </c>
      <c r="F25" s="96" t="s">
        <v>1041</v>
      </c>
      <c r="G25" s="35" t="s">
        <v>421</v>
      </c>
      <c r="H25" s="96" t="s">
        <v>1042</v>
      </c>
      <c r="I25" s="96" t="s">
        <v>1092</v>
      </c>
      <c r="J25" s="96" t="s">
        <v>1087</v>
      </c>
      <c r="K25" s="97" t="s">
        <v>331</v>
      </c>
      <c r="L25" s="96" t="s">
        <v>552</v>
      </c>
      <c r="M25" s="29" t="s">
        <v>574</v>
      </c>
      <c r="N25" s="96" t="s">
        <v>681</v>
      </c>
      <c r="O25" s="96" t="s">
        <v>509</v>
      </c>
      <c r="P25" s="96" t="s">
        <v>1059</v>
      </c>
      <c r="Q25" s="96" t="s">
        <v>1060</v>
      </c>
      <c r="R25" s="96" t="s">
        <v>550</v>
      </c>
      <c r="S25" s="96" t="s">
        <v>1061</v>
      </c>
      <c r="T25" s="96" t="s">
        <v>554</v>
      </c>
      <c r="U25" s="96" t="s">
        <v>1049</v>
      </c>
      <c r="V25" s="96" t="s">
        <v>1062</v>
      </c>
      <c r="W25" s="96" t="s">
        <v>1051</v>
      </c>
      <c r="X25" s="29" t="s">
        <v>377</v>
      </c>
      <c r="Y25" s="96" t="s">
        <v>1079</v>
      </c>
      <c r="Z25" s="96" t="s">
        <v>1069</v>
      </c>
      <c r="AA25" s="96" t="s">
        <v>331</v>
      </c>
      <c r="AB25" s="96" t="s">
        <v>331</v>
      </c>
      <c r="AC25" s="96" t="s">
        <v>331</v>
      </c>
      <c r="AD25" s="98" t="s">
        <v>421</v>
      </c>
      <c r="AE25" s="7" t="s">
        <v>1146</v>
      </c>
      <c r="AF25" s="35" t="s">
        <v>331</v>
      </c>
    </row>
    <row r="26" spans="2:32" x14ac:dyDescent="0.25">
      <c r="B26">
        <v>24</v>
      </c>
      <c r="C26" s="96" t="s">
        <v>1039</v>
      </c>
      <c r="D26" s="35" t="s">
        <v>515</v>
      </c>
      <c r="E26" s="96" t="s">
        <v>1096</v>
      </c>
      <c r="F26" s="96" t="s">
        <v>1041</v>
      </c>
      <c r="G26" s="35" t="s">
        <v>408</v>
      </c>
      <c r="H26" s="96" t="s">
        <v>670</v>
      </c>
      <c r="I26" s="96" t="s">
        <v>1147</v>
      </c>
      <c r="J26" s="96" t="s">
        <v>1078</v>
      </c>
      <c r="K26" s="97" t="s">
        <v>331</v>
      </c>
      <c r="L26" s="96" t="s">
        <v>606</v>
      </c>
      <c r="M26" s="29" t="s">
        <v>380</v>
      </c>
      <c r="N26" s="96" t="s">
        <v>1073</v>
      </c>
      <c r="O26" s="96" t="s">
        <v>1044</v>
      </c>
      <c r="P26" s="96" t="s">
        <v>1059</v>
      </c>
      <c r="Q26" s="96" t="s">
        <v>1046</v>
      </c>
      <c r="R26" s="96" t="s">
        <v>550</v>
      </c>
      <c r="S26" s="96" t="s">
        <v>1099</v>
      </c>
      <c r="T26" s="96" t="s">
        <v>1048</v>
      </c>
      <c r="U26" s="96" t="s">
        <v>1049</v>
      </c>
      <c r="V26" s="96" t="s">
        <v>1062</v>
      </c>
      <c r="W26" s="96" t="s">
        <v>1051</v>
      </c>
      <c r="X26" s="29" t="s">
        <v>377</v>
      </c>
      <c r="Y26" s="96" t="s">
        <v>1127</v>
      </c>
      <c r="Z26" s="96" t="s">
        <v>1064</v>
      </c>
      <c r="AA26" s="96" t="s">
        <v>536</v>
      </c>
      <c r="AB26" s="96" t="s">
        <v>331</v>
      </c>
      <c r="AC26" s="96" t="s">
        <v>331</v>
      </c>
      <c r="AD26" s="98" t="s">
        <v>387</v>
      </c>
      <c r="AE26" s="7" t="s">
        <v>331</v>
      </c>
      <c r="AF26" s="35" t="s">
        <v>1146</v>
      </c>
    </row>
    <row r="27" spans="2:32" x14ac:dyDescent="0.25">
      <c r="B27">
        <v>24</v>
      </c>
      <c r="C27" s="96" t="s">
        <v>1039</v>
      </c>
      <c r="D27" s="35" t="s">
        <v>901</v>
      </c>
      <c r="E27" s="96" t="s">
        <v>1055</v>
      </c>
      <c r="F27" s="96" t="s">
        <v>1041</v>
      </c>
      <c r="G27" s="35" t="s">
        <v>435</v>
      </c>
      <c r="H27" s="96" t="s">
        <v>1148</v>
      </c>
      <c r="I27" s="96" t="s">
        <v>1092</v>
      </c>
      <c r="J27" s="96" t="s">
        <v>1149</v>
      </c>
      <c r="K27" s="97" t="s">
        <v>331</v>
      </c>
      <c r="L27" s="96" t="s">
        <v>552</v>
      </c>
      <c r="M27" s="29" t="s">
        <v>459</v>
      </c>
      <c r="N27" s="96" t="s">
        <v>1139</v>
      </c>
      <c r="O27" s="96" t="s">
        <v>509</v>
      </c>
      <c r="P27" s="96" t="s">
        <v>1059</v>
      </c>
      <c r="Q27" s="96" t="s">
        <v>1060</v>
      </c>
      <c r="R27" s="96" t="s">
        <v>550</v>
      </c>
      <c r="S27" s="96" t="s">
        <v>1082</v>
      </c>
      <c r="T27" s="96" t="s">
        <v>936</v>
      </c>
      <c r="U27" s="96" t="s">
        <v>1049</v>
      </c>
      <c r="V27" s="96" t="s">
        <v>1050</v>
      </c>
      <c r="W27" s="96" t="s">
        <v>1051</v>
      </c>
      <c r="X27" s="29" t="s">
        <v>399</v>
      </c>
      <c r="Y27" s="96" t="s">
        <v>1063</v>
      </c>
      <c r="Z27" s="96" t="s">
        <v>1064</v>
      </c>
      <c r="AA27" s="96" t="s">
        <v>331</v>
      </c>
      <c r="AB27" s="96" t="s">
        <v>528</v>
      </c>
      <c r="AC27" s="96" t="s">
        <v>331</v>
      </c>
      <c r="AD27" s="98" t="s">
        <v>421</v>
      </c>
      <c r="AE27" s="7" t="s">
        <v>331</v>
      </c>
      <c r="AF27" s="35" t="s">
        <v>331</v>
      </c>
    </row>
    <row r="28" spans="2:32" x14ac:dyDescent="0.25">
      <c r="B28">
        <v>25</v>
      </c>
      <c r="C28" s="96" t="s">
        <v>653</v>
      </c>
      <c r="D28" s="35" t="s">
        <v>515</v>
      </c>
      <c r="E28" s="96" t="s">
        <v>1128</v>
      </c>
      <c r="F28" s="96" t="s">
        <v>1041</v>
      </c>
      <c r="G28" s="35" t="s">
        <v>396</v>
      </c>
      <c r="H28" s="96" t="s">
        <v>815</v>
      </c>
      <c r="I28" s="96" t="s">
        <v>1174</v>
      </c>
      <c r="J28" s="96" t="s">
        <v>1093</v>
      </c>
      <c r="K28" s="97" t="s">
        <v>331</v>
      </c>
      <c r="L28" s="96" t="s">
        <v>1175</v>
      </c>
      <c r="M28" s="29" t="s">
        <v>459</v>
      </c>
      <c r="N28" s="96" t="s">
        <v>744</v>
      </c>
      <c r="O28" s="96" t="s">
        <v>509</v>
      </c>
      <c r="P28" s="96" t="s">
        <v>1059</v>
      </c>
      <c r="Q28" s="96" t="s">
        <v>1046</v>
      </c>
      <c r="R28" s="96" t="s">
        <v>685</v>
      </c>
      <c r="S28" s="96" t="s">
        <v>1082</v>
      </c>
      <c r="T28" s="96" t="s">
        <v>554</v>
      </c>
      <c r="U28" s="96" t="s">
        <v>1049</v>
      </c>
      <c r="V28" s="96" t="s">
        <v>1050</v>
      </c>
      <c r="W28" s="96" t="s">
        <v>1131</v>
      </c>
      <c r="X28" s="29" t="s">
        <v>377</v>
      </c>
      <c r="Y28" s="96" t="s">
        <v>1127</v>
      </c>
      <c r="Z28" s="96" t="s">
        <v>1064</v>
      </c>
      <c r="AA28" s="96" t="s">
        <v>331</v>
      </c>
      <c r="AB28" s="96" t="s">
        <v>367</v>
      </c>
      <c r="AC28" s="96" t="s">
        <v>331</v>
      </c>
      <c r="AD28" s="98" t="s">
        <v>399</v>
      </c>
      <c r="AE28" s="7" t="s">
        <v>331</v>
      </c>
      <c r="AF28" s="35" t="s">
        <v>331</v>
      </c>
    </row>
    <row r="29" spans="2:32" x14ac:dyDescent="0.25">
      <c r="B29">
        <v>26</v>
      </c>
      <c r="C29" s="96" t="s">
        <v>653</v>
      </c>
      <c r="D29" s="35" t="s">
        <v>515</v>
      </c>
      <c r="E29" s="96" t="s">
        <v>1120</v>
      </c>
      <c r="F29" s="96" t="s">
        <v>1041</v>
      </c>
      <c r="G29" s="35" t="s">
        <v>387</v>
      </c>
      <c r="H29" s="96" t="s">
        <v>1207</v>
      </c>
      <c r="I29" s="96" t="s">
        <v>1208</v>
      </c>
      <c r="J29" s="96" t="s">
        <v>1102</v>
      </c>
      <c r="K29" s="97" t="s">
        <v>331</v>
      </c>
      <c r="L29" s="96" t="s">
        <v>552</v>
      </c>
      <c r="M29" s="29" t="s">
        <v>380</v>
      </c>
      <c r="N29" s="96" t="s">
        <v>1209</v>
      </c>
      <c r="O29" s="96" t="s">
        <v>1107</v>
      </c>
      <c r="P29" s="96" t="s">
        <v>1045</v>
      </c>
      <c r="Q29" s="96" t="s">
        <v>1046</v>
      </c>
      <c r="R29" s="96" t="s">
        <v>550</v>
      </c>
      <c r="S29" s="96" t="s">
        <v>1082</v>
      </c>
      <c r="T29" s="96" t="s">
        <v>1048</v>
      </c>
      <c r="U29" s="96" t="s">
        <v>1049</v>
      </c>
      <c r="V29" s="96" t="s">
        <v>1134</v>
      </c>
      <c r="W29" s="96" t="s">
        <v>1131</v>
      </c>
      <c r="X29" s="29" t="s">
        <v>377</v>
      </c>
      <c r="Y29" s="96" t="s">
        <v>1141</v>
      </c>
      <c r="Z29" s="96" t="s">
        <v>1064</v>
      </c>
      <c r="AA29" s="96" t="s">
        <v>331</v>
      </c>
      <c r="AB29" s="96" t="s">
        <v>331</v>
      </c>
      <c r="AC29" s="96" t="s">
        <v>536</v>
      </c>
      <c r="AD29" s="98" t="s">
        <v>519</v>
      </c>
      <c r="AE29" s="7" t="s">
        <v>331</v>
      </c>
      <c r="AF29" s="35" t="s">
        <v>331</v>
      </c>
    </row>
    <row r="30" spans="2:32" x14ac:dyDescent="0.25">
      <c r="B30">
        <v>27</v>
      </c>
      <c r="C30" s="96" t="s">
        <v>1039</v>
      </c>
      <c r="D30" s="35" t="s">
        <v>515</v>
      </c>
      <c r="E30" s="96" t="s">
        <v>596</v>
      </c>
      <c r="F30" s="96" t="s">
        <v>1041</v>
      </c>
      <c r="G30" s="35" t="s">
        <v>917</v>
      </c>
      <c r="H30" s="96" t="s">
        <v>481</v>
      </c>
      <c r="I30" s="96" t="s">
        <v>1092</v>
      </c>
      <c r="J30" s="96" t="s">
        <v>1231</v>
      </c>
      <c r="K30" s="97" t="s">
        <v>331</v>
      </c>
      <c r="L30" s="96" t="s">
        <v>623</v>
      </c>
      <c r="M30" s="29" t="s">
        <v>905</v>
      </c>
      <c r="N30" s="96" t="s">
        <v>744</v>
      </c>
      <c r="O30" s="96" t="s">
        <v>1044</v>
      </c>
      <c r="P30" s="96" t="s">
        <v>1045</v>
      </c>
      <c r="Q30" s="96" t="s">
        <v>1232</v>
      </c>
      <c r="R30" s="96" t="s">
        <v>550</v>
      </c>
      <c r="S30" s="96" t="s">
        <v>1233</v>
      </c>
      <c r="T30" s="96" t="s">
        <v>1234</v>
      </c>
      <c r="U30" s="96" t="s">
        <v>1049</v>
      </c>
      <c r="V30" s="96" t="s">
        <v>1118</v>
      </c>
      <c r="W30" s="96" t="s">
        <v>1051</v>
      </c>
      <c r="X30" s="29" t="s">
        <v>377</v>
      </c>
      <c r="Y30" s="96" t="s">
        <v>1235</v>
      </c>
      <c r="Z30" s="96" t="s">
        <v>1064</v>
      </c>
      <c r="AA30" s="96" t="s">
        <v>578</v>
      </c>
      <c r="AB30" s="96" t="s">
        <v>331</v>
      </c>
      <c r="AC30" s="96" t="s">
        <v>331</v>
      </c>
      <c r="AD30" s="98" t="s">
        <v>340</v>
      </c>
      <c r="AE30" s="7" t="s">
        <v>331</v>
      </c>
      <c r="AF30" s="35" t="s">
        <v>331</v>
      </c>
    </row>
    <row r="31" spans="2:32" x14ac:dyDescent="0.25">
      <c r="B31">
        <v>28</v>
      </c>
      <c r="C31" s="128" t="s">
        <v>1039</v>
      </c>
      <c r="D31" s="129" t="s">
        <v>515</v>
      </c>
      <c r="E31" s="128" t="s">
        <v>1128</v>
      </c>
      <c r="F31" s="128" t="s">
        <v>1041</v>
      </c>
      <c r="G31" s="129" t="s">
        <v>387</v>
      </c>
      <c r="H31" s="128" t="s">
        <v>600</v>
      </c>
      <c r="I31" s="128" t="s">
        <v>1086</v>
      </c>
      <c r="J31" s="128" t="s">
        <v>1260</v>
      </c>
      <c r="K31" s="130" t="s">
        <v>331</v>
      </c>
      <c r="L31" s="128" t="s">
        <v>762</v>
      </c>
      <c r="M31" s="131" t="s">
        <v>574</v>
      </c>
      <c r="N31" s="128" t="s">
        <v>714</v>
      </c>
      <c r="O31" s="128" t="s">
        <v>509</v>
      </c>
      <c r="P31" s="128" t="s">
        <v>1095</v>
      </c>
      <c r="Q31" s="128" t="s">
        <v>1060</v>
      </c>
      <c r="R31" s="128" t="s">
        <v>685</v>
      </c>
      <c r="S31" s="128" t="s">
        <v>1261</v>
      </c>
      <c r="T31" s="128" t="s">
        <v>1104</v>
      </c>
      <c r="U31" s="128" t="s">
        <v>1262</v>
      </c>
      <c r="V31" s="128" t="s">
        <v>1062</v>
      </c>
      <c r="W31" s="128" t="s">
        <v>1051</v>
      </c>
      <c r="X31" s="131" t="s">
        <v>399</v>
      </c>
      <c r="Y31" s="128" t="s">
        <v>1263</v>
      </c>
      <c r="Z31" s="128" t="s">
        <v>1064</v>
      </c>
      <c r="AA31" s="128" t="s">
        <v>331</v>
      </c>
      <c r="AB31" s="128" t="s">
        <v>331</v>
      </c>
      <c r="AC31" s="128" t="s">
        <v>331</v>
      </c>
      <c r="AD31" s="132" t="s">
        <v>350</v>
      </c>
      <c r="AE31" s="133" t="s">
        <v>331</v>
      </c>
      <c r="AF31" s="129" t="s">
        <v>331</v>
      </c>
    </row>
    <row r="32" spans="2:32" x14ac:dyDescent="0.25">
      <c r="C32" s="136" t="s">
        <v>653</v>
      </c>
      <c r="D32" s="137" t="s">
        <v>515</v>
      </c>
      <c r="E32" s="136" t="s">
        <v>596</v>
      </c>
      <c r="F32" s="136" t="s">
        <v>1041</v>
      </c>
      <c r="G32" s="137" t="s">
        <v>435</v>
      </c>
      <c r="H32" s="136" t="s">
        <v>600</v>
      </c>
      <c r="I32" s="136" t="s">
        <v>1077</v>
      </c>
      <c r="J32" s="136" t="s">
        <v>1072</v>
      </c>
      <c r="K32" s="138" t="s">
        <v>331</v>
      </c>
      <c r="L32" s="136" t="s">
        <v>705</v>
      </c>
      <c r="M32" s="139" t="s">
        <v>459</v>
      </c>
      <c r="N32" s="136" t="s">
        <v>1098</v>
      </c>
      <c r="O32" s="136" t="s">
        <v>1044</v>
      </c>
      <c r="P32" s="136" t="s">
        <v>1045</v>
      </c>
      <c r="Q32" s="136" t="s">
        <v>1046</v>
      </c>
      <c r="R32" s="136" t="s">
        <v>685</v>
      </c>
      <c r="S32" s="136" t="s">
        <v>1047</v>
      </c>
      <c r="T32" s="136" t="s">
        <v>936</v>
      </c>
      <c r="U32" s="136" t="s">
        <v>1049</v>
      </c>
      <c r="V32" s="136" t="s">
        <v>1118</v>
      </c>
      <c r="W32" s="136" t="s">
        <v>1051</v>
      </c>
      <c r="X32" s="139" t="s">
        <v>377</v>
      </c>
      <c r="Y32" s="136" t="s">
        <v>657</v>
      </c>
      <c r="Z32" s="136" t="s">
        <v>1052</v>
      </c>
      <c r="AA32" s="96"/>
      <c r="AB32" s="136" t="s">
        <v>468</v>
      </c>
      <c r="AC32" s="136" t="s">
        <v>331</v>
      </c>
      <c r="AD32" s="140" t="s">
        <v>519</v>
      </c>
      <c r="AE32" s="141" t="s">
        <v>331</v>
      </c>
      <c r="AF32" s="35"/>
    </row>
    <row r="33" spans="3:32" x14ac:dyDescent="0.25">
      <c r="C33" s="136" t="s">
        <v>653</v>
      </c>
      <c r="D33" s="137" t="s">
        <v>901</v>
      </c>
      <c r="E33" s="136" t="s">
        <v>1110</v>
      </c>
      <c r="F33" s="136" t="s">
        <v>1041</v>
      </c>
      <c r="G33" s="137" t="s">
        <v>387</v>
      </c>
      <c r="H33" s="136" t="s">
        <v>485</v>
      </c>
      <c r="I33" s="136" t="s">
        <v>1135</v>
      </c>
      <c r="J33" s="136" t="s">
        <v>1093</v>
      </c>
      <c r="K33" s="138" t="s">
        <v>331</v>
      </c>
      <c r="L33" s="136" t="s">
        <v>623</v>
      </c>
      <c r="M33" s="139" t="s">
        <v>380</v>
      </c>
      <c r="N33" s="136" t="s">
        <v>1297</v>
      </c>
      <c r="O33" s="136" t="s">
        <v>1044</v>
      </c>
      <c r="P33" s="136" t="s">
        <v>1059</v>
      </c>
      <c r="Q33" s="136" t="s">
        <v>1046</v>
      </c>
      <c r="R33" s="136" t="s">
        <v>685</v>
      </c>
      <c r="S33" s="136" t="s">
        <v>1082</v>
      </c>
      <c r="T33" s="136" t="s">
        <v>1048</v>
      </c>
      <c r="U33" s="136" t="s">
        <v>1049</v>
      </c>
      <c r="V33" s="136" t="s">
        <v>1050</v>
      </c>
      <c r="W33" s="136" t="s">
        <v>1051</v>
      </c>
      <c r="X33" s="139" t="s">
        <v>399</v>
      </c>
      <c r="Y33" s="136" t="s">
        <v>1068</v>
      </c>
      <c r="Z33" s="136" t="s">
        <v>1052</v>
      </c>
      <c r="AA33" s="96" t="s">
        <v>331</v>
      </c>
      <c r="AB33" s="136" t="s">
        <v>331</v>
      </c>
      <c r="AC33" s="136" t="s">
        <v>331</v>
      </c>
      <c r="AD33" s="140" t="s">
        <v>441</v>
      </c>
      <c r="AE33" s="141" t="s">
        <v>331</v>
      </c>
      <c r="AF33" s="35" t="s">
        <v>331</v>
      </c>
    </row>
    <row r="34" spans="3:32" x14ac:dyDescent="0.25">
      <c r="C34" s="136" t="s">
        <v>1039</v>
      </c>
      <c r="D34" s="137" t="s">
        <v>515</v>
      </c>
      <c r="E34" s="136" t="s">
        <v>1070</v>
      </c>
      <c r="F34" s="136" t="s">
        <v>1041</v>
      </c>
      <c r="G34" s="137" t="s">
        <v>917</v>
      </c>
      <c r="H34" s="136" t="s">
        <v>1147</v>
      </c>
      <c r="I34" s="136" t="s">
        <v>1133</v>
      </c>
      <c r="J34" s="136" t="s">
        <v>1129</v>
      </c>
      <c r="K34" s="138" t="s">
        <v>331</v>
      </c>
      <c r="L34" s="136" t="s">
        <v>614</v>
      </c>
      <c r="M34" s="139" t="s">
        <v>380</v>
      </c>
      <c r="N34" s="136" t="s">
        <v>1139</v>
      </c>
      <c r="O34" s="136" t="s">
        <v>1044</v>
      </c>
      <c r="P34" s="136" t="s">
        <v>1045</v>
      </c>
      <c r="Q34" s="136" t="s">
        <v>1060</v>
      </c>
      <c r="R34" s="136" t="s">
        <v>685</v>
      </c>
      <c r="S34" s="136" t="s">
        <v>1061</v>
      </c>
      <c r="T34" s="136" t="s">
        <v>554</v>
      </c>
      <c r="U34" s="136" t="s">
        <v>1049</v>
      </c>
      <c r="V34" s="136" t="s">
        <v>1050</v>
      </c>
      <c r="W34" s="136" t="s">
        <v>1347</v>
      </c>
      <c r="X34" s="139" t="s">
        <v>399</v>
      </c>
      <c r="Y34" s="136" t="s">
        <v>657</v>
      </c>
      <c r="Z34" s="136" t="s">
        <v>1064</v>
      </c>
      <c r="AA34" s="96" t="s">
        <v>331</v>
      </c>
      <c r="AB34" s="136" t="s">
        <v>331</v>
      </c>
      <c r="AC34" s="136" t="s">
        <v>331</v>
      </c>
      <c r="AD34" s="140" t="s">
        <v>408</v>
      </c>
      <c r="AE34" s="141" t="s">
        <v>331</v>
      </c>
      <c r="AF34" s="35" t="s">
        <v>331</v>
      </c>
    </row>
    <row r="35" spans="3:32" x14ac:dyDescent="0.25">
      <c r="C35" s="136" t="s">
        <v>1039</v>
      </c>
      <c r="D35" s="137" t="s">
        <v>1054</v>
      </c>
      <c r="E35" s="136" t="s">
        <v>1128</v>
      </c>
      <c r="F35" s="136" t="s">
        <v>1041</v>
      </c>
      <c r="G35" s="137" t="s">
        <v>387</v>
      </c>
      <c r="H35" s="136" t="s">
        <v>481</v>
      </c>
      <c r="I35" s="136" t="s">
        <v>1066</v>
      </c>
      <c r="J35" s="136" t="s">
        <v>1136</v>
      </c>
      <c r="K35" s="138" t="s">
        <v>331</v>
      </c>
      <c r="L35" s="136" t="s">
        <v>1175</v>
      </c>
      <c r="M35" s="139" t="s">
        <v>380</v>
      </c>
      <c r="N35" s="136" t="s">
        <v>681</v>
      </c>
      <c r="O35" s="136" t="s">
        <v>1044</v>
      </c>
      <c r="P35" s="136" t="s">
        <v>1045</v>
      </c>
      <c r="Q35" s="136" t="s">
        <v>1046</v>
      </c>
      <c r="R35" s="136" t="s">
        <v>685</v>
      </c>
      <c r="S35" s="136" t="s">
        <v>1061</v>
      </c>
      <c r="T35" s="136" t="s">
        <v>554</v>
      </c>
      <c r="U35" s="136" t="s">
        <v>1049</v>
      </c>
      <c r="V35" s="136" t="s">
        <v>1062</v>
      </c>
      <c r="W35" s="136" t="s">
        <v>1131</v>
      </c>
      <c r="X35" s="139" t="s">
        <v>377</v>
      </c>
      <c r="Y35" s="136" t="s">
        <v>1090</v>
      </c>
      <c r="Z35" s="136" t="s">
        <v>1064</v>
      </c>
      <c r="AA35" s="96" t="s">
        <v>331</v>
      </c>
      <c r="AB35" s="136" t="s">
        <v>569</v>
      </c>
      <c r="AC35" s="136" t="s">
        <v>331</v>
      </c>
      <c r="AD35" s="140" t="s">
        <v>408</v>
      </c>
      <c r="AE35" s="141" t="s">
        <v>331</v>
      </c>
      <c r="AF35" s="35" t="s">
        <v>331</v>
      </c>
    </row>
    <row r="36" spans="3:32" x14ac:dyDescent="0.25">
      <c r="C36" s="136" t="s">
        <v>1039</v>
      </c>
      <c r="D36" s="137" t="s">
        <v>1054</v>
      </c>
      <c r="E36" s="136" t="s">
        <v>1120</v>
      </c>
      <c r="F36" s="136" t="s">
        <v>1041</v>
      </c>
      <c r="G36" s="137" t="s">
        <v>396</v>
      </c>
      <c r="H36" s="136" t="s">
        <v>1207</v>
      </c>
      <c r="I36" s="136" t="s">
        <v>1402</v>
      </c>
      <c r="J36" s="136" t="s">
        <v>1087</v>
      </c>
      <c r="K36" s="138" t="s">
        <v>331</v>
      </c>
      <c r="L36" s="136" t="s">
        <v>623</v>
      </c>
      <c r="M36" s="139" t="s">
        <v>574</v>
      </c>
      <c r="N36" s="136" t="s">
        <v>1094</v>
      </c>
      <c r="O36" s="136" t="s">
        <v>1044</v>
      </c>
      <c r="P36" s="136" t="s">
        <v>1403</v>
      </c>
      <c r="Q36" s="136" t="s">
        <v>1060</v>
      </c>
      <c r="R36" s="136" t="s">
        <v>685</v>
      </c>
      <c r="S36" s="136" t="s">
        <v>1082</v>
      </c>
      <c r="T36" s="136" t="s">
        <v>554</v>
      </c>
      <c r="U36" s="136" t="s">
        <v>1049</v>
      </c>
      <c r="V36" s="136" t="s">
        <v>1050</v>
      </c>
      <c r="W36" s="136" t="s">
        <v>1131</v>
      </c>
      <c r="X36" s="139" t="s">
        <v>399</v>
      </c>
      <c r="Y36" s="136" t="s">
        <v>1105</v>
      </c>
      <c r="Z36" s="136" t="s">
        <v>1064</v>
      </c>
      <c r="AA36" s="96" t="s">
        <v>331</v>
      </c>
      <c r="AB36" s="136" t="s">
        <v>331</v>
      </c>
      <c r="AC36" s="136" t="s">
        <v>331</v>
      </c>
      <c r="AD36" s="140" t="s">
        <v>396</v>
      </c>
      <c r="AE36" s="141" t="s">
        <v>331</v>
      </c>
      <c r="AF36" s="35" t="s">
        <v>331</v>
      </c>
    </row>
    <row r="37" spans="3:32" x14ac:dyDescent="0.25">
      <c r="C37" s="136" t="s">
        <v>1053</v>
      </c>
      <c r="D37" s="137" t="s">
        <v>901</v>
      </c>
      <c r="E37" s="136" t="s">
        <v>1434</v>
      </c>
      <c r="F37" s="136" t="s">
        <v>1041</v>
      </c>
      <c r="G37" s="137" t="s">
        <v>421</v>
      </c>
      <c r="H37" s="136" t="s">
        <v>1137</v>
      </c>
      <c r="I37" s="136" t="s">
        <v>1077</v>
      </c>
      <c r="J37" s="136" t="s">
        <v>1067</v>
      </c>
      <c r="K37" s="138" t="s">
        <v>331</v>
      </c>
      <c r="L37" s="136" t="s">
        <v>1124</v>
      </c>
      <c r="M37" s="139" t="s">
        <v>459</v>
      </c>
      <c r="N37" s="136" t="s">
        <v>744</v>
      </c>
      <c r="O37" s="136" t="s">
        <v>1044</v>
      </c>
      <c r="P37" s="136" t="s">
        <v>1059</v>
      </c>
      <c r="Q37" s="136" t="s">
        <v>1046</v>
      </c>
      <c r="R37" s="136" t="s">
        <v>685</v>
      </c>
      <c r="S37" s="136" t="s">
        <v>1061</v>
      </c>
      <c r="T37" s="136" t="s">
        <v>554</v>
      </c>
      <c r="U37" s="136" t="s">
        <v>1049</v>
      </c>
      <c r="V37" s="136" t="s">
        <v>1050</v>
      </c>
      <c r="W37" s="136" t="s">
        <v>1051</v>
      </c>
      <c r="X37" s="139" t="s">
        <v>441</v>
      </c>
      <c r="Y37" s="136" t="s">
        <v>1079</v>
      </c>
      <c r="Z37" s="136" t="s">
        <v>1069</v>
      </c>
      <c r="AA37" s="96" t="s">
        <v>331</v>
      </c>
      <c r="AB37" s="136" t="s">
        <v>331</v>
      </c>
      <c r="AC37" s="136" t="s">
        <v>331</v>
      </c>
      <c r="AD37" s="140" t="s">
        <v>417</v>
      </c>
      <c r="AE37" s="141" t="s">
        <v>331</v>
      </c>
      <c r="AF37" s="35" t="s">
        <v>331</v>
      </c>
    </row>
    <row r="38" spans="3:32" x14ac:dyDescent="0.25">
      <c r="C38" s="136" t="s">
        <v>1039</v>
      </c>
      <c r="D38" s="137" t="s">
        <v>1054</v>
      </c>
      <c r="E38" s="136" t="s">
        <v>596</v>
      </c>
      <c r="F38" s="136" t="s">
        <v>1041</v>
      </c>
      <c r="G38" s="137" t="s">
        <v>387</v>
      </c>
      <c r="H38" s="136" t="s">
        <v>1071</v>
      </c>
      <c r="I38" s="136" t="s">
        <v>1402</v>
      </c>
      <c r="J38" s="136" t="s">
        <v>1459</v>
      </c>
      <c r="K38" s="138" t="s">
        <v>331</v>
      </c>
      <c r="L38" s="136" t="s">
        <v>486</v>
      </c>
      <c r="M38" s="139" t="s">
        <v>459</v>
      </c>
      <c r="N38" s="136" t="s">
        <v>1139</v>
      </c>
      <c r="O38" s="136" t="s">
        <v>1044</v>
      </c>
      <c r="P38" s="136" t="s">
        <v>1059</v>
      </c>
      <c r="Q38" s="136" t="s">
        <v>1046</v>
      </c>
      <c r="R38" s="136" t="s">
        <v>685</v>
      </c>
      <c r="S38" s="136" t="s">
        <v>1089</v>
      </c>
      <c r="T38" s="136" t="s">
        <v>554</v>
      </c>
      <c r="U38" s="136" t="s">
        <v>1049</v>
      </c>
      <c r="V38" s="136" t="s">
        <v>1050</v>
      </c>
      <c r="W38" s="136" t="s">
        <v>1051</v>
      </c>
      <c r="X38" s="139" t="s">
        <v>377</v>
      </c>
      <c r="Y38" s="136" t="s">
        <v>1063</v>
      </c>
      <c r="Z38" s="136" t="s">
        <v>1064</v>
      </c>
      <c r="AA38" s="96" t="s">
        <v>331</v>
      </c>
      <c r="AB38" s="136" t="s">
        <v>331</v>
      </c>
      <c r="AC38" s="136" t="s">
        <v>331</v>
      </c>
      <c r="AD38" s="140" t="s">
        <v>917</v>
      </c>
      <c r="AE38" s="141" t="s">
        <v>331</v>
      </c>
      <c r="AF38" s="35" t="s">
        <v>331</v>
      </c>
    </row>
    <row r="39" spans="3:32" x14ac:dyDescent="0.25">
      <c r="C39" s="136" t="s">
        <v>1039</v>
      </c>
      <c r="D39" s="137" t="s">
        <v>901</v>
      </c>
      <c r="E39" s="136" t="s">
        <v>1091</v>
      </c>
      <c r="F39" s="136" t="s">
        <v>1484</v>
      </c>
      <c r="G39" s="137" t="s">
        <v>387</v>
      </c>
      <c r="H39" s="136" t="s">
        <v>1147</v>
      </c>
      <c r="I39" s="136" t="s">
        <v>1081</v>
      </c>
      <c r="J39" s="136" t="s">
        <v>1485</v>
      </c>
      <c r="K39" s="138" t="s">
        <v>331</v>
      </c>
      <c r="L39" s="136" t="s">
        <v>308</v>
      </c>
      <c r="M39" s="139" t="s">
        <v>574</v>
      </c>
      <c r="N39" s="136" t="s">
        <v>714</v>
      </c>
      <c r="O39" s="136" t="s">
        <v>1044</v>
      </c>
      <c r="P39" s="136" t="s">
        <v>1045</v>
      </c>
      <c r="Q39" s="136" t="s">
        <v>1046</v>
      </c>
      <c r="R39" s="136" t="s">
        <v>1486</v>
      </c>
      <c r="S39" s="136" t="s">
        <v>1089</v>
      </c>
      <c r="T39" s="136" t="s">
        <v>554</v>
      </c>
      <c r="U39" s="136" t="s">
        <v>1049</v>
      </c>
      <c r="V39" s="136" t="s">
        <v>1118</v>
      </c>
      <c r="W39" s="136" t="s">
        <v>1051</v>
      </c>
      <c r="X39" s="139" t="s">
        <v>377</v>
      </c>
      <c r="Y39" s="136" t="s">
        <v>1119</v>
      </c>
      <c r="Z39" s="136" t="s">
        <v>1064</v>
      </c>
      <c r="AA39" s="96" t="s">
        <v>367</v>
      </c>
      <c r="AB39" s="136" t="s">
        <v>331</v>
      </c>
      <c r="AC39" s="136" t="s">
        <v>536</v>
      </c>
      <c r="AD39" s="140" t="s">
        <v>578</v>
      </c>
      <c r="AE39" s="141" t="s">
        <v>331</v>
      </c>
      <c r="AF39" s="35" t="s">
        <v>331</v>
      </c>
    </row>
    <row r="40" spans="3:32" x14ac:dyDescent="0.25">
      <c r="C40" s="136" t="s">
        <v>1039</v>
      </c>
      <c r="D40" s="137" t="s">
        <v>515</v>
      </c>
      <c r="E40" s="136" t="s">
        <v>1055</v>
      </c>
      <c r="F40" s="136" t="s">
        <v>1041</v>
      </c>
      <c r="G40" s="137" t="s">
        <v>387</v>
      </c>
      <c r="H40" s="136" t="s">
        <v>670</v>
      </c>
      <c r="I40" s="136" t="s">
        <v>1208</v>
      </c>
      <c r="J40" s="136" t="s">
        <v>1500</v>
      </c>
      <c r="K40" s="138" t="s">
        <v>331</v>
      </c>
      <c r="L40" s="136" t="s">
        <v>1501</v>
      </c>
      <c r="M40" s="139" t="s">
        <v>459</v>
      </c>
      <c r="N40" s="136" t="s">
        <v>1098</v>
      </c>
      <c r="O40" s="136" t="s">
        <v>1044</v>
      </c>
      <c r="P40" s="136" t="s">
        <v>1059</v>
      </c>
      <c r="Q40" s="136" t="s">
        <v>1046</v>
      </c>
      <c r="R40" s="136" t="s">
        <v>550</v>
      </c>
      <c r="S40" s="136" t="s">
        <v>1099</v>
      </c>
      <c r="T40" s="136" t="s">
        <v>554</v>
      </c>
      <c r="U40" s="136" t="s">
        <v>1049</v>
      </c>
      <c r="V40" s="136" t="s">
        <v>1050</v>
      </c>
      <c r="W40" s="136" t="s">
        <v>1051</v>
      </c>
      <c r="X40" s="139" t="s">
        <v>377</v>
      </c>
      <c r="Y40" s="136" t="s">
        <v>1127</v>
      </c>
      <c r="Z40" s="136" t="s">
        <v>1064</v>
      </c>
      <c r="AA40" s="96" t="s">
        <v>331</v>
      </c>
      <c r="AB40" s="136" t="s">
        <v>614</v>
      </c>
      <c r="AC40" s="136" t="s">
        <v>331</v>
      </c>
      <c r="AD40" s="140" t="s">
        <v>515</v>
      </c>
      <c r="AE40" s="141" t="s">
        <v>331</v>
      </c>
      <c r="AF40" s="35" t="s">
        <v>331</v>
      </c>
    </row>
    <row r="41" spans="3:32" x14ac:dyDescent="0.25">
      <c r="C41" s="136" t="s">
        <v>1039</v>
      </c>
      <c r="D41" s="137" t="s">
        <v>515</v>
      </c>
      <c r="E41" s="136" t="s">
        <v>1140</v>
      </c>
      <c r="F41" s="136" t="s">
        <v>1484</v>
      </c>
      <c r="G41" s="137" t="s">
        <v>917</v>
      </c>
      <c r="H41" s="136" t="s">
        <v>1207</v>
      </c>
      <c r="I41" s="136" t="s">
        <v>1402</v>
      </c>
      <c r="J41" s="136" t="s">
        <v>1518</v>
      </c>
      <c r="K41" s="138" t="s">
        <v>331</v>
      </c>
      <c r="L41" s="136" t="s">
        <v>604</v>
      </c>
      <c r="M41" s="139" t="s">
        <v>459</v>
      </c>
      <c r="N41" s="136" t="s">
        <v>744</v>
      </c>
      <c r="O41" s="136" t="s">
        <v>1107</v>
      </c>
      <c r="P41" s="136" t="s">
        <v>1045</v>
      </c>
      <c r="Q41" s="136" t="s">
        <v>1060</v>
      </c>
      <c r="R41" s="136" t="s">
        <v>550</v>
      </c>
      <c r="S41" s="136" t="s">
        <v>1099</v>
      </c>
      <c r="T41" s="136" t="s">
        <v>936</v>
      </c>
      <c r="U41" s="136" t="s">
        <v>1262</v>
      </c>
      <c r="V41" s="136" t="s">
        <v>1062</v>
      </c>
      <c r="W41" s="136" t="s">
        <v>1051</v>
      </c>
      <c r="X41" s="139" t="s">
        <v>377</v>
      </c>
      <c r="Y41" s="136" t="s">
        <v>1109</v>
      </c>
      <c r="Z41" s="136" t="s">
        <v>1064</v>
      </c>
      <c r="AA41" s="96" t="s">
        <v>331</v>
      </c>
      <c r="AB41" s="136" t="s">
        <v>331</v>
      </c>
      <c r="AC41" s="136" t="s">
        <v>331</v>
      </c>
      <c r="AD41" s="140" t="s">
        <v>1243</v>
      </c>
      <c r="AE41" s="141" t="s">
        <v>331</v>
      </c>
      <c r="AF41" s="35" t="s">
        <v>331</v>
      </c>
    </row>
    <row r="42" spans="3:32" x14ac:dyDescent="0.25">
      <c r="C42" s="136" t="s">
        <v>1053</v>
      </c>
      <c r="D42" s="137" t="s">
        <v>515</v>
      </c>
      <c r="E42" s="136" t="s">
        <v>1120</v>
      </c>
      <c r="F42" s="136" t="s">
        <v>1484</v>
      </c>
      <c r="G42" s="137" t="s">
        <v>421</v>
      </c>
      <c r="H42" s="136" t="s">
        <v>603</v>
      </c>
      <c r="I42" s="136" t="s">
        <v>620</v>
      </c>
      <c r="J42" s="136" t="s">
        <v>1102</v>
      </c>
      <c r="K42" s="138" t="s">
        <v>331</v>
      </c>
      <c r="L42" s="136" t="s">
        <v>552</v>
      </c>
      <c r="M42" s="139" t="s">
        <v>459</v>
      </c>
      <c r="N42" s="136" t="s">
        <v>1297</v>
      </c>
      <c r="O42" s="136" t="s">
        <v>1107</v>
      </c>
      <c r="P42" s="136" t="s">
        <v>1059</v>
      </c>
      <c r="Q42" s="136" t="s">
        <v>1046</v>
      </c>
      <c r="R42" s="136" t="s">
        <v>1486</v>
      </c>
      <c r="S42" s="136" t="s">
        <v>1261</v>
      </c>
      <c r="T42" s="136" t="s">
        <v>554</v>
      </c>
      <c r="U42" s="136" t="s">
        <v>1262</v>
      </c>
      <c r="V42" s="136" t="s">
        <v>1050</v>
      </c>
      <c r="W42" s="136" t="s">
        <v>1108</v>
      </c>
      <c r="X42" s="139" t="s">
        <v>377</v>
      </c>
      <c r="Y42" s="136" t="s">
        <v>1105</v>
      </c>
      <c r="Z42" s="136" t="s">
        <v>1064</v>
      </c>
      <c r="AA42" s="96" t="s">
        <v>367</v>
      </c>
      <c r="AB42" s="136" t="s">
        <v>331</v>
      </c>
      <c r="AC42" s="136" t="s">
        <v>578</v>
      </c>
      <c r="AD42" s="140" t="s">
        <v>396</v>
      </c>
      <c r="AE42" s="141" t="s">
        <v>331</v>
      </c>
      <c r="AF42" s="35" t="s">
        <v>331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5C9A7-B3DE-43E9-AEED-050CB38EEEA8}">
  <dimension ref="A1:Y65"/>
  <sheetViews>
    <sheetView zoomScale="80" zoomScaleNormal="80" workbookViewId="0">
      <selection activeCell="B19" sqref="B19"/>
    </sheetView>
  </sheetViews>
  <sheetFormatPr baseColWidth="10" defaultRowHeight="15" x14ac:dyDescent="0.25"/>
  <cols>
    <col min="1" max="1" width="25" bestFit="1" customWidth="1"/>
    <col min="2" max="2" width="13.5703125" bestFit="1" customWidth="1"/>
    <col min="3" max="3" width="12.7109375" bestFit="1" customWidth="1"/>
    <col min="4" max="4" width="13.5703125" bestFit="1" customWidth="1"/>
    <col min="5" max="5" width="12.7109375" bestFit="1" customWidth="1"/>
    <col min="6" max="6" width="15" bestFit="1" customWidth="1"/>
    <col min="7" max="7" width="16.42578125" customWidth="1"/>
    <col min="9" max="9" width="16.28515625" bestFit="1" customWidth="1"/>
    <col min="10" max="10" width="19.7109375" bestFit="1" customWidth="1"/>
    <col min="11" max="11" width="13" bestFit="1" customWidth="1"/>
    <col min="12" max="12" width="17.85546875" bestFit="1" customWidth="1"/>
    <col min="13" max="13" width="24.85546875" bestFit="1" customWidth="1"/>
    <col min="14" max="14" width="25.7109375" bestFit="1" customWidth="1"/>
    <col min="15" max="15" width="13" bestFit="1" customWidth="1"/>
    <col min="16" max="16" width="13.85546875" bestFit="1" customWidth="1"/>
    <col min="17" max="17" width="21.85546875" bestFit="1" customWidth="1"/>
    <col min="18" max="18" width="22.7109375" bestFit="1" customWidth="1"/>
    <col min="19" max="19" width="16.42578125" bestFit="1" customWidth="1"/>
    <col min="23" max="23" width="17.42578125" bestFit="1" customWidth="1"/>
    <col min="27" max="27" width="16.42578125" bestFit="1" customWidth="1"/>
    <col min="28" max="28" width="14" bestFit="1" customWidth="1"/>
    <col min="30" max="30" width="15.7109375" bestFit="1" customWidth="1"/>
    <col min="31" max="31" width="16.7109375" bestFit="1" customWidth="1"/>
    <col min="32" max="32" width="14" bestFit="1" customWidth="1"/>
    <col min="34" max="34" width="19.7109375" bestFit="1" customWidth="1"/>
    <col min="35" max="35" width="13" bestFit="1" customWidth="1"/>
  </cols>
  <sheetData>
    <row r="1" spans="1:7" x14ac:dyDescent="0.25">
      <c r="A1" t="s">
        <v>731</v>
      </c>
    </row>
    <row r="2" spans="1:7" x14ac:dyDescent="0.25">
      <c r="B2" s="27" t="s">
        <v>732</v>
      </c>
      <c r="C2" s="27" t="s">
        <v>733</v>
      </c>
      <c r="D2" s="27" t="s">
        <v>734</v>
      </c>
      <c r="E2" s="27" t="s">
        <v>741</v>
      </c>
      <c r="F2" s="27" t="s">
        <v>740</v>
      </c>
      <c r="G2" s="27" t="s">
        <v>218</v>
      </c>
    </row>
    <row r="3" spans="1:7" x14ac:dyDescent="0.25">
      <c r="A3" s="62" t="s">
        <v>735</v>
      </c>
      <c r="B3" s="73" t="s">
        <v>59</v>
      </c>
      <c r="C3" s="74" t="s">
        <v>31</v>
      </c>
      <c r="D3" s="75" t="s">
        <v>61</v>
      </c>
      <c r="E3" s="76" t="s">
        <v>79</v>
      </c>
      <c r="F3" s="77" t="s">
        <v>461</v>
      </c>
      <c r="G3" s="78" t="s">
        <v>770</v>
      </c>
    </row>
    <row r="4" spans="1:7" x14ac:dyDescent="0.25">
      <c r="B4" s="85" t="s">
        <v>66</v>
      </c>
      <c r="C4" s="86" t="s">
        <v>799</v>
      </c>
      <c r="D4" s="87" t="s">
        <v>61</v>
      </c>
      <c r="E4" s="88" t="s">
        <v>79</v>
      </c>
      <c r="F4" s="89" t="s">
        <v>844</v>
      </c>
      <c r="G4" s="90" t="s">
        <v>845</v>
      </c>
    </row>
    <row r="5" spans="1:7" ht="15.75" thickBot="1" x14ac:dyDescent="0.3">
      <c r="B5" s="149" t="s">
        <v>66</v>
      </c>
      <c r="C5" s="144" t="s">
        <v>61</v>
      </c>
      <c r="D5" s="145" t="s">
        <v>31</v>
      </c>
      <c r="E5" s="146" t="s">
        <v>747</v>
      </c>
      <c r="F5" s="147" t="s">
        <v>844</v>
      </c>
      <c r="G5" s="148" t="s">
        <v>1210</v>
      </c>
    </row>
    <row r="6" spans="1:7" x14ac:dyDescent="0.25">
      <c r="B6" s="73" t="s">
        <v>130</v>
      </c>
      <c r="C6" s="74" t="s">
        <v>817</v>
      </c>
      <c r="D6" s="75" t="s">
        <v>159</v>
      </c>
      <c r="E6" s="76" t="s">
        <v>37</v>
      </c>
      <c r="F6" s="77" t="s">
        <v>461</v>
      </c>
      <c r="G6" s="78" t="s">
        <v>1284</v>
      </c>
    </row>
    <row r="7" spans="1:7" x14ac:dyDescent="0.25">
      <c r="B7" s="85" t="s">
        <v>31</v>
      </c>
      <c r="C7" s="86" t="s">
        <v>799</v>
      </c>
      <c r="D7" s="87" t="s">
        <v>195</v>
      </c>
      <c r="E7" s="88" t="s">
        <v>151</v>
      </c>
      <c r="F7" s="173" t="s">
        <v>497</v>
      </c>
      <c r="G7" s="90" t="s">
        <v>1415</v>
      </c>
    </row>
    <row r="8" spans="1:7" x14ac:dyDescent="0.25">
      <c r="B8" s="85" t="s">
        <v>195</v>
      </c>
      <c r="C8" s="86" t="s">
        <v>31</v>
      </c>
      <c r="D8" s="87" t="s">
        <v>79</v>
      </c>
      <c r="E8" s="88" t="s">
        <v>66</v>
      </c>
      <c r="F8" s="173" t="s">
        <v>461</v>
      </c>
      <c r="G8" s="90" t="s">
        <v>1467</v>
      </c>
    </row>
    <row r="9" spans="1:7" x14ac:dyDescent="0.25">
      <c r="B9" s="168"/>
      <c r="C9" s="110"/>
      <c r="D9" s="111"/>
      <c r="E9" s="68"/>
      <c r="F9" s="115"/>
      <c r="G9" s="113"/>
    </row>
    <row r="10" spans="1:7" x14ac:dyDescent="0.25">
      <c r="B10" s="168"/>
      <c r="C10" s="110"/>
      <c r="D10" s="111"/>
      <c r="E10" s="68"/>
      <c r="F10" s="115"/>
      <c r="G10" s="113"/>
    </row>
    <row r="11" spans="1:7" x14ac:dyDescent="0.25">
      <c r="B11" s="168"/>
      <c r="C11" s="110"/>
      <c r="D11" s="111"/>
      <c r="E11" s="68"/>
      <c r="F11" s="115"/>
      <c r="G11" s="113"/>
    </row>
    <row r="12" spans="1:7" x14ac:dyDescent="0.25">
      <c r="B12" s="66"/>
      <c r="C12" s="3"/>
      <c r="D12" s="6"/>
      <c r="E12" s="68"/>
      <c r="F12" s="64"/>
      <c r="G12" s="65"/>
    </row>
    <row r="14" spans="1:7" x14ac:dyDescent="0.25">
      <c r="A14" s="41" t="s">
        <v>736</v>
      </c>
      <c r="B14" s="79" t="s">
        <v>37</v>
      </c>
      <c r="C14" s="74" t="s">
        <v>799</v>
      </c>
      <c r="D14" s="75" t="s">
        <v>50</v>
      </c>
      <c r="E14" s="76" t="s">
        <v>303</v>
      </c>
      <c r="F14" s="80" t="s">
        <v>497</v>
      </c>
      <c r="G14" s="78" t="s">
        <v>796</v>
      </c>
    </row>
    <row r="15" spans="1:7" ht="15.75" thickBot="1" x14ac:dyDescent="0.3">
      <c r="B15" s="143" t="s">
        <v>37</v>
      </c>
      <c r="C15" s="144" t="s">
        <v>50</v>
      </c>
      <c r="D15" s="145" t="s">
        <v>103</v>
      </c>
      <c r="E15" s="146" t="s">
        <v>799</v>
      </c>
      <c r="F15" s="147" t="s">
        <v>494</v>
      </c>
      <c r="G15" s="148" t="s">
        <v>1240</v>
      </c>
    </row>
    <row r="16" spans="1:7" x14ac:dyDescent="0.25">
      <c r="B16" s="150" t="s">
        <v>27</v>
      </c>
      <c r="C16" s="151" t="s">
        <v>37</v>
      </c>
      <c r="D16" s="152" t="s">
        <v>211</v>
      </c>
      <c r="E16" s="153" t="s">
        <v>50</v>
      </c>
      <c r="F16" s="177" t="s">
        <v>461</v>
      </c>
      <c r="G16" s="155" t="s">
        <v>1323</v>
      </c>
    </row>
    <row r="17" spans="1:7" x14ac:dyDescent="0.25">
      <c r="B17" s="178" t="s">
        <v>37</v>
      </c>
      <c r="C17" s="86" t="s">
        <v>50</v>
      </c>
      <c r="D17" s="87" t="s">
        <v>303</v>
      </c>
      <c r="E17" s="88" t="s">
        <v>799</v>
      </c>
      <c r="F17" s="173" t="s">
        <v>461</v>
      </c>
      <c r="G17" s="90" t="s">
        <v>1436</v>
      </c>
    </row>
    <row r="18" spans="1:7" x14ac:dyDescent="0.25">
      <c r="B18" s="178" t="s">
        <v>27</v>
      </c>
      <c r="C18" s="86" t="s">
        <v>37</v>
      </c>
      <c r="D18" s="87" t="s">
        <v>50</v>
      </c>
      <c r="E18" s="88" t="s">
        <v>799</v>
      </c>
      <c r="F18" s="173" t="s">
        <v>461</v>
      </c>
      <c r="G18" s="90" t="s">
        <v>1468</v>
      </c>
    </row>
    <row r="19" spans="1:7" x14ac:dyDescent="0.25">
      <c r="B19" s="67"/>
      <c r="C19" s="3"/>
      <c r="D19" s="6"/>
      <c r="E19" s="68"/>
      <c r="F19" s="185"/>
      <c r="G19" s="65"/>
    </row>
    <row r="20" spans="1:7" x14ac:dyDescent="0.25">
      <c r="B20" s="67"/>
      <c r="C20" s="3"/>
      <c r="D20" s="6"/>
      <c r="E20" s="68"/>
      <c r="F20" s="185"/>
      <c r="G20" s="65"/>
    </row>
    <row r="21" spans="1:7" x14ac:dyDescent="0.25">
      <c r="B21" s="67"/>
      <c r="C21" s="3"/>
      <c r="D21" s="6"/>
      <c r="E21" s="68"/>
      <c r="F21" s="185"/>
      <c r="G21" s="65"/>
    </row>
    <row r="22" spans="1:7" x14ac:dyDescent="0.25">
      <c r="B22" s="67"/>
      <c r="C22" s="3"/>
      <c r="D22" s="6"/>
      <c r="E22" s="68"/>
      <c r="F22" s="185"/>
      <c r="G22" s="65"/>
    </row>
    <row r="25" spans="1:7" x14ac:dyDescent="0.25">
      <c r="A25" s="13" t="s">
        <v>737</v>
      </c>
      <c r="B25" s="79" t="s">
        <v>29</v>
      </c>
      <c r="C25" s="74" t="s">
        <v>39</v>
      </c>
      <c r="D25" s="75" t="s">
        <v>31</v>
      </c>
      <c r="E25" s="76" t="s">
        <v>817</v>
      </c>
      <c r="F25" s="80" t="s">
        <v>494</v>
      </c>
      <c r="G25" s="78" t="s">
        <v>800</v>
      </c>
    </row>
    <row r="26" spans="1:7" ht="15.75" thickBot="1" x14ac:dyDescent="0.3">
      <c r="B26" s="143" t="s">
        <v>61</v>
      </c>
      <c r="C26" s="144" t="s">
        <v>79</v>
      </c>
      <c r="D26" s="145" t="s">
        <v>31</v>
      </c>
      <c r="E26" s="146" t="s">
        <v>66</v>
      </c>
      <c r="F26" s="161" t="s">
        <v>461</v>
      </c>
      <c r="G26" s="148" t="s">
        <v>860</v>
      </c>
    </row>
    <row r="27" spans="1:7" x14ac:dyDescent="0.25">
      <c r="B27" s="150" t="s">
        <v>66</v>
      </c>
      <c r="C27" s="151" t="s">
        <v>61</v>
      </c>
      <c r="D27" s="152" t="s">
        <v>159</v>
      </c>
      <c r="E27" s="153" t="s">
        <v>209</v>
      </c>
      <c r="F27" s="154" t="s">
        <v>461</v>
      </c>
      <c r="G27" s="155" t="s">
        <v>1349</v>
      </c>
    </row>
    <row r="28" spans="1:7" x14ac:dyDescent="0.25">
      <c r="B28" s="178" t="s">
        <v>31</v>
      </c>
      <c r="C28" s="86" t="s">
        <v>195</v>
      </c>
      <c r="D28" s="87" t="s">
        <v>159</v>
      </c>
      <c r="E28" s="88" t="s">
        <v>79</v>
      </c>
      <c r="F28" s="173" t="s">
        <v>461</v>
      </c>
      <c r="G28" s="90" t="s">
        <v>1442</v>
      </c>
    </row>
    <row r="29" spans="1:7" x14ac:dyDescent="0.25">
      <c r="B29" s="114"/>
      <c r="C29" s="110"/>
      <c r="D29" s="111"/>
      <c r="E29" s="68"/>
      <c r="F29" s="115"/>
      <c r="G29" s="113" t="s">
        <v>1466</v>
      </c>
    </row>
    <row r="30" spans="1:7" x14ac:dyDescent="0.25">
      <c r="B30" s="114"/>
      <c r="C30" s="110"/>
      <c r="D30" s="111"/>
      <c r="E30" s="68"/>
      <c r="F30" s="115"/>
      <c r="G30" s="113"/>
    </row>
    <row r="31" spans="1:7" x14ac:dyDescent="0.25">
      <c r="B31" s="114"/>
      <c r="C31" s="110"/>
      <c r="D31" s="111"/>
      <c r="E31" s="68"/>
      <c r="F31" s="115"/>
      <c r="G31" s="113"/>
    </row>
    <row r="32" spans="1:7" x14ac:dyDescent="0.25">
      <c r="B32" s="114"/>
      <c r="C32" s="110"/>
      <c r="D32" s="111"/>
      <c r="E32" s="68"/>
      <c r="F32" s="115"/>
      <c r="G32" s="113"/>
    </row>
    <row r="33" spans="1:7" x14ac:dyDescent="0.25">
      <c r="B33" s="67"/>
      <c r="C33" s="3"/>
      <c r="D33" s="6"/>
      <c r="E33" s="68"/>
      <c r="F33" s="64"/>
      <c r="G33" s="65"/>
    </row>
    <row r="36" spans="1:7" x14ac:dyDescent="0.25">
      <c r="A36" s="63" t="s">
        <v>738</v>
      </c>
      <c r="B36" s="79" t="s">
        <v>31</v>
      </c>
      <c r="C36" s="74" t="s">
        <v>739</v>
      </c>
      <c r="D36" s="75" t="s">
        <v>59</v>
      </c>
      <c r="E36" s="76" t="s">
        <v>37</v>
      </c>
      <c r="F36" s="80" t="s">
        <v>448</v>
      </c>
      <c r="G36" s="78" t="s">
        <v>295</v>
      </c>
    </row>
    <row r="37" spans="1:7" x14ac:dyDescent="0.25">
      <c r="B37" s="67" t="s">
        <v>254</v>
      </c>
      <c r="C37" s="3" t="s">
        <v>254</v>
      </c>
      <c r="D37" s="6" t="s">
        <v>254</v>
      </c>
      <c r="E37" s="68" t="s">
        <v>254</v>
      </c>
      <c r="F37" s="64" t="s">
        <v>254</v>
      </c>
      <c r="G37" s="65" t="s">
        <v>254</v>
      </c>
    </row>
    <row r="38" spans="1:7" ht="15.75" thickBot="1" x14ac:dyDescent="0.3">
      <c r="B38" s="162" t="s">
        <v>61</v>
      </c>
      <c r="C38" s="163" t="s">
        <v>37</v>
      </c>
      <c r="D38" s="164" t="s">
        <v>44</v>
      </c>
      <c r="E38" s="165" t="s">
        <v>799</v>
      </c>
      <c r="F38" s="166" t="s">
        <v>844</v>
      </c>
      <c r="G38" s="167" t="s">
        <v>1013</v>
      </c>
    </row>
    <row r="39" spans="1:7" x14ac:dyDescent="0.25">
      <c r="B39" s="150" t="s">
        <v>130</v>
      </c>
      <c r="C39" s="151" t="s">
        <v>817</v>
      </c>
      <c r="D39" s="152" t="s">
        <v>27</v>
      </c>
      <c r="E39" s="153" t="s">
        <v>66</v>
      </c>
      <c r="F39" s="154" t="s">
        <v>461</v>
      </c>
      <c r="G39" s="155" t="s">
        <v>1374</v>
      </c>
    </row>
    <row r="40" spans="1:7" x14ac:dyDescent="0.25">
      <c r="B40" s="178" t="s">
        <v>195</v>
      </c>
      <c r="C40" s="86" t="s">
        <v>37</v>
      </c>
      <c r="D40" s="87" t="s">
        <v>31</v>
      </c>
      <c r="E40" s="88" t="s">
        <v>739</v>
      </c>
      <c r="F40" s="173" t="s">
        <v>461</v>
      </c>
      <c r="G40" s="90" t="s">
        <v>1443</v>
      </c>
    </row>
    <row r="41" spans="1:7" x14ac:dyDescent="0.25">
      <c r="B41" s="114"/>
      <c r="C41" s="110"/>
      <c r="D41" s="111"/>
      <c r="E41" s="68"/>
      <c r="F41" s="115"/>
      <c r="G41" s="113"/>
    </row>
    <row r="42" spans="1:7" x14ac:dyDescent="0.25">
      <c r="B42" s="114"/>
      <c r="C42" s="110"/>
      <c r="D42" s="111"/>
      <c r="E42" s="68"/>
      <c r="F42" s="115"/>
      <c r="G42" s="113"/>
    </row>
    <row r="43" spans="1:7" x14ac:dyDescent="0.25">
      <c r="B43" s="114"/>
      <c r="C43" s="110"/>
      <c r="D43" s="111"/>
      <c r="E43" s="68"/>
      <c r="F43" s="112"/>
      <c r="G43" s="113"/>
    </row>
    <row r="44" spans="1:7" x14ac:dyDescent="0.25">
      <c r="B44" s="67"/>
      <c r="C44" s="3"/>
      <c r="D44" s="6"/>
      <c r="E44" s="68"/>
      <c r="F44" s="64"/>
      <c r="G44" s="65"/>
    </row>
    <row r="62" spans="24:25" x14ac:dyDescent="0.25">
      <c r="X62">
        <f t="shared" ref="X62" si="0">X61+1</f>
        <v>1</v>
      </c>
      <c r="Y62">
        <f t="shared" ref="Y62" si="1">Y61-1</f>
        <v>-1</v>
      </c>
    </row>
    <row r="63" spans="24:25" x14ac:dyDescent="0.25">
      <c r="X63">
        <f t="shared" ref="X63" si="2">X62+1</f>
        <v>2</v>
      </c>
      <c r="Y63">
        <f t="shared" ref="Y63" si="3">Y62-1</f>
        <v>-2</v>
      </c>
    </row>
    <row r="64" spans="24:25" x14ac:dyDescent="0.25">
      <c r="X64">
        <f t="shared" ref="X64" si="4">X63+1</f>
        <v>3</v>
      </c>
      <c r="Y64">
        <f t="shared" ref="Y64" si="5">Y63-1</f>
        <v>-3</v>
      </c>
    </row>
    <row r="65" spans="24:25" x14ac:dyDescent="0.25">
      <c r="X65">
        <f t="shared" ref="X65" si="6">X64+1</f>
        <v>4</v>
      </c>
      <c r="Y65">
        <f t="shared" ref="Y65" si="7">Y64-1</f>
        <v>-4</v>
      </c>
    </row>
  </sheetData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335FD-18EB-451A-BDA3-1611C02F5D63}">
  <dimension ref="A1:G5"/>
  <sheetViews>
    <sheetView workbookViewId="0">
      <selection activeCell="A5" sqref="A5"/>
    </sheetView>
  </sheetViews>
  <sheetFormatPr baseColWidth="10" defaultRowHeight="15" x14ac:dyDescent="0.25"/>
  <cols>
    <col min="1" max="1" width="17.5703125" bestFit="1" customWidth="1"/>
    <col min="5" max="5" width="15.42578125" bestFit="1" customWidth="1"/>
  </cols>
  <sheetData>
    <row r="1" spans="1:7" x14ac:dyDescent="0.25">
      <c r="A1" t="s">
        <v>1176</v>
      </c>
      <c r="C1" t="s">
        <v>1177</v>
      </c>
      <c r="E1" t="s">
        <v>1460</v>
      </c>
      <c r="G1" t="s">
        <v>1461</v>
      </c>
    </row>
    <row r="3" spans="1:7" x14ac:dyDescent="0.25">
      <c r="A3" t="s">
        <v>1404</v>
      </c>
    </row>
    <row r="4" spans="1:7" x14ac:dyDescent="0.25">
      <c r="A4" t="s">
        <v>1435</v>
      </c>
      <c r="C4" t="s">
        <v>1441</v>
      </c>
    </row>
    <row r="5" spans="1:7" x14ac:dyDescent="0.25">
      <c r="A5" t="s">
        <v>1437</v>
      </c>
      <c r="C5" t="s">
        <v>1462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Spieler</vt:lpstr>
      <vt:lpstr>Tore &amp; Assists</vt:lpstr>
      <vt:lpstr>Meister</vt:lpstr>
      <vt:lpstr>WM Ligue 1</vt:lpstr>
      <vt:lpstr>Mercato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joffrey mayer</dc:creator>
  <cp:lastModifiedBy>joffrey mayer</cp:lastModifiedBy>
  <dcterms:created xsi:type="dcterms:W3CDTF">2018-09-21T21:43:04Z</dcterms:created>
  <dcterms:modified xsi:type="dcterms:W3CDTF">2021-02-22T07:51:43Z</dcterms:modified>
</cp:coreProperties>
</file>