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Desktop/Excel_A/"/>
    </mc:Choice>
  </mc:AlternateContent>
  <xr:revisionPtr revIDLastSave="0" documentId="8_{EB35A5FC-63FD-DF45-9B8A-463855CD6410}" xr6:coauthVersionLast="47" xr6:coauthVersionMax="47" xr10:uidLastSave="{00000000-0000-0000-0000-000000000000}"/>
  <bookViews>
    <workbookView xWindow="0" yWindow="500" windowWidth="28660" windowHeight="16140" activeTab="13" xr2:uid="{94B27A26-0BE2-2749-9CB3-90644F662F1D}"/>
  </bookViews>
  <sheets>
    <sheet name="DATOS" sheetId="1" r:id="rId1"/>
    <sheet name="Datos 1" sheetId="11" r:id="rId2"/>
    <sheet name="Datos 2" sheetId="12" r:id="rId3"/>
    <sheet name="Datos 3" sheetId="13" r:id="rId4"/>
    <sheet name="Consolidado" sheetId="14" r:id="rId5"/>
    <sheet name="Hoja2" sheetId="7" r:id="rId6"/>
    <sheet name="Hoja7" sheetId="10" r:id="rId7"/>
    <sheet name="Hoja5" sheetId="8" r:id="rId8"/>
    <sheet name="Hoja6" sheetId="9" r:id="rId9"/>
    <sheet name="Hoja3" sheetId="3" r:id="rId10"/>
    <sheet name="Hoja4" sheetId="4" r:id="rId11"/>
    <sheet name="Ejercicio" sheetId="2" r:id="rId12"/>
    <sheet name="Ejercicio_2" sheetId="6" r:id="rId13"/>
    <sheet name="Ejercicio_1" sheetId="5" r:id="rId14"/>
  </sheets>
  <definedNames>
    <definedName name="_xlnm._FilterDatabase" localSheetId="0" hidden="1">DATOS!$D$385:$G$406</definedName>
    <definedName name="datos" localSheetId="5">Hoja2!$A$1:$B$35</definedName>
    <definedName name="datos" localSheetId="7">Hoja5!$A$1:$F$23</definedName>
    <definedName name="datos" localSheetId="6">Hoja7!$A$1:$G$35</definedName>
    <definedName name="dolar" localSheetId="9">Hoja3!$A$1:$H$31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3" i="1" l="1"/>
  <c r="O414" i="1"/>
  <c r="O415" i="1"/>
  <c r="O416" i="1"/>
  <c r="O411" i="1"/>
  <c r="H412" i="1"/>
  <c r="K412" i="1" s="1"/>
  <c r="H413" i="1"/>
  <c r="H414" i="1"/>
  <c r="H415" i="1"/>
  <c r="H416" i="1"/>
  <c r="K416" i="1" s="1"/>
  <c r="H411" i="1"/>
  <c r="K411" i="1" s="1"/>
  <c r="L414" i="1"/>
  <c r="L415" i="1"/>
  <c r="L412" i="1"/>
  <c r="O412" i="1" s="1"/>
  <c r="L413" i="1"/>
  <c r="L411" i="1"/>
  <c r="K413" i="1"/>
  <c r="K414" i="1"/>
  <c r="K415" i="1"/>
  <c r="I389" i="1"/>
  <c r="G407" i="1"/>
  <c r="C3" i="14"/>
  <c r="C4" i="14"/>
  <c r="C5" i="14"/>
  <c r="C6" i="14"/>
  <c r="C7" i="14"/>
  <c r="C8" i="14"/>
  <c r="C9" i="14"/>
  <c r="C2" i="14"/>
  <c r="D375" i="1" a="1"/>
  <c r="D375" i="1" s="1"/>
  <c r="I14" i="10"/>
  <c r="H15" i="10"/>
  <c r="I15" i="10"/>
  <c r="H16" i="10"/>
  <c r="I16" i="10" s="1"/>
  <c r="H17" i="10"/>
  <c r="I17" i="10"/>
  <c r="H18" i="10"/>
  <c r="I18" i="10" s="1"/>
  <c r="H19" i="10"/>
  <c r="I19" i="10"/>
  <c r="H20" i="10"/>
  <c r="I20" i="10"/>
  <c r="H21" i="10"/>
  <c r="I21" i="10"/>
  <c r="H22" i="10"/>
  <c r="I22" i="10" s="1"/>
  <c r="H23" i="10"/>
  <c r="I23" i="10"/>
  <c r="H24" i="10"/>
  <c r="I24" i="10"/>
  <c r="H25" i="10"/>
  <c r="I25" i="10"/>
  <c r="H26" i="10"/>
  <c r="I26" i="10" s="1"/>
  <c r="H27" i="10"/>
  <c r="I27" i="10"/>
  <c r="H28" i="10"/>
  <c r="I28" i="10"/>
  <c r="H29" i="10"/>
  <c r="I29" i="10"/>
  <c r="H30" i="10"/>
  <c r="I30" i="10" s="1"/>
  <c r="H31" i="10"/>
  <c r="I31" i="10"/>
  <c r="H32" i="10"/>
  <c r="I32" i="10"/>
  <c r="H33" i="10"/>
  <c r="I33" i="10"/>
  <c r="H34" i="10"/>
  <c r="I34" i="10" s="1"/>
  <c r="H35" i="10"/>
  <c r="I35" i="10"/>
  <c r="H14" i="10"/>
  <c r="E351" i="1"/>
  <c r="D355" i="1"/>
  <c r="E352" i="1" s="1"/>
  <c r="H360" i="1"/>
  <c r="M361" i="1"/>
  <c r="N361" i="1"/>
  <c r="M362" i="1"/>
  <c r="N362" i="1"/>
  <c r="M363" i="1"/>
  <c r="N363" i="1"/>
  <c r="M364" i="1"/>
  <c r="N364" i="1"/>
  <c r="M365" i="1"/>
  <c r="N365" i="1"/>
  <c r="N360" i="1"/>
  <c r="M360" i="1"/>
  <c r="J361" i="1"/>
  <c r="J362" i="1"/>
  <c r="J363" i="1"/>
  <c r="J364" i="1"/>
  <c r="J365" i="1"/>
  <c r="I361" i="1"/>
  <c r="I362" i="1"/>
  <c r="I363" i="1"/>
  <c r="I364" i="1"/>
  <c r="I365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I345" i="1"/>
  <c r="I346" i="1" s="1"/>
  <c r="D342" i="1"/>
  <c r="D344" i="1" s="1"/>
  <c r="H344" i="1"/>
  <c r="H343" i="1"/>
  <c r="H342" i="1"/>
  <c r="F342" i="1"/>
  <c r="G333" i="1"/>
  <c r="H333" i="1" s="1"/>
  <c r="F337" i="1"/>
  <c r="E337" i="1"/>
  <c r="H329" i="1"/>
  <c r="H330" i="1"/>
  <c r="H331" i="1"/>
  <c r="H332" i="1"/>
  <c r="H328" i="1"/>
  <c r="F329" i="1"/>
  <c r="F330" i="1"/>
  <c r="F331" i="1"/>
  <c r="F332" i="1"/>
  <c r="F333" i="1"/>
  <c r="F334" i="1"/>
  <c r="F328" i="1"/>
  <c r="F338" i="1" s="1"/>
  <c r="O34" i="6"/>
  <c r="O33" i="6"/>
  <c r="P33" i="6"/>
  <c r="O32" i="6"/>
  <c r="O31" i="6"/>
  <c r="P30" i="6"/>
  <c r="O30" i="6"/>
  <c r="O29" i="6"/>
  <c r="M28" i="6"/>
  <c r="M27" i="6"/>
  <c r="M26" i="6"/>
  <c r="M25" i="6"/>
  <c r="E23" i="6"/>
  <c r="K7" i="5"/>
  <c r="D18" i="5"/>
  <c r="D17" i="5"/>
  <c r="E11" i="5"/>
  <c r="D15" i="5"/>
  <c r="D14" i="5"/>
  <c r="D13" i="5"/>
  <c r="D12" i="5"/>
  <c r="D11" i="5"/>
  <c r="L416" i="1" l="1"/>
  <c r="E350" i="1"/>
  <c r="E354" i="1"/>
  <c r="E353" i="1"/>
  <c r="H365" i="1"/>
  <c r="K365" i="1" s="1"/>
  <c r="H363" i="1"/>
  <c r="K363" i="1" s="1"/>
  <c r="H362" i="1"/>
  <c r="K362" i="1" s="1"/>
  <c r="H364" i="1"/>
  <c r="K364" i="1" s="1"/>
  <c r="H361" i="1"/>
  <c r="K361" i="1" s="1"/>
  <c r="K360" i="1"/>
  <c r="D346" i="1"/>
  <c r="I2" i="3"/>
  <c r="H296" i="1"/>
  <c r="I291" i="1"/>
  <c r="H292" i="1"/>
  <c r="H291" i="1"/>
  <c r="G293" i="1"/>
  <c r="M2" i="3"/>
  <c r="H262" i="1"/>
  <c r="H263" i="1"/>
  <c r="H264" i="1"/>
  <c r="H265" i="1"/>
  <c r="H266" i="1"/>
  <c r="H267" i="1"/>
  <c r="H261" i="1"/>
  <c r="E206" i="1"/>
  <c r="F199" i="1" s="1"/>
  <c r="G187" i="1"/>
  <c r="G188" i="1"/>
  <c r="G189" i="1"/>
  <c r="G190" i="1"/>
  <c r="G191" i="1"/>
  <c r="G192" i="1"/>
  <c r="G193" i="1"/>
  <c r="F187" i="1"/>
  <c r="F188" i="1"/>
  <c r="F189" i="1"/>
  <c r="F190" i="1"/>
  <c r="F191" i="1"/>
  <c r="F192" i="1"/>
  <c r="F193" i="1"/>
  <c r="D182" i="1"/>
  <c r="G177" i="1"/>
  <c r="F168" i="1"/>
  <c r="F169" i="1"/>
  <c r="F170" i="1"/>
  <c r="F171" i="1"/>
  <c r="F172" i="1"/>
  <c r="F173" i="1"/>
  <c r="F167" i="1"/>
  <c r="D163" i="1"/>
  <c r="D161" i="1"/>
  <c r="F153" i="1"/>
  <c r="F154" i="1"/>
  <c r="F155" i="1"/>
  <c r="F156" i="1"/>
  <c r="F157" i="1"/>
  <c r="F158" i="1"/>
  <c r="G146" i="1"/>
  <c r="G147" i="1"/>
  <c r="G148" i="1"/>
  <c r="G149" i="1"/>
  <c r="G145" i="1"/>
  <c r="F139" i="1"/>
  <c r="F140" i="1"/>
  <c r="F141" i="1"/>
  <c r="F142" i="1"/>
  <c r="F138" i="1"/>
  <c r="F133" i="1"/>
  <c r="F130" i="1"/>
  <c r="F127" i="1"/>
  <c r="F126" i="1"/>
  <c r="J116" i="1"/>
  <c r="J115" i="1"/>
  <c r="F120" i="1"/>
  <c r="F121" i="1"/>
  <c r="F122" i="1"/>
  <c r="F123" i="1"/>
  <c r="F119" i="1"/>
  <c r="F115" i="1"/>
  <c r="F114" i="1"/>
  <c r="I109" i="1"/>
  <c r="F107" i="1"/>
  <c r="G107" i="1"/>
  <c r="E107" i="1"/>
  <c r="D9" i="1"/>
  <c r="K107" i="1"/>
  <c r="I107" i="1"/>
  <c r="E92" i="1"/>
  <c r="E93" i="1"/>
  <c r="E94" i="1"/>
  <c r="E95" i="1"/>
  <c r="E96" i="1"/>
  <c r="E91" i="1"/>
  <c r="F84" i="1"/>
  <c r="D87" i="1"/>
  <c r="D86" i="1"/>
  <c r="D85" i="1"/>
  <c r="D84" i="1"/>
  <c r="J71" i="1" a="1"/>
  <c r="J71" i="1" s="1"/>
  <c r="D68" i="1" a="1"/>
  <c r="D68" i="1" s="1"/>
  <c r="D58" i="1" a="1"/>
  <c r="D58" i="1" s="1"/>
  <c r="D49" i="1"/>
  <c r="H44" i="1"/>
  <c r="E31" i="1"/>
  <c r="D31" i="1"/>
  <c r="D8" i="1"/>
  <c r="D20" i="1"/>
  <c r="D19" i="1"/>
  <c r="N10" i="1"/>
  <c r="O10" i="1" s="1"/>
  <c r="P10" i="1" s="1"/>
  <c r="O4" i="1"/>
  <c r="M5" i="1"/>
  <c r="M4" i="1"/>
  <c r="M3" i="1"/>
  <c r="M2" i="1"/>
  <c r="N9" i="1"/>
  <c r="E9" i="1"/>
  <c r="E10" i="1"/>
  <c r="E11" i="1"/>
  <c r="E12" i="1"/>
  <c r="E8" i="1"/>
  <c r="D10" i="1"/>
  <c r="D11" i="1"/>
  <c r="D12" i="1"/>
  <c r="E355" i="1" l="1"/>
  <c r="L361" i="1"/>
  <c r="O361" i="1" s="1"/>
  <c r="L364" i="1"/>
  <c r="O364" i="1" s="1"/>
  <c r="L362" i="1"/>
  <c r="O362" i="1" s="1"/>
  <c r="L363" i="1"/>
  <c r="O363" i="1" s="1"/>
  <c r="L365" i="1"/>
  <c r="O365" i="1" s="1"/>
  <c r="L360" i="1"/>
  <c r="O360" i="1" s="1"/>
  <c r="F198" i="1"/>
  <c r="F205" i="1"/>
  <c r="F204" i="1"/>
  <c r="H177" i="1"/>
  <c r="F203" i="1"/>
  <c r="F202" i="1"/>
  <c r="F201" i="1"/>
  <c r="F200" i="1"/>
  <c r="E15" i="1"/>
  <c r="D15" i="1"/>
  <c r="D14" i="1"/>
  <c r="D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90308-AEF2-3B46-B119-858BE53A37B5}" name="datos" type="6" refreshedVersion="8" background="1" saveData="1">
    <textPr sourceFile="/Users/joaquinfsanchez/Desktop/datos.csv" decimal="," thousands="." tab="0" space="1" consecutive="1">
      <textFields>
        <textField/>
      </textFields>
    </textPr>
  </connection>
  <connection id="2" xr16:uid="{817A5762-3E9D-6B44-849C-6A42105626DB}" name="datos1" type="6" refreshedVersion="8" background="1" saveData="1">
    <textPr sourceFile="/Users/joaquinfsanchez/Desktop/datos.csv" decimal="," thousands="." space="1" semicolon="1" consecutive="1">
      <textFields count="6">
        <textField/>
        <textField/>
        <textField/>
        <textField/>
        <textField/>
        <textField/>
      </textFields>
    </textPr>
  </connection>
  <connection id="3" xr16:uid="{32CCF8DB-A737-7B45-8BCD-4A166D7B6F7E}" name="datos2" type="6" refreshedVersion="8" background="1" saveData="1">
    <textPr sourceFile="/Users/joaquinfsanchez/Desktop/datos.csv" decimal="," thousands="." qualifier="singleQuote" delimiter="_x0000_">
      <textFields count="7">
        <textField/>
        <textField/>
        <textField/>
        <textField/>
        <textField/>
        <textField/>
        <textField/>
      </textFields>
    </textPr>
  </connection>
  <connection id="4" xr16:uid="{9915DCE1-D562-2142-9911-3239BA9794EC}" name="dolar" type="6" refreshedVersion="8" background="1" saveData="1">
    <textPr sourceFile="/Users/joaquinfsanchez/Desktop/dolar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<sst xmlns="http://schemas.openxmlformats.org/spreadsheetml/2006/main" count="904" uniqueCount="347">
  <si>
    <t>a</t>
  </si>
  <si>
    <t>Texto</t>
  </si>
  <si>
    <t>q</t>
  </si>
  <si>
    <t>b</t>
  </si>
  <si>
    <t>c</t>
  </si>
  <si>
    <t>d</t>
  </si>
  <si>
    <t>e</t>
  </si>
  <si>
    <t>Naturales</t>
  </si>
  <si>
    <t>1 hasta infinito</t>
  </si>
  <si>
    <t>Enteros</t>
  </si>
  <si>
    <t>Z</t>
  </si>
  <si>
    <t>menos infinoto hasta infinito</t>
  </si>
  <si>
    <t>Racionales</t>
  </si>
  <si>
    <t>Q</t>
  </si>
  <si>
    <t>Reales</t>
  </si>
  <si>
    <t>R</t>
  </si>
  <si>
    <t>a/b Decimales</t>
  </si>
  <si>
    <t>4.2</t>
  </si>
  <si>
    <t>Total 1 SUMA</t>
  </si>
  <si>
    <t>Total 2 SUMA</t>
  </si>
  <si>
    <t>Total Mult</t>
  </si>
  <si>
    <t>División</t>
  </si>
  <si>
    <t>Sumar SI</t>
  </si>
  <si>
    <t>Sumar SI Conjunto</t>
  </si>
  <si>
    <t>Nombre</t>
  </si>
  <si>
    <t>Cantidad</t>
  </si>
  <si>
    <t>Precio</t>
  </si>
  <si>
    <t>Ventas</t>
  </si>
  <si>
    <t>P</t>
  </si>
  <si>
    <t>F</t>
  </si>
  <si>
    <t>Al</t>
  </si>
  <si>
    <t>G</t>
  </si>
  <si>
    <t>C</t>
  </si>
  <si>
    <t>L</t>
  </si>
  <si>
    <t>Cr</t>
  </si>
  <si>
    <t>MMUL</t>
  </si>
  <si>
    <t>Matriz 1</t>
  </si>
  <si>
    <t>Matriz 2</t>
  </si>
  <si>
    <t>M1</t>
  </si>
  <si>
    <t>M2</t>
  </si>
  <si>
    <t>M3</t>
  </si>
  <si>
    <t>Entero</t>
  </si>
  <si>
    <t>Bool</t>
  </si>
  <si>
    <t>T</t>
  </si>
  <si>
    <t>Promedio</t>
  </si>
  <si>
    <t>Manejo de Texto</t>
  </si>
  <si>
    <t>Prismacolor</t>
  </si>
  <si>
    <t xml:space="preserve">Nombre </t>
  </si>
  <si>
    <t>Apellido</t>
  </si>
  <si>
    <t>Camilo</t>
  </si>
  <si>
    <t>Guzman</t>
  </si>
  <si>
    <t xml:space="preserve">Lucia </t>
  </si>
  <si>
    <t>Rincon</t>
  </si>
  <si>
    <t>Diana</t>
  </si>
  <si>
    <t>Fajardo</t>
  </si>
  <si>
    <t xml:space="preserve">Fernando </t>
  </si>
  <si>
    <t>Ramirez</t>
  </si>
  <si>
    <t xml:space="preserve">Mariela </t>
  </si>
  <si>
    <t>Guztierrez</t>
  </si>
  <si>
    <t>Con espacio</t>
  </si>
  <si>
    <t>Sin espacio</t>
  </si>
  <si>
    <t>1 2 3 4</t>
  </si>
  <si>
    <t>Concatenar</t>
  </si>
  <si>
    <t>LARGO</t>
  </si>
  <si>
    <t>Un Familia  corre</t>
  </si>
  <si>
    <t xml:space="preserve">HolaMundo      </t>
  </si>
  <si>
    <t>Sustituir</t>
  </si>
  <si>
    <t>Las Flores se marchitan</t>
  </si>
  <si>
    <t>Conjuntos de IDs:</t>
  </si>
  <si>
    <t>ID 1</t>
  </si>
  <si>
    <t>ID 2</t>
  </si>
  <si>
    <t>Remplazar</t>
  </si>
  <si>
    <t>Una Familia corre</t>
  </si>
  <si>
    <t>Funciones de Logicas</t>
  </si>
  <si>
    <t>Calificacion</t>
  </si>
  <si>
    <t>M</t>
  </si>
  <si>
    <t>Ca</t>
  </si>
  <si>
    <t>Jua</t>
  </si>
  <si>
    <t>Ale</t>
  </si>
  <si>
    <t>Decisión</t>
  </si>
  <si>
    <t>Asistencia</t>
  </si>
  <si>
    <t>Asignatura</t>
  </si>
  <si>
    <t>Artes</t>
  </si>
  <si>
    <t>Sociologia</t>
  </si>
  <si>
    <t>Musica</t>
  </si>
  <si>
    <t>Tam</t>
  </si>
  <si>
    <t>Función Y</t>
  </si>
  <si>
    <t>Función O</t>
  </si>
  <si>
    <t>Datos</t>
  </si>
  <si>
    <t>Fecha</t>
  </si>
  <si>
    <t>Cam P</t>
  </si>
  <si>
    <t>Inspe</t>
  </si>
  <si>
    <t>Inve</t>
  </si>
  <si>
    <t>revision</t>
  </si>
  <si>
    <t>Capaci</t>
  </si>
  <si>
    <t>Mante</t>
  </si>
  <si>
    <t>Fecha de inicio</t>
  </si>
  <si>
    <t>Fecha de terminacion</t>
  </si>
  <si>
    <t>Valor mensual</t>
  </si>
  <si>
    <t>Valor diario</t>
  </si>
  <si>
    <t>Año</t>
  </si>
  <si>
    <t>Fin de mes</t>
  </si>
  <si>
    <t>Graficas</t>
  </si>
  <si>
    <t>Numero</t>
  </si>
  <si>
    <t>Rosas</t>
  </si>
  <si>
    <t>Orquideas</t>
  </si>
  <si>
    <t>Claveles</t>
  </si>
  <si>
    <t>Lirio</t>
  </si>
  <si>
    <t>margarita</t>
  </si>
  <si>
    <t>Dalia</t>
  </si>
  <si>
    <t>Girasoles</t>
  </si>
  <si>
    <t>Tulipanes</t>
  </si>
  <si>
    <t>Porcentaje</t>
  </si>
  <si>
    <t>Total</t>
  </si>
  <si>
    <t>Grafico de Barras</t>
  </si>
  <si>
    <t>Lunes</t>
  </si>
  <si>
    <t>Martes</t>
  </si>
  <si>
    <t>Miercoles</t>
  </si>
  <si>
    <t>Jueves</t>
  </si>
  <si>
    <t>Viernes</t>
  </si>
  <si>
    <t>Sabado</t>
  </si>
  <si>
    <t>Domingo</t>
  </si>
  <si>
    <t>Alumno</t>
  </si>
  <si>
    <t>Clase</t>
  </si>
  <si>
    <t>Orientación</t>
  </si>
  <si>
    <t>Nota</t>
  </si>
  <si>
    <t>Pablo</t>
  </si>
  <si>
    <t>A</t>
  </si>
  <si>
    <t>Letras</t>
  </si>
  <si>
    <t>Santiago</t>
  </si>
  <si>
    <t>B</t>
  </si>
  <si>
    <t>Ciencias</t>
  </si>
  <si>
    <t>Raúl</t>
  </si>
  <si>
    <t>Ignacio</t>
  </si>
  <si>
    <t>Manuel</t>
  </si>
  <si>
    <t>Enrique</t>
  </si>
  <si>
    <t>Ramón</t>
  </si>
  <si>
    <t>Pedro</t>
  </si>
  <si>
    <t>Javier</t>
  </si>
  <si>
    <t>Hallar la nota media de los alumnos.</t>
  </si>
  <si>
    <t>Hallar la nota máxima obtenida.</t>
  </si>
  <si>
    <t>Hallar la nota más baja obtenida.</t>
  </si>
  <si>
    <t>Contar el número de alumnos participantes.</t>
  </si>
  <si>
    <t>Hallar la nota media para cada orientación académica.</t>
  </si>
  <si>
    <t>Hallar la nota media para cada clase.</t>
  </si>
  <si>
    <t>Contar el número de personas que han sacado una nota igual o superior a 7.</t>
  </si>
  <si>
    <t>ID</t>
  </si>
  <si>
    <t>Edad</t>
  </si>
  <si>
    <t>Departamento</t>
  </si>
  <si>
    <t>Jornada (horas)</t>
  </si>
  <si>
    <t>ID1</t>
  </si>
  <si>
    <t>Dept1</t>
  </si>
  <si>
    <t>ID2</t>
  </si>
  <si>
    <t>Dept3</t>
  </si>
  <si>
    <t>ID3</t>
  </si>
  <si>
    <t>ID4</t>
  </si>
  <si>
    <t>Dept6</t>
  </si>
  <si>
    <t>ID5</t>
  </si>
  <si>
    <t>ID6</t>
  </si>
  <si>
    <t>Dept5</t>
  </si>
  <si>
    <t>ID7</t>
  </si>
  <si>
    <t>ID8</t>
  </si>
  <si>
    <t>ID9</t>
  </si>
  <si>
    <t>ID10</t>
  </si>
  <si>
    <t>ID11</t>
  </si>
  <si>
    <t>ID12</t>
  </si>
  <si>
    <t>ID13</t>
  </si>
  <si>
    <t>Dept4</t>
  </si>
  <si>
    <t>ID14</t>
  </si>
  <si>
    <t>Dept2</t>
  </si>
  <si>
    <t>ID15</t>
  </si>
  <si>
    <t>Número de comerciales de la lista. Utiliza la función CONTAR.</t>
  </si>
  <si>
    <t>Edad media de los comerciales. Utiliza la función PROMEDIO.</t>
  </si>
  <si>
    <t>Jornada media de los empleados. Utiliza la función PROMEDIO.</t>
  </si>
  <si>
    <t>Suma de las ventas realizadas. Utiliza la función SUMA.</t>
  </si>
  <si>
    <t>Número de comerciales en el departamento 1 (Dept1). Utiliza la función CONTAR.SI.</t>
  </si>
  <si>
    <t>Media de edad de los comerciales del departamento 2 (Dept2). Utiliza la función PROMEDIO.SI.</t>
  </si>
  <si>
    <t>Suma de las ventas de los empleados del departament 3 (Dept3). Utiliza la función SUMA.SI.</t>
  </si>
  <si>
    <t>Suma de las ventas de los empleados del Departamento 4 y 5 (Dept4 y Dept5). Utiliza la función SUMA.SI dos veces.</t>
  </si>
  <si>
    <t>Media de las ventas de los empleados mayores de 40 años. Utiliza la función PROMEDIO.SI.</t>
  </si>
  <si>
    <t>DATOS</t>
  </si>
  <si>
    <t>Grafica de lineas</t>
  </si>
  <si>
    <t>Días de Enero</t>
  </si>
  <si>
    <t>Valor</t>
  </si>
  <si>
    <t>de</t>
  </si>
  <si>
    <t>Enero</t>
  </si>
  <si>
    <t>del</t>
  </si>
  <si>
    <t>$</t>
  </si>
  <si>
    <t>4,632.20</t>
  </si>
  <si>
    <t>4,548.50</t>
  </si>
  <si>
    <t>S√°bado</t>
  </si>
  <si>
    <t>4,531.75</t>
  </si>
  <si>
    <t>4,538.91</t>
  </si>
  <si>
    <t>Mi√©rcoles</t>
  </si>
  <si>
    <t>4,545.94</t>
  </si>
  <si>
    <t>4,551.02</t>
  </si>
  <si>
    <t>4,631.64</t>
  </si>
  <si>
    <t>4,683.85</t>
  </si>
  <si>
    <t>4,702.67</t>
  </si>
  <si>
    <t>4,691.09</t>
  </si>
  <si>
    <t>4,693.99</t>
  </si>
  <si>
    <t>4,692.04</t>
  </si>
  <si>
    <t>4,748.54</t>
  </si>
  <si>
    <t>4,807.85</t>
  </si>
  <si>
    <t>4,885.66</t>
  </si>
  <si>
    <t>4,989.58</t>
  </si>
  <si>
    <t>4,924.00</t>
  </si>
  <si>
    <t>4,842.26</t>
  </si>
  <si>
    <t>4,810.20</t>
  </si>
  <si>
    <t>Dia</t>
  </si>
  <si>
    <t>PRECIO DEL DÓLAR POR DÍA</t>
  </si>
  <si>
    <t>Martes 31 de Enero del 2023</t>
  </si>
  <si>
    <t>Lunes 30 de Enero del 2023</t>
  </si>
  <si>
    <t>Domingo 29 de Enero del 2023</t>
  </si>
  <si>
    <t>Sábado 28 de Enero del 2023</t>
  </si>
  <si>
    <t>Viernes 27 de Enero del 2023</t>
  </si>
  <si>
    <t>Jueves 26 de Enero del 2023</t>
  </si>
  <si>
    <t>Miércoles 25 de Enero del 2023</t>
  </si>
  <si>
    <t>Martes 24 de Enero del 2023</t>
  </si>
  <si>
    <t>Lunes 23 de Enero del 2023</t>
  </si>
  <si>
    <t>Domingo 22 de Enero del 2023</t>
  </si>
  <si>
    <t>Sábado 21 de Enero del 2023</t>
  </si>
  <si>
    <t>Viernes 20 de Enero del 2023</t>
  </si>
  <si>
    <t>Jueves 19 de Enero del 2023</t>
  </si>
  <si>
    <t>Miércoles 18 de Enero del 2023</t>
  </si>
  <si>
    <t>Martes 17 de Enero del 2023</t>
  </si>
  <si>
    <t>Lunes 16 de Enero del 2023</t>
  </si>
  <si>
    <t>Domingo 15 de Enero del 2023</t>
  </si>
  <si>
    <t>Sábado 14 de Enero del 2023</t>
  </si>
  <si>
    <t>Viernes 13 de Enero del 2023</t>
  </si>
  <si>
    <t>Jueves 12 de Enero del 2023</t>
  </si>
  <si>
    <t>Miércoles 11 de Enero del 2023</t>
  </si>
  <si>
    <t>Martes 10 de Enero del 2023</t>
  </si>
  <si>
    <t>Lunes 9 de Enero del 2023</t>
  </si>
  <si>
    <t>Domingo 8 de Enero del 2023</t>
  </si>
  <si>
    <t>Sábado 7 de Enero del 2023</t>
  </si>
  <si>
    <t>Viernes 6 de Enero del 2023</t>
  </si>
  <si>
    <t>Jueves 5 de Enero del 2023</t>
  </si>
  <si>
    <t>Miércoles 4 de Enero del 2023</t>
  </si>
  <si>
    <t>Martes 3 de Enero del 2023</t>
  </si>
  <si>
    <t>Lunes 2 de Enero del 2023</t>
  </si>
  <si>
    <t>MAX</t>
  </si>
  <si>
    <t>MIN</t>
  </si>
  <si>
    <t>Máximo</t>
  </si>
  <si>
    <t>Mínimo</t>
  </si>
  <si>
    <t>Contar</t>
  </si>
  <si>
    <t>Suma</t>
  </si>
  <si>
    <t>Media de la jornada de los empleados que venden más de  $ 1.500 . Utiliza la función PROMEDIO.SI.</t>
  </si>
  <si>
    <t>Suma de las ventas mayores de  $1.200 . Utiliza la función SUMAR.SI</t>
  </si>
  <si>
    <t>Cambiar tipo de dato</t>
  </si>
  <si>
    <t>Calificación</t>
  </si>
  <si>
    <t>Ma</t>
  </si>
  <si>
    <t>Manu</t>
  </si>
  <si>
    <t>Carmela</t>
  </si>
  <si>
    <t>Feli</t>
  </si>
  <si>
    <t>Tat</t>
  </si>
  <si>
    <t>Sandra</t>
  </si>
  <si>
    <t>Carolina</t>
  </si>
  <si>
    <t>Romano</t>
  </si>
  <si>
    <t>Suma Romano</t>
  </si>
  <si>
    <t>6/03/2023  7:09:00pm</t>
  </si>
  <si>
    <t>Notas</t>
  </si>
  <si>
    <t>Alumnos</t>
  </si>
  <si>
    <t>N1</t>
  </si>
  <si>
    <t>N2</t>
  </si>
  <si>
    <t>N3</t>
  </si>
  <si>
    <t>Promedio N</t>
  </si>
  <si>
    <t>Parcial</t>
  </si>
  <si>
    <t>proyecto</t>
  </si>
  <si>
    <t>Def 1</t>
  </si>
  <si>
    <t>D</t>
  </si>
  <si>
    <t>E</t>
  </si>
  <si>
    <t>Acumulado</t>
  </si>
  <si>
    <t>Def</t>
  </si>
  <si>
    <t>Def2</t>
  </si>
  <si>
    <t>Def 3</t>
  </si>
  <si>
    <t>Def Total</t>
  </si>
  <si>
    <t>√öltimo</t>
  </si>
  <si>
    <t>Apertura</t>
  </si>
  <si>
    <t>M√°ximo</t>
  </si>
  <si>
    <t>M√≠nimo</t>
  </si>
  <si>
    <t>Vol.</t>
  </si>
  <si>
    <t>%</t>
  </si>
  <si>
    <t>var.</t>
  </si>
  <si>
    <t>06.03.2023</t>
  </si>
  <si>
    <t>-0.08%</t>
  </si>
  <si>
    <t>05.03.2023</t>
  </si>
  <si>
    <t>+0.09%</t>
  </si>
  <si>
    <t>03.03.2023</t>
  </si>
  <si>
    <t>-0.57%</t>
  </si>
  <si>
    <t>02.03.2023</t>
  </si>
  <si>
    <t>-0.33%</t>
  </si>
  <si>
    <t>01.03.2023</t>
  </si>
  <si>
    <t>-0.59%</t>
  </si>
  <si>
    <t>28.02.2023</t>
  </si>
  <si>
    <t>+2.07%</t>
  </si>
  <si>
    <t>27.02.2023</t>
  </si>
  <si>
    <t>-1.64%</t>
  </si>
  <si>
    <t>24.02.2023</t>
  </si>
  <si>
    <t>-0.37%</t>
  </si>
  <si>
    <t>23.02.2023</t>
  </si>
  <si>
    <t>-0.78%</t>
  </si>
  <si>
    <t>22.02.2023</t>
  </si>
  <si>
    <t>-1.21%</t>
  </si>
  <si>
    <t>21.02.2023</t>
  </si>
  <si>
    <t>+0.80%</t>
  </si>
  <si>
    <t>20.02.2023</t>
  </si>
  <si>
    <t>+0.30%</t>
  </si>
  <si>
    <t>17.02.2023</t>
  </si>
  <si>
    <t>-0.55%</t>
  </si>
  <si>
    <t>16.02.2023</t>
  </si>
  <si>
    <t>+0.63%</t>
  </si>
  <si>
    <t>15.02.2023</t>
  </si>
  <si>
    <t>+3.08%</t>
  </si>
  <si>
    <t>14.02.2023</t>
  </si>
  <si>
    <t>-0.80%</t>
  </si>
  <si>
    <t>13.02.2023</t>
  </si>
  <si>
    <t>-0.25%</t>
  </si>
  <si>
    <t>10.02.2023</t>
  </si>
  <si>
    <t>+1.20%</t>
  </si>
  <si>
    <t>09.02.2023</t>
  </si>
  <si>
    <t>-0.50%</t>
  </si>
  <si>
    <t>08.02.2023</t>
  </si>
  <si>
    <t>+0.85%</t>
  </si>
  <si>
    <t>07.02.2023</t>
  </si>
  <si>
    <t>-1.20%</t>
  </si>
  <si>
    <t>06.02.2023</t>
  </si>
  <si>
    <t>+1.88%</t>
  </si>
  <si>
    <t>Ultimo</t>
  </si>
  <si>
    <t>Último</t>
  </si>
  <si>
    <t>% var.</t>
  </si>
  <si>
    <t>Transponer</t>
  </si>
  <si>
    <t>JU</t>
  </si>
  <si>
    <t>Tomas</t>
  </si>
  <si>
    <t>Caro</t>
  </si>
  <si>
    <t>Federico</t>
  </si>
  <si>
    <t>Deporte</t>
  </si>
  <si>
    <t>Co</t>
  </si>
  <si>
    <t>Na</t>
  </si>
  <si>
    <t>Na R</t>
  </si>
  <si>
    <t>W y R</t>
  </si>
  <si>
    <t>Cantidad 2</t>
  </si>
  <si>
    <t>Subtotales</t>
  </si>
  <si>
    <t>Gioto</t>
  </si>
  <si>
    <t>Cara</t>
  </si>
  <si>
    <t>Lide</t>
  </si>
  <si>
    <t>Crayola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</si>
</sst>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;\-&quot;$&quot;#,##0"/>
    <numFmt numFmtId="8" formatCode="&quot;$&quot;#,##0.00;[Red]\-&quot;$&quot;#,##0.00"/>
    <numFmt numFmtId="42" formatCode="_-&quot;$&quot;* #,##0_-;\-&quot;$&quot;* #,##0_-;_-&quot;$&quot;* &quot;-&quot;_-;_-@_-"/>
    <numFmt numFmtId="164" formatCode="&quot;$&quot;#,##0"/>
    <numFmt numFmtId="165" formatCode="#,##0_ ;\-#,##0\ "/>
    <numFmt numFmtId="166" formatCode="0.0"/>
    <numFmt numFmtId="167" formatCode="[$$-240A]\ #,##0;\-[$$-240A]\ 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0" applyNumberFormat="1"/>
    <xf numFmtId="0" fontId="0" fillId="2" borderId="0" xfId="0" applyFill="1"/>
    <xf numFmtId="5" fontId="0" fillId="0" borderId="1" xfId="1" applyNumberFormat="1" applyFont="1" applyBorder="1"/>
    <xf numFmtId="164" fontId="0" fillId="0" borderId="1" xfId="0" applyNumberFormat="1" applyBorder="1"/>
    <xf numFmtId="0" fontId="0" fillId="0" borderId="4" xfId="0" applyBorder="1"/>
    <xf numFmtId="14" fontId="0" fillId="0" borderId="0" xfId="0" applyNumberFormat="1"/>
    <xf numFmtId="22" fontId="0" fillId="0" borderId="0" xfId="0" applyNumberFormat="1"/>
    <xf numFmtId="42" fontId="0" fillId="0" borderId="0" xfId="1" applyFont="1"/>
    <xf numFmtId="42" fontId="0" fillId="0" borderId="0" xfId="0" applyNumberFormat="1"/>
    <xf numFmtId="14" fontId="0" fillId="0" borderId="1" xfId="0" applyNumberFormat="1" applyBorder="1"/>
    <xf numFmtId="9" fontId="0" fillId="0" borderId="1" xfId="0" applyNumberFormat="1" applyBorder="1"/>
    <xf numFmtId="42" fontId="0" fillId="0" borderId="1" xfId="1" applyFont="1" applyBorder="1"/>
    <xf numFmtId="0" fontId="3" fillId="0" borderId="0" xfId="0" applyFont="1"/>
    <xf numFmtId="8" fontId="4" fillId="0" borderId="0" xfId="1" applyNumberFormat="1" applyFont="1"/>
    <xf numFmtId="8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5" fillId="0" borderId="0" xfId="0" applyFont="1"/>
    <xf numFmtId="0" fontId="6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6" fontId="0" fillId="4" borderId="1" xfId="0" applyNumberFormat="1" applyFill="1" applyBorder="1"/>
    <xf numFmtId="167" fontId="0" fillId="0" borderId="1" xfId="1" applyNumberFormat="1" applyFont="1" applyBorder="1" applyAlignment="1">
      <alignment horizontal="center"/>
    </xf>
    <xf numFmtId="1" fontId="0" fillId="0" borderId="0" xfId="0" applyNumberFormat="1"/>
    <xf numFmtId="167" fontId="0" fillId="0" borderId="0" xfId="0" applyNumberFormat="1"/>
    <xf numFmtId="22" fontId="0" fillId="0" borderId="1" xfId="0" applyNumberFormat="1" applyBorder="1"/>
    <xf numFmtId="9" fontId="0" fillId="0" borderId="0" xfId="2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9" fontId="0" fillId="0" borderId="1" xfId="2" applyFont="1" applyBorder="1"/>
    <xf numFmtId="3" fontId="0" fillId="0" borderId="0" xfId="0" applyNumberFormat="1"/>
    <xf numFmtId="4" fontId="0" fillId="0" borderId="0" xfId="0" applyNumberFormat="1"/>
    <xf numFmtId="4" fontId="0" fillId="0" borderId="1" xfId="0" applyNumberFormat="1" applyBorder="1"/>
  </cellXfs>
  <cellStyles count="3">
    <cellStyle name="Moneda [0]" xfId="1" builtinId="7"/>
    <cellStyle name="Normal" xfId="0" builtinId="0"/>
    <cellStyle name="Porcentaje" xfId="2" builtinId="5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Grafico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DATOS!$D$8:$D$12</c:f>
              <c:numCache>
                <c:formatCode>General</c:formatCode>
                <c:ptCount val="5"/>
                <c:pt idx="0">
                  <c:v>65</c:v>
                </c:pt>
                <c:pt idx="1">
                  <c:v>80</c:v>
                </c:pt>
                <c:pt idx="2">
                  <c:v>94</c:v>
                </c:pt>
                <c:pt idx="3">
                  <c:v>67</c:v>
                </c:pt>
                <c:pt idx="4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2-134F-8176-093B83AE3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389760"/>
        <c:axId val="1063392032"/>
      </c:scatterChart>
      <c:valAx>
        <c:axId val="10633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3392032"/>
        <c:crosses val="autoZero"/>
        <c:crossBetween val="midCat"/>
      </c:valAx>
      <c:valAx>
        <c:axId val="10633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338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DATOS!$D$7</c:f>
              <c:strCache>
                <c:ptCount val="1"/>
                <c:pt idx="0">
                  <c:v>ID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DATOS!$D$8:$D$12</c:f>
              <c:numCache>
                <c:formatCode>General</c:formatCode>
                <c:ptCount val="5"/>
                <c:pt idx="0">
                  <c:v>65</c:v>
                </c:pt>
                <c:pt idx="1">
                  <c:v>80</c:v>
                </c:pt>
                <c:pt idx="2">
                  <c:v>94</c:v>
                </c:pt>
                <c:pt idx="3">
                  <c:v>67</c:v>
                </c:pt>
                <c:pt idx="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B-4749-A997-91169A60C55E}"/>
            </c:ext>
          </c:extLst>
        </c:ser>
        <c:ser>
          <c:idx val="1"/>
          <c:order val="1"/>
          <c:tx>
            <c:strRef>
              <c:f>DATOS!$E$7</c:f>
              <c:strCache>
                <c:ptCount val="1"/>
                <c:pt idx="0">
                  <c:v>ID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DATOS!$E$8:$E$12</c:f>
              <c:numCache>
                <c:formatCode>General</c:formatCode>
                <c:ptCount val="5"/>
                <c:pt idx="0">
                  <c:v>48</c:v>
                </c:pt>
                <c:pt idx="1">
                  <c:v>93</c:v>
                </c:pt>
                <c:pt idx="2">
                  <c:v>71</c:v>
                </c:pt>
                <c:pt idx="3">
                  <c:v>46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B-4749-A997-91169A60C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101440"/>
        <c:axId val="2142701887"/>
      </c:lineChart>
      <c:catAx>
        <c:axId val="106510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42701887"/>
        <c:crosses val="autoZero"/>
        <c:auto val="1"/>
        <c:lblAlgn val="ctr"/>
        <c:lblOffset val="100"/>
        <c:noMultiLvlLbl val="0"/>
      </c:catAx>
      <c:valAx>
        <c:axId val="214270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510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DATOS!$E$197</c:f>
              <c:strCache>
                <c:ptCount val="1"/>
                <c:pt idx="0">
                  <c:v>Numero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DATOS!$D$198:$D$205</c:f>
              <c:strCache>
                <c:ptCount val="8"/>
                <c:pt idx="0">
                  <c:v>Orquideas</c:v>
                </c:pt>
                <c:pt idx="1">
                  <c:v>Rosas</c:v>
                </c:pt>
                <c:pt idx="2">
                  <c:v>Claveles</c:v>
                </c:pt>
                <c:pt idx="3">
                  <c:v>Lirio</c:v>
                </c:pt>
                <c:pt idx="4">
                  <c:v>margarita</c:v>
                </c:pt>
                <c:pt idx="5">
                  <c:v>Dalia</c:v>
                </c:pt>
                <c:pt idx="6">
                  <c:v>Girasoles</c:v>
                </c:pt>
                <c:pt idx="7">
                  <c:v>Tulipanes</c:v>
                </c:pt>
              </c:strCache>
            </c:strRef>
          </c:cat>
          <c:val>
            <c:numRef>
              <c:f>DATOS!$E$198:$E$205</c:f>
              <c:numCache>
                <c:formatCode>General</c:formatCode>
                <c:ptCount val="8"/>
                <c:pt idx="0">
                  <c:v>35</c:v>
                </c:pt>
                <c:pt idx="1">
                  <c:v>20</c:v>
                </c:pt>
                <c:pt idx="2">
                  <c:v>20</c:v>
                </c:pt>
                <c:pt idx="3">
                  <c:v>60</c:v>
                </c:pt>
                <c:pt idx="4">
                  <c:v>15</c:v>
                </c:pt>
                <c:pt idx="5">
                  <c:v>15</c:v>
                </c:pt>
                <c:pt idx="6">
                  <c:v>40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3-184B-9F50-69261999DC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5201263"/>
        <c:axId val="2025203263"/>
      </c:barChart>
      <c:catAx>
        <c:axId val="202520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5203263"/>
        <c:crosses val="autoZero"/>
        <c:auto val="1"/>
        <c:lblAlgn val="ctr"/>
        <c:lblOffset val="100"/>
        <c:noMultiLvlLbl val="0"/>
      </c:catAx>
      <c:valAx>
        <c:axId val="2025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520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DATOS!$E$197</c:f>
              <c:strCache>
                <c:ptCount val="1"/>
                <c:pt idx="0">
                  <c:v>Numero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CB-E148-AFB1-FCBB909618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CB-E148-AFB1-FCBB909618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CB-E148-AFB1-FCBB909618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CB-E148-AFB1-FCBB9096186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CB-E148-AFB1-FCBB909618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BCB-E148-AFB1-FCBB9096186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BCB-E148-AFB1-FCBB909618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BCB-E148-AFB1-FCBB9096186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DATOS!$D$198:$D$205</c:f>
              <c:strCache>
                <c:ptCount val="8"/>
                <c:pt idx="0">
                  <c:v>Orquideas</c:v>
                </c:pt>
                <c:pt idx="1">
                  <c:v>Rosas</c:v>
                </c:pt>
                <c:pt idx="2">
                  <c:v>Claveles</c:v>
                </c:pt>
                <c:pt idx="3">
                  <c:v>Lirio</c:v>
                </c:pt>
                <c:pt idx="4">
                  <c:v>margarita</c:v>
                </c:pt>
                <c:pt idx="5">
                  <c:v>Dalia</c:v>
                </c:pt>
                <c:pt idx="6">
                  <c:v>Girasoles</c:v>
                </c:pt>
                <c:pt idx="7">
                  <c:v>Tulipanes</c:v>
                </c:pt>
              </c:strCache>
            </c:strRef>
          </c:cat>
          <c:val>
            <c:numRef>
              <c:f>DATOS!$E$198:$E$205</c:f>
              <c:numCache>
                <c:formatCode>General</c:formatCode>
                <c:ptCount val="8"/>
                <c:pt idx="0">
                  <c:v>35</c:v>
                </c:pt>
                <c:pt idx="1">
                  <c:v>20</c:v>
                </c:pt>
                <c:pt idx="2">
                  <c:v>20</c:v>
                </c:pt>
                <c:pt idx="3">
                  <c:v>60</c:v>
                </c:pt>
                <c:pt idx="4">
                  <c:v>15</c:v>
                </c:pt>
                <c:pt idx="5">
                  <c:v>15</c:v>
                </c:pt>
                <c:pt idx="6">
                  <c:v>40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6-7A40-A771-234798CB70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DATOS!$F$197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DATOS!$D$198:$D$205</c:f>
              <c:strCache>
                <c:ptCount val="8"/>
                <c:pt idx="0">
                  <c:v>Orquideas</c:v>
                </c:pt>
                <c:pt idx="1">
                  <c:v>Rosas</c:v>
                </c:pt>
                <c:pt idx="2">
                  <c:v>Claveles</c:v>
                </c:pt>
                <c:pt idx="3">
                  <c:v>Lirio</c:v>
                </c:pt>
                <c:pt idx="4">
                  <c:v>margarita</c:v>
                </c:pt>
                <c:pt idx="5">
                  <c:v>Dalia</c:v>
                </c:pt>
                <c:pt idx="6">
                  <c:v>Girasoles</c:v>
                </c:pt>
                <c:pt idx="7">
                  <c:v>Tulipanes</c:v>
                </c:pt>
              </c:strCache>
            </c:strRef>
          </c:cat>
          <c:val>
            <c:numRef>
              <c:f>DATOS!$F$198:$F$205</c:f>
              <c:numCache>
                <c:formatCode>0%</c:formatCode>
                <c:ptCount val="8"/>
                <c:pt idx="0">
                  <c:v>0.14893617021276595</c:v>
                </c:pt>
                <c:pt idx="1">
                  <c:v>8.5106382978723402E-2</c:v>
                </c:pt>
                <c:pt idx="2">
                  <c:v>8.5106382978723402E-2</c:v>
                </c:pt>
                <c:pt idx="3">
                  <c:v>0.25531914893617019</c:v>
                </c:pt>
                <c:pt idx="4">
                  <c:v>6.3829787234042548E-2</c:v>
                </c:pt>
                <c:pt idx="5">
                  <c:v>6.3829787234042548E-2</c:v>
                </c:pt>
                <c:pt idx="6">
                  <c:v>0.1702127659574468</c:v>
                </c:pt>
                <c:pt idx="7">
                  <c:v>0.1276595744680851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A-374B-BF21-B5EE5F3FA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9118672"/>
        <c:axId val="829120400"/>
      </c:barChart>
      <c:catAx>
        <c:axId val="82911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9120400"/>
        <c:crosses val="autoZero"/>
        <c:auto val="1"/>
        <c:lblAlgn val="ctr"/>
        <c:lblOffset val="100"/>
        <c:noMultiLvlLbl val="0"/>
      </c:catAx>
      <c:valAx>
        <c:axId val="8291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2911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DATOS!$E$231:$E$235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B-7940-9A0C-76EC6DB9B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326367"/>
        <c:axId val="1818474655"/>
      </c:scatterChart>
      <c:valAx>
        <c:axId val="181832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474655"/>
        <c:crosses val="autoZero"/>
        <c:crossBetween val="midCat"/>
      </c:valAx>
      <c:valAx>
        <c:axId val="181847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32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DATOS!$E$231:$E$235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A-8246-8B0B-608BB05D6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039023"/>
        <c:axId val="1819013967"/>
      </c:barChart>
      <c:catAx>
        <c:axId val="181903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9013967"/>
        <c:crosses val="autoZero"/>
        <c:auto val="1"/>
        <c:lblAlgn val="ctr"/>
        <c:lblOffset val="100"/>
        <c:noMultiLvlLbl val="0"/>
      </c:catAx>
      <c:valAx>
        <c:axId val="181901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903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DATOS!$D$261:$D$267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  <c:pt idx="5">
                  <c:v>Sabado</c:v>
                </c:pt>
                <c:pt idx="6">
                  <c:v>Domingo</c:v>
                </c:pt>
              </c:strCache>
            </c:strRef>
          </c:cat>
          <c:val>
            <c:numRef>
              <c:f>DATOS!$H$261:$H$267</c:f>
              <c:numCache>
                <c:formatCode>_("$"* #,##0_);_("$"* \(#,##0\);_("$"* "-"_);_(@_)</c:formatCode>
                <c:ptCount val="7"/>
                <c:pt idx="0">
                  <c:v>150000</c:v>
                </c:pt>
                <c:pt idx="1">
                  <c:v>1260000</c:v>
                </c:pt>
                <c:pt idx="2">
                  <c:v>440000</c:v>
                </c:pt>
                <c:pt idx="3">
                  <c:v>1086000</c:v>
                </c:pt>
                <c:pt idx="4">
                  <c:v>115000</c:v>
                </c:pt>
                <c:pt idx="5">
                  <c:v>440000</c:v>
                </c:pt>
                <c:pt idx="6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2-DA46-AD71-8289E1F8E7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43912304"/>
        <c:axId val="643903264"/>
      </c:barChart>
      <c:catAx>
        <c:axId val="64391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3903264"/>
        <c:crosses val="autoZero"/>
        <c:auto val="1"/>
        <c:lblAlgn val="ctr"/>
        <c:lblOffset val="100"/>
        <c:noMultiLvlLbl val="0"/>
      </c:catAx>
      <c:valAx>
        <c:axId val="6439032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391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Hoja7!$I$14:$I$35</c:f>
              <c:numCache>
                <c:formatCode>General</c:formatCode>
                <c:ptCount val="22"/>
                <c:pt idx="0">
                  <c:v>-0.08</c:v>
                </c:pt>
                <c:pt idx="1">
                  <c:v>0.09</c:v>
                </c:pt>
                <c:pt idx="2">
                  <c:v>-0.56999999999999995</c:v>
                </c:pt>
                <c:pt idx="3">
                  <c:v>-0.33</c:v>
                </c:pt>
                <c:pt idx="4">
                  <c:v>-0.59</c:v>
                </c:pt>
                <c:pt idx="5">
                  <c:v>2.0699999999999998</c:v>
                </c:pt>
                <c:pt idx="6">
                  <c:v>-1.64</c:v>
                </c:pt>
                <c:pt idx="7">
                  <c:v>-0.37</c:v>
                </c:pt>
                <c:pt idx="8">
                  <c:v>-0.78</c:v>
                </c:pt>
                <c:pt idx="9">
                  <c:v>-1.21</c:v>
                </c:pt>
                <c:pt idx="10">
                  <c:v>0.8</c:v>
                </c:pt>
                <c:pt idx="11">
                  <c:v>0.3</c:v>
                </c:pt>
                <c:pt idx="12">
                  <c:v>-0.55000000000000004</c:v>
                </c:pt>
                <c:pt idx="13">
                  <c:v>0.63</c:v>
                </c:pt>
                <c:pt idx="14">
                  <c:v>3.08</c:v>
                </c:pt>
                <c:pt idx="15">
                  <c:v>-0.8</c:v>
                </c:pt>
                <c:pt idx="16">
                  <c:v>-0.25</c:v>
                </c:pt>
                <c:pt idx="17">
                  <c:v>1.2</c:v>
                </c:pt>
                <c:pt idx="18">
                  <c:v>-0.5</c:v>
                </c:pt>
                <c:pt idx="19">
                  <c:v>0.85</c:v>
                </c:pt>
                <c:pt idx="20">
                  <c:v>-1.2</c:v>
                </c:pt>
                <c:pt idx="21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1-C24F-BC14-7D56CBA41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959919"/>
        <c:axId val="1925607487"/>
      </c:lineChart>
      <c:catAx>
        <c:axId val="1925959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5607487"/>
        <c:crosses val="autoZero"/>
        <c:auto val="1"/>
        <c:lblAlgn val="ctr"/>
        <c:lblOffset val="100"/>
        <c:noMultiLvlLbl val="0"/>
      </c:catAx>
      <c:valAx>
        <c:axId val="19256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595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Hoja7!$I$14:$I$35</c:f>
              <c:numCache>
                <c:formatCode>General</c:formatCode>
                <c:ptCount val="22"/>
                <c:pt idx="0">
                  <c:v>-0.08</c:v>
                </c:pt>
                <c:pt idx="1">
                  <c:v>0.09</c:v>
                </c:pt>
                <c:pt idx="2">
                  <c:v>-0.56999999999999995</c:v>
                </c:pt>
                <c:pt idx="3">
                  <c:v>-0.33</c:v>
                </c:pt>
                <c:pt idx="4">
                  <c:v>-0.59</c:v>
                </c:pt>
                <c:pt idx="5">
                  <c:v>2.0699999999999998</c:v>
                </c:pt>
                <c:pt idx="6">
                  <c:v>-1.64</c:v>
                </c:pt>
                <c:pt idx="7">
                  <c:v>-0.37</c:v>
                </c:pt>
                <c:pt idx="8">
                  <c:v>-0.78</c:v>
                </c:pt>
                <c:pt idx="9">
                  <c:v>-1.21</c:v>
                </c:pt>
                <c:pt idx="10">
                  <c:v>0.8</c:v>
                </c:pt>
                <c:pt idx="11">
                  <c:v>0.3</c:v>
                </c:pt>
                <c:pt idx="12">
                  <c:v>-0.55000000000000004</c:v>
                </c:pt>
                <c:pt idx="13">
                  <c:v>0.63</c:v>
                </c:pt>
                <c:pt idx="14">
                  <c:v>3.08</c:v>
                </c:pt>
                <c:pt idx="15">
                  <c:v>-0.8</c:v>
                </c:pt>
                <c:pt idx="16">
                  <c:v>-0.25</c:v>
                </c:pt>
                <c:pt idx="17">
                  <c:v>1.2</c:v>
                </c:pt>
                <c:pt idx="18">
                  <c:v>-0.5</c:v>
                </c:pt>
                <c:pt idx="19">
                  <c:v>0.85</c:v>
                </c:pt>
                <c:pt idx="20">
                  <c:v>-1.2</c:v>
                </c:pt>
                <c:pt idx="21">
                  <c:v>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39-C14A-BB06-1529F96A1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27552"/>
        <c:axId val="785273632"/>
      </c:scatterChart>
      <c:valAx>
        <c:axId val="55792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5273632"/>
        <c:crosses val="autoZero"/>
        <c:crossBetween val="midCat"/>
      </c:valAx>
      <c:valAx>
        <c:axId val="7852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79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</c:f>
              <c:strCache>
                <c:ptCount val="1"/>
                <c:pt idx="0">
                  <c:v>Último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Hoja5!$A$2:$A$23</c:f>
              <c:strCache>
                <c:ptCount val="22"/>
                <c:pt idx="0">
                  <c:v>06.03.2023</c:v>
                </c:pt>
                <c:pt idx="1">
                  <c:v>05.03.2023</c:v>
                </c:pt>
                <c:pt idx="2">
                  <c:v>03.03.2023</c:v>
                </c:pt>
                <c:pt idx="3">
                  <c:v>02.03.2023</c:v>
                </c:pt>
                <c:pt idx="4">
                  <c:v>01.03.2023</c:v>
                </c:pt>
                <c:pt idx="5">
                  <c:v>28.02.2023</c:v>
                </c:pt>
                <c:pt idx="6">
                  <c:v>27.02.2023</c:v>
                </c:pt>
                <c:pt idx="7">
                  <c:v>24.02.2023</c:v>
                </c:pt>
                <c:pt idx="8">
                  <c:v>23.02.2023</c:v>
                </c:pt>
                <c:pt idx="9">
                  <c:v>22.02.2023</c:v>
                </c:pt>
                <c:pt idx="10">
                  <c:v>21.02.2023</c:v>
                </c:pt>
                <c:pt idx="11">
                  <c:v>20.02.2023</c:v>
                </c:pt>
                <c:pt idx="12">
                  <c:v>17.02.2023</c:v>
                </c:pt>
                <c:pt idx="13">
                  <c:v>16.02.2023</c:v>
                </c:pt>
                <c:pt idx="14">
                  <c:v>15.02.2023</c:v>
                </c:pt>
                <c:pt idx="15">
                  <c:v>14.02.2023</c:v>
                </c:pt>
                <c:pt idx="16">
                  <c:v>13.02.2023</c:v>
                </c:pt>
                <c:pt idx="17">
                  <c:v>10.02.2023</c:v>
                </c:pt>
                <c:pt idx="18">
                  <c:v>09.02.2023</c:v>
                </c:pt>
                <c:pt idx="19">
                  <c:v>08.02.2023</c:v>
                </c:pt>
                <c:pt idx="20">
                  <c:v>07.02.2023</c:v>
                </c:pt>
                <c:pt idx="21">
                  <c:v>06.02.2023</c:v>
                </c:pt>
              </c:strCache>
            </c:strRef>
          </c:cat>
          <c:val>
            <c:numRef>
              <c:f>Hoja5!$B$2:$B$23</c:f>
              <c:numCache>
                <c:formatCode>#,##0.00</c:formatCode>
                <c:ptCount val="22"/>
                <c:pt idx="0">
                  <c:v>4784.6400000000003</c:v>
                </c:pt>
                <c:pt idx="1">
                  <c:v>4788.63</c:v>
                </c:pt>
                <c:pt idx="2">
                  <c:v>4784.5</c:v>
                </c:pt>
                <c:pt idx="3">
                  <c:v>4811.8999999999996</c:v>
                </c:pt>
                <c:pt idx="4">
                  <c:v>4827.8100000000004</c:v>
                </c:pt>
                <c:pt idx="5">
                  <c:v>4856.68</c:v>
                </c:pt>
                <c:pt idx="6">
                  <c:v>4758.26</c:v>
                </c:pt>
                <c:pt idx="7">
                  <c:v>4837.3999999999996</c:v>
                </c:pt>
                <c:pt idx="8">
                  <c:v>4855.3999999999996</c:v>
                </c:pt>
                <c:pt idx="9">
                  <c:v>4893.3599999999997</c:v>
                </c:pt>
                <c:pt idx="10">
                  <c:v>4953.43</c:v>
                </c:pt>
                <c:pt idx="11">
                  <c:v>4913.9399999999996</c:v>
                </c:pt>
                <c:pt idx="12">
                  <c:v>4899.45</c:v>
                </c:pt>
                <c:pt idx="13">
                  <c:v>4926.34</c:v>
                </c:pt>
                <c:pt idx="14">
                  <c:v>4895.45</c:v>
                </c:pt>
                <c:pt idx="15">
                  <c:v>4749</c:v>
                </c:pt>
                <c:pt idx="16">
                  <c:v>4787.3100000000004</c:v>
                </c:pt>
                <c:pt idx="17">
                  <c:v>4799.18</c:v>
                </c:pt>
                <c:pt idx="18">
                  <c:v>4742.25</c:v>
                </c:pt>
                <c:pt idx="19">
                  <c:v>4766.05</c:v>
                </c:pt>
                <c:pt idx="20">
                  <c:v>4726.0600000000004</c:v>
                </c:pt>
                <c:pt idx="21">
                  <c:v>4783.25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3-AA43-B372-9273CE9E4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60272"/>
        <c:axId val="175235952"/>
      </c:barChart>
      <c:catAx>
        <c:axId val="17606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235952"/>
        <c:crosses val="autoZero"/>
        <c:auto val="1"/>
        <c:lblAlgn val="ctr"/>
        <c:lblOffset val="100"/>
        <c:noMultiLvlLbl val="0"/>
      </c:catAx>
      <c:valAx>
        <c:axId val="1752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606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Hoja5!$C$1</c:f>
              <c:strCache>
                <c:ptCount val="1"/>
                <c:pt idx="0">
                  <c:v>Apertura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Hoja5!$A$2:$A$23</c:f>
              <c:strCache>
                <c:ptCount val="22"/>
                <c:pt idx="0">
                  <c:v>06.03.2023</c:v>
                </c:pt>
                <c:pt idx="1">
                  <c:v>05.03.2023</c:v>
                </c:pt>
                <c:pt idx="2">
                  <c:v>03.03.2023</c:v>
                </c:pt>
                <c:pt idx="3">
                  <c:v>02.03.2023</c:v>
                </c:pt>
                <c:pt idx="4">
                  <c:v>01.03.2023</c:v>
                </c:pt>
                <c:pt idx="5">
                  <c:v>28.02.2023</c:v>
                </c:pt>
                <c:pt idx="6">
                  <c:v>27.02.2023</c:v>
                </c:pt>
                <c:pt idx="7">
                  <c:v>24.02.2023</c:v>
                </c:pt>
                <c:pt idx="8">
                  <c:v>23.02.2023</c:v>
                </c:pt>
                <c:pt idx="9">
                  <c:v>22.02.2023</c:v>
                </c:pt>
                <c:pt idx="10">
                  <c:v>21.02.2023</c:v>
                </c:pt>
                <c:pt idx="11">
                  <c:v>20.02.2023</c:v>
                </c:pt>
                <c:pt idx="12">
                  <c:v>17.02.2023</c:v>
                </c:pt>
                <c:pt idx="13">
                  <c:v>16.02.2023</c:v>
                </c:pt>
                <c:pt idx="14">
                  <c:v>15.02.2023</c:v>
                </c:pt>
                <c:pt idx="15">
                  <c:v>14.02.2023</c:v>
                </c:pt>
                <c:pt idx="16">
                  <c:v>13.02.2023</c:v>
                </c:pt>
                <c:pt idx="17">
                  <c:v>10.02.2023</c:v>
                </c:pt>
                <c:pt idx="18">
                  <c:v>09.02.2023</c:v>
                </c:pt>
                <c:pt idx="19">
                  <c:v>08.02.2023</c:v>
                </c:pt>
                <c:pt idx="20">
                  <c:v>07.02.2023</c:v>
                </c:pt>
                <c:pt idx="21">
                  <c:v>06.02.2023</c:v>
                </c:pt>
              </c:strCache>
            </c:strRef>
          </c:cat>
          <c:val>
            <c:numRef>
              <c:f>Hoja5!$C$2:$C$23</c:f>
              <c:numCache>
                <c:formatCode>#,##0.00</c:formatCode>
                <c:ptCount val="22"/>
                <c:pt idx="0">
                  <c:v>4788.63</c:v>
                </c:pt>
                <c:pt idx="1">
                  <c:v>4788.63</c:v>
                </c:pt>
                <c:pt idx="2">
                  <c:v>4814.6499999999996</c:v>
                </c:pt>
                <c:pt idx="3">
                  <c:v>4830.18</c:v>
                </c:pt>
                <c:pt idx="4">
                  <c:v>4859.8999999999996</c:v>
                </c:pt>
                <c:pt idx="5">
                  <c:v>4761.01</c:v>
                </c:pt>
                <c:pt idx="6">
                  <c:v>4840.1499999999996</c:v>
                </c:pt>
                <c:pt idx="7">
                  <c:v>4858.1499999999996</c:v>
                </c:pt>
                <c:pt idx="8">
                  <c:v>4896.3500000000004</c:v>
                </c:pt>
                <c:pt idx="9">
                  <c:v>4961.5</c:v>
                </c:pt>
                <c:pt idx="10">
                  <c:v>4916.3100000000004</c:v>
                </c:pt>
                <c:pt idx="11">
                  <c:v>4905.1000000000004</c:v>
                </c:pt>
                <c:pt idx="12">
                  <c:v>4927.09</c:v>
                </c:pt>
                <c:pt idx="13">
                  <c:v>4896.8999999999996</c:v>
                </c:pt>
                <c:pt idx="14">
                  <c:v>4751.5</c:v>
                </c:pt>
                <c:pt idx="15">
                  <c:v>4831.6000000000004</c:v>
                </c:pt>
                <c:pt idx="16">
                  <c:v>4798.8500000000004</c:v>
                </c:pt>
                <c:pt idx="17">
                  <c:v>4736.46</c:v>
                </c:pt>
                <c:pt idx="18">
                  <c:v>4762.3500000000004</c:v>
                </c:pt>
                <c:pt idx="19">
                  <c:v>4729.0600000000004</c:v>
                </c:pt>
                <c:pt idx="20">
                  <c:v>4786.25</c:v>
                </c:pt>
                <c:pt idx="21">
                  <c:v>4699.25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F-304E-B60A-E655B867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141248"/>
        <c:axId val="2107128768"/>
      </c:lineChart>
      <c:catAx>
        <c:axId val="210714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7128768"/>
        <c:crosses val="autoZero"/>
        <c:auto val="1"/>
        <c:lblAlgn val="ctr"/>
        <c:lblOffset val="100"/>
        <c:noMultiLvlLbl val="0"/>
      </c:catAx>
      <c:valAx>
        <c:axId val="21071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714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Comportamiento</a:t>
            </a:r>
            <a:r>
              <a:rPr lang="es-MX" baseline="0"/>
              <a:t> del Dolar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Hoja3!$K$2:$K$31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Hoja3!$L$2:$L$31</c:f>
              <c:numCache>
                <c:formatCode>_("$"* #,##0_);_("$"* \(#,##0\);_("$"* "-"_);_(@_)</c:formatCode>
                <c:ptCount val="30"/>
                <c:pt idx="0">
                  <c:v>4632.2</c:v>
                </c:pt>
                <c:pt idx="1">
                  <c:v>4548.5</c:v>
                </c:pt>
                <c:pt idx="2">
                  <c:v>4548.5</c:v>
                </c:pt>
                <c:pt idx="3">
                  <c:v>4548.5</c:v>
                </c:pt>
                <c:pt idx="4">
                  <c:v>4531.75</c:v>
                </c:pt>
                <c:pt idx="5">
                  <c:v>4538.91</c:v>
                </c:pt>
                <c:pt idx="6">
                  <c:v>4545.9399999999996</c:v>
                </c:pt>
                <c:pt idx="7">
                  <c:v>4551.0200000000004</c:v>
                </c:pt>
                <c:pt idx="8">
                  <c:v>4631.6400000000003</c:v>
                </c:pt>
                <c:pt idx="9">
                  <c:v>4631.6400000000003</c:v>
                </c:pt>
                <c:pt idx="10">
                  <c:v>4631.6400000000003</c:v>
                </c:pt>
                <c:pt idx="11">
                  <c:v>4683.8500000000004</c:v>
                </c:pt>
                <c:pt idx="12">
                  <c:v>4702.67</c:v>
                </c:pt>
                <c:pt idx="13">
                  <c:v>4691.09</c:v>
                </c:pt>
                <c:pt idx="14">
                  <c:v>4693.99</c:v>
                </c:pt>
                <c:pt idx="15">
                  <c:v>4693.99</c:v>
                </c:pt>
                <c:pt idx="16">
                  <c:v>4693.99</c:v>
                </c:pt>
                <c:pt idx="17">
                  <c:v>4693.99</c:v>
                </c:pt>
                <c:pt idx="18">
                  <c:v>4692.04</c:v>
                </c:pt>
                <c:pt idx="19">
                  <c:v>4748.54</c:v>
                </c:pt>
                <c:pt idx="20">
                  <c:v>4807.8500000000004</c:v>
                </c:pt>
                <c:pt idx="21">
                  <c:v>4885.66</c:v>
                </c:pt>
                <c:pt idx="22">
                  <c:v>4885.66</c:v>
                </c:pt>
                <c:pt idx="23">
                  <c:v>4885.66</c:v>
                </c:pt>
                <c:pt idx="24">
                  <c:v>4885.66</c:v>
                </c:pt>
                <c:pt idx="25">
                  <c:v>4989.58</c:v>
                </c:pt>
                <c:pt idx="26">
                  <c:v>4924</c:v>
                </c:pt>
                <c:pt idx="27">
                  <c:v>4842.26</c:v>
                </c:pt>
                <c:pt idx="28">
                  <c:v>4810.2</c:v>
                </c:pt>
                <c:pt idx="29">
                  <c:v>4810.2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6-0F43-9603-76DD5B0C1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04912"/>
        <c:axId val="544306640"/>
      </c:scatterChart>
      <c:valAx>
        <c:axId val="5443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306640"/>
        <c:crosses val="autoZero"/>
        <c:crossBetween val="midCat"/>
      </c:valAx>
      <c:valAx>
        <c:axId val="5443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30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Hoja3!$L$2:$L$31</c:f>
              <c:numCache>
                <c:formatCode>_("$"* #,##0_);_("$"* \(#,##0\);_("$"* "-"_);_(@_)</c:formatCode>
                <c:ptCount val="30"/>
                <c:pt idx="0">
                  <c:v>4632.2</c:v>
                </c:pt>
                <c:pt idx="1">
                  <c:v>4548.5</c:v>
                </c:pt>
                <c:pt idx="2">
                  <c:v>4548.5</c:v>
                </c:pt>
                <c:pt idx="3">
                  <c:v>4548.5</c:v>
                </c:pt>
                <c:pt idx="4">
                  <c:v>4531.75</c:v>
                </c:pt>
                <c:pt idx="5">
                  <c:v>4538.91</c:v>
                </c:pt>
                <c:pt idx="6">
                  <c:v>4545.9399999999996</c:v>
                </c:pt>
                <c:pt idx="7">
                  <c:v>4551.0200000000004</c:v>
                </c:pt>
                <c:pt idx="8">
                  <c:v>4631.6400000000003</c:v>
                </c:pt>
                <c:pt idx="9">
                  <c:v>4631.6400000000003</c:v>
                </c:pt>
                <c:pt idx="10">
                  <c:v>4631.6400000000003</c:v>
                </c:pt>
                <c:pt idx="11">
                  <c:v>4683.8500000000004</c:v>
                </c:pt>
                <c:pt idx="12">
                  <c:v>4702.67</c:v>
                </c:pt>
                <c:pt idx="13">
                  <c:v>4691.09</c:v>
                </c:pt>
                <c:pt idx="14">
                  <c:v>4693.99</c:v>
                </c:pt>
                <c:pt idx="15">
                  <c:v>4693.99</c:v>
                </c:pt>
                <c:pt idx="16">
                  <c:v>4693.99</c:v>
                </c:pt>
                <c:pt idx="17">
                  <c:v>4693.99</c:v>
                </c:pt>
                <c:pt idx="18">
                  <c:v>4692.04</c:v>
                </c:pt>
                <c:pt idx="19">
                  <c:v>4748.54</c:v>
                </c:pt>
                <c:pt idx="20">
                  <c:v>4807.8500000000004</c:v>
                </c:pt>
                <c:pt idx="21">
                  <c:v>4885.66</c:v>
                </c:pt>
                <c:pt idx="22">
                  <c:v>4885.66</c:v>
                </c:pt>
                <c:pt idx="23">
                  <c:v>4885.66</c:v>
                </c:pt>
                <c:pt idx="24">
                  <c:v>4885.66</c:v>
                </c:pt>
                <c:pt idx="25">
                  <c:v>4989.58</c:v>
                </c:pt>
                <c:pt idx="26">
                  <c:v>4924</c:v>
                </c:pt>
                <c:pt idx="27">
                  <c:v>4842.26</c:v>
                </c:pt>
                <c:pt idx="28">
                  <c:v>4810.2</c:v>
                </c:pt>
                <c:pt idx="29">
                  <c:v>4810.2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3-DF44-A176-72EAAEED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04816"/>
        <c:axId val="544407088"/>
      </c:scatterChart>
      <c:valAx>
        <c:axId val="54440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407088"/>
        <c:crosses val="autoZero"/>
        <c:crossBetween val="midCat"/>
      </c:valAx>
      <c:valAx>
        <c:axId val="5444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440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Hoja4!$C$4:$C$33</c:f>
              <c:numCache>
                <c:formatCode>"$"#,##0.00_);[Red]\("$"#,##0.00\)</c:formatCode>
                <c:ptCount val="30"/>
                <c:pt idx="0">
                  <c:v>4632.2</c:v>
                </c:pt>
                <c:pt idx="1">
                  <c:v>4548.5</c:v>
                </c:pt>
                <c:pt idx="2">
                  <c:v>4548.5</c:v>
                </c:pt>
                <c:pt idx="3">
                  <c:v>4548.5</c:v>
                </c:pt>
                <c:pt idx="4">
                  <c:v>4531.75</c:v>
                </c:pt>
                <c:pt idx="5">
                  <c:v>4538.91</c:v>
                </c:pt>
                <c:pt idx="6">
                  <c:v>4545.9399999999996</c:v>
                </c:pt>
                <c:pt idx="7">
                  <c:v>4551.0200000000004</c:v>
                </c:pt>
                <c:pt idx="8">
                  <c:v>4631.6400000000003</c:v>
                </c:pt>
                <c:pt idx="9">
                  <c:v>4631.6400000000003</c:v>
                </c:pt>
                <c:pt idx="10">
                  <c:v>4631.6400000000003</c:v>
                </c:pt>
                <c:pt idx="11">
                  <c:v>4683.8500000000004</c:v>
                </c:pt>
                <c:pt idx="12">
                  <c:v>4702.67</c:v>
                </c:pt>
                <c:pt idx="13">
                  <c:v>4691.09</c:v>
                </c:pt>
                <c:pt idx="14">
                  <c:v>4693.99</c:v>
                </c:pt>
                <c:pt idx="15">
                  <c:v>4693.99</c:v>
                </c:pt>
                <c:pt idx="16">
                  <c:v>4693.99</c:v>
                </c:pt>
                <c:pt idx="17">
                  <c:v>4693.99</c:v>
                </c:pt>
                <c:pt idx="18">
                  <c:v>4692.04</c:v>
                </c:pt>
                <c:pt idx="19">
                  <c:v>4748.54</c:v>
                </c:pt>
                <c:pt idx="20">
                  <c:v>4807.8500000000004</c:v>
                </c:pt>
                <c:pt idx="21">
                  <c:v>4885.66</c:v>
                </c:pt>
                <c:pt idx="22">
                  <c:v>4885.66</c:v>
                </c:pt>
                <c:pt idx="23">
                  <c:v>4885.66</c:v>
                </c:pt>
                <c:pt idx="24">
                  <c:v>4885.66</c:v>
                </c:pt>
                <c:pt idx="25">
                  <c:v>4989.58</c:v>
                </c:pt>
                <c:pt idx="26">
                  <c:v>4924</c:v>
                </c:pt>
                <c:pt idx="27">
                  <c:v>4842.26</c:v>
                </c:pt>
                <c:pt idx="28">
                  <c:v>4810.2</c:v>
                </c:pt>
                <c:pt idx="29">
                  <c:v>4810.2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2-7446-BF5D-C5E567EED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053872"/>
        <c:axId val="345055600"/>
      </c:lineChart>
      <c:catAx>
        <c:axId val="34505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5055600"/>
        <c:crosses val="autoZero"/>
        <c:auto val="1"/>
        <c:lblAlgn val="ctr"/>
        <c:lblOffset val="100"/>
        <c:noMultiLvlLbl val="0"/>
      </c:catAx>
      <c:valAx>
        <c:axId val="3450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505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Ejercicio_2!$H$7:$H$21</c:f>
              <c:numCache>
                <c:formatCode>General</c:formatCode>
                <c:ptCount val="15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5</c:v>
                </c:pt>
                <c:pt idx="14">
                  <c:v>6</c:v>
                </c:pt>
              </c:numCache>
            </c:numRef>
          </c:xVal>
          <c:yVal>
            <c:numRef>
              <c:f>Ejercicio_2!$I$7:$I$21</c:f>
              <c:numCache>
                <c:formatCode>[$$-240A]\ #,##0;\-[$$-240A]\ #,##0</c:formatCode>
                <c:ptCount val="15"/>
                <c:pt idx="0">
                  <c:v>1050</c:v>
                </c:pt>
                <c:pt idx="1">
                  <c:v>1830</c:v>
                </c:pt>
                <c:pt idx="2">
                  <c:v>1410</c:v>
                </c:pt>
                <c:pt idx="3">
                  <c:v>1380</c:v>
                </c:pt>
                <c:pt idx="4">
                  <c:v>1040</c:v>
                </c:pt>
                <c:pt idx="5">
                  <c:v>1580</c:v>
                </c:pt>
                <c:pt idx="6">
                  <c:v>1870</c:v>
                </c:pt>
                <c:pt idx="7">
                  <c:v>1440</c:v>
                </c:pt>
                <c:pt idx="8">
                  <c:v>1640</c:v>
                </c:pt>
                <c:pt idx="9">
                  <c:v>1060</c:v>
                </c:pt>
                <c:pt idx="10">
                  <c:v>1190</c:v>
                </c:pt>
                <c:pt idx="11">
                  <c:v>1460</c:v>
                </c:pt>
                <c:pt idx="12">
                  <c:v>1370</c:v>
                </c:pt>
                <c:pt idx="13">
                  <c:v>1440</c:v>
                </c:pt>
                <c:pt idx="14">
                  <c:v>1040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3-7C40-AC1B-DEAA530A6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1136"/>
        <c:axId val="197632864"/>
      </c:scatterChart>
      <c:valAx>
        <c:axId val="19763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7632864"/>
        <c:crosses val="autoZero"/>
        <c:crossBetween val="midCat"/>
      </c:valAx>
      <c:valAx>
        <c:axId val="1976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240A]\ #,##0;\-[$$-240A]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763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829732</xdr:colOff>
      <xdr:row>7</xdr:row>
      <xdr:rowOff>186267</xdr:rowOff>
    </xdr:from>
    <xdr:to>
      <xdr:col>12</xdr:col>
      <xdr:colOff>423332</xdr:colOff>
      <xdr:row>21</xdr:row>
      <xdr:rowOff>84667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242A84-2B8A-DE14-3C25-76D395413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25401</xdr:colOff>
      <xdr:row>22</xdr:row>
      <xdr:rowOff>8468</xdr:rowOff>
    </xdr:from>
    <xdr:to>
      <xdr:col>12</xdr:col>
      <xdr:colOff>448734</xdr:colOff>
      <xdr:row>35</xdr:row>
      <xdr:rowOff>110068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9D0808-13A4-B81F-6CD6-C18B17A6D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241300</xdr:colOff>
      <xdr:row>1</xdr:row>
      <xdr:rowOff>38100</xdr:rowOff>
    </xdr:from>
    <xdr:ext cx="133370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7607ED0-46BB-0036-46B5-A479DE61B9FB}"/>
                </a:ext>
              </a:extLst>
            </xdr:cNvPr>
            <xdr:cNvSpPr txBox="1"/>
          </xdr:nvSpPr>
          <xdr:spPr>
            <a:xfrm>
              <a:off x="7708900" y="241300"/>
              <a:ext cx="13337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ℕ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7607ED0-46BB-0036-46B5-A479DE61B9FB}"/>
                </a:ext>
              </a:extLst>
            </xdr:cNvPr>
            <xdr:cNvSpPr txBox="1"/>
          </xdr:nvSpPr>
          <xdr:spPr>
            <a:xfrm>
              <a:off x="7708900" y="241300"/>
              <a:ext cx="13337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ℕ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7</xdr:col>
      <xdr:colOff>343647</xdr:colOff>
      <xdr:row>194</xdr:row>
      <xdr:rowOff>14194</xdr:rowOff>
    </xdr:from>
    <xdr:to>
      <xdr:col>11</xdr:col>
      <xdr:colOff>537882</xdr:colOff>
      <xdr:row>207</xdr:row>
      <xdr:rowOff>135217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53F2CC-290C-1B29-985C-DAF296416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500530</xdr:colOff>
      <xdr:row>209</xdr:row>
      <xdr:rowOff>44076</xdr:rowOff>
    </xdr:from>
    <xdr:to>
      <xdr:col>11</xdr:col>
      <xdr:colOff>694765</xdr:colOff>
      <xdr:row>222</xdr:row>
      <xdr:rowOff>165099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E0F7A12-5A17-614B-67F7-2DB3133F5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508001</xdr:colOff>
      <xdr:row>209</xdr:row>
      <xdr:rowOff>148666</xdr:rowOff>
    </xdr:from>
    <xdr:to>
      <xdr:col>7</xdr:col>
      <xdr:colOff>283884</xdr:colOff>
      <xdr:row>223</xdr:row>
      <xdr:rowOff>67983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265120A-8810-CED4-AF11-1F8B3D433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267607</xdr:colOff>
      <xdr:row>226</xdr:row>
      <xdr:rowOff>175079</xdr:rowOff>
    </xdr:from>
    <xdr:to>
      <xdr:col>10</xdr:col>
      <xdr:colOff>1410607</xdr:colOff>
      <xdr:row>240</xdr:row>
      <xdr:rowOff>124279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E3C5F9-61AF-5A2A-B98E-7A8336545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267607</xdr:colOff>
      <xdr:row>241</xdr:row>
      <xdr:rowOff>175079</xdr:rowOff>
    </xdr:from>
    <xdr:to>
      <xdr:col>10</xdr:col>
      <xdr:colOff>1410607</xdr:colOff>
      <xdr:row>255</xdr:row>
      <xdr:rowOff>124279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890EB85-EBF3-61FF-7225-C92977AC2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920750</xdr:colOff>
      <xdr:row>269</xdr:row>
      <xdr:rowOff>48079</xdr:rowOff>
    </xdr:from>
    <xdr:to>
      <xdr:col>10</xdr:col>
      <xdr:colOff>975178</xdr:colOff>
      <xdr:row>282</xdr:row>
      <xdr:rowOff>196850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6837170-A6A3-5687-6041-A7CCB54E3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660400</xdr:colOff>
      <xdr:row>15</xdr:row>
      <xdr:rowOff>127000</xdr:rowOff>
    </xdr:from>
    <xdr:to>
      <xdr:col>20</xdr:col>
      <xdr:colOff>279400</xdr:colOff>
      <xdr:row>29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ACFB51-0768-4D47-530C-0A8C87942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29307</xdr:colOff>
      <xdr:row>15</xdr:row>
      <xdr:rowOff>147515</xdr:rowOff>
    </xdr:from>
    <xdr:to>
      <xdr:col>15</xdr:col>
      <xdr:colOff>449384</xdr:colOff>
      <xdr:row>29</xdr:row>
      <xdr:rowOff>18561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77154B-A4C1-4F0A-2958-A3D62D874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693208</xdr:colOff>
      <xdr:row>2</xdr:row>
      <xdr:rowOff>131233</xdr:rowOff>
    </xdr:from>
    <xdr:to>
      <xdr:col>15</xdr:col>
      <xdr:colOff>211666</xdr:colOff>
      <xdr:row>18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EE1C51-1F49-DC18-51B5-4B422D26A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68792</xdr:colOff>
      <xdr:row>21</xdr:row>
      <xdr:rowOff>78315</xdr:rowOff>
    </xdr:from>
    <xdr:to>
      <xdr:col>14</xdr:col>
      <xdr:colOff>804334</xdr:colOff>
      <xdr:row>36</xdr:row>
      <xdr:rowOff>169332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BD2A26-F312-170F-6FDA-0E9279336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461433</xdr:colOff>
      <xdr:row>3</xdr:row>
      <xdr:rowOff>139699</xdr:rowOff>
    </xdr:from>
    <xdr:to>
      <xdr:col>18</xdr:col>
      <xdr:colOff>55033</xdr:colOff>
      <xdr:row>17</xdr:row>
      <xdr:rowOff>38099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CC439E5-2E21-16FB-11F5-8CD4A8F5E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579966</xdr:colOff>
      <xdr:row>19</xdr:row>
      <xdr:rowOff>198967</xdr:rowOff>
    </xdr:from>
    <xdr:to>
      <xdr:col>18</xdr:col>
      <xdr:colOff>173566</xdr:colOff>
      <xdr:row>33</xdr:row>
      <xdr:rowOff>97367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5F23CE-2EA0-847F-66F8-A4732F032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9</xdr:row>
      <xdr:rowOff>38100</xdr:rowOff>
    </xdr:from>
    <xdr:to>
      <xdr:col>13</xdr:col>
      <xdr:colOff>787400</xdr:colOff>
      <xdr:row>21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F70959-7963-026A-0F00-721AFB7AF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811892</xdr:colOff>
      <xdr:row>4</xdr:row>
      <xdr:rowOff>170544</xdr:rowOff>
    </xdr:from>
    <xdr:to>
      <xdr:col>15</xdr:col>
      <xdr:colOff>752927</xdr:colOff>
      <xdr:row>20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3262E6-E0A5-4BF6-245D-D2EBCCB8D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1" xr16:uid="{873A7DD3-C6F7-3E4A-BF4C-5ED4A35676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3" xr16:uid="{6A29D539-B751-F84A-9F52-4D5262563F0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2" xr16:uid="{B0447E0A-BE8A-1F4D-8243-E0CFB36B3BC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" connectionId="4" xr16:uid="{5EC62F65-D907-8349-9144-C09DB6712A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74AD-003C-4949-98E2-F28121A73489}">
  <dimension ref="B2:U416"/>
  <sheetViews>
    <sheetView topLeftCell="A16" zoomScale="160" zoomScaleNormal="160" workbookViewId="0">
      <selection activeCell="D420" sqref="D420"/>
    </sheetView>
  </sheetViews>
  <sheetFormatPr baseColWidth="10" defaultRowHeight="16" x14ac:dyDescent="0.2"/>
  <cols>
    <col min="3" max="3" width="15" style="1" customWidth="1"/>
    <col min="4" max="5" width="11.83203125" bestFit="1" customWidth="1"/>
    <col min="6" max="6" width="14.33203125" customWidth="1"/>
    <col min="8" max="8" width="12.5" bestFit="1" customWidth="1"/>
    <col min="11" max="11" width="23.1640625" customWidth="1"/>
    <col min="19" max="19" width="11.5" bestFit="1" customWidth="1"/>
  </cols>
  <sheetData>
    <row r="2" spans="2:21" x14ac:dyDescent="0.2">
      <c r="G2" t="s">
        <v>68</v>
      </c>
      <c r="I2" s="1" t="s">
        <v>7</v>
      </c>
      <c r="J2" s="1"/>
      <c r="K2" s="1" t="s">
        <v>8</v>
      </c>
      <c r="L2" s="1">
        <v>4</v>
      </c>
      <c r="M2" s="1">
        <f>L2+L3</f>
        <v>0</v>
      </c>
      <c r="O2">
        <v>4</v>
      </c>
      <c r="Q2" t="s">
        <v>42</v>
      </c>
      <c r="R2" t="s">
        <v>29</v>
      </c>
      <c r="S2" t="b">
        <v>0</v>
      </c>
      <c r="U2" t="s">
        <v>1</v>
      </c>
    </row>
    <row r="3" spans="2:21" x14ac:dyDescent="0.2">
      <c r="I3" s="1" t="s">
        <v>9</v>
      </c>
      <c r="J3" s="1" t="s">
        <v>10</v>
      </c>
      <c r="K3" s="1" t="s">
        <v>11</v>
      </c>
      <c r="L3" s="1">
        <v>-4</v>
      </c>
      <c r="M3" s="1">
        <f>L2*L3</f>
        <v>-16</v>
      </c>
      <c r="O3" t="s">
        <v>17</v>
      </c>
      <c r="R3" t="s">
        <v>43</v>
      </c>
      <c r="S3" t="b">
        <v>1</v>
      </c>
    </row>
    <row r="4" spans="2:21" x14ac:dyDescent="0.2">
      <c r="I4" s="1" t="s">
        <v>12</v>
      </c>
      <c r="J4" s="1" t="s">
        <v>13</v>
      </c>
      <c r="K4" s="1" t="s">
        <v>16</v>
      </c>
      <c r="L4" s="1">
        <v>4.2</v>
      </c>
      <c r="M4" s="1">
        <f>L2*L4</f>
        <v>16.8</v>
      </c>
      <c r="O4" t="e">
        <f>O2*O3</f>
        <v>#VALUE!</v>
      </c>
    </row>
    <row r="5" spans="2:21" x14ac:dyDescent="0.2">
      <c r="I5" s="1" t="s">
        <v>14</v>
      </c>
      <c r="J5" s="1" t="s">
        <v>15</v>
      </c>
      <c r="K5" s="1"/>
      <c r="L5" s="1">
        <v>4.9999998999999997</v>
      </c>
      <c r="M5" s="1">
        <f>L2*L5</f>
        <v>19.999999599999999</v>
      </c>
    </row>
    <row r="6" spans="2:21" x14ac:dyDescent="0.2">
      <c r="C6" s="2"/>
    </row>
    <row r="7" spans="2:21" s="1" customFormat="1" x14ac:dyDescent="0.2">
      <c r="C7" s="1" t="s">
        <v>1</v>
      </c>
      <c r="D7" s="1" t="s">
        <v>69</v>
      </c>
      <c r="E7" s="1" t="s">
        <v>70</v>
      </c>
    </row>
    <row r="8" spans="2:21" x14ac:dyDescent="0.2">
      <c r="B8" t="s">
        <v>2</v>
      </c>
      <c r="C8" s="3" t="s">
        <v>0</v>
      </c>
      <c r="D8">
        <f ca="1">INT(RAND()*100)</f>
        <v>65</v>
      </c>
      <c r="E8">
        <f ca="1">INT(RAND()*100)</f>
        <v>48</v>
      </c>
    </row>
    <row r="9" spans="2:21" x14ac:dyDescent="0.2">
      <c r="C9" s="1" t="s">
        <v>3</v>
      </c>
      <c r="D9">
        <f ca="1">INT(RAND()*100)</f>
        <v>80</v>
      </c>
      <c r="E9">
        <f t="shared" ref="D9:E12" ca="1" si="0">INT(RAND()*100)</f>
        <v>93</v>
      </c>
      <c r="N9">
        <f ca="1">INT(RAND()*100)</f>
        <v>51</v>
      </c>
    </row>
    <row r="10" spans="2:21" x14ac:dyDescent="0.2">
      <c r="C10" s="1" t="s">
        <v>4</v>
      </c>
      <c r="D10">
        <f t="shared" ca="1" si="0"/>
        <v>94</v>
      </c>
      <c r="E10">
        <f t="shared" ca="1" si="0"/>
        <v>71</v>
      </c>
      <c r="N10">
        <f ca="1">RAND()</f>
        <v>0.82658991237003554</v>
      </c>
      <c r="O10">
        <f ca="1">N10*100</f>
        <v>82.658991237003548</v>
      </c>
      <c r="P10">
        <f ca="1">INT(O10)</f>
        <v>82</v>
      </c>
    </row>
    <row r="11" spans="2:21" x14ac:dyDescent="0.2">
      <c r="C11" s="1" t="s">
        <v>5</v>
      </c>
      <c r="D11">
        <f t="shared" ca="1" si="0"/>
        <v>67</v>
      </c>
      <c r="E11">
        <f t="shared" ca="1" si="0"/>
        <v>46</v>
      </c>
      <c r="N11">
        <v>1</v>
      </c>
    </row>
    <row r="12" spans="2:21" x14ac:dyDescent="0.2">
      <c r="C12" s="1" t="s">
        <v>6</v>
      </c>
      <c r="D12">
        <f t="shared" ca="1" si="0"/>
        <v>29</v>
      </c>
      <c r="E12">
        <f t="shared" ca="1" si="0"/>
        <v>18</v>
      </c>
    </row>
    <row r="13" spans="2:21" x14ac:dyDescent="0.2">
      <c r="C13" s="1" t="s">
        <v>18</v>
      </c>
      <c r="D13">
        <f ca="1">D8-D9-D10-D11-D12</f>
        <v>-205</v>
      </c>
    </row>
    <row r="14" spans="2:21" x14ac:dyDescent="0.2">
      <c r="C14" s="1" t="s">
        <v>19</v>
      </c>
      <c r="D14">
        <f ca="1">SUM(D8:D12)</f>
        <v>335</v>
      </c>
    </row>
    <row r="15" spans="2:21" x14ac:dyDescent="0.2">
      <c r="C15" s="1" t="s">
        <v>20</v>
      </c>
      <c r="D15">
        <f ca="1">PRODUCT(D8:D12)</f>
        <v>949738400</v>
      </c>
      <c r="E15">
        <f ca="1">PRODUCT(E8:E9)</f>
        <v>4464</v>
      </c>
    </row>
    <row r="17" spans="3:5" x14ac:dyDescent="0.2">
      <c r="C17" s="1" t="s">
        <v>21</v>
      </c>
      <c r="D17">
        <v>100</v>
      </c>
    </row>
    <row r="18" spans="3:5" x14ac:dyDescent="0.2">
      <c r="D18">
        <v>0</v>
      </c>
    </row>
    <row r="19" spans="3:5" x14ac:dyDescent="0.2">
      <c r="D19" s="4">
        <f>D18/D17</f>
        <v>0</v>
      </c>
    </row>
    <row r="20" spans="3:5" x14ac:dyDescent="0.2">
      <c r="D20" s="5" t="e">
        <f>D17/D18</f>
        <v>#DIV/0!</v>
      </c>
    </row>
    <row r="25" spans="3:5" x14ac:dyDescent="0.2">
      <c r="D25" t="s">
        <v>22</v>
      </c>
    </row>
    <row r="26" spans="3:5" x14ac:dyDescent="0.2">
      <c r="D26">
        <v>44</v>
      </c>
      <c r="E26">
        <v>44</v>
      </c>
    </row>
    <row r="27" spans="3:5" x14ac:dyDescent="0.2">
      <c r="D27">
        <v>56</v>
      </c>
      <c r="E27">
        <v>56</v>
      </c>
    </row>
    <row r="28" spans="3:5" x14ac:dyDescent="0.2">
      <c r="D28">
        <v>26</v>
      </c>
      <c r="E28">
        <v>0</v>
      </c>
    </row>
    <row r="29" spans="3:5" x14ac:dyDescent="0.2">
      <c r="D29">
        <v>35</v>
      </c>
      <c r="E29">
        <v>0</v>
      </c>
    </row>
    <row r="30" spans="3:5" x14ac:dyDescent="0.2">
      <c r="D30">
        <v>69</v>
      </c>
      <c r="E30">
        <v>69</v>
      </c>
    </row>
    <row r="31" spans="3:5" x14ac:dyDescent="0.2">
      <c r="D31">
        <f>SUMIF(D26:D30,"&gt;36")</f>
        <v>169</v>
      </c>
      <c r="E31">
        <f>SUM(E26:E30)</f>
        <v>169</v>
      </c>
    </row>
    <row r="38" spans="4:8" x14ac:dyDescent="0.2">
      <c r="D38" t="s">
        <v>23</v>
      </c>
    </row>
    <row r="40" spans="4:8" x14ac:dyDescent="0.2">
      <c r="D40" s="1" t="s">
        <v>24</v>
      </c>
      <c r="E40" s="1" t="s">
        <v>25</v>
      </c>
      <c r="F40" s="1" t="s">
        <v>26</v>
      </c>
      <c r="G40" s="1" t="s">
        <v>27</v>
      </c>
    </row>
    <row r="41" spans="4:8" x14ac:dyDescent="0.2">
      <c r="D41" s="1" t="s">
        <v>28</v>
      </c>
      <c r="E41" s="1">
        <v>30</v>
      </c>
      <c r="F41" s="6">
        <v>50000</v>
      </c>
      <c r="G41" s="1">
        <v>10</v>
      </c>
    </row>
    <row r="42" spans="4:8" x14ac:dyDescent="0.2">
      <c r="D42" s="1" t="s">
        <v>29</v>
      </c>
      <c r="E42" s="1">
        <v>32</v>
      </c>
      <c r="F42" s="6">
        <v>60000</v>
      </c>
      <c r="G42" s="1">
        <v>5</v>
      </c>
    </row>
    <row r="43" spans="4:8" x14ac:dyDescent="0.2">
      <c r="D43" s="1" t="s">
        <v>30</v>
      </c>
      <c r="E43" s="1">
        <v>28</v>
      </c>
      <c r="F43" s="6">
        <v>30000</v>
      </c>
      <c r="G43" s="1">
        <v>13</v>
      </c>
    </row>
    <row r="44" spans="4:8" x14ac:dyDescent="0.2">
      <c r="D44" s="1" t="s">
        <v>31</v>
      </c>
      <c r="E44" s="1">
        <v>28</v>
      </c>
      <c r="F44" s="7">
        <v>31000</v>
      </c>
      <c r="G44" s="1">
        <v>15</v>
      </c>
      <c r="H44">
        <f>G43+G44+G45</f>
        <v>48</v>
      </c>
    </row>
    <row r="45" spans="4:8" x14ac:dyDescent="0.2">
      <c r="D45" s="1" t="s">
        <v>32</v>
      </c>
      <c r="E45" s="1">
        <v>28</v>
      </c>
      <c r="F45" s="7">
        <v>28000</v>
      </c>
      <c r="G45" s="1">
        <v>20</v>
      </c>
    </row>
    <row r="46" spans="4:8" x14ac:dyDescent="0.2">
      <c r="D46" s="1" t="s">
        <v>33</v>
      </c>
      <c r="E46" s="1">
        <v>30</v>
      </c>
      <c r="F46" s="7">
        <v>45000</v>
      </c>
      <c r="G46" s="1">
        <v>12</v>
      </c>
    </row>
    <row r="47" spans="4:8" x14ac:dyDescent="0.2">
      <c r="D47" s="1" t="s">
        <v>34</v>
      </c>
      <c r="E47" s="1">
        <v>26</v>
      </c>
      <c r="F47" s="7">
        <v>50000</v>
      </c>
      <c r="G47" s="1">
        <v>12</v>
      </c>
    </row>
    <row r="49" spans="4:11" x14ac:dyDescent="0.2">
      <c r="D49">
        <f>SUMIFS(G41:G47,E41:E47,"28")</f>
        <v>48</v>
      </c>
    </row>
    <row r="52" spans="4:11" x14ac:dyDescent="0.2">
      <c r="D52" t="s">
        <v>35</v>
      </c>
    </row>
    <row r="53" spans="4:11" x14ac:dyDescent="0.2">
      <c r="D53" t="s">
        <v>36</v>
      </c>
      <c r="I53" t="s">
        <v>37</v>
      </c>
    </row>
    <row r="54" spans="4:11" x14ac:dyDescent="0.2">
      <c r="D54" s="1">
        <v>5</v>
      </c>
      <c r="E54" s="1">
        <v>8</v>
      </c>
      <c r="F54" s="1">
        <v>6</v>
      </c>
      <c r="I54" s="1">
        <v>9</v>
      </c>
      <c r="J54" s="1">
        <v>3</v>
      </c>
      <c r="K54" s="1">
        <v>7</v>
      </c>
    </row>
    <row r="55" spans="4:11" x14ac:dyDescent="0.2">
      <c r="D55" s="1">
        <v>6</v>
      </c>
      <c r="E55" s="1">
        <v>2</v>
      </c>
      <c r="F55" s="1">
        <v>4</v>
      </c>
      <c r="I55" s="1">
        <v>3</v>
      </c>
      <c r="J55" s="1">
        <v>8</v>
      </c>
      <c r="K55" s="1">
        <v>9</v>
      </c>
    </row>
    <row r="56" spans="4:11" x14ac:dyDescent="0.2">
      <c r="D56" s="1">
        <v>9</v>
      </c>
      <c r="E56" s="1">
        <v>3</v>
      </c>
      <c r="F56" s="1">
        <v>1</v>
      </c>
      <c r="I56" s="1">
        <v>4</v>
      </c>
      <c r="J56" s="1">
        <v>2</v>
      </c>
      <c r="K56" s="1">
        <v>1</v>
      </c>
    </row>
    <row r="57" spans="4:11" x14ac:dyDescent="0.2">
      <c r="D57" t="s">
        <v>40</v>
      </c>
    </row>
    <row r="58" spans="4:11" x14ac:dyDescent="0.2">
      <c r="D58" s="1" cm="1">
        <f t="array" ref="D58:F60">MMULT(D54:F56,I54:K56)</f>
        <v>93</v>
      </c>
      <c r="E58" s="1">
        <v>91</v>
      </c>
      <c r="F58" s="1">
        <v>113</v>
      </c>
    </row>
    <row r="59" spans="4:11" x14ac:dyDescent="0.2">
      <c r="D59" s="1">
        <v>76</v>
      </c>
      <c r="E59" s="1">
        <v>42</v>
      </c>
      <c r="F59" s="1">
        <v>64</v>
      </c>
    </row>
    <row r="60" spans="4:11" x14ac:dyDescent="0.2">
      <c r="D60" s="1">
        <v>94</v>
      </c>
      <c r="E60" s="1">
        <v>53</v>
      </c>
      <c r="F60" s="1">
        <v>91</v>
      </c>
    </row>
    <row r="62" spans="4:11" x14ac:dyDescent="0.2">
      <c r="D62" t="s">
        <v>38</v>
      </c>
      <c r="I62" t="s">
        <v>39</v>
      </c>
    </row>
    <row r="63" spans="4:11" x14ac:dyDescent="0.2">
      <c r="D63" s="1">
        <v>1</v>
      </c>
      <c r="E63" s="1">
        <v>2</v>
      </c>
      <c r="F63" s="1">
        <v>3</v>
      </c>
      <c r="I63" s="1">
        <v>1</v>
      </c>
      <c r="J63" s="1">
        <v>2</v>
      </c>
    </row>
    <row r="64" spans="4:11" x14ac:dyDescent="0.2">
      <c r="I64" s="1">
        <v>2</v>
      </c>
      <c r="J64" s="1">
        <v>2</v>
      </c>
    </row>
    <row r="65" spans="4:11" x14ac:dyDescent="0.2">
      <c r="I65" s="1">
        <v>3</v>
      </c>
      <c r="J65" s="1">
        <v>2</v>
      </c>
    </row>
    <row r="67" spans="4:11" x14ac:dyDescent="0.2">
      <c r="D67" t="s">
        <v>40</v>
      </c>
    </row>
    <row r="68" spans="4:11" x14ac:dyDescent="0.2">
      <c r="D68" cm="1">
        <f t="array" ref="D68:E68">MMULT(D63:F63,I63:J65)</f>
        <v>14</v>
      </c>
      <c r="E68">
        <v>12</v>
      </c>
    </row>
    <row r="70" spans="4:11" x14ac:dyDescent="0.2">
      <c r="D70" t="s">
        <v>38</v>
      </c>
      <c r="G70" t="s">
        <v>39</v>
      </c>
      <c r="J70" t="s">
        <v>40</v>
      </c>
    </row>
    <row r="71" spans="4:11" x14ac:dyDescent="0.2">
      <c r="D71" s="1">
        <v>1</v>
      </c>
      <c r="E71" s="1">
        <v>2</v>
      </c>
      <c r="G71" s="1">
        <v>1</v>
      </c>
      <c r="H71" s="1">
        <v>2</v>
      </c>
      <c r="J71" s="1" cm="1">
        <f t="array" ref="J71:K72">MMULT(D71:E72,G71:H72)</f>
        <v>7</v>
      </c>
      <c r="K71" s="1">
        <v>10</v>
      </c>
    </row>
    <row r="72" spans="4:11" x14ac:dyDescent="0.2">
      <c r="D72" s="1">
        <v>3</v>
      </c>
      <c r="E72" s="1">
        <v>4</v>
      </c>
      <c r="G72" s="1">
        <v>3</v>
      </c>
      <c r="H72" s="1">
        <v>4</v>
      </c>
      <c r="J72" s="1">
        <v>15</v>
      </c>
      <c r="K72" s="1">
        <v>22</v>
      </c>
    </row>
    <row r="75" spans="4:11" x14ac:dyDescent="0.2">
      <c r="D75" s="1" t="s">
        <v>24</v>
      </c>
      <c r="E75" s="1" t="s">
        <v>25</v>
      </c>
      <c r="F75" s="1" t="s">
        <v>26</v>
      </c>
      <c r="G75" s="1" t="s">
        <v>27</v>
      </c>
    </row>
    <row r="76" spans="4:11" x14ac:dyDescent="0.2">
      <c r="D76" s="1" t="s">
        <v>28</v>
      </c>
      <c r="E76" s="1">
        <v>30</v>
      </c>
      <c r="F76" s="6">
        <v>50000</v>
      </c>
      <c r="G76" s="1">
        <v>10</v>
      </c>
    </row>
    <row r="77" spans="4:11" x14ac:dyDescent="0.2">
      <c r="D77" s="1" t="s">
        <v>29</v>
      </c>
      <c r="E77" s="1">
        <v>32</v>
      </c>
      <c r="F77" s="6">
        <v>60000</v>
      </c>
      <c r="G77" s="1">
        <v>5</v>
      </c>
    </row>
    <row r="78" spans="4:11" x14ac:dyDescent="0.2">
      <c r="D78" s="1" t="s">
        <v>30</v>
      </c>
      <c r="E78" s="1">
        <v>28</v>
      </c>
      <c r="F78" s="6">
        <v>30000</v>
      </c>
      <c r="G78" s="1">
        <v>13</v>
      </c>
    </row>
    <row r="79" spans="4:11" x14ac:dyDescent="0.2">
      <c r="D79" s="1" t="s">
        <v>31</v>
      </c>
      <c r="E79" s="1">
        <v>28</v>
      </c>
      <c r="F79" s="7">
        <v>31000</v>
      </c>
      <c r="G79" s="1">
        <v>15</v>
      </c>
    </row>
    <row r="80" spans="4:11" x14ac:dyDescent="0.2">
      <c r="D80" s="1" t="s">
        <v>32</v>
      </c>
      <c r="E80" s="1">
        <v>28</v>
      </c>
      <c r="F80" s="7">
        <v>28000</v>
      </c>
      <c r="G80" s="1">
        <v>20</v>
      </c>
    </row>
    <row r="81" spans="4:7" x14ac:dyDescent="0.2">
      <c r="D81" s="1" t="s">
        <v>33</v>
      </c>
      <c r="E81" s="1">
        <v>30</v>
      </c>
      <c r="F81" s="7">
        <v>45000</v>
      </c>
      <c r="G81" s="1">
        <v>12</v>
      </c>
    </row>
    <row r="82" spans="4:7" x14ac:dyDescent="0.2">
      <c r="D82" s="1" t="s">
        <v>34</v>
      </c>
      <c r="E82" s="1">
        <v>26</v>
      </c>
      <c r="F82" s="7">
        <v>50000</v>
      </c>
      <c r="G82" s="1">
        <v>12</v>
      </c>
    </row>
    <row r="84" spans="4:7" x14ac:dyDescent="0.2">
      <c r="D84">
        <f>COUNT(D76:G82)</f>
        <v>21</v>
      </c>
      <c r="F84">
        <f>COUNTIFS(E76:G82,"&lt;25000")</f>
        <v>14</v>
      </c>
    </row>
    <row r="85" spans="4:7" x14ac:dyDescent="0.2">
      <c r="D85">
        <f>COUNT(E76:G82)</f>
        <v>21</v>
      </c>
    </row>
    <row r="86" spans="4:7" x14ac:dyDescent="0.2">
      <c r="D86">
        <f>COUNT(F76:G82)</f>
        <v>14</v>
      </c>
    </row>
    <row r="87" spans="4:7" x14ac:dyDescent="0.2">
      <c r="D87">
        <f>COUNT(D75:G82)</f>
        <v>21</v>
      </c>
    </row>
    <row r="90" spans="4:7" x14ac:dyDescent="0.2">
      <c r="D90" t="s">
        <v>41</v>
      </c>
    </row>
    <row r="91" spans="4:7" x14ac:dyDescent="0.2">
      <c r="D91" s="1">
        <v>56.088999999999999</v>
      </c>
      <c r="E91" s="1">
        <f>INT(D91)</f>
        <v>56</v>
      </c>
    </row>
    <row r="92" spans="4:7" x14ac:dyDescent="0.2">
      <c r="D92" s="1">
        <v>68.168999999999997</v>
      </c>
      <c r="E92" s="1">
        <f t="shared" ref="E92:E96" si="1">INT(D92)</f>
        <v>68</v>
      </c>
    </row>
    <row r="93" spans="4:7" x14ac:dyDescent="0.2">
      <c r="D93" s="1">
        <v>87.123000000000005</v>
      </c>
      <c r="E93" s="1">
        <f t="shared" si="1"/>
        <v>87</v>
      </c>
    </row>
    <row r="94" spans="4:7" x14ac:dyDescent="0.2">
      <c r="D94" s="1">
        <v>456.12799999999999</v>
      </c>
      <c r="E94" s="1">
        <f t="shared" si="1"/>
        <v>456</v>
      </c>
    </row>
    <row r="95" spans="4:7" x14ac:dyDescent="0.2">
      <c r="D95" s="1">
        <v>78.165000000000006</v>
      </c>
      <c r="E95" s="1">
        <f t="shared" si="1"/>
        <v>78</v>
      </c>
    </row>
    <row r="96" spans="4:7" x14ac:dyDescent="0.2">
      <c r="D96" s="1">
        <v>89.156000000000006</v>
      </c>
      <c r="E96" s="1">
        <f t="shared" si="1"/>
        <v>89</v>
      </c>
    </row>
    <row r="98" spans="4:11" x14ac:dyDescent="0.2">
      <c r="D98" t="s">
        <v>44</v>
      </c>
    </row>
    <row r="99" spans="4:11" x14ac:dyDescent="0.2">
      <c r="D99" s="1" t="s">
        <v>24</v>
      </c>
      <c r="E99" s="1" t="s">
        <v>25</v>
      </c>
      <c r="F99" s="1" t="s">
        <v>26</v>
      </c>
      <c r="G99" s="1" t="s">
        <v>27</v>
      </c>
    </row>
    <row r="100" spans="4:11" x14ac:dyDescent="0.2">
      <c r="D100" s="1" t="s">
        <v>28</v>
      </c>
      <c r="E100" s="1">
        <v>30</v>
      </c>
      <c r="F100" s="6">
        <v>50000</v>
      </c>
      <c r="G100" s="1">
        <v>10</v>
      </c>
      <c r="I100" s="1">
        <v>30</v>
      </c>
      <c r="K100" s="1">
        <v>30</v>
      </c>
    </row>
    <row r="101" spans="4:11" x14ac:dyDescent="0.2">
      <c r="D101" s="1" t="s">
        <v>29</v>
      </c>
      <c r="E101" s="1">
        <v>32</v>
      </c>
      <c r="F101" s="6">
        <v>60000</v>
      </c>
      <c r="G101" s="1">
        <v>5</v>
      </c>
      <c r="I101" s="1">
        <v>32</v>
      </c>
      <c r="K101" s="1">
        <v>32</v>
      </c>
    </row>
    <row r="102" spans="4:11" x14ac:dyDescent="0.2">
      <c r="D102" s="1" t="s">
        <v>30</v>
      </c>
      <c r="E102" s="1">
        <v>28</v>
      </c>
      <c r="F102" s="6">
        <v>30000</v>
      </c>
      <c r="G102" s="1">
        <v>13</v>
      </c>
      <c r="I102" s="1">
        <v>0</v>
      </c>
      <c r="K102" s="1">
        <v>28</v>
      </c>
    </row>
    <row r="103" spans="4:11" x14ac:dyDescent="0.2">
      <c r="D103" s="1" t="s">
        <v>31</v>
      </c>
      <c r="E103" s="1">
        <v>28</v>
      </c>
      <c r="F103" s="7">
        <v>31000</v>
      </c>
      <c r="G103" s="1">
        <v>15</v>
      </c>
      <c r="I103" s="1">
        <v>28</v>
      </c>
      <c r="K103" s="1">
        <v>28</v>
      </c>
    </row>
    <row r="104" spans="4:11" x14ac:dyDescent="0.2">
      <c r="D104" s="1" t="s">
        <v>32</v>
      </c>
      <c r="E104" s="1">
        <v>28</v>
      </c>
      <c r="F104" s="7">
        <v>28000</v>
      </c>
      <c r="G104" s="1">
        <v>20</v>
      </c>
      <c r="I104" s="1">
        <v>28</v>
      </c>
      <c r="K104" s="1">
        <v>30</v>
      </c>
    </row>
    <row r="105" spans="4:11" x14ac:dyDescent="0.2">
      <c r="D105" s="1" t="s">
        <v>33</v>
      </c>
      <c r="E105" s="1">
        <v>30</v>
      </c>
      <c r="F105" s="7">
        <v>45000</v>
      </c>
      <c r="G105" s="1">
        <v>12</v>
      </c>
      <c r="I105" s="1">
        <v>30</v>
      </c>
      <c r="K105" s="1">
        <v>26</v>
      </c>
    </row>
    <row r="106" spans="4:11" x14ac:dyDescent="0.2">
      <c r="D106" s="1" t="s">
        <v>34</v>
      </c>
      <c r="E106" s="1">
        <v>26</v>
      </c>
      <c r="F106" s="7">
        <v>50000</v>
      </c>
      <c r="G106" s="1">
        <v>12</v>
      </c>
      <c r="I106" s="1">
        <v>26</v>
      </c>
    </row>
    <row r="107" spans="4:11" x14ac:dyDescent="0.2">
      <c r="D107" s="8" t="s">
        <v>44</v>
      </c>
      <c r="E107">
        <f>INT(AVERAGE(E100:E106))</f>
        <v>28</v>
      </c>
      <c r="F107">
        <f t="shared" ref="F107:G107" si="2">INT(AVERAGE(F100:F106))</f>
        <v>42000</v>
      </c>
      <c r="G107">
        <f t="shared" si="2"/>
        <v>12</v>
      </c>
      <c r="I107">
        <f>AVERAGE(I100:I106)</f>
        <v>24.857142857142858</v>
      </c>
      <c r="K107">
        <f>AVERAGE(K100:K105)</f>
        <v>29</v>
      </c>
    </row>
    <row r="109" spans="4:11" x14ac:dyDescent="0.2">
      <c r="I109">
        <f>SUM(I100:I106)/COUNT(I100:I106)</f>
        <v>24.857142857142858</v>
      </c>
    </row>
    <row r="112" spans="4:11" x14ac:dyDescent="0.2">
      <c r="D112" t="s">
        <v>45</v>
      </c>
    </row>
    <row r="114" spans="4:10" x14ac:dyDescent="0.2">
      <c r="D114" t="s">
        <v>46</v>
      </c>
      <c r="F114" t="str">
        <f>RIGHT(D114,4)</f>
        <v>olor</v>
      </c>
    </row>
    <row r="115" spans="4:10" x14ac:dyDescent="0.2">
      <c r="D115" t="s">
        <v>46</v>
      </c>
      <c r="F115" t="str">
        <f>LEFT(D115,4)</f>
        <v>Pris</v>
      </c>
      <c r="H115">
        <v>1234</v>
      </c>
      <c r="I115" t="s">
        <v>59</v>
      </c>
      <c r="J115">
        <f>LEN(H115)</f>
        <v>4</v>
      </c>
    </row>
    <row r="116" spans="4:10" x14ac:dyDescent="0.2">
      <c r="H116" t="s">
        <v>61</v>
      </c>
      <c r="I116" t="s">
        <v>60</v>
      </c>
      <c r="J116">
        <f>LEN(H116)</f>
        <v>7</v>
      </c>
    </row>
    <row r="118" spans="4:10" x14ac:dyDescent="0.2">
      <c r="D118" t="s">
        <v>47</v>
      </c>
      <c r="E118" t="s">
        <v>48</v>
      </c>
      <c r="F118" t="s">
        <v>62</v>
      </c>
    </row>
    <row r="119" spans="4:10" x14ac:dyDescent="0.2">
      <c r="D119" s="1" t="s">
        <v>49</v>
      </c>
      <c r="E119" s="1" t="s">
        <v>50</v>
      </c>
      <c r="F119" s="1" t="str">
        <f>CONCATENATE(D119," ",E119)</f>
        <v>Camilo Guzman</v>
      </c>
    </row>
    <row r="120" spans="4:10" x14ac:dyDescent="0.2">
      <c r="D120" s="1" t="s">
        <v>51</v>
      </c>
      <c r="E120" s="1" t="s">
        <v>52</v>
      </c>
      <c r="F120" s="1" t="str">
        <f t="shared" ref="F120:F123" si="3">CONCATENATE(D120," ",E120)</f>
        <v>Lucia  Rincon</v>
      </c>
    </row>
    <row r="121" spans="4:10" x14ac:dyDescent="0.2">
      <c r="D121" s="1" t="s">
        <v>53</v>
      </c>
      <c r="E121" s="1" t="s">
        <v>54</v>
      </c>
      <c r="F121" s="1" t="str">
        <f t="shared" si="3"/>
        <v>Diana Fajardo</v>
      </c>
    </row>
    <row r="122" spans="4:10" x14ac:dyDescent="0.2">
      <c r="D122" s="1" t="s">
        <v>55</v>
      </c>
      <c r="E122" s="1" t="s">
        <v>56</v>
      </c>
      <c r="F122" s="1" t="str">
        <f t="shared" si="3"/>
        <v>Fernando  Ramirez</v>
      </c>
    </row>
    <row r="123" spans="4:10" x14ac:dyDescent="0.2">
      <c r="D123" s="1" t="s">
        <v>57</v>
      </c>
      <c r="E123" s="1" t="s">
        <v>58</v>
      </c>
      <c r="F123" s="1" t="str">
        <f t="shared" si="3"/>
        <v>Mariela  Guztierrez</v>
      </c>
    </row>
    <row r="125" spans="4:10" x14ac:dyDescent="0.2">
      <c r="D125" t="s">
        <v>63</v>
      </c>
    </row>
    <row r="126" spans="4:10" x14ac:dyDescent="0.2">
      <c r="D126" t="s">
        <v>64</v>
      </c>
      <c r="F126">
        <f>LEN(D126)</f>
        <v>17</v>
      </c>
    </row>
    <row r="127" spans="4:10" x14ac:dyDescent="0.2">
      <c r="D127" t="s">
        <v>65</v>
      </c>
      <c r="F127">
        <f>LEN(D127)</f>
        <v>15</v>
      </c>
    </row>
    <row r="129" spans="4:7" x14ac:dyDescent="0.2">
      <c r="D129" t="s">
        <v>66</v>
      </c>
    </row>
    <row r="130" spans="4:7" x14ac:dyDescent="0.2">
      <c r="D130" t="s">
        <v>67</v>
      </c>
      <c r="F130" t="str">
        <f>SUBSTITUTE(D130,"marchitan","Regalan")</f>
        <v>Las Flores se Regalan</v>
      </c>
    </row>
    <row r="132" spans="4:7" x14ac:dyDescent="0.2">
      <c r="D132" t="s">
        <v>71</v>
      </c>
    </row>
    <row r="133" spans="4:7" x14ac:dyDescent="0.2">
      <c r="D133" t="s">
        <v>72</v>
      </c>
      <c r="F133" t="str">
        <f>REPLACE(D133,5,1,"*")</f>
        <v>Una *amilia corre</v>
      </c>
    </row>
    <row r="136" spans="4:7" x14ac:dyDescent="0.2">
      <c r="D136" t="s">
        <v>73</v>
      </c>
      <c r="F136" t="s">
        <v>86</v>
      </c>
    </row>
    <row r="137" spans="4:7" x14ac:dyDescent="0.2">
      <c r="D137" t="s">
        <v>24</v>
      </c>
      <c r="E137" t="s">
        <v>74</v>
      </c>
      <c r="F137" t="s">
        <v>79</v>
      </c>
    </row>
    <row r="138" spans="4:7" x14ac:dyDescent="0.2">
      <c r="D138" t="s">
        <v>75</v>
      </c>
      <c r="E138">
        <v>6</v>
      </c>
      <c r="F138" t="b">
        <f>IF(E138&gt;=6,TRUE,FALSE)</f>
        <v>1</v>
      </c>
    </row>
    <row r="139" spans="4:7" x14ac:dyDescent="0.2">
      <c r="D139" t="s">
        <v>43</v>
      </c>
      <c r="E139">
        <v>5.5</v>
      </c>
      <c r="F139" t="b">
        <f t="shared" ref="F139:F142" si="4">IF(E139&gt;=6,TRUE,FALSE)</f>
        <v>0</v>
      </c>
    </row>
    <row r="140" spans="4:7" x14ac:dyDescent="0.2">
      <c r="D140" t="s">
        <v>76</v>
      </c>
      <c r="E140">
        <v>7.5</v>
      </c>
      <c r="F140" t="b">
        <f t="shared" si="4"/>
        <v>1</v>
      </c>
    </row>
    <row r="141" spans="4:7" x14ac:dyDescent="0.2">
      <c r="D141" t="s">
        <v>77</v>
      </c>
      <c r="E141">
        <v>3.2</v>
      </c>
      <c r="F141" t="b">
        <f t="shared" si="4"/>
        <v>0</v>
      </c>
    </row>
    <row r="142" spans="4:7" x14ac:dyDescent="0.2">
      <c r="D142" t="s">
        <v>78</v>
      </c>
      <c r="E142">
        <v>9</v>
      </c>
      <c r="F142" t="b">
        <f t="shared" si="4"/>
        <v>1</v>
      </c>
    </row>
    <row r="144" spans="4:7" x14ac:dyDescent="0.2">
      <c r="D144" s="1" t="s">
        <v>24</v>
      </c>
      <c r="E144" s="1" t="s">
        <v>74</v>
      </c>
      <c r="F144" s="1" t="s">
        <v>80</v>
      </c>
      <c r="G144" s="1"/>
    </row>
    <row r="145" spans="4:7" x14ac:dyDescent="0.2">
      <c r="D145" s="1" t="s">
        <v>75</v>
      </c>
      <c r="E145" s="1">
        <v>6</v>
      </c>
      <c r="F145" s="1">
        <v>8</v>
      </c>
      <c r="G145" s="1" t="b">
        <f>AND(E145&gt;=5,F145&gt;=10)</f>
        <v>0</v>
      </c>
    </row>
    <row r="146" spans="4:7" x14ac:dyDescent="0.2">
      <c r="D146" s="1" t="s">
        <v>43</v>
      </c>
      <c r="E146" s="1">
        <v>5.5</v>
      </c>
      <c r="F146" s="1">
        <v>10</v>
      </c>
      <c r="G146" s="1" t="b">
        <f t="shared" ref="G146:G149" si="5">AND(E146&gt;=5,F146&gt;=10)</f>
        <v>1</v>
      </c>
    </row>
    <row r="147" spans="4:7" x14ac:dyDescent="0.2">
      <c r="D147" s="1" t="s">
        <v>76</v>
      </c>
      <c r="E147" s="1">
        <v>7.5</v>
      </c>
      <c r="F147" s="1">
        <v>5</v>
      </c>
      <c r="G147" s="1" t="b">
        <f t="shared" si="5"/>
        <v>0</v>
      </c>
    </row>
    <row r="148" spans="4:7" x14ac:dyDescent="0.2">
      <c r="D148" s="1" t="s">
        <v>77</v>
      </c>
      <c r="E148" s="1">
        <v>3.2</v>
      </c>
      <c r="F148" s="1">
        <v>8</v>
      </c>
      <c r="G148" s="1" t="b">
        <f t="shared" si="5"/>
        <v>0</v>
      </c>
    </row>
    <row r="149" spans="4:7" x14ac:dyDescent="0.2">
      <c r="D149" s="1" t="s">
        <v>78</v>
      </c>
      <c r="E149" s="1">
        <v>9</v>
      </c>
      <c r="F149" s="1">
        <v>12</v>
      </c>
      <c r="G149" s="1" t="b">
        <f t="shared" si="5"/>
        <v>1</v>
      </c>
    </row>
    <row r="151" spans="4:7" x14ac:dyDescent="0.2">
      <c r="D151" t="s">
        <v>87</v>
      </c>
    </row>
    <row r="152" spans="4:7" x14ac:dyDescent="0.2">
      <c r="D152" s="1" t="s">
        <v>24</v>
      </c>
      <c r="E152" s="1" t="s">
        <v>81</v>
      </c>
      <c r="F152" s="1"/>
    </row>
    <row r="153" spans="4:7" x14ac:dyDescent="0.2">
      <c r="D153" s="1" t="s">
        <v>75</v>
      </c>
      <c r="E153" s="1" t="s">
        <v>82</v>
      </c>
      <c r="F153" s="1" t="b">
        <f>OR(E153="Artes",E153="Musica")</f>
        <v>1</v>
      </c>
    </row>
    <row r="154" spans="4:7" x14ac:dyDescent="0.2">
      <c r="D154" s="1" t="s">
        <v>43</v>
      </c>
      <c r="E154" s="1" t="s">
        <v>83</v>
      </c>
      <c r="F154" s="1" t="b">
        <f t="shared" ref="F154:F158" si="6">OR(E154="ARTE",E154="Musica")</f>
        <v>0</v>
      </c>
    </row>
    <row r="155" spans="4:7" x14ac:dyDescent="0.2">
      <c r="D155" s="1" t="s">
        <v>76</v>
      </c>
      <c r="E155" s="1" t="s">
        <v>84</v>
      </c>
      <c r="F155" s="1" t="b">
        <f t="shared" si="6"/>
        <v>1</v>
      </c>
    </row>
    <row r="156" spans="4:7" x14ac:dyDescent="0.2">
      <c r="D156" s="1" t="s">
        <v>77</v>
      </c>
      <c r="E156" s="1" t="s">
        <v>82</v>
      </c>
      <c r="F156" s="1" t="b">
        <f t="shared" si="6"/>
        <v>0</v>
      </c>
    </row>
    <row r="157" spans="4:7" x14ac:dyDescent="0.2">
      <c r="D157" s="1" t="s">
        <v>78</v>
      </c>
      <c r="E157" s="1" t="s">
        <v>84</v>
      </c>
      <c r="F157" s="1" t="b">
        <f t="shared" si="6"/>
        <v>1</v>
      </c>
    </row>
    <row r="158" spans="4:7" x14ac:dyDescent="0.2">
      <c r="D158" s="1" t="s">
        <v>85</v>
      </c>
      <c r="E158" s="1" t="s">
        <v>83</v>
      </c>
      <c r="F158" s="1" t="b">
        <f t="shared" si="6"/>
        <v>0</v>
      </c>
    </row>
    <row r="160" spans="4:7" x14ac:dyDescent="0.2">
      <c r="D160" t="s">
        <v>88</v>
      </c>
    </row>
    <row r="161" spans="4:6" x14ac:dyDescent="0.2">
      <c r="D161" s="9">
        <f ca="1">TODAY()</f>
        <v>45121</v>
      </c>
    </row>
    <row r="163" spans="4:6" x14ac:dyDescent="0.2">
      <c r="D163" s="10">
        <f ca="1">NOW()</f>
        <v>45121.264506828702</v>
      </c>
    </row>
    <row r="165" spans="4:6" x14ac:dyDescent="0.2">
      <c r="D165" t="s">
        <v>88</v>
      </c>
    </row>
    <row r="166" spans="4:6" x14ac:dyDescent="0.2">
      <c r="D166" t="s">
        <v>24</v>
      </c>
      <c r="E166" t="s">
        <v>89</v>
      </c>
    </row>
    <row r="167" spans="4:6" x14ac:dyDescent="0.2">
      <c r="D167" t="s">
        <v>90</v>
      </c>
      <c r="E167" s="9">
        <v>562</v>
      </c>
      <c r="F167">
        <f>WEEKNUM(E167)</f>
        <v>29</v>
      </c>
    </row>
    <row r="168" spans="4:6" x14ac:dyDescent="0.2">
      <c r="D168" t="s">
        <v>91</v>
      </c>
      <c r="E168" s="9">
        <v>45221</v>
      </c>
      <c r="F168">
        <f t="shared" ref="F168:F173" si="7">WEEKNUM(E168)</f>
        <v>43</v>
      </c>
    </row>
    <row r="169" spans="4:6" x14ac:dyDescent="0.2">
      <c r="D169" t="s">
        <v>92</v>
      </c>
      <c r="E169" s="9">
        <v>45245</v>
      </c>
      <c r="F169">
        <f t="shared" si="7"/>
        <v>46</v>
      </c>
    </row>
    <row r="170" spans="4:6" x14ac:dyDescent="0.2">
      <c r="D170" t="s">
        <v>93</v>
      </c>
      <c r="E170" s="9">
        <v>45066</v>
      </c>
      <c r="F170">
        <f t="shared" si="7"/>
        <v>20</v>
      </c>
    </row>
    <row r="171" spans="4:6" x14ac:dyDescent="0.2">
      <c r="D171" t="s">
        <v>94</v>
      </c>
      <c r="E171" s="9">
        <v>45035</v>
      </c>
      <c r="F171">
        <f t="shared" si="7"/>
        <v>16</v>
      </c>
    </row>
    <row r="172" spans="4:6" x14ac:dyDescent="0.2">
      <c r="D172" t="s">
        <v>95</v>
      </c>
      <c r="E172" s="9">
        <v>45127</v>
      </c>
      <c r="F172">
        <f t="shared" si="7"/>
        <v>29</v>
      </c>
    </row>
    <row r="173" spans="4:6" x14ac:dyDescent="0.2">
      <c r="D173" t="s">
        <v>94</v>
      </c>
      <c r="E173" s="9">
        <v>45082</v>
      </c>
      <c r="F173">
        <f t="shared" si="7"/>
        <v>23</v>
      </c>
    </row>
    <row r="176" spans="4:6" x14ac:dyDescent="0.2">
      <c r="D176" t="s">
        <v>88</v>
      </c>
    </row>
    <row r="177" spans="4:8" x14ac:dyDescent="0.2">
      <c r="D177" t="s">
        <v>96</v>
      </c>
      <c r="F177" s="9">
        <v>44211</v>
      </c>
      <c r="G177">
        <f>NETWORKDAYS(F177,F178)</f>
        <v>500</v>
      </c>
      <c r="H177" s="12">
        <f>G177*D182</f>
        <v>21676766.666666668</v>
      </c>
    </row>
    <row r="178" spans="4:8" x14ac:dyDescent="0.2">
      <c r="D178" t="s">
        <v>97</v>
      </c>
      <c r="F178" s="9">
        <v>44910</v>
      </c>
    </row>
    <row r="181" spans="4:8" x14ac:dyDescent="0.2">
      <c r="D181" s="11">
        <v>1300606</v>
      </c>
      <c r="E181" t="s">
        <v>98</v>
      </c>
    </row>
    <row r="182" spans="4:8" x14ac:dyDescent="0.2">
      <c r="D182" s="12">
        <f>D181/30</f>
        <v>43353.533333333333</v>
      </c>
      <c r="E182" t="s">
        <v>99</v>
      </c>
    </row>
    <row r="185" spans="4:8" x14ac:dyDescent="0.2">
      <c r="D185" t="s">
        <v>101</v>
      </c>
    </row>
    <row r="186" spans="4:8" x14ac:dyDescent="0.2">
      <c r="D186" s="1" t="s">
        <v>24</v>
      </c>
      <c r="E186" s="1" t="s">
        <v>89</v>
      </c>
      <c r="F186" s="1" t="s">
        <v>100</v>
      </c>
      <c r="G186" s="1" t="s">
        <v>101</v>
      </c>
    </row>
    <row r="187" spans="4:8" x14ac:dyDescent="0.2">
      <c r="D187" s="1" t="s">
        <v>90</v>
      </c>
      <c r="E187" s="13">
        <v>562</v>
      </c>
      <c r="F187" s="1">
        <f>YEAR(E187)</f>
        <v>1901</v>
      </c>
      <c r="G187" s="13">
        <f>EOMONTH(E187,0)</f>
        <v>578</v>
      </c>
    </row>
    <row r="188" spans="4:8" x14ac:dyDescent="0.2">
      <c r="D188" s="1" t="s">
        <v>91</v>
      </c>
      <c r="E188" s="13">
        <v>45221</v>
      </c>
      <c r="F188" s="1">
        <f t="shared" ref="F188:F193" si="8">YEAR(E188)</f>
        <v>2023</v>
      </c>
      <c r="G188" s="13">
        <f t="shared" ref="G188:G193" si="9">EOMONTH(E188,0)</f>
        <v>45230</v>
      </c>
    </row>
    <row r="189" spans="4:8" x14ac:dyDescent="0.2">
      <c r="D189" s="1" t="s">
        <v>92</v>
      </c>
      <c r="E189" s="13">
        <v>45245</v>
      </c>
      <c r="F189" s="1">
        <f t="shared" si="8"/>
        <v>2023</v>
      </c>
      <c r="G189" s="13">
        <f t="shared" si="9"/>
        <v>45260</v>
      </c>
    </row>
    <row r="190" spans="4:8" x14ac:dyDescent="0.2">
      <c r="D190" s="1" t="s">
        <v>93</v>
      </c>
      <c r="E190" s="13">
        <v>45066</v>
      </c>
      <c r="F190" s="1">
        <f t="shared" si="8"/>
        <v>2023</v>
      </c>
      <c r="G190" s="13">
        <f t="shared" si="9"/>
        <v>45077</v>
      </c>
    </row>
    <row r="191" spans="4:8" x14ac:dyDescent="0.2">
      <c r="D191" s="1" t="s">
        <v>94</v>
      </c>
      <c r="E191" s="13">
        <v>45035</v>
      </c>
      <c r="F191" s="1">
        <f t="shared" si="8"/>
        <v>2023</v>
      </c>
      <c r="G191" s="13">
        <f t="shared" si="9"/>
        <v>45046</v>
      </c>
    </row>
    <row r="192" spans="4:8" x14ac:dyDescent="0.2">
      <c r="D192" s="1" t="s">
        <v>95</v>
      </c>
      <c r="E192" s="13">
        <v>45127</v>
      </c>
      <c r="F192" s="1">
        <f t="shared" si="8"/>
        <v>2023</v>
      </c>
      <c r="G192" s="13">
        <f t="shared" si="9"/>
        <v>45138</v>
      </c>
    </row>
    <row r="193" spans="4:7" x14ac:dyDescent="0.2">
      <c r="D193" s="1" t="s">
        <v>94</v>
      </c>
      <c r="E193" s="13">
        <v>45082</v>
      </c>
      <c r="F193" s="1">
        <f t="shared" si="8"/>
        <v>2023</v>
      </c>
      <c r="G193" s="13">
        <f t="shared" si="9"/>
        <v>45107</v>
      </c>
    </row>
    <row r="196" spans="4:7" x14ac:dyDescent="0.2">
      <c r="D196" t="s">
        <v>102</v>
      </c>
    </row>
    <row r="197" spans="4:7" x14ac:dyDescent="0.2">
      <c r="D197" s="1" t="s">
        <v>88</v>
      </c>
      <c r="E197" s="1" t="s">
        <v>103</v>
      </c>
      <c r="F197" s="1" t="s">
        <v>112</v>
      </c>
    </row>
    <row r="198" spans="4:7" x14ac:dyDescent="0.2">
      <c r="D198" s="1" t="s">
        <v>105</v>
      </c>
      <c r="E198" s="1">
        <v>35</v>
      </c>
      <c r="F198" s="14">
        <f>E198/$E$206</f>
        <v>0.14893617021276595</v>
      </c>
    </row>
    <row r="199" spans="4:7" x14ac:dyDescent="0.2">
      <c r="D199" s="1" t="s">
        <v>104</v>
      </c>
      <c r="E199" s="1">
        <v>20</v>
      </c>
      <c r="F199" s="14">
        <f t="shared" ref="F199:F205" si="10">E199/$E$206</f>
        <v>8.5106382978723402E-2</v>
      </c>
    </row>
    <row r="200" spans="4:7" x14ac:dyDescent="0.2">
      <c r="D200" s="1" t="s">
        <v>106</v>
      </c>
      <c r="E200" s="1">
        <v>20</v>
      </c>
      <c r="F200" s="14">
        <f t="shared" si="10"/>
        <v>8.5106382978723402E-2</v>
      </c>
    </row>
    <row r="201" spans="4:7" x14ac:dyDescent="0.2">
      <c r="D201" s="1" t="s">
        <v>107</v>
      </c>
      <c r="E201" s="1">
        <v>60</v>
      </c>
      <c r="F201" s="14">
        <f t="shared" si="10"/>
        <v>0.25531914893617019</v>
      </c>
    </row>
    <row r="202" spans="4:7" x14ac:dyDescent="0.2">
      <c r="D202" s="1" t="s">
        <v>108</v>
      </c>
      <c r="E202" s="1">
        <v>15</v>
      </c>
      <c r="F202" s="14">
        <f t="shared" si="10"/>
        <v>6.3829787234042548E-2</v>
      </c>
    </row>
    <row r="203" spans="4:7" x14ac:dyDescent="0.2">
      <c r="D203" s="1" t="s">
        <v>109</v>
      </c>
      <c r="E203" s="1">
        <v>15</v>
      </c>
      <c r="F203" s="14">
        <f t="shared" si="10"/>
        <v>6.3829787234042548E-2</v>
      </c>
    </row>
    <row r="204" spans="4:7" x14ac:dyDescent="0.2">
      <c r="D204" s="1" t="s">
        <v>110</v>
      </c>
      <c r="E204" s="1">
        <v>40</v>
      </c>
      <c r="F204" s="14">
        <f t="shared" si="10"/>
        <v>0.1702127659574468</v>
      </c>
    </row>
    <row r="205" spans="4:7" x14ac:dyDescent="0.2">
      <c r="D205" s="1" t="s">
        <v>111</v>
      </c>
      <c r="E205" s="1">
        <v>30</v>
      </c>
      <c r="F205" s="14">
        <f t="shared" si="10"/>
        <v>0.1276595744680851</v>
      </c>
    </row>
    <row r="206" spans="4:7" x14ac:dyDescent="0.2">
      <c r="D206" s="8" t="s">
        <v>113</v>
      </c>
      <c r="E206">
        <f>SUM(E198:$E$205)</f>
        <v>235</v>
      </c>
    </row>
    <row r="230" spans="5:5" x14ac:dyDescent="0.2">
      <c r="E230" t="s">
        <v>180</v>
      </c>
    </row>
    <row r="231" spans="5:5" x14ac:dyDescent="0.2">
      <c r="E231">
        <v>1</v>
      </c>
    </row>
    <row r="232" spans="5:5" x14ac:dyDescent="0.2">
      <c r="E232">
        <v>2</v>
      </c>
    </row>
    <row r="233" spans="5:5" x14ac:dyDescent="0.2">
      <c r="E233">
        <v>3</v>
      </c>
    </row>
    <row r="234" spans="5:5" x14ac:dyDescent="0.2">
      <c r="E234">
        <v>4</v>
      </c>
    </row>
    <row r="235" spans="5:5" x14ac:dyDescent="0.2">
      <c r="E235">
        <v>5</v>
      </c>
    </row>
    <row r="259" spans="4:8" x14ac:dyDescent="0.2">
      <c r="D259" t="s">
        <v>114</v>
      </c>
    </row>
    <row r="260" spans="4:8" x14ac:dyDescent="0.2">
      <c r="D260" s="1" t="s">
        <v>88</v>
      </c>
      <c r="E260" s="1"/>
      <c r="F260" s="1"/>
      <c r="G260" s="1"/>
      <c r="H260" s="1" t="s">
        <v>113</v>
      </c>
    </row>
    <row r="261" spans="4:8" x14ac:dyDescent="0.2">
      <c r="D261" s="1" t="s">
        <v>115</v>
      </c>
      <c r="E261" s="15">
        <v>80000</v>
      </c>
      <c r="F261" s="15">
        <v>50000</v>
      </c>
      <c r="G261" s="15">
        <v>20000</v>
      </c>
      <c r="H261" s="15">
        <f>SUM(E261:G261)</f>
        <v>150000</v>
      </c>
    </row>
    <row r="262" spans="4:8" x14ac:dyDescent="0.2">
      <c r="D262" s="1" t="s">
        <v>116</v>
      </c>
      <c r="E262" s="15">
        <v>500000</v>
      </c>
      <c r="F262" s="15">
        <v>60000</v>
      </c>
      <c r="G262" s="15">
        <v>700000</v>
      </c>
      <c r="H262" s="15">
        <f t="shared" ref="H262:H267" si="11">SUM(E262:G262)</f>
        <v>1260000</v>
      </c>
    </row>
    <row r="263" spans="4:8" x14ac:dyDescent="0.2">
      <c r="D263" s="1" t="s">
        <v>117</v>
      </c>
      <c r="E263" s="15">
        <v>90000</v>
      </c>
      <c r="F263" s="15">
        <v>300000</v>
      </c>
      <c r="G263" s="15">
        <v>50000</v>
      </c>
      <c r="H263" s="15">
        <f t="shared" si="11"/>
        <v>440000</v>
      </c>
    </row>
    <row r="264" spans="4:8" x14ac:dyDescent="0.2">
      <c r="D264" s="1" t="s">
        <v>118</v>
      </c>
      <c r="E264" s="15">
        <v>6000</v>
      </c>
      <c r="F264" s="15">
        <v>1000000</v>
      </c>
      <c r="G264" s="15">
        <v>80000</v>
      </c>
      <c r="H264" s="15">
        <f t="shared" si="11"/>
        <v>1086000</v>
      </c>
    </row>
    <row r="265" spans="4:8" x14ac:dyDescent="0.2">
      <c r="D265" s="1" t="s">
        <v>119</v>
      </c>
      <c r="E265" s="15">
        <v>15000</v>
      </c>
      <c r="F265" s="15">
        <v>40000</v>
      </c>
      <c r="G265" s="15">
        <v>60000</v>
      </c>
      <c r="H265" s="15">
        <f t="shared" si="11"/>
        <v>115000</v>
      </c>
    </row>
    <row r="266" spans="4:8" x14ac:dyDescent="0.2">
      <c r="D266" s="1" t="s">
        <v>120</v>
      </c>
      <c r="E266" s="15">
        <v>300000</v>
      </c>
      <c r="F266" s="15">
        <v>50000</v>
      </c>
      <c r="G266" s="15">
        <v>90000</v>
      </c>
      <c r="H266" s="15">
        <f t="shared" si="11"/>
        <v>440000</v>
      </c>
    </row>
    <row r="267" spans="4:8" x14ac:dyDescent="0.2">
      <c r="D267" s="1" t="s">
        <v>121</v>
      </c>
      <c r="E267" s="15">
        <v>100000</v>
      </c>
      <c r="F267" s="15">
        <v>800000</v>
      </c>
      <c r="G267" s="15">
        <v>300000</v>
      </c>
      <c r="H267" s="15">
        <f t="shared" si="11"/>
        <v>1200000</v>
      </c>
    </row>
    <row r="287" spans="4:4" x14ac:dyDescent="0.2">
      <c r="D287" t="s">
        <v>181</v>
      </c>
    </row>
    <row r="289" spans="4:9" x14ac:dyDescent="0.2">
      <c r="D289" t="s">
        <v>182</v>
      </c>
      <c r="E289" t="s">
        <v>183</v>
      </c>
    </row>
    <row r="290" spans="4:9" x14ac:dyDescent="0.2">
      <c r="D290">
        <v>1</v>
      </c>
    </row>
    <row r="291" spans="4:9" x14ac:dyDescent="0.2">
      <c r="D291">
        <v>2</v>
      </c>
      <c r="G291">
        <v>4</v>
      </c>
      <c r="H291">
        <f>SIN(90)</f>
        <v>0.89399666360055785</v>
      </c>
      <c r="I291">
        <f>SIN(PI()/2)</f>
        <v>1</v>
      </c>
    </row>
    <row r="292" spans="4:9" x14ac:dyDescent="0.2">
      <c r="D292">
        <v>3</v>
      </c>
      <c r="G292">
        <v>2</v>
      </c>
      <c r="H292">
        <f>PI()</f>
        <v>3.1415926535897931</v>
      </c>
    </row>
    <row r="293" spans="4:9" x14ac:dyDescent="0.2">
      <c r="D293">
        <v>4</v>
      </c>
      <c r="G293">
        <f>G292*G291</f>
        <v>8</v>
      </c>
    </row>
    <row r="294" spans="4:9" x14ac:dyDescent="0.2">
      <c r="D294">
        <v>5</v>
      </c>
    </row>
    <row r="295" spans="4:9" x14ac:dyDescent="0.2">
      <c r="D295">
        <v>6</v>
      </c>
    </row>
    <row r="296" spans="4:9" x14ac:dyDescent="0.2">
      <c r="D296">
        <v>7</v>
      </c>
      <c r="H296">
        <f>2^3</f>
        <v>8</v>
      </c>
    </row>
    <row r="297" spans="4:9" x14ac:dyDescent="0.2">
      <c r="D297">
        <v>8</v>
      </c>
    </row>
    <row r="298" spans="4:9" x14ac:dyDescent="0.2">
      <c r="D298">
        <v>9</v>
      </c>
    </row>
    <row r="299" spans="4:9" x14ac:dyDescent="0.2">
      <c r="D299">
        <v>10</v>
      </c>
    </row>
    <row r="300" spans="4:9" x14ac:dyDescent="0.2">
      <c r="D300">
        <v>11</v>
      </c>
    </row>
    <row r="301" spans="4:9" x14ac:dyDescent="0.2">
      <c r="D301">
        <v>12</v>
      </c>
    </row>
    <row r="302" spans="4:9" x14ac:dyDescent="0.2">
      <c r="D302">
        <v>13</v>
      </c>
    </row>
    <row r="303" spans="4:9" x14ac:dyDescent="0.2">
      <c r="D303">
        <v>14</v>
      </c>
    </row>
    <row r="304" spans="4:9" x14ac:dyDescent="0.2">
      <c r="D304">
        <v>15</v>
      </c>
    </row>
    <row r="305" spans="4:4" x14ac:dyDescent="0.2">
      <c r="D305">
        <v>16</v>
      </c>
    </row>
    <row r="306" spans="4:4" x14ac:dyDescent="0.2">
      <c r="D306">
        <v>17</v>
      </c>
    </row>
    <row r="307" spans="4:4" x14ac:dyDescent="0.2">
      <c r="D307">
        <v>18</v>
      </c>
    </row>
    <row r="308" spans="4:4" x14ac:dyDescent="0.2">
      <c r="D308">
        <v>19</v>
      </c>
    </row>
    <row r="309" spans="4:4" x14ac:dyDescent="0.2">
      <c r="D309">
        <v>20</v>
      </c>
    </row>
    <row r="310" spans="4:4" x14ac:dyDescent="0.2">
      <c r="D310">
        <v>21</v>
      </c>
    </row>
    <row r="311" spans="4:4" x14ac:dyDescent="0.2">
      <c r="D311">
        <v>22</v>
      </c>
    </row>
    <row r="312" spans="4:4" x14ac:dyDescent="0.2">
      <c r="D312">
        <v>23</v>
      </c>
    </row>
    <row r="313" spans="4:4" x14ac:dyDescent="0.2">
      <c r="D313">
        <v>24</v>
      </c>
    </row>
    <row r="314" spans="4:4" x14ac:dyDescent="0.2">
      <c r="D314">
        <v>25</v>
      </c>
    </row>
    <row r="315" spans="4:4" x14ac:dyDescent="0.2">
      <c r="D315">
        <v>26</v>
      </c>
    </row>
    <row r="316" spans="4:4" x14ac:dyDescent="0.2">
      <c r="D316">
        <v>27</v>
      </c>
    </row>
    <row r="317" spans="4:4" x14ac:dyDescent="0.2">
      <c r="D317">
        <v>28</v>
      </c>
    </row>
    <row r="318" spans="4:4" x14ac:dyDescent="0.2">
      <c r="D318">
        <v>29</v>
      </c>
    </row>
    <row r="319" spans="4:4" x14ac:dyDescent="0.2">
      <c r="D319">
        <v>30</v>
      </c>
    </row>
    <row r="320" spans="4:4" x14ac:dyDescent="0.2">
      <c r="D320">
        <v>31</v>
      </c>
    </row>
    <row r="324" spans="4:8" x14ac:dyDescent="0.2">
      <c r="D324" t="s">
        <v>249</v>
      </c>
    </row>
    <row r="326" spans="4:8" x14ac:dyDescent="0.2">
      <c r="D326" t="s">
        <v>88</v>
      </c>
    </row>
    <row r="327" spans="4:8" x14ac:dyDescent="0.2">
      <c r="D327" s="1" t="s">
        <v>24</v>
      </c>
      <c r="E327" s="1" t="s">
        <v>250</v>
      </c>
      <c r="F327" s="1" t="s">
        <v>258</v>
      </c>
      <c r="G327" s="1" t="s">
        <v>103</v>
      </c>
      <c r="H327" s="1" t="s">
        <v>258</v>
      </c>
    </row>
    <row r="328" spans="4:8" x14ac:dyDescent="0.2">
      <c r="D328" s="1" t="s">
        <v>251</v>
      </c>
      <c r="E328" s="1">
        <v>3.5</v>
      </c>
      <c r="F328" s="1" t="str">
        <f>ROMAN(E328)</f>
        <v>III</v>
      </c>
      <c r="G328" s="1">
        <v>10</v>
      </c>
      <c r="H328" s="1" t="str">
        <f>ROMAN(G328)</f>
        <v>X</v>
      </c>
    </row>
    <row r="329" spans="4:8" x14ac:dyDescent="0.2">
      <c r="D329" s="1" t="s">
        <v>252</v>
      </c>
      <c r="E329" s="1">
        <v>4.8</v>
      </c>
      <c r="F329" s="1" t="str">
        <f t="shared" ref="F329:F334" si="12">ROMAN(E329)</f>
        <v>IV</v>
      </c>
      <c r="G329" s="1">
        <v>50</v>
      </c>
      <c r="H329" s="1" t="str">
        <f t="shared" ref="H329:H333" si="13">ROMAN(G329)</f>
        <v>L</v>
      </c>
    </row>
    <row r="330" spans="4:8" x14ac:dyDescent="0.2">
      <c r="D330" s="1" t="s">
        <v>253</v>
      </c>
      <c r="E330" s="1">
        <v>5</v>
      </c>
      <c r="F330" s="1" t="str">
        <f t="shared" si="12"/>
        <v>V</v>
      </c>
      <c r="G330" s="1">
        <v>100</v>
      </c>
      <c r="H330" s="1" t="str">
        <f t="shared" si="13"/>
        <v>C</v>
      </c>
    </row>
    <row r="331" spans="4:8" x14ac:dyDescent="0.2">
      <c r="D331" s="1" t="s">
        <v>254</v>
      </c>
      <c r="E331" s="1">
        <v>5</v>
      </c>
      <c r="F331" s="1" t="str">
        <f t="shared" si="12"/>
        <v>V</v>
      </c>
      <c r="G331" s="1">
        <v>500</v>
      </c>
      <c r="H331" s="1" t="str">
        <f t="shared" si="13"/>
        <v>D</v>
      </c>
    </row>
    <row r="332" spans="4:8" x14ac:dyDescent="0.2">
      <c r="D332" s="1" t="s">
        <v>255</v>
      </c>
      <c r="E332" s="1">
        <v>2.8</v>
      </c>
      <c r="F332" s="1" t="str">
        <f t="shared" si="12"/>
        <v>II</v>
      </c>
      <c r="G332" s="1">
        <v>1000</v>
      </c>
      <c r="H332" s="1" t="str">
        <f t="shared" si="13"/>
        <v>M</v>
      </c>
    </row>
    <row r="333" spans="4:8" x14ac:dyDescent="0.2">
      <c r="D333" s="1" t="s">
        <v>256</v>
      </c>
      <c r="E333" s="1">
        <v>3.9</v>
      </c>
      <c r="F333" s="1" t="str">
        <f t="shared" si="12"/>
        <v>III</v>
      </c>
      <c r="G333">
        <f>G332+G331</f>
        <v>1500</v>
      </c>
      <c r="H333" s="1" t="str">
        <f t="shared" si="13"/>
        <v>MD</v>
      </c>
    </row>
    <row r="334" spans="4:8" x14ac:dyDescent="0.2">
      <c r="D334" s="1" t="s">
        <v>257</v>
      </c>
      <c r="E334" s="1">
        <v>4.2</v>
      </c>
      <c r="F334" s="1" t="str">
        <f t="shared" si="12"/>
        <v>IV</v>
      </c>
    </row>
    <row r="337" spans="4:9" x14ac:dyDescent="0.2">
      <c r="E337">
        <f>E328+E333</f>
        <v>7.4</v>
      </c>
      <c r="F337" t="str">
        <f>ROMAN(E337)</f>
        <v>VII</v>
      </c>
    </row>
    <row r="338" spans="4:9" x14ac:dyDescent="0.2">
      <c r="E338" t="s">
        <v>259</v>
      </c>
      <c r="F338" t="str">
        <f>CONCATENATE(F328, " ",F333)</f>
        <v>III III</v>
      </c>
    </row>
    <row r="341" spans="4:9" x14ac:dyDescent="0.2">
      <c r="D341" t="s">
        <v>88</v>
      </c>
    </row>
    <row r="342" spans="4:9" x14ac:dyDescent="0.2">
      <c r="D342" s="31">
        <f ca="1">NOW()</f>
        <v>45121.264506828702</v>
      </c>
      <c r="E342" s="31"/>
      <c r="F342" s="31">
        <f ca="1">NOW()</f>
        <v>45121.264506828702</v>
      </c>
      <c r="G342" s="31"/>
      <c r="H342" s="31">
        <f>DATE(2023,3,6)</f>
        <v>44991</v>
      </c>
    </row>
    <row r="343" spans="4:9" x14ac:dyDescent="0.2">
      <c r="D343" s="1"/>
      <c r="E343" s="1"/>
      <c r="F343" s="1"/>
      <c r="G343" s="1"/>
      <c r="H343" s="13" t="str">
        <f>MID(H342,1,10)</f>
        <v>44991</v>
      </c>
    </row>
    <row r="344" spans="4:9" x14ac:dyDescent="0.2">
      <c r="D344" s="13" t="e">
        <f ca="1">MID(D342,0,10)</f>
        <v>#VALUE!</v>
      </c>
      <c r="E344" s="1"/>
      <c r="F344" s="1"/>
      <c r="G344" s="1"/>
      <c r="H344" s="1">
        <f>DATEVALUE("6/3/23")</f>
        <v>44991</v>
      </c>
      <c r="I344" s="9" t="s">
        <v>260</v>
      </c>
    </row>
    <row r="345" spans="4:9" x14ac:dyDescent="0.2">
      <c r="D345" s="1"/>
      <c r="E345" s="1"/>
      <c r="F345" s="1"/>
      <c r="G345" s="1"/>
      <c r="H345" s="1"/>
      <c r="I345" t="str">
        <f>MID(I344,1,10)</f>
        <v xml:space="preserve">6/03/2023 </v>
      </c>
    </row>
    <row r="346" spans="4:9" x14ac:dyDescent="0.2">
      <c r="D346" s="1" t="e">
        <f ca="1">DATEVALUE(D344)</f>
        <v>#VALUE!</v>
      </c>
      <c r="E346" s="1"/>
      <c r="F346" s="1"/>
      <c r="G346" s="1"/>
      <c r="H346" s="1"/>
      <c r="I346" s="9">
        <f>DATEVALUE(I345)</f>
        <v>44991</v>
      </c>
    </row>
    <row r="349" spans="4:9" x14ac:dyDescent="0.2">
      <c r="D349" t="s">
        <v>88</v>
      </c>
    </row>
    <row r="350" spans="4:9" x14ac:dyDescent="0.2">
      <c r="D350" s="1">
        <v>6</v>
      </c>
      <c r="E350" s="36">
        <f>D350/$D$355</f>
        <v>0.18808777429467086</v>
      </c>
      <c r="F350" s="32"/>
      <c r="G350" s="32"/>
    </row>
    <row r="351" spans="4:9" x14ac:dyDescent="0.2">
      <c r="D351" s="1">
        <v>5.5</v>
      </c>
      <c r="E351" s="36">
        <f t="shared" ref="E351:E354" si="14">D351/$D$355</f>
        <v>0.17241379310344829</v>
      </c>
      <c r="F351" s="32"/>
      <c r="G351" s="32"/>
    </row>
    <row r="352" spans="4:9" x14ac:dyDescent="0.2">
      <c r="D352" s="1">
        <v>7.5</v>
      </c>
      <c r="E352" s="36">
        <f t="shared" si="14"/>
        <v>0.23510971786833856</v>
      </c>
      <c r="F352" s="32"/>
      <c r="G352" s="32"/>
    </row>
    <row r="353" spans="4:15" x14ac:dyDescent="0.2">
      <c r="D353" s="1">
        <v>3.2</v>
      </c>
      <c r="E353" s="36">
        <f t="shared" si="14"/>
        <v>0.10031347962382446</v>
      </c>
      <c r="F353" s="32"/>
      <c r="G353" s="32"/>
    </row>
    <row r="354" spans="4:15" x14ac:dyDescent="0.2">
      <c r="D354" s="1">
        <v>9.6999999999999993</v>
      </c>
      <c r="E354" s="36">
        <f t="shared" si="14"/>
        <v>0.30407523510971785</v>
      </c>
      <c r="F354" s="32"/>
      <c r="G354" s="32"/>
    </row>
    <row r="355" spans="4:15" x14ac:dyDescent="0.2">
      <c r="D355" s="1">
        <f>SUM(D350:D354)</f>
        <v>31.9</v>
      </c>
      <c r="E355" s="14">
        <f>SUM(E350:E354)</f>
        <v>1</v>
      </c>
      <c r="F355" t="s">
        <v>113</v>
      </c>
    </row>
    <row r="358" spans="4:15" x14ac:dyDescent="0.2">
      <c r="D358" t="s">
        <v>261</v>
      </c>
      <c r="H358" s="4">
        <v>0.1</v>
      </c>
      <c r="I358" s="4">
        <v>0.1</v>
      </c>
      <c r="J358" s="4">
        <v>0.1</v>
      </c>
      <c r="L358" s="4">
        <v>0.3</v>
      </c>
      <c r="M358" s="4">
        <v>0.3</v>
      </c>
      <c r="N358" s="4">
        <v>0.4</v>
      </c>
    </row>
    <row r="359" spans="4:15" x14ac:dyDescent="0.2">
      <c r="D359" s="1" t="s">
        <v>262</v>
      </c>
      <c r="E359" s="1" t="s">
        <v>263</v>
      </c>
      <c r="F359" s="1" t="s">
        <v>264</v>
      </c>
      <c r="G359" s="1" t="s">
        <v>265</v>
      </c>
      <c r="H359" s="1" t="s">
        <v>266</v>
      </c>
      <c r="I359" s="1" t="s">
        <v>267</v>
      </c>
      <c r="J359" s="1" t="s">
        <v>268</v>
      </c>
      <c r="K359" s="1" t="s">
        <v>272</v>
      </c>
      <c r="L359" s="33" t="s">
        <v>273</v>
      </c>
      <c r="M359" s="34" t="s">
        <v>274</v>
      </c>
      <c r="N359" s="35" t="s">
        <v>275</v>
      </c>
      <c r="O359" s="1" t="s">
        <v>276</v>
      </c>
    </row>
    <row r="360" spans="4:15" x14ac:dyDescent="0.2">
      <c r="D360" s="1" t="s">
        <v>127</v>
      </c>
      <c r="E360" s="1">
        <v>5</v>
      </c>
      <c r="F360" s="1">
        <v>5</v>
      </c>
      <c r="G360" s="1">
        <v>5</v>
      </c>
      <c r="H360" s="1">
        <f>AVERAGE(E360:G360)</f>
        <v>5</v>
      </c>
      <c r="I360" s="1">
        <v>5</v>
      </c>
      <c r="J360" s="1">
        <v>5</v>
      </c>
      <c r="K360" s="1">
        <f>J360*$J$358+I360*$I$358+H360*$H$358</f>
        <v>1.5</v>
      </c>
      <c r="L360" s="33">
        <f>ROUND((J360*$J$358+I360*$I$358+H360*$H$358)/0.3,1)</f>
        <v>5</v>
      </c>
      <c r="M360" s="34">
        <f ca="1">ROUND(RAND()*5,1)</f>
        <v>1.9</v>
      </c>
      <c r="N360" s="35">
        <f ca="1">ROUND(RAND()*5,1)</f>
        <v>3.1</v>
      </c>
      <c r="O360" s="1">
        <f ca="1">ROUND(N360*$N$358+M360*$M$358*L360*$L$358,1)</f>
        <v>2.1</v>
      </c>
    </row>
    <row r="361" spans="4:15" x14ac:dyDescent="0.2">
      <c r="D361" s="1" t="s">
        <v>130</v>
      </c>
      <c r="E361" s="1">
        <f t="shared" ref="E361:E365" ca="1" si="15">ROUND(RAND()*5,2)</f>
        <v>3.7</v>
      </c>
      <c r="F361" s="1">
        <f t="shared" ref="F361:G365" ca="1" si="16">ROUND(RAND()*5,2)</f>
        <v>3.29</v>
      </c>
      <c r="G361" s="1">
        <f t="shared" ca="1" si="16"/>
        <v>4.09</v>
      </c>
      <c r="H361" s="1">
        <f t="shared" ref="H361:H365" ca="1" si="17">ROUND(AVERAGE(E361:G366),2)</f>
        <v>3</v>
      </c>
      <c r="I361" s="1">
        <f t="shared" ref="I361:J365" ca="1" si="18">ROUND(RAND()*5,2)</f>
        <v>4.99</v>
      </c>
      <c r="J361" s="1">
        <f t="shared" ca="1" si="18"/>
        <v>4.93</v>
      </c>
      <c r="K361" s="1">
        <f t="shared" ref="K361:K365" ca="1" si="19">J361*$J$358+I361*$I$358+H361*$H$358</f>
        <v>1.292</v>
      </c>
      <c r="L361" s="33">
        <f t="shared" ref="L361:L365" ca="1" si="20">ROUND((J361*$J$358+I361*$I$358+H361*$H$358)/0.3,1)</f>
        <v>4.3</v>
      </c>
      <c r="M361" s="34">
        <f t="shared" ref="M361:N365" ca="1" si="21">ROUND(RAND()*5,1)</f>
        <v>1.5</v>
      </c>
      <c r="N361" s="35">
        <f t="shared" ca="1" si="21"/>
        <v>4.5999999999999996</v>
      </c>
      <c r="O361" s="1">
        <f t="shared" ref="O361:O365" ca="1" si="22">ROUND(N361*$N$358+M361*$M$358*L361*$L$358,1)</f>
        <v>2.4</v>
      </c>
    </row>
    <row r="362" spans="4:15" x14ac:dyDescent="0.2">
      <c r="D362" s="1" t="s">
        <v>32</v>
      </c>
      <c r="E362" s="1">
        <f t="shared" ca="1" si="15"/>
        <v>2.25</v>
      </c>
      <c r="F362" s="1">
        <f t="shared" ca="1" si="16"/>
        <v>1.46</v>
      </c>
      <c r="G362" s="1">
        <f t="shared" ca="1" si="16"/>
        <v>0.38</v>
      </c>
      <c r="H362" s="1">
        <f t="shared" ca="1" si="17"/>
        <v>2.83</v>
      </c>
      <c r="I362" s="1">
        <f t="shared" ca="1" si="18"/>
        <v>3.11</v>
      </c>
      <c r="J362" s="1">
        <f t="shared" ca="1" si="18"/>
        <v>3.7</v>
      </c>
      <c r="K362" s="1">
        <f t="shared" ca="1" si="19"/>
        <v>0.96400000000000008</v>
      </c>
      <c r="L362" s="33">
        <f t="shared" ca="1" si="20"/>
        <v>3.2</v>
      </c>
      <c r="M362" s="34">
        <f t="shared" ca="1" si="21"/>
        <v>4.7</v>
      </c>
      <c r="N362" s="35">
        <f t="shared" ca="1" si="21"/>
        <v>3.3</v>
      </c>
      <c r="O362" s="1">
        <f t="shared" ca="1" si="22"/>
        <v>2.7</v>
      </c>
    </row>
    <row r="363" spans="4:15" x14ac:dyDescent="0.2">
      <c r="D363" s="1" t="s">
        <v>270</v>
      </c>
      <c r="E363" s="1">
        <f t="shared" ca="1" si="15"/>
        <v>4.97</v>
      </c>
      <c r="F363" s="1">
        <f t="shared" ca="1" si="16"/>
        <v>0.21</v>
      </c>
      <c r="G363" s="1">
        <f t="shared" ca="1" si="16"/>
        <v>4.41</v>
      </c>
      <c r="H363" s="1">
        <f t="shared" ca="1" si="17"/>
        <v>3.32</v>
      </c>
      <c r="I363" s="1">
        <f t="shared" ca="1" si="18"/>
        <v>2.95</v>
      </c>
      <c r="J363" s="1">
        <f t="shared" ca="1" si="18"/>
        <v>4.7</v>
      </c>
      <c r="K363" s="1">
        <f t="shared" ca="1" si="19"/>
        <v>1.0970000000000002</v>
      </c>
      <c r="L363" s="33">
        <f t="shared" ca="1" si="20"/>
        <v>3.7</v>
      </c>
      <c r="M363" s="34">
        <f t="shared" ca="1" si="21"/>
        <v>1.3</v>
      </c>
      <c r="N363" s="35">
        <f t="shared" ca="1" si="21"/>
        <v>2</v>
      </c>
      <c r="O363" s="1">
        <f t="shared" ca="1" si="22"/>
        <v>1.2</v>
      </c>
    </row>
    <row r="364" spans="4:15" x14ac:dyDescent="0.2">
      <c r="D364" s="1" t="s">
        <v>271</v>
      </c>
      <c r="E364" s="1">
        <f t="shared" ca="1" si="15"/>
        <v>1.96</v>
      </c>
      <c r="F364" s="1">
        <f t="shared" ca="1" si="16"/>
        <v>4.74</v>
      </c>
      <c r="G364" s="1">
        <f t="shared" ca="1" si="16"/>
        <v>3.62</v>
      </c>
      <c r="H364" s="1">
        <f t="shared" ca="1" si="17"/>
        <v>3.39</v>
      </c>
      <c r="I364" s="1">
        <f t="shared" ca="1" si="18"/>
        <v>0.21</v>
      </c>
      <c r="J364" s="1">
        <f t="shared" ca="1" si="18"/>
        <v>1.04</v>
      </c>
      <c r="K364" s="1">
        <f t="shared" ca="1" si="19"/>
        <v>0.46400000000000002</v>
      </c>
      <c r="L364" s="33">
        <f t="shared" ca="1" si="20"/>
        <v>1.5</v>
      </c>
      <c r="M364" s="34">
        <f t="shared" ca="1" si="21"/>
        <v>4.5</v>
      </c>
      <c r="N364" s="35">
        <f t="shared" ca="1" si="21"/>
        <v>2.9</v>
      </c>
      <c r="O364" s="1">
        <f t="shared" ca="1" si="22"/>
        <v>1.8</v>
      </c>
    </row>
    <row r="365" spans="4:15" x14ac:dyDescent="0.2">
      <c r="D365" s="1" t="s">
        <v>29</v>
      </c>
      <c r="E365" s="1">
        <f t="shared" ca="1" si="15"/>
        <v>4.96</v>
      </c>
      <c r="F365" s="1">
        <f t="shared" ca="1" si="16"/>
        <v>1.81</v>
      </c>
      <c r="G365" s="1">
        <f t="shared" ca="1" si="16"/>
        <v>3.22</v>
      </c>
      <c r="H365" s="1">
        <f t="shared" ca="1" si="17"/>
        <v>21041.17</v>
      </c>
      <c r="I365" s="1">
        <f t="shared" ca="1" si="18"/>
        <v>4.87</v>
      </c>
      <c r="J365" s="1">
        <f t="shared" ca="1" si="18"/>
        <v>1.37</v>
      </c>
      <c r="K365" s="1">
        <f t="shared" ca="1" si="19"/>
        <v>2104.7409999999995</v>
      </c>
      <c r="L365" s="33">
        <f t="shared" ca="1" si="20"/>
        <v>7015.8</v>
      </c>
      <c r="M365" s="34">
        <f t="shared" ca="1" si="21"/>
        <v>4.3</v>
      </c>
      <c r="N365" s="35">
        <f t="shared" ca="1" si="21"/>
        <v>4.9000000000000004</v>
      </c>
      <c r="O365" s="1">
        <f t="shared" ca="1" si="22"/>
        <v>2717.1</v>
      </c>
    </row>
    <row r="368" spans="4:15" x14ac:dyDescent="0.2">
      <c r="D368" t="s">
        <v>331</v>
      </c>
    </row>
    <row r="369" spans="4:9" x14ac:dyDescent="0.2">
      <c r="D369" t="s">
        <v>88</v>
      </c>
    </row>
    <row r="370" spans="4:9" x14ac:dyDescent="0.2">
      <c r="D370" s="1" t="s">
        <v>89</v>
      </c>
      <c r="E370" s="13">
        <v>42078</v>
      </c>
      <c r="F370" s="13">
        <v>42079</v>
      </c>
      <c r="G370" s="13">
        <v>42080</v>
      </c>
      <c r="H370" s="13">
        <v>42081</v>
      </c>
      <c r="I370" s="13">
        <v>42082</v>
      </c>
    </row>
    <row r="371" spans="4:9" x14ac:dyDescent="0.2">
      <c r="D371" s="1" t="s">
        <v>24</v>
      </c>
      <c r="E371" s="1" t="s">
        <v>332</v>
      </c>
      <c r="F371" s="1" t="s">
        <v>333</v>
      </c>
      <c r="G371" s="1" t="s">
        <v>334</v>
      </c>
      <c r="H371" s="1" t="s">
        <v>129</v>
      </c>
      <c r="I371" s="1" t="s">
        <v>335</v>
      </c>
    </row>
    <row r="372" spans="4:9" x14ac:dyDescent="0.2">
      <c r="D372" s="1" t="s">
        <v>147</v>
      </c>
      <c r="E372" s="1">
        <v>15</v>
      </c>
      <c r="F372" s="1">
        <v>20</v>
      </c>
      <c r="G372" s="1">
        <v>10</v>
      </c>
      <c r="H372" s="1">
        <v>18</v>
      </c>
      <c r="I372" s="1">
        <v>31</v>
      </c>
    </row>
    <row r="375" spans="4:9" x14ac:dyDescent="0.2">
      <c r="D375" s="1" t="str" cm="1">
        <f t="array" ref="D375:F380">TRANSPOSE(D370:I372)</f>
        <v>Fecha</v>
      </c>
      <c r="E375" s="1" t="str">
        <v>Nombre</v>
      </c>
      <c r="F375" s="1" t="str">
        <v>Edad</v>
      </c>
    </row>
    <row r="376" spans="4:9" x14ac:dyDescent="0.2">
      <c r="D376" s="13">
        <v>42078</v>
      </c>
      <c r="E376" s="1" t="str">
        <v>JU</v>
      </c>
      <c r="F376" s="1">
        <v>15</v>
      </c>
    </row>
    <row r="377" spans="4:9" x14ac:dyDescent="0.2">
      <c r="D377" s="13">
        <v>42079</v>
      </c>
      <c r="E377" s="1" t="str">
        <v>Tomas</v>
      </c>
      <c r="F377" s="1">
        <v>20</v>
      </c>
    </row>
    <row r="378" spans="4:9" x14ac:dyDescent="0.2">
      <c r="D378" s="13">
        <v>42080</v>
      </c>
      <c r="E378" s="1" t="str">
        <v>Caro</v>
      </c>
      <c r="F378" s="1">
        <v>10</v>
      </c>
    </row>
    <row r="379" spans="4:9" x14ac:dyDescent="0.2">
      <c r="D379" s="13">
        <v>42081</v>
      </c>
      <c r="E379" s="1" t="str">
        <v>Santiago</v>
      </c>
      <c r="F379" s="1">
        <v>18</v>
      </c>
    </row>
    <row r="380" spans="4:9" x14ac:dyDescent="0.2">
      <c r="D380" s="13">
        <v>42082</v>
      </c>
      <c r="E380" s="1" t="str">
        <v>Federico</v>
      </c>
      <c r="F380" s="1">
        <v>31</v>
      </c>
    </row>
    <row r="383" spans="4:9" x14ac:dyDescent="0.2">
      <c r="D383" t="s">
        <v>342</v>
      </c>
    </row>
    <row r="384" spans="4:9" x14ac:dyDescent="0.2">
      <c r="D384" t="s">
        <v>88</v>
      </c>
    </row>
    <row r="385" spans="4:9" x14ac:dyDescent="0.2">
      <c r="D385" s="1" t="s">
        <v>24</v>
      </c>
      <c r="E385" s="1" t="s">
        <v>25</v>
      </c>
      <c r="F385" s="1" t="s">
        <v>183</v>
      </c>
      <c r="G385" s="1" t="s">
        <v>27</v>
      </c>
    </row>
    <row r="386" spans="4:9" x14ac:dyDescent="0.2">
      <c r="D386" s="1" t="s">
        <v>28</v>
      </c>
      <c r="E386" s="1">
        <v>10</v>
      </c>
      <c r="F386" s="15">
        <v>864</v>
      </c>
      <c r="G386" s="15">
        <v>8640</v>
      </c>
    </row>
    <row r="387" spans="4:9" x14ac:dyDescent="0.2">
      <c r="D387" s="1" t="s">
        <v>29</v>
      </c>
      <c r="E387" s="1">
        <v>62</v>
      </c>
      <c r="F387" s="15">
        <v>8021</v>
      </c>
      <c r="G387" s="15">
        <v>497302</v>
      </c>
    </row>
    <row r="388" spans="4:9" x14ac:dyDescent="0.2">
      <c r="D388" s="1" t="s">
        <v>30</v>
      </c>
      <c r="E388" s="1">
        <v>66</v>
      </c>
      <c r="F388" s="15">
        <v>8901</v>
      </c>
      <c r="G388" s="15">
        <v>587466</v>
      </c>
    </row>
    <row r="389" spans="4:9" x14ac:dyDescent="0.2">
      <c r="D389" s="1" t="s">
        <v>343</v>
      </c>
      <c r="E389" s="1">
        <v>79</v>
      </c>
      <c r="F389" s="15">
        <v>7545</v>
      </c>
      <c r="G389" s="15">
        <v>596055</v>
      </c>
      <c r="I389" s="12">
        <f>(G389+G396+G403)/3</f>
        <v>213420</v>
      </c>
    </row>
    <row r="390" spans="4:9" x14ac:dyDescent="0.2">
      <c r="D390" s="1" t="s">
        <v>344</v>
      </c>
      <c r="E390" s="1">
        <v>80</v>
      </c>
      <c r="F390" s="15">
        <v>714</v>
      </c>
      <c r="G390" s="15">
        <v>57120</v>
      </c>
    </row>
    <row r="391" spans="4:9" x14ac:dyDescent="0.2">
      <c r="D391" s="1" t="s">
        <v>345</v>
      </c>
      <c r="E391" s="1">
        <v>64</v>
      </c>
      <c r="F391" s="15">
        <v>864</v>
      </c>
      <c r="G391" s="15">
        <v>55296</v>
      </c>
    </row>
    <row r="392" spans="4:9" x14ac:dyDescent="0.2">
      <c r="D392" s="1" t="s">
        <v>346</v>
      </c>
      <c r="E392" s="1">
        <v>26</v>
      </c>
      <c r="F392" s="15">
        <v>5403</v>
      </c>
      <c r="G392" s="15">
        <v>140478</v>
      </c>
    </row>
    <row r="393" spans="4:9" x14ac:dyDescent="0.2">
      <c r="D393" s="1" t="s">
        <v>28</v>
      </c>
      <c r="E393" s="1">
        <v>92</v>
      </c>
      <c r="F393" s="15">
        <v>1074</v>
      </c>
      <c r="G393" s="15">
        <v>98808</v>
      </c>
    </row>
    <row r="394" spans="4:9" x14ac:dyDescent="0.2">
      <c r="D394" s="1" t="s">
        <v>29</v>
      </c>
      <c r="E394" s="1">
        <v>79</v>
      </c>
      <c r="F394" s="15">
        <v>8003</v>
      </c>
      <c r="G394" s="15">
        <v>632237</v>
      </c>
    </row>
    <row r="395" spans="4:9" x14ac:dyDescent="0.2">
      <c r="D395" s="1" t="s">
        <v>30</v>
      </c>
      <c r="E395" s="1">
        <v>70</v>
      </c>
      <c r="F395" s="15">
        <v>8756</v>
      </c>
      <c r="G395" s="15">
        <v>612920</v>
      </c>
    </row>
    <row r="396" spans="4:9" x14ac:dyDescent="0.2">
      <c r="D396" s="1" t="s">
        <v>343</v>
      </c>
      <c r="E396" s="1">
        <v>36</v>
      </c>
      <c r="F396" s="15">
        <v>259</v>
      </c>
      <c r="G396" s="15">
        <v>9324</v>
      </c>
    </row>
    <row r="397" spans="4:9" x14ac:dyDescent="0.2">
      <c r="D397" s="1" t="s">
        <v>344</v>
      </c>
      <c r="E397" s="1">
        <v>1</v>
      </c>
      <c r="F397" s="15">
        <v>5412</v>
      </c>
      <c r="G397" s="15">
        <v>5412</v>
      </c>
    </row>
    <row r="398" spans="4:9" x14ac:dyDescent="0.2">
      <c r="D398" s="1" t="s">
        <v>345</v>
      </c>
      <c r="E398" s="1">
        <v>32</v>
      </c>
      <c r="F398" s="15">
        <v>1770</v>
      </c>
      <c r="G398" s="15">
        <v>56640</v>
      </c>
    </row>
    <row r="399" spans="4:9" x14ac:dyDescent="0.2">
      <c r="D399" s="1" t="s">
        <v>346</v>
      </c>
      <c r="E399" s="1">
        <v>67</v>
      </c>
      <c r="F399" s="15">
        <v>6023</v>
      </c>
      <c r="G399" s="15">
        <v>403541</v>
      </c>
    </row>
    <row r="400" spans="4:9" x14ac:dyDescent="0.2">
      <c r="D400" s="1" t="s">
        <v>28</v>
      </c>
      <c r="E400" s="1">
        <v>44</v>
      </c>
      <c r="F400" s="15">
        <v>7006</v>
      </c>
      <c r="G400" s="15">
        <v>308264</v>
      </c>
    </row>
    <row r="401" spans="4:15" x14ac:dyDescent="0.2">
      <c r="D401" s="1" t="s">
        <v>29</v>
      </c>
      <c r="E401" s="1">
        <v>19</v>
      </c>
      <c r="F401" s="15">
        <v>803</v>
      </c>
      <c r="G401" s="15">
        <v>15257</v>
      </c>
    </row>
    <row r="402" spans="4:15" x14ac:dyDescent="0.2">
      <c r="D402" s="1" t="s">
        <v>30</v>
      </c>
      <c r="E402" s="1">
        <v>53</v>
      </c>
      <c r="F402" s="15">
        <v>9128</v>
      </c>
      <c r="G402" s="15">
        <v>483784</v>
      </c>
    </row>
    <row r="403" spans="4:15" x14ac:dyDescent="0.2">
      <c r="D403" s="1" t="s">
        <v>343</v>
      </c>
      <c r="E403" s="1">
        <v>7</v>
      </c>
      <c r="F403" s="15">
        <v>4983</v>
      </c>
      <c r="G403" s="15">
        <v>34881</v>
      </c>
    </row>
    <row r="404" spans="4:15" x14ac:dyDescent="0.2">
      <c r="D404" s="1" t="s">
        <v>344</v>
      </c>
      <c r="E404" s="1">
        <v>6</v>
      </c>
      <c r="F404" s="15">
        <v>1559</v>
      </c>
      <c r="G404" s="15">
        <v>9354</v>
      </c>
    </row>
    <row r="405" spans="4:15" x14ac:dyDescent="0.2">
      <c r="D405" s="1" t="s">
        <v>345</v>
      </c>
      <c r="E405" s="1">
        <v>40</v>
      </c>
      <c r="F405" s="15">
        <v>2924</v>
      </c>
      <c r="G405" s="15">
        <v>116960</v>
      </c>
    </row>
    <row r="406" spans="4:15" x14ac:dyDescent="0.2">
      <c r="D406" s="1" t="s">
        <v>346</v>
      </c>
      <c r="E406" s="1">
        <v>65</v>
      </c>
      <c r="F406" s="15">
        <v>5171</v>
      </c>
      <c r="G406" s="15">
        <v>336115</v>
      </c>
    </row>
    <row r="407" spans="4:15" x14ac:dyDescent="0.2">
      <c r="G407" s="11">
        <f>SUBTOTAL(1,G386:G406)</f>
        <v>241231.14285714287</v>
      </c>
    </row>
    <row r="409" spans="4:15" x14ac:dyDescent="0.2">
      <c r="H409" s="4">
        <v>0.1</v>
      </c>
      <c r="I409" s="4">
        <v>0.1</v>
      </c>
      <c r="J409" s="4">
        <v>0.1</v>
      </c>
      <c r="L409" s="4">
        <v>0.3</v>
      </c>
      <c r="M409" s="4">
        <v>0.3</v>
      </c>
      <c r="N409" s="4">
        <v>0.4</v>
      </c>
    </row>
    <row r="410" spans="4:15" x14ac:dyDescent="0.2">
      <c r="D410" s="1" t="s">
        <v>262</v>
      </c>
      <c r="E410" s="1" t="s">
        <v>263</v>
      </c>
      <c r="F410" s="1" t="s">
        <v>264</v>
      </c>
      <c r="G410" s="1" t="s">
        <v>265</v>
      </c>
      <c r="H410" s="1" t="s">
        <v>266</v>
      </c>
      <c r="I410" s="1" t="s">
        <v>267</v>
      </c>
      <c r="J410" s="1" t="s">
        <v>268</v>
      </c>
      <c r="K410" s="1" t="s">
        <v>272</v>
      </c>
      <c r="L410" s="1" t="s">
        <v>269</v>
      </c>
      <c r="M410" s="1" t="s">
        <v>274</v>
      </c>
      <c r="N410" s="1" t="s">
        <v>275</v>
      </c>
      <c r="O410" s="1" t="s">
        <v>276</v>
      </c>
    </row>
    <row r="411" spans="4:15" x14ac:dyDescent="0.2">
      <c r="D411" s="1" t="s">
        <v>127</v>
      </c>
      <c r="E411" s="1">
        <v>5</v>
      </c>
      <c r="F411" s="1">
        <v>5</v>
      </c>
      <c r="G411" s="1">
        <v>5</v>
      </c>
      <c r="H411" s="1">
        <f>ROUND(AVERAGE(E411:G411),1)</f>
        <v>5</v>
      </c>
      <c r="I411" s="1">
        <v>5</v>
      </c>
      <c r="J411" s="1">
        <v>5</v>
      </c>
      <c r="K411" s="1">
        <f>(J411*$J$409+I411*$I$409+H411*$H$409)</f>
        <v>1.5</v>
      </c>
      <c r="L411" s="1">
        <f>ROUND((J411*$J$409+I411*$I$409+H411*$H$409)/0.3,1)</f>
        <v>5</v>
      </c>
      <c r="M411" s="1">
        <v>4.5999999999999996</v>
      </c>
      <c r="N411" s="1">
        <v>4.4000000000000004</v>
      </c>
      <c r="O411" s="1">
        <f>N411*$N$409+M411*$M$409+L411*$L$409</f>
        <v>4.6400000000000006</v>
      </c>
    </row>
    <row r="412" spans="4:15" x14ac:dyDescent="0.2">
      <c r="D412" s="1" t="s">
        <v>130</v>
      </c>
      <c r="E412" s="1">
        <v>4.7300000000000004</v>
      </c>
      <c r="F412" s="1">
        <v>4</v>
      </c>
      <c r="G412" s="1">
        <v>3.5</v>
      </c>
      <c r="H412" s="1">
        <f t="shared" ref="H412:H416" si="23">ROUND(AVERAGE(E412:G412),1)</f>
        <v>4.0999999999999996</v>
      </c>
      <c r="I412" s="1">
        <v>4.9800000000000004</v>
      </c>
      <c r="J412" s="1">
        <v>5</v>
      </c>
      <c r="K412" s="1">
        <f t="shared" ref="K412:K416" si="24">(J412*$J$409+I412*$I$409+H412*$H$409)</f>
        <v>1.4079999999999999</v>
      </c>
      <c r="L412" s="1">
        <f t="shared" ref="L412:L416" si="25">ROUND((J412*$J$409+I412*$I$409+H412*$H$409)/0.3,1)</f>
        <v>4.7</v>
      </c>
      <c r="M412" s="1">
        <v>1.5</v>
      </c>
      <c r="N412" s="1">
        <v>3.6</v>
      </c>
      <c r="O412" s="1">
        <f t="shared" ref="O412:O416" si="26">N412*$N$409+M412*$M$409+L412*$L$409</f>
        <v>3.3</v>
      </c>
    </row>
    <row r="413" spans="4:15" x14ac:dyDescent="0.2">
      <c r="D413" s="1" t="s">
        <v>32</v>
      </c>
      <c r="E413" s="1">
        <v>0.7</v>
      </c>
      <c r="F413" s="1">
        <v>3.45</v>
      </c>
      <c r="G413" s="1">
        <v>1.98</v>
      </c>
      <c r="H413" s="1">
        <f t="shared" si="23"/>
        <v>2</v>
      </c>
      <c r="I413" s="1">
        <v>4.42</v>
      </c>
      <c r="J413" s="1">
        <v>1.02</v>
      </c>
      <c r="K413" s="1">
        <f t="shared" si="24"/>
        <v>0.74399999999999999</v>
      </c>
      <c r="L413" s="1">
        <f t="shared" si="25"/>
        <v>2.5</v>
      </c>
      <c r="M413" s="1">
        <v>0.6</v>
      </c>
      <c r="N413" s="1">
        <v>3.3</v>
      </c>
      <c r="O413" s="1">
        <f t="shared" si="26"/>
        <v>2.25</v>
      </c>
    </row>
    <row r="414" spans="4:15" x14ac:dyDescent="0.2">
      <c r="D414" s="1" t="s">
        <v>270</v>
      </c>
      <c r="E414" s="1">
        <v>3.2</v>
      </c>
      <c r="F414" s="1">
        <v>2.62</v>
      </c>
      <c r="G414" s="1">
        <v>2.7</v>
      </c>
      <c r="H414" s="1">
        <f t="shared" si="23"/>
        <v>2.8</v>
      </c>
      <c r="I414" s="1">
        <v>3.42</v>
      </c>
      <c r="J414" s="1">
        <v>1.1000000000000001</v>
      </c>
      <c r="K414" s="1">
        <f t="shared" si="24"/>
        <v>0.73199999999999998</v>
      </c>
      <c r="L414" s="1">
        <f t="shared" si="25"/>
        <v>2.4</v>
      </c>
      <c r="M414" s="1">
        <v>2.1</v>
      </c>
      <c r="N414" s="1">
        <v>1.1000000000000001</v>
      </c>
      <c r="O414" s="1">
        <f t="shared" si="26"/>
        <v>1.79</v>
      </c>
    </row>
    <row r="415" spans="4:15" x14ac:dyDescent="0.2">
      <c r="D415" s="1" t="s">
        <v>271</v>
      </c>
      <c r="E415" s="1">
        <v>4.84</v>
      </c>
      <c r="F415" s="1">
        <v>4.7300000000000004</v>
      </c>
      <c r="G415" s="1">
        <v>4.01</v>
      </c>
      <c r="H415" s="1">
        <f t="shared" si="23"/>
        <v>4.5</v>
      </c>
      <c r="I415" s="1">
        <v>1.28</v>
      </c>
      <c r="J415" s="1">
        <v>2.81</v>
      </c>
      <c r="K415" s="1">
        <f t="shared" si="24"/>
        <v>0.85899999999999999</v>
      </c>
      <c r="L415" s="1">
        <f t="shared" si="25"/>
        <v>2.9</v>
      </c>
      <c r="M415" s="1">
        <v>3.5</v>
      </c>
      <c r="N415" s="1">
        <v>4.7</v>
      </c>
      <c r="O415" s="1">
        <f t="shared" si="26"/>
        <v>3.8000000000000003</v>
      </c>
    </row>
    <row r="416" spans="4:15" x14ac:dyDescent="0.2">
      <c r="D416" s="1" t="s">
        <v>29</v>
      </c>
      <c r="E416" s="1">
        <v>1.6</v>
      </c>
      <c r="F416" s="1">
        <v>0.79</v>
      </c>
      <c r="G416" s="1">
        <v>2.2400000000000002</v>
      </c>
      <c r="H416" s="1">
        <f t="shared" si="23"/>
        <v>1.5</v>
      </c>
      <c r="I416" s="1">
        <v>4.22</v>
      </c>
      <c r="J416" s="1">
        <v>0.97</v>
      </c>
      <c r="K416" s="1">
        <f t="shared" si="24"/>
        <v>0.66900000000000004</v>
      </c>
      <c r="L416" s="1">
        <f t="shared" si="25"/>
        <v>2.2000000000000002</v>
      </c>
      <c r="M416" s="1">
        <v>0.1</v>
      </c>
      <c r="N416" s="1">
        <v>4.2</v>
      </c>
      <c r="O416" s="1">
        <f t="shared" si="26"/>
        <v>2.37</v>
      </c>
    </row>
  </sheetData>
  <autoFilter ref="D385:G406" xr:uid="{F8E174AD-003C-4949-98E2-F28121A73489}"/>
  <conditionalFormatting sqref="O411:O416">
    <cfRule type="cellIs" dxfId="2" priority="4" operator="greaterThan">
      <formula>3</formula>
    </cfRule>
    <cfRule type="cellIs" dxfId="1" priority="3" operator="lessThan">
      <formula>3</formula>
    </cfRule>
    <cfRule type="cellIs" dxfId="0" priority="1" operator="lessThan">
      <formula>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58E-C082-284A-AFD7-BE8956D5DAA0}">
  <dimension ref="A1:B10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88</v>
      </c>
    </row>
    <row r="2" spans="1:2" x14ac:dyDescent="0.2">
      <c r="A2" s="1" t="s">
        <v>336</v>
      </c>
      <c r="B2" s="1" t="s">
        <v>25</v>
      </c>
    </row>
    <row r="3" spans="1:2" x14ac:dyDescent="0.2">
      <c r="A3" s="1" t="s">
        <v>127</v>
      </c>
      <c r="B3" s="1">
        <v>9999999</v>
      </c>
    </row>
    <row r="4" spans="1:2" x14ac:dyDescent="0.2">
      <c r="A4" s="1" t="s">
        <v>32</v>
      </c>
      <c r="B4" s="1">
        <v>81</v>
      </c>
    </row>
    <row r="5" spans="1:2" x14ac:dyDescent="0.2">
      <c r="A5" s="1" t="s">
        <v>337</v>
      </c>
      <c r="B5" s="1">
        <v>65</v>
      </c>
    </row>
    <row r="6" spans="1:2" x14ac:dyDescent="0.2">
      <c r="A6" s="1" t="s">
        <v>29</v>
      </c>
      <c r="B6" s="1">
        <v>692</v>
      </c>
    </row>
    <row r="7" spans="1:2" x14ac:dyDescent="0.2">
      <c r="A7" s="1" t="s">
        <v>75</v>
      </c>
      <c r="B7" s="1">
        <v>573</v>
      </c>
    </row>
    <row r="8" spans="1:2" x14ac:dyDescent="0.2">
      <c r="A8" s="1" t="s">
        <v>338</v>
      </c>
      <c r="B8" s="1">
        <v>11</v>
      </c>
    </row>
    <row r="9" spans="1:2" x14ac:dyDescent="0.2">
      <c r="A9" s="1" t="s">
        <v>339</v>
      </c>
      <c r="B9" s="1">
        <v>524</v>
      </c>
    </row>
    <row r="10" spans="1:2" x14ac:dyDescent="0.2">
      <c r="A10" s="1" t="s">
        <v>340</v>
      </c>
      <c r="B10" s="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669B-28E0-FA45-9149-A4810F634D81}">
  <dimension ref="A1:B10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88</v>
      </c>
    </row>
    <row r="2" spans="1:2" x14ac:dyDescent="0.2">
      <c r="A2" s="1" t="s">
        <v>336</v>
      </c>
      <c r="B2" s="1" t="s">
        <v>25</v>
      </c>
    </row>
    <row r="3" spans="1:2" x14ac:dyDescent="0.2">
      <c r="A3" s="1" t="s">
        <v>127</v>
      </c>
      <c r="B3" s="1">
        <v>979</v>
      </c>
    </row>
    <row r="4" spans="1:2" x14ac:dyDescent="0.2">
      <c r="A4" s="1" t="s">
        <v>32</v>
      </c>
      <c r="B4" s="1">
        <v>504</v>
      </c>
    </row>
    <row r="5" spans="1:2" x14ac:dyDescent="0.2">
      <c r="A5" s="1" t="s">
        <v>337</v>
      </c>
      <c r="B5" s="1">
        <v>775</v>
      </c>
    </row>
    <row r="6" spans="1:2" x14ac:dyDescent="0.2">
      <c r="A6" s="1" t="s">
        <v>29</v>
      </c>
      <c r="B6" s="1">
        <v>845</v>
      </c>
    </row>
    <row r="7" spans="1:2" x14ac:dyDescent="0.2">
      <c r="A7" s="1" t="s">
        <v>75</v>
      </c>
      <c r="B7" s="1">
        <v>154</v>
      </c>
    </row>
    <row r="8" spans="1:2" x14ac:dyDescent="0.2">
      <c r="A8" s="1" t="s">
        <v>338</v>
      </c>
      <c r="B8" s="1">
        <v>705</v>
      </c>
    </row>
    <row r="9" spans="1:2" x14ac:dyDescent="0.2">
      <c r="A9" s="1" t="s">
        <v>339</v>
      </c>
      <c r="B9" s="1">
        <v>427</v>
      </c>
    </row>
    <row r="10" spans="1:2" x14ac:dyDescent="0.2">
      <c r="A10" s="1" t="s">
        <v>340</v>
      </c>
      <c r="B10" s="1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3C78-F382-C644-BD80-D63C756E1244}">
  <dimension ref="A1:B10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88</v>
      </c>
    </row>
    <row r="2" spans="1:2" x14ac:dyDescent="0.2">
      <c r="A2" s="1" t="s">
        <v>336</v>
      </c>
      <c r="B2" s="1" t="s">
        <v>25</v>
      </c>
    </row>
    <row r="3" spans="1:2" x14ac:dyDescent="0.2">
      <c r="A3" s="1" t="s">
        <v>127</v>
      </c>
      <c r="B3" s="1">
        <v>495</v>
      </c>
    </row>
    <row r="4" spans="1:2" x14ac:dyDescent="0.2">
      <c r="A4" s="1" t="s">
        <v>32</v>
      </c>
      <c r="B4" s="1">
        <v>920</v>
      </c>
    </row>
    <row r="5" spans="1:2" x14ac:dyDescent="0.2">
      <c r="A5" s="1" t="s">
        <v>337</v>
      </c>
      <c r="B5" s="1">
        <v>390</v>
      </c>
    </row>
    <row r="6" spans="1:2" x14ac:dyDescent="0.2">
      <c r="A6" s="1" t="s">
        <v>29</v>
      </c>
      <c r="B6" s="1">
        <v>748</v>
      </c>
    </row>
    <row r="7" spans="1:2" x14ac:dyDescent="0.2">
      <c r="A7" s="1" t="s">
        <v>75</v>
      </c>
      <c r="B7" s="1">
        <v>742</v>
      </c>
    </row>
    <row r="8" spans="1:2" x14ac:dyDescent="0.2">
      <c r="A8" s="1" t="s">
        <v>338</v>
      </c>
      <c r="B8" s="1">
        <v>991</v>
      </c>
    </row>
    <row r="9" spans="1:2" x14ac:dyDescent="0.2">
      <c r="A9" s="1" t="s">
        <v>339</v>
      </c>
      <c r="B9" s="1">
        <v>965</v>
      </c>
    </row>
    <row r="10" spans="1:2" x14ac:dyDescent="0.2">
      <c r="A10" s="1" t="s">
        <v>340</v>
      </c>
      <c r="B10" s="1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1B55-8F79-6D4C-9623-80D999700B87}">
  <dimension ref="A1:C9"/>
  <sheetViews>
    <sheetView zoomScale="140" zoomScaleNormal="140" workbookViewId="0">
      <selection activeCell="F10" sqref="F10"/>
    </sheetView>
  </sheetViews>
  <sheetFormatPr baseColWidth="10" defaultRowHeight="16" x14ac:dyDescent="0.2"/>
  <sheetData>
    <row r="1" spans="1:3" x14ac:dyDescent="0.2">
      <c r="A1" s="1"/>
      <c r="B1" s="1" t="s">
        <v>25</v>
      </c>
      <c r="C1" s="1" t="s">
        <v>341</v>
      </c>
    </row>
    <row r="2" spans="1:3" x14ac:dyDescent="0.2">
      <c r="A2" s="1" t="s">
        <v>127</v>
      </c>
      <c r="B2" s="1">
        <v>2250</v>
      </c>
      <c r="C2" s="1">
        <f>'Datos 1'!B3+'Datos 2'!B3+'Datos 3'!B3</f>
        <v>10001473</v>
      </c>
    </row>
    <row r="3" spans="1:3" x14ac:dyDescent="0.2">
      <c r="A3" s="1" t="s">
        <v>32</v>
      </c>
      <c r="B3" s="1">
        <v>1505</v>
      </c>
      <c r="C3" s="1">
        <f>'Datos 1'!B4+'Datos 2'!B4+'Datos 3'!B4</f>
        <v>1505</v>
      </c>
    </row>
    <row r="4" spans="1:3" x14ac:dyDescent="0.2">
      <c r="A4" s="1" t="s">
        <v>337</v>
      </c>
      <c r="B4" s="1">
        <v>1230</v>
      </c>
      <c r="C4" s="1">
        <f>'Datos 1'!B5+'Datos 2'!B5+'Datos 3'!B5</f>
        <v>1230</v>
      </c>
    </row>
    <row r="5" spans="1:3" x14ac:dyDescent="0.2">
      <c r="A5" s="1" t="s">
        <v>29</v>
      </c>
      <c r="B5" s="1">
        <v>2285</v>
      </c>
      <c r="C5" s="1">
        <f>'Datos 1'!B6+'Datos 2'!B6+'Datos 3'!B6</f>
        <v>2285</v>
      </c>
    </row>
    <row r="6" spans="1:3" x14ac:dyDescent="0.2">
      <c r="A6" s="1" t="s">
        <v>75</v>
      </c>
      <c r="B6" s="1">
        <v>1469</v>
      </c>
      <c r="C6" s="1">
        <f>'Datos 1'!B7+'Datos 2'!B7+'Datos 3'!B7</f>
        <v>1469</v>
      </c>
    </row>
    <row r="7" spans="1:3" x14ac:dyDescent="0.2">
      <c r="A7" s="1" t="s">
        <v>338</v>
      </c>
      <c r="B7" s="1">
        <v>1707</v>
      </c>
      <c r="C7" s="1">
        <f>'Datos 1'!B8+'Datos 2'!B8+'Datos 3'!B8</f>
        <v>1707</v>
      </c>
    </row>
    <row r="8" spans="1:3" x14ac:dyDescent="0.2">
      <c r="A8" s="1" t="s">
        <v>339</v>
      </c>
      <c r="B8" s="1">
        <v>1916</v>
      </c>
      <c r="C8" s="1">
        <f>'Datos 1'!B9+'Datos 2'!B9+'Datos 3'!B9</f>
        <v>1916</v>
      </c>
    </row>
    <row r="9" spans="1:3" x14ac:dyDescent="0.2">
      <c r="A9" s="1" t="s">
        <v>340</v>
      </c>
      <c r="B9" s="1">
        <v>1754</v>
      </c>
      <c r="C9" s="1">
        <f>'Datos 1'!B10+'Datos 2'!B10+'Datos 3'!B10</f>
        <v>1754</v>
      </c>
    </row>
  </sheetData>
  <dataConsolidate topLabels="1">
    <dataRefs count="3">
      <dataRef ref="A2:B10" sheet="Datos 1"/>
      <dataRef ref="A2:B10" sheet="Datos 2"/>
      <dataRef ref="A2:B10" sheet="Datos 3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D6E4-9E32-A240-80DB-0BA485D8C939}">
  <dimension ref="A13:J35"/>
  <sheetViews>
    <sheetView topLeftCell="A10" zoomScale="130" zoomScaleNormal="130" workbookViewId="0">
      <selection activeCell="J14" sqref="J14:J35"/>
    </sheetView>
  </sheetViews>
  <sheetFormatPr baseColWidth="10" defaultRowHeight="16" x14ac:dyDescent="0.2"/>
  <cols>
    <col min="1" max="1" width="48.5" bestFit="1" customWidth="1"/>
    <col min="2" max="2" width="8" customWidth="1"/>
  </cols>
  <sheetData>
    <row r="13" spans="1:10" x14ac:dyDescent="0.2">
      <c r="A13" t="s">
        <v>89</v>
      </c>
      <c r="B13" t="s">
        <v>328</v>
      </c>
      <c r="D13" t="s">
        <v>278</v>
      </c>
      <c r="F13" t="s">
        <v>279</v>
      </c>
      <c r="H13" t="s">
        <v>280</v>
      </c>
      <c r="I13" t="s">
        <v>281</v>
      </c>
      <c r="J13" t="s">
        <v>282</v>
      </c>
    </row>
    <row r="14" spans="1:10" x14ac:dyDescent="0.2">
      <c r="A14" t="s">
        <v>284</v>
      </c>
      <c r="B14" s="37">
        <v>4784</v>
      </c>
      <c r="C14">
        <v>64</v>
      </c>
      <c r="D14" s="37">
        <v>4788</v>
      </c>
      <c r="E14">
        <v>63</v>
      </c>
      <c r="F14" s="37">
        <v>4788</v>
      </c>
      <c r="G14">
        <v>63</v>
      </c>
      <c r="H14" s="37">
        <v>4784</v>
      </c>
      <c r="I14">
        <v>64</v>
      </c>
      <c r="J14" t="s">
        <v>285</v>
      </c>
    </row>
    <row r="15" spans="1:10" x14ac:dyDescent="0.2">
      <c r="A15" t="s">
        <v>286</v>
      </c>
      <c r="B15" s="37">
        <v>4788</v>
      </c>
      <c r="C15">
        <v>63</v>
      </c>
      <c r="D15" s="37">
        <v>4788</v>
      </c>
      <c r="E15">
        <v>63</v>
      </c>
      <c r="F15" s="37">
        <v>4788</v>
      </c>
      <c r="G15">
        <v>63</v>
      </c>
      <c r="H15" s="37">
        <v>4788</v>
      </c>
      <c r="I15">
        <v>63</v>
      </c>
      <c r="J15" t="s">
        <v>287</v>
      </c>
    </row>
    <row r="16" spans="1:10" x14ac:dyDescent="0.2">
      <c r="A16" t="s">
        <v>288</v>
      </c>
      <c r="B16" s="37">
        <v>4784</v>
      </c>
      <c r="C16">
        <v>50</v>
      </c>
      <c r="D16" s="37">
        <v>4814</v>
      </c>
      <c r="E16">
        <v>65</v>
      </c>
      <c r="F16" s="37">
        <v>4815</v>
      </c>
      <c r="G16">
        <v>15</v>
      </c>
      <c r="H16" s="37">
        <v>4748</v>
      </c>
      <c r="I16">
        <v>29</v>
      </c>
      <c r="J16" t="s">
        <v>289</v>
      </c>
    </row>
    <row r="17" spans="1:10" x14ac:dyDescent="0.2">
      <c r="A17" t="s">
        <v>290</v>
      </c>
      <c r="B17" s="37">
        <v>4811</v>
      </c>
      <c r="C17">
        <v>90</v>
      </c>
      <c r="D17" s="37">
        <v>4830</v>
      </c>
      <c r="E17">
        <v>18</v>
      </c>
      <c r="F17" s="37">
        <v>4898</v>
      </c>
      <c r="G17">
        <v>50</v>
      </c>
      <c r="H17" s="37">
        <v>4805</v>
      </c>
      <c r="I17">
        <v>93</v>
      </c>
      <c r="J17" t="s">
        <v>291</v>
      </c>
    </row>
    <row r="18" spans="1:10" x14ac:dyDescent="0.2">
      <c r="A18" t="s">
        <v>292</v>
      </c>
      <c r="B18" s="37">
        <v>4827</v>
      </c>
      <c r="C18">
        <v>81</v>
      </c>
      <c r="D18" s="37">
        <v>4859</v>
      </c>
      <c r="E18">
        <v>90</v>
      </c>
      <c r="F18" s="37">
        <v>4892</v>
      </c>
      <c r="G18">
        <v>59</v>
      </c>
      <c r="H18" s="37">
        <v>4812</v>
      </c>
      <c r="I18">
        <v>50</v>
      </c>
      <c r="J18" t="s">
        <v>293</v>
      </c>
    </row>
    <row r="19" spans="1:10" x14ac:dyDescent="0.2">
      <c r="A19" t="s">
        <v>294</v>
      </c>
      <c r="B19" s="37">
        <v>4856</v>
      </c>
      <c r="C19">
        <v>68</v>
      </c>
      <c r="D19" s="37">
        <v>4761</v>
      </c>
      <c r="E19">
        <v>1</v>
      </c>
      <c r="F19" s="37">
        <v>4869</v>
      </c>
      <c r="G19">
        <v>85</v>
      </c>
      <c r="H19" s="37">
        <v>4761</v>
      </c>
      <c r="I19">
        <v>1</v>
      </c>
      <c r="J19" t="s">
        <v>295</v>
      </c>
    </row>
    <row r="20" spans="1:10" x14ac:dyDescent="0.2">
      <c r="A20" t="s">
        <v>296</v>
      </c>
      <c r="B20" s="37">
        <v>4758</v>
      </c>
      <c r="C20">
        <v>26</v>
      </c>
      <c r="D20" s="37">
        <v>4840</v>
      </c>
      <c r="E20">
        <v>15</v>
      </c>
      <c r="F20" s="37">
        <v>4848</v>
      </c>
      <c r="G20">
        <v>59</v>
      </c>
      <c r="H20" s="37">
        <v>4755</v>
      </c>
      <c r="I20">
        <v>75</v>
      </c>
      <c r="J20" t="s">
        <v>297</v>
      </c>
    </row>
    <row r="21" spans="1:10" x14ac:dyDescent="0.2">
      <c r="A21" t="s">
        <v>298</v>
      </c>
      <c r="B21" s="37">
        <v>4837</v>
      </c>
      <c r="C21">
        <v>40</v>
      </c>
      <c r="D21" s="37">
        <v>4858</v>
      </c>
      <c r="E21">
        <v>15</v>
      </c>
      <c r="F21" s="37">
        <v>4879</v>
      </c>
      <c r="G21">
        <v>41</v>
      </c>
      <c r="H21" s="37">
        <v>4815</v>
      </c>
      <c r="I21">
        <v>37</v>
      </c>
      <c r="J21" t="s">
        <v>299</v>
      </c>
    </row>
    <row r="22" spans="1:10" x14ac:dyDescent="0.2">
      <c r="A22" t="s">
        <v>300</v>
      </c>
      <c r="B22" s="37">
        <v>4855</v>
      </c>
      <c r="C22">
        <v>40</v>
      </c>
      <c r="D22" s="37">
        <v>4896</v>
      </c>
      <c r="E22">
        <v>35</v>
      </c>
      <c r="F22" s="37">
        <v>4906</v>
      </c>
      <c r="G22">
        <v>48</v>
      </c>
      <c r="H22" s="37">
        <v>4834</v>
      </c>
      <c r="I22">
        <v>6</v>
      </c>
      <c r="J22" t="s">
        <v>301</v>
      </c>
    </row>
    <row r="23" spans="1:10" x14ac:dyDescent="0.2">
      <c r="A23" t="s">
        <v>302</v>
      </c>
      <c r="B23" s="37">
        <v>4893</v>
      </c>
      <c r="C23">
        <v>36</v>
      </c>
      <c r="D23" s="37">
        <v>4961</v>
      </c>
      <c r="E23">
        <v>50</v>
      </c>
      <c r="F23" s="37">
        <v>4961</v>
      </c>
      <c r="G23">
        <v>75</v>
      </c>
      <c r="H23" s="37">
        <v>4890</v>
      </c>
      <c r="I23">
        <v>53</v>
      </c>
      <c r="J23" t="s">
        <v>303</v>
      </c>
    </row>
    <row r="24" spans="1:10" x14ac:dyDescent="0.2">
      <c r="A24" t="s">
        <v>304</v>
      </c>
      <c r="B24" s="37">
        <v>4953</v>
      </c>
      <c r="C24">
        <v>43</v>
      </c>
      <c r="D24" s="37">
        <v>4916</v>
      </c>
      <c r="E24">
        <v>31</v>
      </c>
      <c r="F24" s="37">
        <v>4979</v>
      </c>
      <c r="G24">
        <v>0</v>
      </c>
      <c r="H24" s="37">
        <v>4894</v>
      </c>
      <c r="I24">
        <v>35</v>
      </c>
      <c r="J24" t="s">
        <v>305</v>
      </c>
    </row>
    <row r="25" spans="1:10" x14ac:dyDescent="0.2">
      <c r="A25" t="s">
        <v>306</v>
      </c>
      <c r="B25" s="37">
        <v>4913</v>
      </c>
      <c r="C25">
        <v>94</v>
      </c>
      <c r="D25" s="37">
        <v>4905</v>
      </c>
      <c r="E25">
        <v>10</v>
      </c>
      <c r="F25" s="37">
        <v>4923</v>
      </c>
      <c r="G25">
        <v>4</v>
      </c>
      <c r="H25" s="37">
        <v>4881</v>
      </c>
      <c r="I25">
        <v>63</v>
      </c>
      <c r="J25" t="s">
        <v>307</v>
      </c>
    </row>
    <row r="26" spans="1:10" x14ac:dyDescent="0.2">
      <c r="A26" t="s">
        <v>308</v>
      </c>
      <c r="B26" s="37">
        <v>4899</v>
      </c>
      <c r="C26">
        <v>45</v>
      </c>
      <c r="D26" s="37">
        <v>4927</v>
      </c>
      <c r="E26">
        <v>9</v>
      </c>
      <c r="F26" s="37">
        <v>4956</v>
      </c>
      <c r="G26">
        <v>19</v>
      </c>
      <c r="H26" s="37">
        <v>4879</v>
      </c>
      <c r="I26">
        <v>77</v>
      </c>
      <c r="J26" t="s">
        <v>309</v>
      </c>
    </row>
    <row r="27" spans="1:10" x14ac:dyDescent="0.2">
      <c r="A27" t="s">
        <v>310</v>
      </c>
      <c r="B27" s="37">
        <v>4926</v>
      </c>
      <c r="C27">
        <v>34</v>
      </c>
      <c r="D27" s="37">
        <v>4896</v>
      </c>
      <c r="E27">
        <v>90</v>
      </c>
      <c r="F27" s="37">
        <v>4998</v>
      </c>
      <c r="G27">
        <v>49</v>
      </c>
      <c r="H27" s="37">
        <v>4880</v>
      </c>
      <c r="I27">
        <v>33</v>
      </c>
      <c r="J27" t="s">
        <v>311</v>
      </c>
    </row>
    <row r="28" spans="1:10" x14ac:dyDescent="0.2">
      <c r="A28" t="s">
        <v>312</v>
      </c>
      <c r="B28" s="37">
        <v>4895</v>
      </c>
      <c r="C28">
        <v>45</v>
      </c>
      <c r="D28" s="37">
        <v>4751</v>
      </c>
      <c r="E28">
        <v>50</v>
      </c>
      <c r="F28" s="37">
        <v>4928</v>
      </c>
      <c r="G28">
        <v>75</v>
      </c>
      <c r="H28" s="37">
        <v>4751</v>
      </c>
      <c r="I28">
        <v>50</v>
      </c>
      <c r="J28" t="s">
        <v>313</v>
      </c>
    </row>
    <row r="29" spans="1:10" x14ac:dyDescent="0.2">
      <c r="A29" t="s">
        <v>314</v>
      </c>
      <c r="B29" s="37">
        <v>4749</v>
      </c>
      <c r="C29">
        <v>0</v>
      </c>
      <c r="D29" s="37">
        <v>4831</v>
      </c>
      <c r="E29">
        <v>60</v>
      </c>
      <c r="F29" s="37">
        <v>4831</v>
      </c>
      <c r="G29">
        <v>84</v>
      </c>
      <c r="H29" s="37">
        <v>4733</v>
      </c>
      <c r="I29">
        <v>32</v>
      </c>
      <c r="J29" t="s">
        <v>315</v>
      </c>
    </row>
    <row r="30" spans="1:10" x14ac:dyDescent="0.2">
      <c r="A30" t="s">
        <v>316</v>
      </c>
      <c r="B30" s="37">
        <v>4787</v>
      </c>
      <c r="C30">
        <v>31</v>
      </c>
      <c r="D30" s="37">
        <v>4798</v>
      </c>
      <c r="E30">
        <v>85</v>
      </c>
      <c r="F30" s="37">
        <v>4837</v>
      </c>
      <c r="G30">
        <v>75</v>
      </c>
      <c r="H30" s="37">
        <v>4768</v>
      </c>
      <c r="I30">
        <v>74</v>
      </c>
      <c r="J30" t="s">
        <v>317</v>
      </c>
    </row>
    <row r="31" spans="1:10" x14ac:dyDescent="0.2">
      <c r="A31" t="s">
        <v>318</v>
      </c>
      <c r="B31" s="37">
        <v>4799</v>
      </c>
      <c r="C31">
        <v>18</v>
      </c>
      <c r="D31" s="37">
        <v>4736</v>
      </c>
      <c r="E31">
        <v>46</v>
      </c>
      <c r="F31" s="37">
        <v>4811</v>
      </c>
      <c r="G31">
        <v>75</v>
      </c>
      <c r="H31" s="37">
        <v>4724</v>
      </c>
      <c r="I31">
        <v>48</v>
      </c>
      <c r="J31" t="s">
        <v>319</v>
      </c>
    </row>
    <row r="32" spans="1:10" x14ac:dyDescent="0.2">
      <c r="A32" t="s">
        <v>320</v>
      </c>
      <c r="B32" s="37">
        <v>4742</v>
      </c>
      <c r="C32">
        <v>25</v>
      </c>
      <c r="D32" s="37">
        <v>4762</v>
      </c>
      <c r="E32">
        <v>35</v>
      </c>
      <c r="F32" s="37">
        <v>4773</v>
      </c>
      <c r="G32">
        <v>2</v>
      </c>
      <c r="H32" s="37">
        <v>4717</v>
      </c>
      <c r="I32">
        <v>82</v>
      </c>
      <c r="J32" t="s">
        <v>321</v>
      </c>
    </row>
    <row r="33" spans="1:10" x14ac:dyDescent="0.2">
      <c r="A33" t="s">
        <v>322</v>
      </c>
      <c r="B33" s="37">
        <v>4766</v>
      </c>
      <c r="C33">
        <v>5</v>
      </c>
      <c r="D33" s="37">
        <v>4729</v>
      </c>
      <c r="E33">
        <v>6</v>
      </c>
      <c r="F33" s="37">
        <v>4793</v>
      </c>
      <c r="G33">
        <v>55</v>
      </c>
      <c r="H33" s="37">
        <v>4726</v>
      </c>
      <c r="I33">
        <v>17</v>
      </c>
      <c r="J33" t="s">
        <v>323</v>
      </c>
    </row>
    <row r="34" spans="1:10" x14ac:dyDescent="0.2">
      <c r="A34" t="s">
        <v>324</v>
      </c>
      <c r="B34" s="37">
        <v>4726</v>
      </c>
      <c r="C34">
        <v>6</v>
      </c>
      <c r="D34" s="37">
        <v>4786</v>
      </c>
      <c r="E34">
        <v>25</v>
      </c>
      <c r="F34" s="37">
        <v>4798</v>
      </c>
      <c r="G34">
        <v>30</v>
      </c>
      <c r="H34" s="37">
        <v>4726</v>
      </c>
      <c r="I34">
        <v>31</v>
      </c>
      <c r="J34" t="s">
        <v>325</v>
      </c>
    </row>
    <row r="35" spans="1:10" x14ac:dyDescent="0.2">
      <c r="A35" t="s">
        <v>326</v>
      </c>
      <c r="B35" s="37">
        <v>4783</v>
      </c>
      <c r="C35">
        <v>25</v>
      </c>
      <c r="D35" s="37">
        <v>4699</v>
      </c>
      <c r="E35">
        <v>25</v>
      </c>
      <c r="F35" s="37">
        <v>4803</v>
      </c>
      <c r="G35">
        <v>70</v>
      </c>
      <c r="H35" s="37">
        <v>4692</v>
      </c>
      <c r="I35">
        <v>24</v>
      </c>
      <c r="J3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D98E-B82D-8A42-8F84-B461759CB316}">
  <dimension ref="A1:I35"/>
  <sheetViews>
    <sheetView topLeftCell="A11" zoomScale="130" zoomScaleNormal="130" workbookViewId="0">
      <selection activeCell="I14" sqref="I14"/>
    </sheetView>
  </sheetViews>
  <sheetFormatPr baseColWidth="10" defaultRowHeight="16" x14ac:dyDescent="0.2"/>
  <cols>
    <col min="1" max="1" width="10.1640625" bestFit="1" customWidth="1"/>
    <col min="2" max="5" width="8.1640625" bestFit="1" customWidth="1"/>
    <col min="7" max="7" width="7.1640625" bestFit="1" customWidth="1"/>
  </cols>
  <sheetData>
    <row r="1" spans="1:9" x14ac:dyDescent="0.2">
      <c r="A1" t="s">
        <v>89</v>
      </c>
    </row>
    <row r="3" spans="1:9" x14ac:dyDescent="0.2">
      <c r="A3" t="s">
        <v>277</v>
      </c>
    </row>
    <row r="5" spans="1:9" x14ac:dyDescent="0.2">
      <c r="A5" t="s">
        <v>278</v>
      </c>
    </row>
    <row r="7" spans="1:9" x14ac:dyDescent="0.2">
      <c r="A7" t="s">
        <v>279</v>
      </c>
    </row>
    <row r="9" spans="1:9" x14ac:dyDescent="0.2">
      <c r="A9" t="s">
        <v>280</v>
      </c>
    </row>
    <row r="11" spans="1:9" x14ac:dyDescent="0.2">
      <c r="A11" t="s">
        <v>281</v>
      </c>
    </row>
    <row r="13" spans="1:9" x14ac:dyDescent="0.2">
      <c r="A13" t="s">
        <v>330</v>
      </c>
    </row>
    <row r="14" spans="1:9" x14ac:dyDescent="0.2">
      <c r="A14" t="s">
        <v>284</v>
      </c>
      <c r="B14" s="38">
        <v>4784.6400000000003</v>
      </c>
      <c r="C14" s="38">
        <v>4788.63</v>
      </c>
      <c r="D14" s="38">
        <v>4788.63</v>
      </c>
      <c r="E14" s="38">
        <v>4784.6400000000003</v>
      </c>
      <c r="G14" t="s">
        <v>285</v>
      </c>
      <c r="H14" t="str">
        <f>+MID(G14,1,5)</f>
        <v>-0.08</v>
      </c>
      <c r="I14">
        <f>+_xlfn.NUMBERVALUE(H14)/100</f>
        <v>-0.08</v>
      </c>
    </row>
    <row r="15" spans="1:9" x14ac:dyDescent="0.2">
      <c r="A15" t="s">
        <v>286</v>
      </c>
      <c r="B15" s="38">
        <v>4788.63</v>
      </c>
      <c r="C15" s="38">
        <v>4788.63</v>
      </c>
      <c r="D15" s="38">
        <v>4788.63</v>
      </c>
      <c r="E15" s="38">
        <v>4788.63</v>
      </c>
      <c r="G15" t="s">
        <v>287</v>
      </c>
      <c r="H15" t="str">
        <f t="shared" ref="H15:H35" si="0">+MID(G15,1,5)</f>
        <v>+0.09</v>
      </c>
      <c r="I15">
        <f t="shared" ref="I15:I35" si="1">+_xlfn.NUMBERVALUE(H15)/100</f>
        <v>0.09</v>
      </c>
    </row>
    <row r="16" spans="1:9" x14ac:dyDescent="0.2">
      <c r="A16" t="s">
        <v>288</v>
      </c>
      <c r="B16" s="38">
        <v>4784.5</v>
      </c>
      <c r="C16" s="38">
        <v>4814.6499999999996</v>
      </c>
      <c r="D16" s="38">
        <v>4815.1499999999996</v>
      </c>
      <c r="E16" s="38">
        <v>4748.29</v>
      </c>
      <c r="G16" t="s">
        <v>289</v>
      </c>
      <c r="H16" t="str">
        <f t="shared" si="0"/>
        <v>-0.57</v>
      </c>
      <c r="I16">
        <f t="shared" si="1"/>
        <v>-0.56999999999999995</v>
      </c>
    </row>
    <row r="17" spans="1:9" x14ac:dyDescent="0.2">
      <c r="A17" t="s">
        <v>290</v>
      </c>
      <c r="B17" s="38">
        <v>4811.8999999999996</v>
      </c>
      <c r="C17" s="38">
        <v>4830.18</v>
      </c>
      <c r="D17" s="38">
        <v>4898.5</v>
      </c>
      <c r="E17" s="38">
        <v>4805.93</v>
      </c>
      <c r="G17" t="s">
        <v>291</v>
      </c>
      <c r="H17" t="str">
        <f t="shared" si="0"/>
        <v>-0.33</v>
      </c>
      <c r="I17">
        <f t="shared" si="1"/>
        <v>-0.33</v>
      </c>
    </row>
    <row r="18" spans="1:9" x14ac:dyDescent="0.2">
      <c r="A18" t="s">
        <v>292</v>
      </c>
      <c r="B18" s="38">
        <v>4827.8100000000004</v>
      </c>
      <c r="C18" s="38">
        <v>4859.8999999999996</v>
      </c>
      <c r="D18" s="38">
        <v>4892.59</v>
      </c>
      <c r="E18" s="38">
        <v>4812.5</v>
      </c>
      <c r="G18" t="s">
        <v>293</v>
      </c>
      <c r="H18" t="str">
        <f t="shared" si="0"/>
        <v>-0.59</v>
      </c>
      <c r="I18">
        <f t="shared" si="1"/>
        <v>-0.59</v>
      </c>
    </row>
    <row r="19" spans="1:9" x14ac:dyDescent="0.2">
      <c r="A19" t="s">
        <v>294</v>
      </c>
      <c r="B19" s="38">
        <v>4856.68</v>
      </c>
      <c r="C19" s="38">
        <v>4761.01</v>
      </c>
      <c r="D19" s="38">
        <v>4869.8500000000004</v>
      </c>
      <c r="E19" s="38">
        <v>4761.01</v>
      </c>
      <c r="G19" t="s">
        <v>295</v>
      </c>
      <c r="H19" t="str">
        <f t="shared" si="0"/>
        <v>+2.07</v>
      </c>
      <c r="I19">
        <f t="shared" si="1"/>
        <v>2.0699999999999998</v>
      </c>
    </row>
    <row r="20" spans="1:9" x14ac:dyDescent="0.2">
      <c r="A20" t="s">
        <v>296</v>
      </c>
      <c r="B20" s="38">
        <v>4758.26</v>
      </c>
      <c r="C20" s="38">
        <v>4840.1499999999996</v>
      </c>
      <c r="D20" s="38">
        <v>4848.59</v>
      </c>
      <c r="E20" s="38">
        <v>4755.75</v>
      </c>
      <c r="G20" t="s">
        <v>297</v>
      </c>
      <c r="H20" t="str">
        <f t="shared" si="0"/>
        <v>-1.64</v>
      </c>
      <c r="I20">
        <f t="shared" si="1"/>
        <v>-1.64</v>
      </c>
    </row>
    <row r="21" spans="1:9" x14ac:dyDescent="0.2">
      <c r="A21" t="s">
        <v>298</v>
      </c>
      <c r="B21" s="38">
        <v>4837.3999999999996</v>
      </c>
      <c r="C21" s="38">
        <v>4858.1499999999996</v>
      </c>
      <c r="D21" s="38">
        <v>4879.41</v>
      </c>
      <c r="E21" s="38">
        <v>4815.37</v>
      </c>
      <c r="G21" t="s">
        <v>299</v>
      </c>
      <c r="H21" t="str">
        <f t="shared" si="0"/>
        <v>-0.37</v>
      </c>
      <c r="I21">
        <f t="shared" si="1"/>
        <v>-0.37</v>
      </c>
    </row>
    <row r="22" spans="1:9" x14ac:dyDescent="0.2">
      <c r="A22" t="s">
        <v>300</v>
      </c>
      <c r="B22" s="38">
        <v>4855.3999999999996</v>
      </c>
      <c r="C22" s="38">
        <v>4896.3500000000004</v>
      </c>
      <c r="D22" s="38">
        <v>4906.4799999999996</v>
      </c>
      <c r="E22" s="38">
        <v>4834.0600000000004</v>
      </c>
      <c r="G22" t="s">
        <v>301</v>
      </c>
      <c r="H22" t="str">
        <f t="shared" si="0"/>
        <v>-0.78</v>
      </c>
      <c r="I22">
        <f t="shared" si="1"/>
        <v>-0.78</v>
      </c>
    </row>
    <row r="23" spans="1:9" x14ac:dyDescent="0.2">
      <c r="A23" t="s">
        <v>302</v>
      </c>
      <c r="B23" s="38">
        <v>4893.3599999999997</v>
      </c>
      <c r="C23" s="38">
        <v>4961.5</v>
      </c>
      <c r="D23" s="38">
        <v>4961.75</v>
      </c>
      <c r="E23" s="38">
        <v>4890.53</v>
      </c>
      <c r="G23" t="s">
        <v>303</v>
      </c>
      <c r="H23" t="str">
        <f t="shared" si="0"/>
        <v>-1.21</v>
      </c>
      <c r="I23">
        <f t="shared" si="1"/>
        <v>-1.21</v>
      </c>
    </row>
    <row r="24" spans="1:9" x14ac:dyDescent="0.2">
      <c r="A24" t="s">
        <v>304</v>
      </c>
      <c r="B24" s="38">
        <v>4953.43</v>
      </c>
      <c r="C24" s="38">
        <v>4916.3100000000004</v>
      </c>
      <c r="D24" s="38">
        <v>4979</v>
      </c>
      <c r="E24" s="38">
        <v>4894.3500000000004</v>
      </c>
      <c r="G24" t="s">
        <v>305</v>
      </c>
      <c r="H24" t="str">
        <f t="shared" si="0"/>
        <v>+0.80</v>
      </c>
      <c r="I24">
        <f t="shared" si="1"/>
        <v>0.8</v>
      </c>
    </row>
    <row r="25" spans="1:9" x14ac:dyDescent="0.2">
      <c r="A25" t="s">
        <v>306</v>
      </c>
      <c r="B25" s="38">
        <v>4913.9399999999996</v>
      </c>
      <c r="C25" s="38">
        <v>4905.1000000000004</v>
      </c>
      <c r="D25" s="38">
        <v>4923.04</v>
      </c>
      <c r="E25" s="38">
        <v>4881.63</v>
      </c>
      <c r="G25" t="s">
        <v>307</v>
      </c>
      <c r="H25" t="str">
        <f t="shared" si="0"/>
        <v>+0.30</v>
      </c>
      <c r="I25">
        <f t="shared" si="1"/>
        <v>0.3</v>
      </c>
    </row>
    <row r="26" spans="1:9" x14ac:dyDescent="0.2">
      <c r="A26" t="s">
        <v>308</v>
      </c>
      <c r="B26" s="38">
        <v>4899.45</v>
      </c>
      <c r="C26" s="38">
        <v>4927.09</v>
      </c>
      <c r="D26" s="38">
        <v>4956.1899999999996</v>
      </c>
      <c r="E26" s="38">
        <v>4879.7700000000004</v>
      </c>
      <c r="G26" t="s">
        <v>309</v>
      </c>
      <c r="H26" t="str">
        <f t="shared" si="0"/>
        <v>-0.55</v>
      </c>
      <c r="I26">
        <f t="shared" si="1"/>
        <v>-0.55000000000000004</v>
      </c>
    </row>
    <row r="27" spans="1:9" x14ac:dyDescent="0.2">
      <c r="A27" t="s">
        <v>310</v>
      </c>
      <c r="B27" s="38">
        <v>4926.34</v>
      </c>
      <c r="C27" s="38">
        <v>4896.8999999999996</v>
      </c>
      <c r="D27" s="38">
        <v>4998.49</v>
      </c>
      <c r="E27" s="38">
        <v>4880.33</v>
      </c>
      <c r="G27" t="s">
        <v>311</v>
      </c>
      <c r="H27" t="str">
        <f t="shared" si="0"/>
        <v>+0.63</v>
      </c>
      <c r="I27">
        <f t="shared" si="1"/>
        <v>0.63</v>
      </c>
    </row>
    <row r="28" spans="1:9" x14ac:dyDescent="0.2">
      <c r="A28" t="s">
        <v>312</v>
      </c>
      <c r="B28" s="38">
        <v>4895.45</v>
      </c>
      <c r="C28" s="38">
        <v>4751.5</v>
      </c>
      <c r="D28" s="38">
        <v>4928.75</v>
      </c>
      <c r="E28" s="38">
        <v>4751.5</v>
      </c>
      <c r="G28" t="s">
        <v>313</v>
      </c>
      <c r="H28" t="str">
        <f t="shared" si="0"/>
        <v>+3.08</v>
      </c>
      <c r="I28">
        <f t="shared" si="1"/>
        <v>3.08</v>
      </c>
    </row>
    <row r="29" spans="1:9" x14ac:dyDescent="0.2">
      <c r="A29" t="s">
        <v>314</v>
      </c>
      <c r="B29" s="38">
        <v>4749</v>
      </c>
      <c r="C29" s="38">
        <v>4831.6000000000004</v>
      </c>
      <c r="D29" s="38">
        <v>4831.84</v>
      </c>
      <c r="E29" s="38">
        <v>4733.32</v>
      </c>
      <c r="G29" t="s">
        <v>315</v>
      </c>
      <c r="H29" t="str">
        <f t="shared" si="0"/>
        <v>-0.80</v>
      </c>
      <c r="I29">
        <f t="shared" si="1"/>
        <v>-0.8</v>
      </c>
    </row>
    <row r="30" spans="1:9" x14ac:dyDescent="0.2">
      <c r="A30" t="s">
        <v>316</v>
      </c>
      <c r="B30" s="38">
        <v>4787.3100000000004</v>
      </c>
      <c r="C30" s="38">
        <v>4798.8500000000004</v>
      </c>
      <c r="D30" s="38">
        <v>4837.75</v>
      </c>
      <c r="E30" s="38">
        <v>4768.74</v>
      </c>
      <c r="G30" t="s">
        <v>317</v>
      </c>
      <c r="H30" t="str">
        <f t="shared" si="0"/>
        <v>-0.25</v>
      </c>
      <c r="I30">
        <f t="shared" si="1"/>
        <v>-0.25</v>
      </c>
    </row>
    <row r="31" spans="1:9" x14ac:dyDescent="0.2">
      <c r="A31" t="s">
        <v>318</v>
      </c>
      <c r="B31" s="38">
        <v>4799.18</v>
      </c>
      <c r="C31" s="38">
        <v>4736.46</v>
      </c>
      <c r="D31" s="38">
        <v>4811.75</v>
      </c>
      <c r="E31" s="38">
        <v>4724.4799999999996</v>
      </c>
      <c r="G31" t="s">
        <v>319</v>
      </c>
      <c r="H31" t="str">
        <f t="shared" si="0"/>
        <v>+1.20</v>
      </c>
      <c r="I31">
        <f t="shared" si="1"/>
        <v>1.2</v>
      </c>
    </row>
    <row r="32" spans="1:9" x14ac:dyDescent="0.2">
      <c r="A32" t="s">
        <v>320</v>
      </c>
      <c r="B32" s="38">
        <v>4742.25</v>
      </c>
      <c r="C32" s="38">
        <v>4762.3500000000004</v>
      </c>
      <c r="D32" s="38">
        <v>4773.0200000000004</v>
      </c>
      <c r="E32" s="38">
        <v>4717.82</v>
      </c>
      <c r="G32" t="s">
        <v>321</v>
      </c>
      <c r="H32" t="str">
        <f t="shared" si="0"/>
        <v>-0.50</v>
      </c>
      <c r="I32">
        <f t="shared" si="1"/>
        <v>-0.5</v>
      </c>
    </row>
    <row r="33" spans="1:9" x14ac:dyDescent="0.2">
      <c r="A33" t="s">
        <v>322</v>
      </c>
      <c r="B33" s="38">
        <v>4766.05</v>
      </c>
      <c r="C33" s="38">
        <v>4729.0600000000004</v>
      </c>
      <c r="D33" s="38">
        <v>4793.55</v>
      </c>
      <c r="E33" s="38">
        <v>4726.17</v>
      </c>
      <c r="G33" t="s">
        <v>323</v>
      </c>
      <c r="H33" t="str">
        <f t="shared" si="0"/>
        <v>+0.85</v>
      </c>
      <c r="I33">
        <f t="shared" si="1"/>
        <v>0.85</v>
      </c>
    </row>
    <row r="34" spans="1:9" x14ac:dyDescent="0.2">
      <c r="A34" t="s">
        <v>324</v>
      </c>
      <c r="B34" s="38">
        <v>4726.0600000000004</v>
      </c>
      <c r="C34" s="38">
        <v>4786.25</v>
      </c>
      <c r="D34" s="38">
        <v>4798.3</v>
      </c>
      <c r="E34" s="38">
        <v>4726.3100000000004</v>
      </c>
      <c r="G34" t="s">
        <v>325</v>
      </c>
      <c r="H34" t="str">
        <f t="shared" si="0"/>
        <v>-1.20</v>
      </c>
      <c r="I34">
        <f t="shared" si="1"/>
        <v>-1.2</v>
      </c>
    </row>
    <row r="35" spans="1:9" x14ac:dyDescent="0.2">
      <c r="A35" t="s">
        <v>326</v>
      </c>
      <c r="B35" s="38">
        <v>4783.25</v>
      </c>
      <c r="C35" s="38">
        <v>4699.25</v>
      </c>
      <c r="D35" s="38">
        <v>4803.7</v>
      </c>
      <c r="E35" s="38">
        <v>4692.24</v>
      </c>
      <c r="G35" t="s">
        <v>327</v>
      </c>
      <c r="H35" t="str">
        <f t="shared" si="0"/>
        <v>+1.88</v>
      </c>
      <c r="I35">
        <f t="shared" si="1"/>
        <v>1.88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E26D-531C-344E-A094-62077B1C82B8}">
  <dimension ref="A1:F23"/>
  <sheetViews>
    <sheetView zoomScale="120" zoomScaleNormal="120" workbookViewId="0">
      <selection activeCell="G9" sqref="G9"/>
    </sheetView>
  </sheetViews>
  <sheetFormatPr baseColWidth="10" defaultRowHeight="16" x14ac:dyDescent="0.2"/>
  <cols>
    <col min="1" max="1" width="10.1640625" bestFit="1" customWidth="1"/>
    <col min="2" max="5" width="8.1640625" bestFit="1" customWidth="1"/>
    <col min="6" max="6" width="7.1640625" bestFit="1" customWidth="1"/>
  </cols>
  <sheetData>
    <row r="1" spans="1:6" x14ac:dyDescent="0.2">
      <c r="A1" s="1" t="s">
        <v>89</v>
      </c>
      <c r="B1" s="1" t="s">
        <v>329</v>
      </c>
      <c r="C1" s="1" t="s">
        <v>278</v>
      </c>
      <c r="D1" s="1" t="s">
        <v>243</v>
      </c>
      <c r="E1" s="1" t="s">
        <v>280</v>
      </c>
      <c r="F1" s="1" t="s">
        <v>283</v>
      </c>
    </row>
    <row r="2" spans="1:6" x14ac:dyDescent="0.2">
      <c r="A2" s="1" t="s">
        <v>284</v>
      </c>
      <c r="B2" s="39">
        <v>4784.6400000000003</v>
      </c>
      <c r="C2" s="39">
        <v>4788.63</v>
      </c>
      <c r="D2" s="39">
        <v>4788.63</v>
      </c>
      <c r="E2" s="39">
        <v>4784.6400000000003</v>
      </c>
      <c r="F2" s="1" t="s">
        <v>285</v>
      </c>
    </row>
    <row r="3" spans="1:6" x14ac:dyDescent="0.2">
      <c r="A3" s="1" t="s">
        <v>286</v>
      </c>
      <c r="B3" s="39">
        <v>4788.63</v>
      </c>
      <c r="C3" s="39">
        <v>4788.63</v>
      </c>
      <c r="D3" s="39">
        <v>4788.63</v>
      </c>
      <c r="E3" s="39">
        <v>4788.63</v>
      </c>
      <c r="F3" s="1" t="s">
        <v>287</v>
      </c>
    </row>
    <row r="4" spans="1:6" x14ac:dyDescent="0.2">
      <c r="A4" s="1" t="s">
        <v>288</v>
      </c>
      <c r="B4" s="39">
        <v>4784.5</v>
      </c>
      <c r="C4" s="39">
        <v>4814.6499999999996</v>
      </c>
      <c r="D4" s="39">
        <v>4815.1499999999996</v>
      </c>
      <c r="E4" s="39">
        <v>4748.29</v>
      </c>
      <c r="F4" s="1" t="s">
        <v>289</v>
      </c>
    </row>
    <row r="5" spans="1:6" x14ac:dyDescent="0.2">
      <c r="A5" s="1" t="s">
        <v>290</v>
      </c>
      <c r="B5" s="39">
        <v>4811.8999999999996</v>
      </c>
      <c r="C5" s="39">
        <v>4830.18</v>
      </c>
      <c r="D5" s="39">
        <v>4898.5</v>
      </c>
      <c r="E5" s="39">
        <v>4805.93</v>
      </c>
      <c r="F5" s="1" t="s">
        <v>291</v>
      </c>
    </row>
    <row r="6" spans="1:6" x14ac:dyDescent="0.2">
      <c r="A6" s="1" t="s">
        <v>292</v>
      </c>
      <c r="B6" s="39">
        <v>4827.8100000000004</v>
      </c>
      <c r="C6" s="39">
        <v>4859.8999999999996</v>
      </c>
      <c r="D6" s="39">
        <v>4892.59</v>
      </c>
      <c r="E6" s="39">
        <v>4812.5</v>
      </c>
      <c r="F6" s="1" t="s">
        <v>293</v>
      </c>
    </row>
    <row r="7" spans="1:6" x14ac:dyDescent="0.2">
      <c r="A7" s="1" t="s">
        <v>294</v>
      </c>
      <c r="B7" s="39">
        <v>4856.68</v>
      </c>
      <c r="C7" s="39">
        <v>4761.01</v>
      </c>
      <c r="D7" s="39">
        <v>4869.8500000000004</v>
      </c>
      <c r="E7" s="39">
        <v>4761.01</v>
      </c>
      <c r="F7" s="1" t="s">
        <v>295</v>
      </c>
    </row>
    <row r="8" spans="1:6" x14ac:dyDescent="0.2">
      <c r="A8" s="1" t="s">
        <v>296</v>
      </c>
      <c r="B8" s="39">
        <v>4758.26</v>
      </c>
      <c r="C8" s="39">
        <v>4840.1499999999996</v>
      </c>
      <c r="D8" s="39">
        <v>4848.59</v>
      </c>
      <c r="E8" s="39">
        <v>4755.75</v>
      </c>
      <c r="F8" s="1" t="s">
        <v>297</v>
      </c>
    </row>
    <row r="9" spans="1:6" x14ac:dyDescent="0.2">
      <c r="A9" s="1" t="s">
        <v>298</v>
      </c>
      <c r="B9" s="39">
        <v>4837.3999999999996</v>
      </c>
      <c r="C9" s="39">
        <v>4858.1499999999996</v>
      </c>
      <c r="D9" s="39">
        <v>4879.41</v>
      </c>
      <c r="E9" s="39">
        <v>4815.37</v>
      </c>
      <c r="F9" s="1" t="s">
        <v>299</v>
      </c>
    </row>
    <row r="10" spans="1:6" x14ac:dyDescent="0.2">
      <c r="A10" s="1" t="s">
        <v>300</v>
      </c>
      <c r="B10" s="39">
        <v>4855.3999999999996</v>
      </c>
      <c r="C10" s="39">
        <v>4896.3500000000004</v>
      </c>
      <c r="D10" s="39">
        <v>4906.4799999999996</v>
      </c>
      <c r="E10" s="39">
        <v>4834.0600000000004</v>
      </c>
      <c r="F10" s="1" t="s">
        <v>301</v>
      </c>
    </row>
    <row r="11" spans="1:6" x14ac:dyDescent="0.2">
      <c r="A11" s="1" t="s">
        <v>302</v>
      </c>
      <c r="B11" s="39">
        <v>4893.3599999999997</v>
      </c>
      <c r="C11" s="39">
        <v>4961.5</v>
      </c>
      <c r="D11" s="39">
        <v>4961.75</v>
      </c>
      <c r="E11" s="39">
        <v>4890.53</v>
      </c>
      <c r="F11" s="1" t="s">
        <v>303</v>
      </c>
    </row>
    <row r="12" spans="1:6" x14ac:dyDescent="0.2">
      <c r="A12" s="1" t="s">
        <v>304</v>
      </c>
      <c r="B12" s="39">
        <v>4953.43</v>
      </c>
      <c r="C12" s="39">
        <v>4916.3100000000004</v>
      </c>
      <c r="D12" s="39">
        <v>4979</v>
      </c>
      <c r="E12" s="39">
        <v>4894.3500000000004</v>
      </c>
      <c r="F12" s="1" t="s">
        <v>305</v>
      </c>
    </row>
    <row r="13" spans="1:6" x14ac:dyDescent="0.2">
      <c r="A13" s="1" t="s">
        <v>306</v>
      </c>
      <c r="B13" s="39">
        <v>4913.9399999999996</v>
      </c>
      <c r="C13" s="39">
        <v>4905.1000000000004</v>
      </c>
      <c r="D13" s="39">
        <v>4923.04</v>
      </c>
      <c r="E13" s="39">
        <v>4881.63</v>
      </c>
      <c r="F13" s="1" t="s">
        <v>307</v>
      </c>
    </row>
    <row r="14" spans="1:6" x14ac:dyDescent="0.2">
      <c r="A14" s="1" t="s">
        <v>308</v>
      </c>
      <c r="B14" s="39">
        <v>4899.45</v>
      </c>
      <c r="C14" s="39">
        <v>4927.09</v>
      </c>
      <c r="D14" s="39">
        <v>4956.1899999999996</v>
      </c>
      <c r="E14" s="39">
        <v>4879.7700000000004</v>
      </c>
      <c r="F14" s="1" t="s">
        <v>309</v>
      </c>
    </row>
    <row r="15" spans="1:6" x14ac:dyDescent="0.2">
      <c r="A15" s="1" t="s">
        <v>310</v>
      </c>
      <c r="B15" s="39">
        <v>4926.34</v>
      </c>
      <c r="C15" s="39">
        <v>4896.8999999999996</v>
      </c>
      <c r="D15" s="39">
        <v>4998.49</v>
      </c>
      <c r="E15" s="39">
        <v>4880.33</v>
      </c>
      <c r="F15" s="1" t="s">
        <v>311</v>
      </c>
    </row>
    <row r="16" spans="1:6" x14ac:dyDescent="0.2">
      <c r="A16" s="1" t="s">
        <v>312</v>
      </c>
      <c r="B16" s="39">
        <v>4895.45</v>
      </c>
      <c r="C16" s="39">
        <v>4751.5</v>
      </c>
      <c r="D16" s="39">
        <v>4928.75</v>
      </c>
      <c r="E16" s="39">
        <v>4751.5</v>
      </c>
      <c r="F16" s="1" t="s">
        <v>313</v>
      </c>
    </row>
    <row r="17" spans="1:6" x14ac:dyDescent="0.2">
      <c r="A17" s="1" t="s">
        <v>314</v>
      </c>
      <c r="B17" s="39">
        <v>4749</v>
      </c>
      <c r="C17" s="39">
        <v>4831.6000000000004</v>
      </c>
      <c r="D17" s="39">
        <v>4831.84</v>
      </c>
      <c r="E17" s="39">
        <v>4733.32</v>
      </c>
      <c r="F17" s="1" t="s">
        <v>315</v>
      </c>
    </row>
    <row r="18" spans="1:6" x14ac:dyDescent="0.2">
      <c r="A18" s="1" t="s">
        <v>316</v>
      </c>
      <c r="B18" s="39">
        <v>4787.3100000000004</v>
      </c>
      <c r="C18" s="39">
        <v>4798.8500000000004</v>
      </c>
      <c r="D18" s="39">
        <v>4837.75</v>
      </c>
      <c r="E18" s="39">
        <v>4768.74</v>
      </c>
      <c r="F18" s="1" t="s">
        <v>317</v>
      </c>
    </row>
    <row r="19" spans="1:6" x14ac:dyDescent="0.2">
      <c r="A19" s="1" t="s">
        <v>318</v>
      </c>
      <c r="B19" s="39">
        <v>4799.18</v>
      </c>
      <c r="C19" s="39">
        <v>4736.46</v>
      </c>
      <c r="D19" s="39">
        <v>4811.75</v>
      </c>
      <c r="E19" s="39">
        <v>4724.4799999999996</v>
      </c>
      <c r="F19" s="1" t="s">
        <v>319</v>
      </c>
    </row>
    <row r="20" spans="1:6" x14ac:dyDescent="0.2">
      <c r="A20" s="1" t="s">
        <v>320</v>
      </c>
      <c r="B20" s="39">
        <v>4742.25</v>
      </c>
      <c r="C20" s="39">
        <v>4762.3500000000004</v>
      </c>
      <c r="D20" s="39">
        <v>4773.0200000000004</v>
      </c>
      <c r="E20" s="39">
        <v>4717.82</v>
      </c>
      <c r="F20" s="1" t="s">
        <v>321</v>
      </c>
    </row>
    <row r="21" spans="1:6" x14ac:dyDescent="0.2">
      <c r="A21" s="1" t="s">
        <v>322</v>
      </c>
      <c r="B21" s="39">
        <v>4766.05</v>
      </c>
      <c r="C21" s="39">
        <v>4729.0600000000004</v>
      </c>
      <c r="D21" s="39">
        <v>4793.55</v>
      </c>
      <c r="E21" s="39">
        <v>4726.17</v>
      </c>
      <c r="F21" s="1" t="s">
        <v>323</v>
      </c>
    </row>
    <row r="22" spans="1:6" x14ac:dyDescent="0.2">
      <c r="A22" s="1" t="s">
        <v>324</v>
      </c>
      <c r="B22" s="39">
        <v>4726.0600000000004</v>
      </c>
      <c r="C22" s="39">
        <v>4786.25</v>
      </c>
      <c r="D22" s="39">
        <v>4798.3</v>
      </c>
      <c r="E22" s="39">
        <v>4726.3100000000004</v>
      </c>
      <c r="F22" s="1" t="s">
        <v>325</v>
      </c>
    </row>
    <row r="23" spans="1:6" x14ac:dyDescent="0.2">
      <c r="A23" s="1" t="s">
        <v>326</v>
      </c>
      <c r="B23" s="39">
        <v>4783.25</v>
      </c>
      <c r="C23" s="39">
        <v>4699.25</v>
      </c>
      <c r="D23" s="39">
        <v>4803.7</v>
      </c>
      <c r="E23" s="39">
        <v>4692.24</v>
      </c>
      <c r="F23" s="1" t="s">
        <v>327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BCE5-E27F-8D4E-9BE5-64CBC38ADA5A}">
  <dimension ref="D5:D26"/>
  <sheetViews>
    <sheetView topLeftCell="A18" zoomScale="140" zoomScaleNormal="140" workbookViewId="0">
      <selection activeCell="D5" sqref="D5"/>
    </sheetView>
  </sheetViews>
  <sheetFormatPr baseColWidth="10" defaultRowHeight="16" x14ac:dyDescent="0.2"/>
  <sheetData>
    <row r="5" spans="4:4" x14ac:dyDescent="0.2">
      <c r="D5" s="1" t="s">
        <v>285</v>
      </c>
    </row>
    <row r="6" spans="4:4" x14ac:dyDescent="0.2">
      <c r="D6" s="1" t="s">
        <v>287</v>
      </c>
    </row>
    <row r="7" spans="4:4" x14ac:dyDescent="0.2">
      <c r="D7" s="1" t="s">
        <v>289</v>
      </c>
    </row>
    <row r="8" spans="4:4" x14ac:dyDescent="0.2">
      <c r="D8" s="1" t="s">
        <v>291</v>
      </c>
    </row>
    <row r="9" spans="4:4" x14ac:dyDescent="0.2">
      <c r="D9" s="1" t="s">
        <v>293</v>
      </c>
    </row>
    <row r="10" spans="4:4" x14ac:dyDescent="0.2">
      <c r="D10" s="1" t="s">
        <v>295</v>
      </c>
    </row>
    <row r="11" spans="4:4" x14ac:dyDescent="0.2">
      <c r="D11" s="1" t="s">
        <v>297</v>
      </c>
    </row>
    <row r="12" spans="4:4" x14ac:dyDescent="0.2">
      <c r="D12" s="1" t="s">
        <v>299</v>
      </c>
    </row>
    <row r="13" spans="4:4" x14ac:dyDescent="0.2">
      <c r="D13" s="1" t="s">
        <v>301</v>
      </c>
    </row>
    <row r="14" spans="4:4" x14ac:dyDescent="0.2">
      <c r="D14" s="1" t="s">
        <v>303</v>
      </c>
    </row>
    <row r="15" spans="4:4" x14ac:dyDescent="0.2">
      <c r="D15" s="1" t="s">
        <v>305</v>
      </c>
    </row>
    <row r="16" spans="4:4" x14ac:dyDescent="0.2">
      <c r="D16" s="1" t="s">
        <v>307</v>
      </c>
    </row>
    <row r="17" spans="4:4" x14ac:dyDescent="0.2">
      <c r="D17" s="1" t="s">
        <v>309</v>
      </c>
    </row>
    <row r="18" spans="4:4" x14ac:dyDescent="0.2">
      <c r="D18" s="1" t="s">
        <v>311</v>
      </c>
    </row>
    <row r="19" spans="4:4" x14ac:dyDescent="0.2">
      <c r="D19" s="1" t="s">
        <v>313</v>
      </c>
    </row>
    <row r="20" spans="4:4" x14ac:dyDescent="0.2">
      <c r="D20" s="1" t="s">
        <v>315</v>
      </c>
    </row>
    <row r="21" spans="4:4" x14ac:dyDescent="0.2">
      <c r="D21" s="1" t="s">
        <v>317</v>
      </c>
    </row>
    <row r="22" spans="4:4" x14ac:dyDescent="0.2">
      <c r="D22" s="1" t="s">
        <v>319</v>
      </c>
    </row>
    <row r="23" spans="4:4" x14ac:dyDescent="0.2">
      <c r="D23" s="1" t="s">
        <v>321</v>
      </c>
    </row>
    <row r="24" spans="4:4" x14ac:dyDescent="0.2">
      <c r="D24" s="1" t="s">
        <v>323</v>
      </c>
    </row>
    <row r="25" spans="4:4" x14ac:dyDescent="0.2">
      <c r="D25" s="1" t="s">
        <v>325</v>
      </c>
    </row>
    <row r="26" spans="4:4" x14ac:dyDescent="0.2">
      <c r="D26" s="1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7E3F-2F2C-7644-9967-E1F202131A58}">
  <dimension ref="A1:M31"/>
  <sheetViews>
    <sheetView zoomScale="150" zoomScaleNormal="150" workbookViewId="0">
      <selection activeCell="A2" sqref="A2:F31"/>
    </sheetView>
  </sheetViews>
  <sheetFormatPr baseColWidth="10" defaultRowHeight="16" x14ac:dyDescent="0.2"/>
  <cols>
    <col min="2" max="3" width="3.1640625" bestFit="1" customWidth="1"/>
    <col min="4" max="4" width="5.83203125" bestFit="1" customWidth="1"/>
    <col min="5" max="5" width="3.6640625" bestFit="1" customWidth="1"/>
    <col min="6" max="6" width="5.1640625" bestFit="1" customWidth="1"/>
    <col min="7" max="7" width="2.1640625" bestFit="1" customWidth="1"/>
    <col min="8" max="8" width="8.1640625" bestFit="1" customWidth="1"/>
  </cols>
  <sheetData>
    <row r="1" spans="1:13" x14ac:dyDescent="0.2">
      <c r="B1" t="s">
        <v>209</v>
      </c>
      <c r="H1" t="s">
        <v>26</v>
      </c>
    </row>
    <row r="2" spans="1:13" x14ac:dyDescent="0.2">
      <c r="A2" t="s">
        <v>116</v>
      </c>
      <c r="B2">
        <v>31</v>
      </c>
      <c r="C2" t="s">
        <v>184</v>
      </c>
      <c r="D2" t="s">
        <v>185</v>
      </c>
      <c r="E2" t="s">
        <v>186</v>
      </c>
      <c r="F2">
        <v>2023</v>
      </c>
      <c r="G2" t="s">
        <v>187</v>
      </c>
      <c r="H2" s="19" t="s">
        <v>188</v>
      </c>
      <c r="I2" s="20" t="e">
        <f>H2+1</f>
        <v>#VALUE!</v>
      </c>
      <c r="K2">
        <v>1</v>
      </c>
      <c r="L2" s="11">
        <v>4632.2</v>
      </c>
      <c r="M2" s="12">
        <f>INT(L2)</f>
        <v>4632</v>
      </c>
    </row>
    <row r="3" spans="1:13" x14ac:dyDescent="0.2">
      <c r="A3" t="s">
        <v>115</v>
      </c>
      <c r="B3">
        <v>30</v>
      </c>
      <c r="C3" t="s">
        <v>184</v>
      </c>
      <c r="D3" t="s">
        <v>185</v>
      </c>
      <c r="E3" t="s">
        <v>186</v>
      </c>
      <c r="F3">
        <v>2023</v>
      </c>
      <c r="G3" t="s">
        <v>187</v>
      </c>
      <c r="H3" s="11" t="s">
        <v>189</v>
      </c>
      <c r="K3">
        <v>2</v>
      </c>
      <c r="L3" s="11">
        <v>4548.5</v>
      </c>
    </row>
    <row r="4" spans="1:13" x14ac:dyDescent="0.2">
      <c r="A4" t="s">
        <v>121</v>
      </c>
      <c r="B4">
        <v>29</v>
      </c>
      <c r="C4" t="s">
        <v>184</v>
      </c>
      <c r="D4" t="s">
        <v>185</v>
      </c>
      <c r="E4" t="s">
        <v>186</v>
      </c>
      <c r="F4">
        <v>2023</v>
      </c>
      <c r="G4" t="s">
        <v>187</v>
      </c>
      <c r="H4" s="11" t="s">
        <v>189</v>
      </c>
      <c r="K4">
        <v>3</v>
      </c>
      <c r="L4" s="11">
        <v>4548.5</v>
      </c>
    </row>
    <row r="5" spans="1:13" x14ac:dyDescent="0.2">
      <c r="A5" t="s">
        <v>190</v>
      </c>
      <c r="B5">
        <v>28</v>
      </c>
      <c r="C5" t="s">
        <v>184</v>
      </c>
      <c r="D5" t="s">
        <v>185</v>
      </c>
      <c r="E5" t="s">
        <v>186</v>
      </c>
      <c r="F5">
        <v>2023</v>
      </c>
      <c r="G5" t="s">
        <v>187</v>
      </c>
      <c r="H5" s="11" t="s">
        <v>189</v>
      </c>
      <c r="K5">
        <v>4</v>
      </c>
      <c r="L5" s="11">
        <v>4548.5</v>
      </c>
    </row>
    <row r="6" spans="1:13" x14ac:dyDescent="0.2">
      <c r="A6" t="s">
        <v>119</v>
      </c>
      <c r="B6">
        <v>27</v>
      </c>
      <c r="C6" t="s">
        <v>184</v>
      </c>
      <c r="D6" t="s">
        <v>185</v>
      </c>
      <c r="E6" t="s">
        <v>186</v>
      </c>
      <c r="F6">
        <v>2023</v>
      </c>
      <c r="G6" t="s">
        <v>187</v>
      </c>
      <c r="H6" s="11" t="s">
        <v>191</v>
      </c>
      <c r="K6">
        <v>5</v>
      </c>
      <c r="L6" s="11">
        <v>4531.75</v>
      </c>
    </row>
    <row r="7" spans="1:13" x14ac:dyDescent="0.2">
      <c r="A7" t="s">
        <v>118</v>
      </c>
      <c r="B7">
        <v>26</v>
      </c>
      <c r="C7" t="s">
        <v>184</v>
      </c>
      <c r="D7" t="s">
        <v>185</v>
      </c>
      <c r="E7" t="s">
        <v>186</v>
      </c>
      <c r="F7">
        <v>2023</v>
      </c>
      <c r="G7" t="s">
        <v>187</v>
      </c>
      <c r="H7" s="11" t="s">
        <v>192</v>
      </c>
      <c r="K7">
        <v>6</v>
      </c>
      <c r="L7" s="11">
        <v>4538.91</v>
      </c>
    </row>
    <row r="8" spans="1:13" x14ac:dyDescent="0.2">
      <c r="A8" t="s">
        <v>193</v>
      </c>
      <c r="B8">
        <v>25</v>
      </c>
      <c r="C8" t="s">
        <v>184</v>
      </c>
      <c r="D8" t="s">
        <v>185</v>
      </c>
      <c r="E8" t="s">
        <v>186</v>
      </c>
      <c r="F8">
        <v>2023</v>
      </c>
      <c r="G8" t="s">
        <v>187</v>
      </c>
      <c r="H8" s="11" t="s">
        <v>194</v>
      </c>
      <c r="K8">
        <v>7</v>
      </c>
      <c r="L8" s="11">
        <v>4545.9399999999996</v>
      </c>
    </row>
    <row r="9" spans="1:13" x14ac:dyDescent="0.2">
      <c r="A9" t="s">
        <v>116</v>
      </c>
      <c r="B9">
        <v>24</v>
      </c>
      <c r="C9" t="s">
        <v>184</v>
      </c>
      <c r="D9" t="s">
        <v>185</v>
      </c>
      <c r="E9" t="s">
        <v>186</v>
      </c>
      <c r="F9">
        <v>2023</v>
      </c>
      <c r="G9" t="s">
        <v>187</v>
      </c>
      <c r="H9" s="11" t="s">
        <v>195</v>
      </c>
      <c r="K9">
        <v>8</v>
      </c>
      <c r="L9" s="11">
        <v>4551.0200000000004</v>
      </c>
    </row>
    <row r="10" spans="1:13" x14ac:dyDescent="0.2">
      <c r="A10" t="s">
        <v>115</v>
      </c>
      <c r="B10">
        <v>23</v>
      </c>
      <c r="C10" t="s">
        <v>184</v>
      </c>
      <c r="D10" t="s">
        <v>185</v>
      </c>
      <c r="E10" t="s">
        <v>186</v>
      </c>
      <c r="F10">
        <v>2023</v>
      </c>
      <c r="G10" t="s">
        <v>187</v>
      </c>
      <c r="H10" s="11" t="s">
        <v>196</v>
      </c>
      <c r="K10">
        <v>9</v>
      </c>
      <c r="L10" s="11">
        <v>4631.6400000000003</v>
      </c>
    </row>
    <row r="11" spans="1:13" x14ac:dyDescent="0.2">
      <c r="A11" t="s">
        <v>121</v>
      </c>
      <c r="B11">
        <v>22</v>
      </c>
      <c r="C11" t="s">
        <v>184</v>
      </c>
      <c r="D11" t="s">
        <v>185</v>
      </c>
      <c r="E11" t="s">
        <v>186</v>
      </c>
      <c r="F11">
        <v>2023</v>
      </c>
      <c r="G11" t="s">
        <v>187</v>
      </c>
      <c r="H11" s="11" t="s">
        <v>196</v>
      </c>
      <c r="K11">
        <v>10</v>
      </c>
      <c r="L11" s="11">
        <v>4631.6400000000003</v>
      </c>
    </row>
    <row r="12" spans="1:13" x14ac:dyDescent="0.2">
      <c r="A12" t="s">
        <v>190</v>
      </c>
      <c r="B12">
        <v>21</v>
      </c>
      <c r="C12" t="s">
        <v>184</v>
      </c>
      <c r="D12" t="s">
        <v>185</v>
      </c>
      <c r="E12" t="s">
        <v>186</v>
      </c>
      <c r="F12">
        <v>2023</v>
      </c>
      <c r="G12" t="s">
        <v>187</v>
      </c>
      <c r="H12" s="11" t="s">
        <v>196</v>
      </c>
      <c r="K12">
        <v>11</v>
      </c>
      <c r="L12" s="11">
        <v>4631.6400000000003</v>
      </c>
    </row>
    <row r="13" spans="1:13" x14ac:dyDescent="0.2">
      <c r="A13" t="s">
        <v>119</v>
      </c>
      <c r="B13">
        <v>20</v>
      </c>
      <c r="C13" t="s">
        <v>184</v>
      </c>
      <c r="D13" t="s">
        <v>185</v>
      </c>
      <c r="E13" t="s">
        <v>186</v>
      </c>
      <c r="F13">
        <v>2023</v>
      </c>
      <c r="G13" t="s">
        <v>187</v>
      </c>
      <c r="H13" s="11" t="s">
        <v>197</v>
      </c>
      <c r="K13">
        <v>12</v>
      </c>
      <c r="L13" s="11">
        <v>4683.8500000000004</v>
      </c>
    </row>
    <row r="14" spans="1:13" x14ac:dyDescent="0.2">
      <c r="A14" t="s">
        <v>118</v>
      </c>
      <c r="B14">
        <v>19</v>
      </c>
      <c r="C14" t="s">
        <v>184</v>
      </c>
      <c r="D14" t="s">
        <v>185</v>
      </c>
      <c r="E14" t="s">
        <v>186</v>
      </c>
      <c r="F14">
        <v>2023</v>
      </c>
      <c r="G14" t="s">
        <v>187</v>
      </c>
      <c r="H14" s="11" t="s">
        <v>198</v>
      </c>
      <c r="K14">
        <v>13</v>
      </c>
      <c r="L14" s="11">
        <v>4702.67</v>
      </c>
    </row>
    <row r="15" spans="1:13" x14ac:dyDescent="0.2">
      <c r="A15" t="s">
        <v>193</v>
      </c>
      <c r="B15">
        <v>18</v>
      </c>
      <c r="C15" t="s">
        <v>184</v>
      </c>
      <c r="D15" t="s">
        <v>185</v>
      </c>
      <c r="E15" t="s">
        <v>186</v>
      </c>
      <c r="F15">
        <v>2023</v>
      </c>
      <c r="G15" t="s">
        <v>187</v>
      </c>
      <c r="H15" s="11" t="s">
        <v>199</v>
      </c>
      <c r="K15">
        <v>14</v>
      </c>
      <c r="L15" s="11">
        <v>4691.09</v>
      </c>
    </row>
    <row r="16" spans="1:13" x14ac:dyDescent="0.2">
      <c r="A16" t="s">
        <v>116</v>
      </c>
      <c r="B16">
        <v>17</v>
      </c>
      <c r="C16" t="s">
        <v>184</v>
      </c>
      <c r="D16" t="s">
        <v>185</v>
      </c>
      <c r="E16" t="s">
        <v>186</v>
      </c>
      <c r="F16">
        <v>2023</v>
      </c>
      <c r="G16" t="s">
        <v>187</v>
      </c>
      <c r="H16" s="11" t="s">
        <v>200</v>
      </c>
      <c r="K16">
        <v>15</v>
      </c>
      <c r="L16" s="11">
        <v>4693.99</v>
      </c>
    </row>
    <row r="17" spans="1:12" x14ac:dyDescent="0.2">
      <c r="A17" t="s">
        <v>115</v>
      </c>
      <c r="B17">
        <v>16</v>
      </c>
      <c r="C17" t="s">
        <v>184</v>
      </c>
      <c r="D17" t="s">
        <v>185</v>
      </c>
      <c r="E17" t="s">
        <v>186</v>
      </c>
      <c r="F17">
        <v>2023</v>
      </c>
      <c r="G17" t="s">
        <v>187</v>
      </c>
      <c r="H17" s="11" t="s">
        <v>200</v>
      </c>
      <c r="K17">
        <v>16</v>
      </c>
      <c r="L17" s="11">
        <v>4693.99</v>
      </c>
    </row>
    <row r="18" spans="1:12" x14ac:dyDescent="0.2">
      <c r="A18" t="s">
        <v>121</v>
      </c>
      <c r="B18">
        <v>15</v>
      </c>
      <c r="C18" t="s">
        <v>184</v>
      </c>
      <c r="D18" t="s">
        <v>185</v>
      </c>
      <c r="E18" t="s">
        <v>186</v>
      </c>
      <c r="F18">
        <v>2023</v>
      </c>
      <c r="G18" t="s">
        <v>187</v>
      </c>
      <c r="H18" s="11" t="s">
        <v>200</v>
      </c>
      <c r="K18">
        <v>17</v>
      </c>
      <c r="L18" s="11">
        <v>4693.99</v>
      </c>
    </row>
    <row r="19" spans="1:12" x14ac:dyDescent="0.2">
      <c r="A19" t="s">
        <v>190</v>
      </c>
      <c r="B19">
        <v>14</v>
      </c>
      <c r="C19" t="s">
        <v>184</v>
      </c>
      <c r="D19" t="s">
        <v>185</v>
      </c>
      <c r="E19" t="s">
        <v>186</v>
      </c>
      <c r="F19">
        <v>2023</v>
      </c>
      <c r="G19" t="s">
        <v>187</v>
      </c>
      <c r="H19" s="11" t="s">
        <v>200</v>
      </c>
      <c r="K19">
        <v>18</v>
      </c>
      <c r="L19" s="11">
        <v>4693.99</v>
      </c>
    </row>
    <row r="20" spans="1:12" x14ac:dyDescent="0.2">
      <c r="A20" t="s">
        <v>119</v>
      </c>
      <c r="B20">
        <v>13</v>
      </c>
      <c r="C20" t="s">
        <v>184</v>
      </c>
      <c r="D20" t="s">
        <v>185</v>
      </c>
      <c r="E20" t="s">
        <v>186</v>
      </c>
      <c r="F20">
        <v>2023</v>
      </c>
      <c r="G20" t="s">
        <v>187</v>
      </c>
      <c r="H20" s="11" t="s">
        <v>201</v>
      </c>
      <c r="K20">
        <v>19</v>
      </c>
      <c r="L20" s="11">
        <v>4692.04</v>
      </c>
    </row>
    <row r="21" spans="1:12" x14ac:dyDescent="0.2">
      <c r="A21" t="s">
        <v>118</v>
      </c>
      <c r="B21">
        <v>12</v>
      </c>
      <c r="C21" t="s">
        <v>184</v>
      </c>
      <c r="D21" t="s">
        <v>185</v>
      </c>
      <c r="E21" t="s">
        <v>186</v>
      </c>
      <c r="F21">
        <v>2023</v>
      </c>
      <c r="G21" t="s">
        <v>187</v>
      </c>
      <c r="H21" s="11" t="s">
        <v>202</v>
      </c>
      <c r="K21">
        <v>20</v>
      </c>
      <c r="L21" s="11">
        <v>4748.54</v>
      </c>
    </row>
    <row r="22" spans="1:12" x14ac:dyDescent="0.2">
      <c r="A22" t="s">
        <v>193</v>
      </c>
      <c r="B22">
        <v>11</v>
      </c>
      <c r="C22" t="s">
        <v>184</v>
      </c>
      <c r="D22" t="s">
        <v>185</v>
      </c>
      <c r="E22" t="s">
        <v>186</v>
      </c>
      <c r="F22">
        <v>2023</v>
      </c>
      <c r="G22" t="s">
        <v>187</v>
      </c>
      <c r="H22" s="11" t="s">
        <v>203</v>
      </c>
      <c r="K22">
        <v>21</v>
      </c>
      <c r="L22" s="11">
        <v>4807.8500000000004</v>
      </c>
    </row>
    <row r="23" spans="1:12" x14ac:dyDescent="0.2">
      <c r="A23" t="s">
        <v>116</v>
      </c>
      <c r="B23">
        <v>10</v>
      </c>
      <c r="C23" t="s">
        <v>184</v>
      </c>
      <c r="D23" t="s">
        <v>185</v>
      </c>
      <c r="E23" t="s">
        <v>186</v>
      </c>
      <c r="F23">
        <v>2023</v>
      </c>
      <c r="G23" t="s">
        <v>187</v>
      </c>
      <c r="H23" s="11" t="s">
        <v>204</v>
      </c>
      <c r="K23">
        <v>22</v>
      </c>
      <c r="L23" s="11">
        <v>4885.66</v>
      </c>
    </row>
    <row r="24" spans="1:12" x14ac:dyDescent="0.2">
      <c r="A24" t="s">
        <v>115</v>
      </c>
      <c r="B24">
        <v>9</v>
      </c>
      <c r="C24" t="s">
        <v>184</v>
      </c>
      <c r="D24" t="s">
        <v>185</v>
      </c>
      <c r="E24" t="s">
        <v>186</v>
      </c>
      <c r="F24">
        <v>2023</v>
      </c>
      <c r="G24" t="s">
        <v>187</v>
      </c>
      <c r="H24" s="11" t="s">
        <v>204</v>
      </c>
      <c r="K24">
        <v>23</v>
      </c>
      <c r="L24" s="11">
        <v>4885.66</v>
      </c>
    </row>
    <row r="25" spans="1:12" x14ac:dyDescent="0.2">
      <c r="A25" t="s">
        <v>121</v>
      </c>
      <c r="B25">
        <v>8</v>
      </c>
      <c r="C25" t="s">
        <v>184</v>
      </c>
      <c r="D25" t="s">
        <v>185</v>
      </c>
      <c r="E25" t="s">
        <v>186</v>
      </c>
      <c r="F25">
        <v>2023</v>
      </c>
      <c r="G25" t="s">
        <v>187</v>
      </c>
      <c r="H25" s="11" t="s">
        <v>204</v>
      </c>
      <c r="K25">
        <v>24</v>
      </c>
      <c r="L25" s="11">
        <v>4885.66</v>
      </c>
    </row>
    <row r="26" spans="1:12" x14ac:dyDescent="0.2">
      <c r="A26" t="s">
        <v>190</v>
      </c>
      <c r="B26">
        <v>7</v>
      </c>
      <c r="C26" t="s">
        <v>184</v>
      </c>
      <c r="D26" t="s">
        <v>185</v>
      </c>
      <c r="E26" t="s">
        <v>186</v>
      </c>
      <c r="F26">
        <v>2023</v>
      </c>
      <c r="G26" t="s">
        <v>187</v>
      </c>
      <c r="H26" s="11" t="s">
        <v>204</v>
      </c>
      <c r="K26">
        <v>25</v>
      </c>
      <c r="L26" s="11">
        <v>4885.66</v>
      </c>
    </row>
    <row r="27" spans="1:12" x14ac:dyDescent="0.2">
      <c r="A27" t="s">
        <v>119</v>
      </c>
      <c r="B27">
        <v>6</v>
      </c>
      <c r="C27" t="s">
        <v>184</v>
      </c>
      <c r="D27" t="s">
        <v>185</v>
      </c>
      <c r="E27" t="s">
        <v>186</v>
      </c>
      <c r="F27">
        <v>2023</v>
      </c>
      <c r="G27" t="s">
        <v>187</v>
      </c>
      <c r="H27" s="11" t="s">
        <v>205</v>
      </c>
      <c r="K27">
        <v>26</v>
      </c>
      <c r="L27" s="11">
        <v>4989.58</v>
      </c>
    </row>
    <row r="28" spans="1:12" x14ac:dyDescent="0.2">
      <c r="A28" t="s">
        <v>118</v>
      </c>
      <c r="B28">
        <v>5</v>
      </c>
      <c r="C28" t="s">
        <v>184</v>
      </c>
      <c r="D28" t="s">
        <v>185</v>
      </c>
      <c r="E28" t="s">
        <v>186</v>
      </c>
      <c r="F28">
        <v>2023</v>
      </c>
      <c r="G28" t="s">
        <v>187</v>
      </c>
      <c r="H28" s="11" t="s">
        <v>206</v>
      </c>
      <c r="K28">
        <v>27</v>
      </c>
      <c r="L28" s="11">
        <v>4924</v>
      </c>
    </row>
    <row r="29" spans="1:12" x14ac:dyDescent="0.2">
      <c r="A29" t="s">
        <v>193</v>
      </c>
      <c r="B29">
        <v>4</v>
      </c>
      <c r="C29" t="s">
        <v>184</v>
      </c>
      <c r="D29" t="s">
        <v>185</v>
      </c>
      <c r="E29" t="s">
        <v>186</v>
      </c>
      <c r="F29">
        <v>2023</v>
      </c>
      <c r="G29" t="s">
        <v>187</v>
      </c>
      <c r="H29" s="11" t="s">
        <v>207</v>
      </c>
      <c r="K29">
        <v>28</v>
      </c>
      <c r="L29" s="11">
        <v>4842.26</v>
      </c>
    </row>
    <row r="30" spans="1:12" x14ac:dyDescent="0.2">
      <c r="A30" t="s">
        <v>116</v>
      </c>
      <c r="B30">
        <v>3</v>
      </c>
      <c r="C30" t="s">
        <v>184</v>
      </c>
      <c r="D30" t="s">
        <v>185</v>
      </c>
      <c r="E30" t="s">
        <v>186</v>
      </c>
      <c r="F30">
        <v>2023</v>
      </c>
      <c r="G30" t="s">
        <v>187</v>
      </c>
      <c r="H30" s="11" t="s">
        <v>208</v>
      </c>
      <c r="K30">
        <v>29</v>
      </c>
      <c r="L30" s="11">
        <v>4810.2</v>
      </c>
    </row>
    <row r="31" spans="1:12" x14ac:dyDescent="0.2">
      <c r="A31" t="s">
        <v>115</v>
      </c>
      <c r="B31">
        <v>2</v>
      </c>
      <c r="C31" t="s">
        <v>184</v>
      </c>
      <c r="D31" t="s">
        <v>185</v>
      </c>
      <c r="E31" t="s">
        <v>186</v>
      </c>
      <c r="F31">
        <v>2023</v>
      </c>
      <c r="G31" t="s">
        <v>187</v>
      </c>
      <c r="H31" s="11" t="s">
        <v>208</v>
      </c>
      <c r="K31">
        <v>30</v>
      </c>
      <c r="L31" s="11">
        <v>4810.2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1A1-F7EB-EC4D-A77C-AB15720AD934}">
  <dimension ref="B3:D33"/>
  <sheetViews>
    <sheetView topLeftCell="A13" workbookViewId="0">
      <selection activeCell="H25" sqref="H25"/>
    </sheetView>
  </sheetViews>
  <sheetFormatPr baseColWidth="10" defaultRowHeight="16" x14ac:dyDescent="0.2"/>
  <sheetData>
    <row r="3" spans="2:4" ht="20" x14ac:dyDescent="0.2">
      <c r="B3" t="s">
        <v>210</v>
      </c>
      <c r="C3" s="16"/>
    </row>
    <row r="4" spans="2:4" ht="20" x14ac:dyDescent="0.2">
      <c r="B4" t="s">
        <v>211</v>
      </c>
      <c r="C4" s="17">
        <v>4632.2</v>
      </c>
      <c r="D4" s="16"/>
    </row>
    <row r="5" spans="2:4" ht="20" x14ac:dyDescent="0.2">
      <c r="B5" t="s">
        <v>212</v>
      </c>
      <c r="C5" s="17">
        <v>4548.5</v>
      </c>
      <c r="D5" s="16"/>
    </row>
    <row r="6" spans="2:4" ht="20" x14ac:dyDescent="0.2">
      <c r="B6" t="s">
        <v>213</v>
      </c>
      <c r="C6" s="17">
        <v>4548.5</v>
      </c>
      <c r="D6" s="16"/>
    </row>
    <row r="7" spans="2:4" ht="20" x14ac:dyDescent="0.2">
      <c r="B7" t="s">
        <v>214</v>
      </c>
      <c r="C7" s="17">
        <v>4548.5</v>
      </c>
      <c r="D7" s="16"/>
    </row>
    <row r="8" spans="2:4" ht="20" x14ac:dyDescent="0.2">
      <c r="B8" t="s">
        <v>215</v>
      </c>
      <c r="C8" s="17">
        <v>4531.75</v>
      </c>
      <c r="D8" s="16"/>
    </row>
    <row r="9" spans="2:4" ht="20" x14ac:dyDescent="0.2">
      <c r="B9" t="s">
        <v>216</v>
      </c>
      <c r="C9" s="17">
        <v>4538.91</v>
      </c>
      <c r="D9" s="16"/>
    </row>
    <row r="10" spans="2:4" ht="20" x14ac:dyDescent="0.2">
      <c r="B10" t="s">
        <v>217</v>
      </c>
      <c r="C10" s="17">
        <v>4545.9399999999996</v>
      </c>
      <c r="D10" s="16"/>
    </row>
    <row r="11" spans="2:4" ht="20" x14ac:dyDescent="0.2">
      <c r="B11" t="s">
        <v>218</v>
      </c>
      <c r="C11" s="17">
        <v>4551.0200000000004</v>
      </c>
      <c r="D11" s="16"/>
    </row>
    <row r="12" spans="2:4" ht="20" x14ac:dyDescent="0.2">
      <c r="B12" t="s">
        <v>219</v>
      </c>
      <c r="C12" s="17">
        <v>4631.6400000000003</v>
      </c>
      <c r="D12" s="16"/>
    </row>
    <row r="13" spans="2:4" ht="20" x14ac:dyDescent="0.2">
      <c r="B13" t="s">
        <v>220</v>
      </c>
      <c r="C13" s="17">
        <v>4631.6400000000003</v>
      </c>
      <c r="D13" s="16"/>
    </row>
    <row r="14" spans="2:4" ht="20" x14ac:dyDescent="0.2">
      <c r="B14" t="s">
        <v>221</v>
      </c>
      <c r="C14" s="17">
        <v>4631.6400000000003</v>
      </c>
      <c r="D14" s="16"/>
    </row>
    <row r="15" spans="2:4" ht="20" x14ac:dyDescent="0.2">
      <c r="B15" t="s">
        <v>222</v>
      </c>
      <c r="C15" s="17">
        <v>4683.8500000000004</v>
      </c>
      <c r="D15" s="16"/>
    </row>
    <row r="16" spans="2:4" ht="20" x14ac:dyDescent="0.2">
      <c r="B16" t="s">
        <v>223</v>
      </c>
      <c r="C16" s="17">
        <v>4702.67</v>
      </c>
      <c r="D16" s="16"/>
    </row>
    <row r="17" spans="2:4" ht="20" x14ac:dyDescent="0.2">
      <c r="B17" t="s">
        <v>224</v>
      </c>
      <c r="C17" s="17">
        <v>4691.09</v>
      </c>
      <c r="D17" s="16"/>
    </row>
    <row r="18" spans="2:4" ht="20" x14ac:dyDescent="0.2">
      <c r="B18" t="s">
        <v>225</v>
      </c>
      <c r="C18" s="17">
        <v>4693.99</v>
      </c>
      <c r="D18" s="16"/>
    </row>
    <row r="19" spans="2:4" x14ac:dyDescent="0.2">
      <c r="B19" t="s">
        <v>226</v>
      </c>
      <c r="C19" s="18">
        <v>4693.99</v>
      </c>
    </row>
    <row r="20" spans="2:4" x14ac:dyDescent="0.2">
      <c r="B20" t="s">
        <v>227</v>
      </c>
      <c r="C20" s="18">
        <v>4693.99</v>
      </c>
    </row>
    <row r="21" spans="2:4" x14ac:dyDescent="0.2">
      <c r="B21" t="s">
        <v>228</v>
      </c>
      <c r="C21" s="18">
        <v>4693.99</v>
      </c>
    </row>
    <row r="22" spans="2:4" x14ac:dyDescent="0.2">
      <c r="B22" t="s">
        <v>229</v>
      </c>
      <c r="C22" s="18">
        <v>4692.04</v>
      </c>
    </row>
    <row r="23" spans="2:4" x14ac:dyDescent="0.2">
      <c r="B23" t="s">
        <v>230</v>
      </c>
      <c r="C23" s="18">
        <v>4748.54</v>
      </c>
    </row>
    <row r="24" spans="2:4" x14ac:dyDescent="0.2">
      <c r="B24" t="s">
        <v>231</v>
      </c>
      <c r="C24" s="18">
        <v>4807.8500000000004</v>
      </c>
    </row>
    <row r="25" spans="2:4" x14ac:dyDescent="0.2">
      <c r="B25" t="s">
        <v>232</v>
      </c>
      <c r="C25" s="18">
        <v>4885.66</v>
      </c>
    </row>
    <row r="26" spans="2:4" x14ac:dyDescent="0.2">
      <c r="B26" t="s">
        <v>233</v>
      </c>
      <c r="C26" s="18">
        <v>4885.66</v>
      </c>
    </row>
    <row r="27" spans="2:4" x14ac:dyDescent="0.2">
      <c r="B27" t="s">
        <v>234</v>
      </c>
      <c r="C27" s="18">
        <v>4885.66</v>
      </c>
    </row>
    <row r="28" spans="2:4" x14ac:dyDescent="0.2">
      <c r="B28" t="s">
        <v>235</v>
      </c>
      <c r="C28" s="18">
        <v>4885.66</v>
      </c>
    </row>
    <row r="29" spans="2:4" x14ac:dyDescent="0.2">
      <c r="B29" t="s">
        <v>236</v>
      </c>
      <c r="C29" s="18">
        <v>4989.58</v>
      </c>
    </row>
    <row r="30" spans="2:4" x14ac:dyDescent="0.2">
      <c r="B30" t="s">
        <v>237</v>
      </c>
      <c r="C30" s="18">
        <v>4924</v>
      </c>
    </row>
    <row r="31" spans="2:4" x14ac:dyDescent="0.2">
      <c r="B31" t="s">
        <v>238</v>
      </c>
      <c r="C31" s="18">
        <v>4842.26</v>
      </c>
    </row>
    <row r="32" spans="2:4" x14ac:dyDescent="0.2">
      <c r="B32" t="s">
        <v>239</v>
      </c>
      <c r="C32" s="18">
        <v>4810.2</v>
      </c>
    </row>
    <row r="33" spans="2:3" x14ac:dyDescent="0.2">
      <c r="B33" t="s">
        <v>240</v>
      </c>
      <c r="C33" s="18">
        <v>4810.2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64D3-AE92-8E4E-BA9A-0AA62EA6BD56}">
  <dimension ref="A1:O30"/>
  <sheetViews>
    <sheetView topLeftCell="B1" zoomScale="140" zoomScaleNormal="140" workbookViewId="0">
      <selection activeCell="H9" sqref="H9"/>
    </sheetView>
  </sheetViews>
  <sheetFormatPr baseColWidth="10" defaultRowHeight="16" x14ac:dyDescent="0.2"/>
  <cols>
    <col min="15" max="15" width="15.6640625" customWidth="1"/>
  </cols>
  <sheetData>
    <row r="1" spans="1:15" x14ac:dyDescent="0.2">
      <c r="A1" s="23" t="s">
        <v>122</v>
      </c>
      <c r="B1" s="23" t="s">
        <v>123</v>
      </c>
      <c r="C1" s="23" t="s">
        <v>124</v>
      </c>
      <c r="D1" s="23" t="s">
        <v>125</v>
      </c>
      <c r="K1" s="23" t="s">
        <v>146</v>
      </c>
      <c r="L1" s="23" t="s">
        <v>147</v>
      </c>
      <c r="M1" s="23" t="s">
        <v>148</v>
      </c>
      <c r="N1" s="23" t="s">
        <v>149</v>
      </c>
      <c r="O1" s="23" t="s">
        <v>27</v>
      </c>
    </row>
    <row r="2" spans="1:15" x14ac:dyDescent="0.2">
      <c r="A2" s="24" t="s">
        <v>126</v>
      </c>
      <c r="B2" s="24" t="s">
        <v>127</v>
      </c>
      <c r="C2" s="24" t="s">
        <v>128</v>
      </c>
      <c r="D2" s="24">
        <v>6</v>
      </c>
      <c r="K2" s="24" t="s">
        <v>150</v>
      </c>
      <c r="L2" s="24">
        <v>50</v>
      </c>
      <c r="M2" s="24" t="s">
        <v>151</v>
      </c>
      <c r="N2" s="24">
        <v>7</v>
      </c>
      <c r="O2" s="28">
        <v>1050</v>
      </c>
    </row>
    <row r="3" spans="1:15" x14ac:dyDescent="0.2">
      <c r="A3" s="24" t="s">
        <v>129</v>
      </c>
      <c r="B3" s="24" t="s">
        <v>130</v>
      </c>
      <c r="C3" s="24" t="s">
        <v>131</v>
      </c>
      <c r="D3" s="24">
        <v>7</v>
      </c>
      <c r="K3" s="24" t="s">
        <v>152</v>
      </c>
      <c r="L3" s="24">
        <v>49</v>
      </c>
      <c r="M3" s="24" t="s">
        <v>153</v>
      </c>
      <c r="N3" s="24">
        <v>6</v>
      </c>
      <c r="O3" s="28">
        <v>1830</v>
      </c>
    </row>
    <row r="4" spans="1:15" x14ac:dyDescent="0.2">
      <c r="A4" s="24" t="s">
        <v>132</v>
      </c>
      <c r="B4" s="24" t="s">
        <v>32</v>
      </c>
      <c r="C4" s="24" t="s">
        <v>128</v>
      </c>
      <c r="D4" s="24">
        <v>8.5</v>
      </c>
      <c r="K4" s="24" t="s">
        <v>154</v>
      </c>
      <c r="L4" s="24">
        <v>33</v>
      </c>
      <c r="M4" s="24" t="s">
        <v>151</v>
      </c>
      <c r="N4" s="24">
        <v>6</v>
      </c>
      <c r="O4" s="28">
        <v>1410</v>
      </c>
    </row>
    <row r="5" spans="1:15" x14ac:dyDescent="0.2">
      <c r="A5" s="24" t="s">
        <v>133</v>
      </c>
      <c r="B5" s="24" t="s">
        <v>127</v>
      </c>
      <c r="C5" s="24" t="s">
        <v>128</v>
      </c>
      <c r="D5" s="24">
        <v>6.5</v>
      </c>
      <c r="K5" s="24" t="s">
        <v>155</v>
      </c>
      <c r="L5" s="24">
        <v>36</v>
      </c>
      <c r="M5" s="24" t="s">
        <v>156</v>
      </c>
      <c r="N5" s="24">
        <v>7</v>
      </c>
      <c r="O5" s="28">
        <v>1380</v>
      </c>
    </row>
    <row r="6" spans="1:15" x14ac:dyDescent="0.2">
      <c r="A6" s="24" t="s">
        <v>134</v>
      </c>
      <c r="B6" s="24" t="s">
        <v>127</v>
      </c>
      <c r="C6" s="24" t="s">
        <v>131</v>
      </c>
      <c r="D6" s="24">
        <v>9.5</v>
      </c>
      <c r="K6" s="24" t="s">
        <v>157</v>
      </c>
      <c r="L6" s="24">
        <v>31</v>
      </c>
      <c r="M6" s="24" t="s">
        <v>156</v>
      </c>
      <c r="N6" s="24">
        <v>5</v>
      </c>
      <c r="O6" s="28">
        <v>1040</v>
      </c>
    </row>
    <row r="7" spans="1:15" x14ac:dyDescent="0.2">
      <c r="A7" s="24" t="s">
        <v>135</v>
      </c>
      <c r="B7" s="24" t="s">
        <v>130</v>
      </c>
      <c r="C7" s="24" t="s">
        <v>131</v>
      </c>
      <c r="D7" s="24">
        <v>8</v>
      </c>
      <c r="K7" s="24" t="s">
        <v>158</v>
      </c>
      <c r="L7" s="24">
        <v>31</v>
      </c>
      <c r="M7" s="24" t="s">
        <v>159</v>
      </c>
      <c r="N7" s="24">
        <v>8</v>
      </c>
      <c r="O7" s="28">
        <v>1580</v>
      </c>
    </row>
    <row r="8" spans="1:15" x14ac:dyDescent="0.2">
      <c r="A8" s="24" t="s">
        <v>136</v>
      </c>
      <c r="B8" s="24" t="s">
        <v>130</v>
      </c>
      <c r="C8" s="24" t="s">
        <v>128</v>
      </c>
      <c r="D8" s="24">
        <v>7.5</v>
      </c>
      <c r="K8" s="24" t="s">
        <v>160</v>
      </c>
      <c r="L8" s="24">
        <v>45</v>
      </c>
      <c r="M8" s="24" t="s">
        <v>153</v>
      </c>
      <c r="N8" s="24">
        <v>8</v>
      </c>
      <c r="O8" s="28">
        <v>1870</v>
      </c>
    </row>
    <row r="9" spans="1:15" x14ac:dyDescent="0.2">
      <c r="A9" s="24" t="s">
        <v>137</v>
      </c>
      <c r="B9" s="24" t="s">
        <v>32</v>
      </c>
      <c r="C9" s="24" t="s">
        <v>131</v>
      </c>
      <c r="D9" s="24">
        <v>6</v>
      </c>
      <c r="K9" s="24" t="s">
        <v>161</v>
      </c>
      <c r="L9" s="24">
        <v>48</v>
      </c>
      <c r="M9" s="24" t="s">
        <v>156</v>
      </c>
      <c r="N9" s="24">
        <v>8</v>
      </c>
      <c r="O9" s="28">
        <v>1440</v>
      </c>
    </row>
    <row r="10" spans="1:15" x14ac:dyDescent="0.2">
      <c r="A10" s="24" t="s">
        <v>138</v>
      </c>
      <c r="B10" s="24" t="s">
        <v>32</v>
      </c>
      <c r="C10" s="24" t="s">
        <v>128</v>
      </c>
      <c r="D10" s="24">
        <v>5</v>
      </c>
      <c r="K10" s="24" t="s">
        <v>162</v>
      </c>
      <c r="L10" s="24">
        <v>40</v>
      </c>
      <c r="M10" s="24" t="s">
        <v>153</v>
      </c>
      <c r="N10" s="24">
        <v>6</v>
      </c>
      <c r="O10" s="28">
        <v>1640</v>
      </c>
    </row>
    <row r="11" spans="1:15" x14ac:dyDescent="0.2">
      <c r="K11" s="24" t="s">
        <v>163</v>
      </c>
      <c r="L11" s="24">
        <v>38</v>
      </c>
      <c r="M11" s="24" t="s">
        <v>159</v>
      </c>
      <c r="N11" s="24">
        <v>5</v>
      </c>
      <c r="O11" s="28">
        <v>1060</v>
      </c>
    </row>
    <row r="12" spans="1:15" x14ac:dyDescent="0.2">
      <c r="K12" s="24" t="s">
        <v>164</v>
      </c>
      <c r="L12" s="24">
        <v>45</v>
      </c>
      <c r="M12" s="24" t="s">
        <v>151</v>
      </c>
      <c r="N12" s="24">
        <v>6</v>
      </c>
      <c r="O12" s="28">
        <v>1190</v>
      </c>
    </row>
    <row r="13" spans="1:15" x14ac:dyDescent="0.2">
      <c r="K13" s="24" t="s">
        <v>165</v>
      </c>
      <c r="L13" s="24">
        <v>33</v>
      </c>
      <c r="M13" s="24" t="s">
        <v>153</v>
      </c>
      <c r="N13" s="24">
        <v>8</v>
      </c>
      <c r="O13" s="28">
        <v>1460</v>
      </c>
    </row>
    <row r="14" spans="1:15" ht="21" x14ac:dyDescent="0.25">
      <c r="B14" s="21" t="s">
        <v>139</v>
      </c>
      <c r="K14" s="24" t="s">
        <v>166</v>
      </c>
      <c r="L14" s="24">
        <v>42</v>
      </c>
      <c r="M14" s="24" t="s">
        <v>167</v>
      </c>
      <c r="N14" s="24">
        <v>8</v>
      </c>
      <c r="O14" s="28">
        <v>1370</v>
      </c>
    </row>
    <row r="15" spans="1:15" ht="21" x14ac:dyDescent="0.25">
      <c r="B15" s="21" t="s">
        <v>140</v>
      </c>
      <c r="K15" s="24" t="s">
        <v>168</v>
      </c>
      <c r="L15" s="24">
        <v>42</v>
      </c>
      <c r="M15" s="24" t="s">
        <v>169</v>
      </c>
      <c r="N15" s="24">
        <v>5</v>
      </c>
      <c r="O15" s="28">
        <v>1440</v>
      </c>
    </row>
    <row r="16" spans="1:15" ht="21" x14ac:dyDescent="0.25">
      <c r="B16" s="21" t="s">
        <v>141</v>
      </c>
      <c r="K16" s="24" t="s">
        <v>170</v>
      </c>
      <c r="L16" s="24">
        <v>34</v>
      </c>
      <c r="M16" s="24" t="s">
        <v>151</v>
      </c>
      <c r="N16" s="24">
        <v>6</v>
      </c>
      <c r="O16" s="28">
        <v>1040</v>
      </c>
    </row>
    <row r="17" spans="2:11" ht="21" x14ac:dyDescent="0.25">
      <c r="B17" s="21" t="s">
        <v>142</v>
      </c>
    </row>
    <row r="18" spans="2:11" ht="21" x14ac:dyDescent="0.25">
      <c r="B18" s="21" t="s">
        <v>143</v>
      </c>
    </row>
    <row r="19" spans="2:11" ht="21" x14ac:dyDescent="0.25">
      <c r="B19" s="21" t="s">
        <v>144</v>
      </c>
    </row>
    <row r="20" spans="2:11" ht="24" x14ac:dyDescent="0.3">
      <c r="B20" s="21" t="s">
        <v>145</v>
      </c>
      <c r="J20">
        <v>1</v>
      </c>
      <c r="K20" s="22" t="s">
        <v>171</v>
      </c>
    </row>
    <row r="21" spans="2:11" ht="24" x14ac:dyDescent="0.3">
      <c r="J21">
        <v>2</v>
      </c>
      <c r="K21" s="22" t="s">
        <v>172</v>
      </c>
    </row>
    <row r="22" spans="2:11" ht="24" x14ac:dyDescent="0.3">
      <c r="J22">
        <v>3</v>
      </c>
      <c r="K22" s="22" t="s">
        <v>173</v>
      </c>
    </row>
    <row r="23" spans="2:11" ht="24" x14ac:dyDescent="0.3">
      <c r="J23">
        <v>4</v>
      </c>
      <c r="K23" s="22" t="s">
        <v>174</v>
      </c>
    </row>
    <row r="24" spans="2:11" ht="24" x14ac:dyDescent="0.3">
      <c r="J24">
        <v>5</v>
      </c>
      <c r="K24" s="22" t="s">
        <v>175</v>
      </c>
    </row>
    <row r="25" spans="2:11" ht="24" x14ac:dyDescent="0.3">
      <c r="J25">
        <v>6</v>
      </c>
      <c r="K25" s="22" t="s">
        <v>176</v>
      </c>
    </row>
    <row r="26" spans="2:11" ht="24" x14ac:dyDescent="0.3">
      <c r="J26">
        <v>7</v>
      </c>
      <c r="K26" s="22" t="s">
        <v>177</v>
      </c>
    </row>
    <row r="27" spans="2:11" ht="24" x14ac:dyDescent="0.3">
      <c r="J27">
        <v>8</v>
      </c>
      <c r="K27" s="22" t="s">
        <v>178</v>
      </c>
    </row>
    <row r="28" spans="2:11" ht="24" x14ac:dyDescent="0.3">
      <c r="J28">
        <v>9</v>
      </c>
      <c r="K28" s="22" t="s">
        <v>179</v>
      </c>
    </row>
    <row r="29" spans="2:11" ht="24" x14ac:dyDescent="0.3">
      <c r="J29">
        <v>10</v>
      </c>
      <c r="K29" s="22" t="s">
        <v>247</v>
      </c>
    </row>
    <row r="30" spans="2:11" ht="24" x14ac:dyDescent="0.3">
      <c r="J30">
        <v>11</v>
      </c>
      <c r="K30" s="22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6958-A0C6-BB41-84B6-65DCBF37B6FA}">
  <dimension ref="D6:P35"/>
  <sheetViews>
    <sheetView topLeftCell="C22" zoomScale="140" zoomScaleNormal="140" workbookViewId="0">
      <selection activeCell="O35" sqref="O35"/>
    </sheetView>
  </sheetViews>
  <sheetFormatPr baseColWidth="10" defaultRowHeight="16" x14ac:dyDescent="0.2"/>
  <sheetData>
    <row r="6" spans="5:9" x14ac:dyDescent="0.2">
      <c r="E6" s="23" t="s">
        <v>146</v>
      </c>
      <c r="F6" s="23" t="s">
        <v>147</v>
      </c>
      <c r="G6" s="23" t="s">
        <v>148</v>
      </c>
      <c r="H6" s="23" t="s">
        <v>149</v>
      </c>
      <c r="I6" s="23" t="s">
        <v>27</v>
      </c>
    </row>
    <row r="7" spans="5:9" x14ac:dyDescent="0.2">
      <c r="E7" s="24" t="s">
        <v>150</v>
      </c>
      <c r="F7" s="24">
        <v>50</v>
      </c>
      <c r="G7" s="24" t="s">
        <v>151</v>
      </c>
      <c r="H7" s="24">
        <v>7</v>
      </c>
      <c r="I7" s="28">
        <v>1050</v>
      </c>
    </row>
    <row r="8" spans="5:9" x14ac:dyDescent="0.2">
      <c r="E8" s="24" t="s">
        <v>152</v>
      </c>
      <c r="F8" s="24">
        <v>49</v>
      </c>
      <c r="G8" s="24" t="s">
        <v>153</v>
      </c>
      <c r="H8" s="24">
        <v>6</v>
      </c>
      <c r="I8" s="28">
        <v>1830</v>
      </c>
    </row>
    <row r="9" spans="5:9" x14ac:dyDescent="0.2">
      <c r="E9" s="24" t="s">
        <v>154</v>
      </c>
      <c r="F9" s="24">
        <v>33</v>
      </c>
      <c r="G9" s="24" t="s">
        <v>151</v>
      </c>
      <c r="H9" s="24">
        <v>6</v>
      </c>
      <c r="I9" s="28">
        <v>1410</v>
      </c>
    </row>
    <row r="10" spans="5:9" x14ac:dyDescent="0.2">
      <c r="E10" s="24" t="s">
        <v>155</v>
      </c>
      <c r="F10" s="24">
        <v>36</v>
      </c>
      <c r="G10" s="24" t="s">
        <v>156</v>
      </c>
      <c r="H10" s="24">
        <v>7</v>
      </c>
      <c r="I10" s="28">
        <v>1380</v>
      </c>
    </row>
    <row r="11" spans="5:9" x14ac:dyDescent="0.2">
      <c r="E11" s="24" t="s">
        <v>157</v>
      </c>
      <c r="F11" s="24">
        <v>31</v>
      </c>
      <c r="G11" s="24" t="s">
        <v>156</v>
      </c>
      <c r="H11" s="24">
        <v>5</v>
      </c>
      <c r="I11" s="28">
        <v>1040</v>
      </c>
    </row>
    <row r="12" spans="5:9" x14ac:dyDescent="0.2">
      <c r="E12" s="24" t="s">
        <v>158</v>
      </c>
      <c r="F12" s="24">
        <v>31</v>
      </c>
      <c r="G12" s="24" t="s">
        <v>159</v>
      </c>
      <c r="H12" s="24">
        <v>8</v>
      </c>
      <c r="I12" s="28">
        <v>1580</v>
      </c>
    </row>
    <row r="13" spans="5:9" x14ac:dyDescent="0.2">
      <c r="E13" s="24" t="s">
        <v>160</v>
      </c>
      <c r="F13" s="24">
        <v>45</v>
      </c>
      <c r="G13" s="24" t="s">
        <v>153</v>
      </c>
      <c r="H13" s="24">
        <v>8</v>
      </c>
      <c r="I13" s="28">
        <v>1870</v>
      </c>
    </row>
    <row r="14" spans="5:9" x14ac:dyDescent="0.2">
      <c r="E14" s="24" t="s">
        <v>161</v>
      </c>
      <c r="F14" s="24">
        <v>48</v>
      </c>
      <c r="G14" s="24" t="s">
        <v>156</v>
      </c>
      <c r="H14" s="24">
        <v>8</v>
      </c>
      <c r="I14" s="28">
        <v>1440</v>
      </c>
    </row>
    <row r="15" spans="5:9" x14ac:dyDescent="0.2">
      <c r="E15" s="24" t="s">
        <v>162</v>
      </c>
      <c r="F15" s="24">
        <v>40</v>
      </c>
      <c r="G15" s="24" t="s">
        <v>153</v>
      </c>
      <c r="H15" s="24">
        <v>6</v>
      </c>
      <c r="I15" s="28">
        <v>1640</v>
      </c>
    </row>
    <row r="16" spans="5:9" x14ac:dyDescent="0.2">
      <c r="E16" s="24" t="s">
        <v>163</v>
      </c>
      <c r="F16" s="24">
        <v>38</v>
      </c>
      <c r="G16" s="24" t="s">
        <v>159</v>
      </c>
      <c r="H16" s="24">
        <v>5</v>
      </c>
      <c r="I16" s="28">
        <v>1060</v>
      </c>
    </row>
    <row r="17" spans="4:16" x14ac:dyDescent="0.2">
      <c r="E17" s="24" t="s">
        <v>164</v>
      </c>
      <c r="F17" s="24">
        <v>45</v>
      </c>
      <c r="G17" s="24" t="s">
        <v>151</v>
      </c>
      <c r="H17" s="24">
        <v>6</v>
      </c>
      <c r="I17" s="28">
        <v>1190</v>
      </c>
    </row>
    <row r="18" spans="4:16" x14ac:dyDescent="0.2">
      <c r="E18" s="24" t="s">
        <v>165</v>
      </c>
      <c r="F18" s="24">
        <v>33</v>
      </c>
      <c r="G18" s="24" t="s">
        <v>153</v>
      </c>
      <c r="H18" s="24">
        <v>8</v>
      </c>
      <c r="I18" s="28">
        <v>1460</v>
      </c>
    </row>
    <row r="19" spans="4:16" x14ac:dyDescent="0.2">
      <c r="E19" s="24" t="s">
        <v>166</v>
      </c>
      <c r="F19" s="24">
        <v>42</v>
      </c>
      <c r="G19" s="24" t="s">
        <v>167</v>
      </c>
      <c r="H19" s="24">
        <v>8</v>
      </c>
      <c r="I19" s="28">
        <v>1370</v>
      </c>
    </row>
    <row r="20" spans="4:16" x14ac:dyDescent="0.2">
      <c r="E20" s="24" t="s">
        <v>168</v>
      </c>
      <c r="F20" s="24">
        <v>42</v>
      </c>
      <c r="G20" s="24" t="s">
        <v>169</v>
      </c>
      <c r="H20" s="24">
        <v>5</v>
      </c>
      <c r="I20" s="28">
        <v>1440</v>
      </c>
    </row>
    <row r="21" spans="4:16" x14ac:dyDescent="0.2">
      <c r="E21" s="24" t="s">
        <v>170</v>
      </c>
      <c r="F21" s="24">
        <v>34</v>
      </c>
      <c r="G21" s="24" t="s">
        <v>151</v>
      </c>
      <c r="H21" s="24">
        <v>6</v>
      </c>
      <c r="I21" s="28">
        <v>1040</v>
      </c>
    </row>
    <row r="23" spans="4:16" x14ac:dyDescent="0.2">
      <c r="E23">
        <f>COUNTA(E7:E21)</f>
        <v>15</v>
      </c>
    </row>
    <row r="25" spans="4:16" x14ac:dyDescent="0.2">
      <c r="D25">
        <v>1</v>
      </c>
      <c r="E25" t="s">
        <v>171</v>
      </c>
      <c r="M25">
        <f>COUNTA(E7:E21)</f>
        <v>15</v>
      </c>
    </row>
    <row r="26" spans="4:16" x14ac:dyDescent="0.2">
      <c r="D26">
        <v>2</v>
      </c>
      <c r="E26" t="s">
        <v>172</v>
      </c>
      <c r="M26" s="29">
        <f>AVERAGE(F7:F21)</f>
        <v>39.799999999999997</v>
      </c>
    </row>
    <row r="27" spans="4:16" x14ac:dyDescent="0.2">
      <c r="D27">
        <v>3</v>
      </c>
      <c r="E27" t="s">
        <v>173</v>
      </c>
      <c r="M27">
        <f>AVERAGE(H7:H21)</f>
        <v>6.6</v>
      </c>
    </row>
    <row r="28" spans="4:16" x14ac:dyDescent="0.2">
      <c r="D28">
        <v>4</v>
      </c>
      <c r="E28" t="s">
        <v>174</v>
      </c>
      <c r="M28" s="30">
        <f>SUM(I7:I21)</f>
        <v>20800</v>
      </c>
    </row>
    <row r="29" spans="4:16" x14ac:dyDescent="0.2">
      <c r="D29">
        <v>5</v>
      </c>
      <c r="E29" t="s">
        <v>175</v>
      </c>
      <c r="O29">
        <f>COUNTIFS(G7:G21,"Dept1")</f>
        <v>4</v>
      </c>
    </row>
    <row r="30" spans="4:16" x14ac:dyDescent="0.2">
      <c r="D30">
        <v>6</v>
      </c>
      <c r="E30" t="s">
        <v>176</v>
      </c>
      <c r="O30">
        <f>AVERAGEIF(G7:G21,"Dept2",F7:F21)</f>
        <v>42</v>
      </c>
      <c r="P30">
        <f>AVERAGEIFS(F7:F21,G7:G21,"Dept2")</f>
        <v>42</v>
      </c>
    </row>
    <row r="31" spans="4:16" x14ac:dyDescent="0.2">
      <c r="D31">
        <v>7</v>
      </c>
      <c r="E31" t="s">
        <v>177</v>
      </c>
      <c r="O31">
        <f>SUMIF(G7:G21,"Dept3",I7:I21)</f>
        <v>6800</v>
      </c>
    </row>
    <row r="32" spans="4:16" x14ac:dyDescent="0.2">
      <c r="D32">
        <v>8</v>
      </c>
      <c r="E32" t="s">
        <v>178</v>
      </c>
      <c r="O32">
        <f>SUM(SUMIF(G7:G21,"Dept4",I7:I21),SUMIF(G7:G21,"Dept5",I7:I21))</f>
        <v>4010</v>
      </c>
    </row>
    <row r="33" spans="4:16" x14ac:dyDescent="0.2">
      <c r="D33">
        <v>9</v>
      </c>
      <c r="E33" t="s">
        <v>179</v>
      </c>
      <c r="O33">
        <f>AVERAGEIF(F7:F21,"&gt;=40",I7:I21)</f>
        <v>1478.75</v>
      </c>
      <c r="P33">
        <f>AVERAGEIFS(I7:I21,F7:F21,"&gt;=40")</f>
        <v>1478.75</v>
      </c>
    </row>
    <row r="34" spans="4:16" x14ac:dyDescent="0.2">
      <c r="D34">
        <v>10</v>
      </c>
      <c r="E34" t="s">
        <v>247</v>
      </c>
      <c r="O34">
        <f>AVERAGEIF(I7:I21,"&gt;1500",H7:H21)</f>
        <v>7</v>
      </c>
    </row>
    <row r="35" spans="4:16" x14ac:dyDescent="0.2">
      <c r="D35">
        <v>11</v>
      </c>
      <c r="E35" t="s">
        <v>248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030D-1420-504C-8C3E-F99A987CF337}">
  <dimension ref="A1:K27"/>
  <sheetViews>
    <sheetView tabSelected="1" zoomScale="150" zoomScaleNormal="150" workbookViewId="0">
      <selection activeCell="H2" sqref="H2"/>
    </sheetView>
  </sheetViews>
  <sheetFormatPr baseColWidth="10" defaultRowHeight="16" x14ac:dyDescent="0.2"/>
  <sheetData>
    <row r="1" spans="1:11" x14ac:dyDescent="0.2">
      <c r="A1" s="23" t="s">
        <v>122</v>
      </c>
      <c r="B1" s="23" t="s">
        <v>123</v>
      </c>
      <c r="C1" s="23" t="s">
        <v>124</v>
      </c>
      <c r="D1" s="23" t="s">
        <v>125</v>
      </c>
    </row>
    <row r="2" spans="1:11" x14ac:dyDescent="0.2">
      <c r="A2" s="24" t="s">
        <v>126</v>
      </c>
      <c r="B2" s="24" t="s">
        <v>127</v>
      </c>
      <c r="C2" s="24" t="s">
        <v>128</v>
      </c>
      <c r="D2" s="24">
        <v>6</v>
      </c>
    </row>
    <row r="3" spans="1:11" x14ac:dyDescent="0.2">
      <c r="A3" s="24" t="s">
        <v>129</v>
      </c>
      <c r="B3" s="24" t="s">
        <v>130</v>
      </c>
      <c r="C3" s="24" t="s">
        <v>131</v>
      </c>
      <c r="D3" s="24">
        <v>7</v>
      </c>
      <c r="H3" s="24" t="s">
        <v>129</v>
      </c>
      <c r="I3" s="24" t="s">
        <v>130</v>
      </c>
      <c r="J3" s="24" t="s">
        <v>131</v>
      </c>
      <c r="K3" s="24">
        <v>7</v>
      </c>
    </row>
    <row r="4" spans="1:11" x14ac:dyDescent="0.2">
      <c r="A4" s="24" t="s">
        <v>132</v>
      </c>
      <c r="B4" s="24" t="s">
        <v>32</v>
      </c>
      <c r="C4" s="24" t="s">
        <v>128</v>
      </c>
      <c r="D4" s="24">
        <v>8.5</v>
      </c>
      <c r="H4" s="24" t="s">
        <v>134</v>
      </c>
      <c r="I4" s="24" t="s">
        <v>127</v>
      </c>
      <c r="J4" s="24" t="s">
        <v>131</v>
      </c>
      <c r="K4" s="24">
        <v>9.5</v>
      </c>
    </row>
    <row r="5" spans="1:11" x14ac:dyDescent="0.2">
      <c r="A5" s="24" t="s">
        <v>133</v>
      </c>
      <c r="B5" s="24" t="s">
        <v>127</v>
      </c>
      <c r="C5" s="24" t="s">
        <v>128</v>
      </c>
      <c r="D5" s="24">
        <v>6.5</v>
      </c>
      <c r="H5" s="24" t="s">
        <v>135</v>
      </c>
      <c r="I5" s="24" t="s">
        <v>130</v>
      </c>
      <c r="J5" s="24" t="s">
        <v>131</v>
      </c>
      <c r="K5" s="24">
        <v>8</v>
      </c>
    </row>
    <row r="6" spans="1:11" x14ac:dyDescent="0.2">
      <c r="A6" s="24" t="s">
        <v>134</v>
      </c>
      <c r="B6" s="24" t="s">
        <v>127</v>
      </c>
      <c r="C6" s="24" t="s">
        <v>131</v>
      </c>
      <c r="D6" s="24">
        <v>9.5</v>
      </c>
      <c r="H6" s="24" t="s">
        <v>137</v>
      </c>
      <c r="I6" s="24" t="s">
        <v>32</v>
      </c>
      <c r="J6" s="24" t="s">
        <v>131</v>
      </c>
      <c r="K6" s="24">
        <v>6</v>
      </c>
    </row>
    <row r="7" spans="1:11" x14ac:dyDescent="0.2">
      <c r="A7" s="24" t="s">
        <v>135</v>
      </c>
      <c r="B7" s="24" t="s">
        <v>130</v>
      </c>
      <c r="C7" s="24" t="s">
        <v>131</v>
      </c>
      <c r="D7" s="24">
        <v>8</v>
      </c>
      <c r="K7">
        <f>AVERAGE(K3:K6)</f>
        <v>7.625</v>
      </c>
    </row>
    <row r="8" spans="1:11" x14ac:dyDescent="0.2">
      <c r="A8" s="24" t="s">
        <v>136</v>
      </c>
      <c r="B8" s="24" t="s">
        <v>130</v>
      </c>
      <c r="C8" s="24" t="s">
        <v>128</v>
      </c>
      <c r="D8" s="24">
        <v>7.5</v>
      </c>
    </row>
    <row r="9" spans="1:11" x14ac:dyDescent="0.2">
      <c r="A9" s="24" t="s">
        <v>137</v>
      </c>
      <c r="B9" s="24" t="s">
        <v>32</v>
      </c>
      <c r="C9" s="24" t="s">
        <v>131</v>
      </c>
      <c r="D9" s="24">
        <v>6</v>
      </c>
    </row>
    <row r="10" spans="1:11" x14ac:dyDescent="0.2">
      <c r="A10" s="24" t="s">
        <v>138</v>
      </c>
      <c r="B10" s="24" t="s">
        <v>32</v>
      </c>
      <c r="C10" s="24" t="s">
        <v>128</v>
      </c>
      <c r="D10" s="24">
        <v>5</v>
      </c>
    </row>
    <row r="11" spans="1:11" x14ac:dyDescent="0.2">
      <c r="A11" s="25" t="s">
        <v>44</v>
      </c>
      <c r="B11" s="26"/>
      <c r="C11" s="26"/>
      <c r="D11" s="27">
        <f>AVERAGE(D2:D10)</f>
        <v>7.1111111111111107</v>
      </c>
      <c r="E11">
        <f>AVERAGE(D2:D10)</f>
        <v>7.1111111111111107</v>
      </c>
    </row>
    <row r="12" spans="1:11" x14ac:dyDescent="0.2">
      <c r="A12" s="25" t="s">
        <v>243</v>
      </c>
      <c r="B12" s="26"/>
      <c r="C12" s="26"/>
      <c r="D12" s="26">
        <f>MAX(D2:D10)</f>
        <v>9.5</v>
      </c>
    </row>
    <row r="13" spans="1:11" x14ac:dyDescent="0.2">
      <c r="A13" s="25" t="s">
        <v>244</v>
      </c>
      <c r="B13" s="26"/>
      <c r="C13" s="26"/>
      <c r="D13" s="26">
        <f>MIN(D2:D10)</f>
        <v>5</v>
      </c>
    </row>
    <row r="14" spans="1:11" x14ac:dyDescent="0.2">
      <c r="A14" s="25" t="s">
        <v>245</v>
      </c>
      <c r="B14" s="26"/>
      <c r="C14" s="26"/>
      <c r="D14" s="26">
        <f>COUNT(D2:D10)</f>
        <v>9</v>
      </c>
    </row>
    <row r="15" spans="1:11" x14ac:dyDescent="0.2">
      <c r="A15" s="25" t="s">
        <v>246</v>
      </c>
      <c r="B15" s="26"/>
      <c r="C15" s="26"/>
      <c r="D15" s="27">
        <f>SUM(D2:D10)</f>
        <v>64</v>
      </c>
    </row>
    <row r="17" spans="1:7" x14ac:dyDescent="0.2">
      <c r="A17" s="25" t="s">
        <v>145</v>
      </c>
      <c r="D17">
        <f>COUNTIF(D2:D10,"&gt;=7")</f>
        <v>5</v>
      </c>
    </row>
    <row r="18" spans="1:7" x14ac:dyDescent="0.2">
      <c r="D18">
        <f>AVERAGEIFS(D2:D10,C2:C10,"Ciencias")</f>
        <v>7.625</v>
      </c>
    </row>
    <row r="21" spans="1:7" ht="21" x14ac:dyDescent="0.25">
      <c r="A21" s="5">
        <v>1</v>
      </c>
      <c r="B21" s="21" t="s">
        <v>139</v>
      </c>
      <c r="G21" t="s">
        <v>44</v>
      </c>
    </row>
    <row r="22" spans="1:7" ht="21" x14ac:dyDescent="0.25">
      <c r="A22" s="5">
        <v>2</v>
      </c>
      <c r="B22" s="21" t="s">
        <v>140</v>
      </c>
      <c r="G22" t="s">
        <v>241</v>
      </c>
    </row>
    <row r="23" spans="1:7" ht="21" x14ac:dyDescent="0.25">
      <c r="A23" s="5">
        <v>3</v>
      </c>
      <c r="B23" s="21" t="s">
        <v>141</v>
      </c>
      <c r="G23" t="s">
        <v>242</v>
      </c>
    </row>
    <row r="24" spans="1:7" ht="21" x14ac:dyDescent="0.25">
      <c r="A24" s="5">
        <v>4</v>
      </c>
      <c r="B24" s="21" t="s">
        <v>142</v>
      </c>
      <c r="G24" t="s">
        <v>245</v>
      </c>
    </row>
    <row r="25" spans="1:7" ht="21" x14ac:dyDescent="0.25">
      <c r="A25" s="5">
        <v>5</v>
      </c>
      <c r="B25" s="21" t="s">
        <v>143</v>
      </c>
    </row>
    <row r="26" spans="1:7" ht="21" x14ac:dyDescent="0.25">
      <c r="A26" s="5">
        <v>6</v>
      </c>
      <c r="B26" s="21" t="s">
        <v>144</v>
      </c>
    </row>
    <row r="27" spans="1:7" ht="21" x14ac:dyDescent="0.25">
      <c r="A27" s="5">
        <v>7</v>
      </c>
      <c r="B27" s="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4</vt:i4>
      </vt:variant>
    </vt:vector>
  </HeadingPairs>
  <TitlesOfParts>
    <vt:vector size="18" baseType="lpstr">
      <vt:lpstr>DATOS</vt:lpstr>
      <vt:lpstr>Datos 1</vt:lpstr>
      <vt:lpstr>Datos 2</vt:lpstr>
      <vt:lpstr>Datos 3</vt:lpstr>
      <vt:lpstr>Consolidado</vt:lpstr>
      <vt:lpstr>Hoja2</vt:lpstr>
      <vt:lpstr>Hoja7</vt:lpstr>
      <vt:lpstr>Hoja5</vt:lpstr>
      <vt:lpstr>Hoja6</vt:lpstr>
      <vt:lpstr>Hoja3</vt:lpstr>
      <vt:lpstr>Hoja4</vt:lpstr>
      <vt:lpstr>Ejercicio</vt:lpstr>
      <vt:lpstr>Ejercicio_2</vt:lpstr>
      <vt:lpstr>Ejercicio_1</vt:lpstr>
      <vt:lpstr>Hoja2!datos</vt:lpstr>
      <vt:lpstr>Hoja5!datos</vt:lpstr>
      <vt:lpstr>Hoja7!datos</vt:lpstr>
      <vt:lpstr>Hoja3!dolar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 Sanchez</dc:creator>
  <cp:lastModifiedBy>Joaquin F Sanchez</cp:lastModifiedBy>
  <dcterms:created xsi:type="dcterms:W3CDTF">2023-02-27T12:14:37Z</dcterms:created>
  <dcterms:modified xsi:type="dcterms:W3CDTF">2023-07-14T11:20:53Z</dcterms:modified>
</cp:coreProperties>
</file>