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441c7ed52738d6/"/>
    </mc:Choice>
  </mc:AlternateContent>
  <xr:revisionPtr revIDLastSave="105" documentId="8_{AB7AF36D-6C07-45D0-92A8-9794217FAC6A}" xr6:coauthVersionLast="47" xr6:coauthVersionMax="47" xr10:uidLastSave="{04260318-4076-4036-BF7A-0CD3031D6F91}"/>
  <bookViews>
    <workbookView xWindow="-120" yWindow="-120" windowWidth="29040" windowHeight="15720" xr2:uid="{C5E1DDB2-942F-47C6-972B-AA0D6A009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H10" i="1"/>
  <c r="C29" i="1"/>
  <c r="F14" i="1" s="1"/>
  <c r="G10" i="1"/>
  <c r="F10" i="1"/>
  <c r="C25" i="1"/>
  <c r="F8" i="1" s="1"/>
  <c r="B7" i="1"/>
  <c r="B5" i="1"/>
  <c r="B4" i="1"/>
  <c r="B3" i="1"/>
  <c r="B28" i="1" s="1"/>
  <c r="B8" i="1" l="1"/>
  <c r="C8" i="1" s="1"/>
  <c r="C28" i="1"/>
  <c r="F12" i="1" s="1"/>
  <c r="B22" i="1" l="1"/>
  <c r="C22" i="1" s="1"/>
  <c r="F6" i="1" s="1"/>
  <c r="B11" i="1"/>
  <c r="B17" i="1" s="1"/>
  <c r="H3" i="1" s="1"/>
  <c r="H5" i="1" s="1"/>
  <c r="B9" i="1"/>
  <c r="C9" i="1" s="1"/>
  <c r="H7" i="1" l="1"/>
  <c r="H9" i="1" s="1"/>
  <c r="H11" i="1" s="1"/>
  <c r="H13" i="1" s="1"/>
  <c r="H15" i="1" s="1"/>
  <c r="L22" i="1" s="1"/>
  <c r="G3" i="1"/>
  <c r="G5" i="1" s="1"/>
  <c r="F3" i="1"/>
  <c r="F5" i="1" s="1"/>
  <c r="F7" i="1" s="1"/>
  <c r="F9" i="1" s="1"/>
  <c r="F11" i="1" s="1"/>
  <c r="F13" i="1" s="1"/>
  <c r="F15" i="1" s="1"/>
  <c r="L3" i="1" s="1"/>
  <c r="K23" i="1" l="1"/>
  <c r="L23" i="1"/>
  <c r="G7" i="1"/>
  <c r="G9" i="1" s="1"/>
  <c r="G11" i="1" s="1"/>
  <c r="G13" i="1" s="1"/>
  <c r="G15" i="1" s="1"/>
  <c r="L11" i="1" s="1"/>
  <c r="K4" i="1"/>
  <c r="K12" i="1" l="1"/>
  <c r="L12" i="1"/>
  <c r="K24" i="1"/>
  <c r="L24" i="1"/>
  <c r="L4" i="1"/>
  <c r="K5" i="1" s="1"/>
  <c r="K25" i="1" l="1"/>
  <c r="L25" i="1"/>
  <c r="K13" i="1"/>
  <c r="L13" i="1"/>
  <c r="L5" i="1"/>
  <c r="K14" i="1" l="1"/>
  <c r="L14" i="1"/>
  <c r="L26" i="1"/>
  <c r="K26" i="1"/>
  <c r="L6" i="1"/>
  <c r="K7" i="1" s="1"/>
  <c r="K6" i="1"/>
  <c r="L27" i="1" l="1"/>
  <c r="K28" i="1" s="1"/>
  <c r="K27" i="1"/>
  <c r="L15" i="1"/>
  <c r="K15" i="1"/>
  <c r="K8" i="1"/>
  <c r="F16" i="1" s="1"/>
  <c r="L16" i="1" l="1"/>
  <c r="K16" i="1"/>
  <c r="F18" i="1"/>
  <c r="L17" i="1" l="1"/>
  <c r="K18" i="1" s="1"/>
  <c r="K17" i="1"/>
  <c r="F19" i="1"/>
  <c r="F20" i="1" s="1"/>
  <c r="K30" i="1"/>
  <c r="H16" i="1" s="1"/>
  <c r="K19" i="1" l="1"/>
  <c r="G16" i="1" s="1"/>
  <c r="G17" i="1"/>
  <c r="G18" i="1" s="1"/>
  <c r="H17" i="1"/>
  <c r="H18" i="1" s="1"/>
  <c r="H19" i="1" l="1"/>
  <c r="H20" i="1" s="1"/>
  <c r="G19" i="1"/>
  <c r="G20" i="1" s="1"/>
</calcChain>
</file>

<file path=xl/sharedStrings.xml><?xml version="1.0" encoding="utf-8"?>
<sst xmlns="http://schemas.openxmlformats.org/spreadsheetml/2006/main" count="82" uniqueCount="73">
  <si>
    <t>Gross CTC</t>
  </si>
  <si>
    <t>Basic Salary</t>
  </si>
  <si>
    <t>HRA</t>
  </si>
  <si>
    <t>Medical Insurance Premium Contribution</t>
  </si>
  <si>
    <t>Gratuity</t>
  </si>
  <si>
    <t>Employer PF</t>
  </si>
  <si>
    <t>80C</t>
  </si>
  <si>
    <t>Employee PF</t>
  </si>
  <si>
    <t>Housing loan principle</t>
  </si>
  <si>
    <t>80D</t>
  </si>
  <si>
    <t xml:space="preserve"> Self</t>
  </si>
  <si>
    <t>80CCD(2) Deduction (Employer NPS)</t>
  </si>
  <si>
    <t>80CCD(1B) Deduction (Voluntary NPS)</t>
  </si>
  <si>
    <t>Housing loan Interest</t>
  </si>
  <si>
    <t>Reimbursements</t>
  </si>
  <si>
    <t>Telephone</t>
  </si>
  <si>
    <t>Fuel</t>
  </si>
  <si>
    <t>Food Coupon</t>
  </si>
  <si>
    <t>Total Taxable Gross</t>
  </si>
  <si>
    <t>Particulars</t>
  </si>
  <si>
    <t>New Tax Regime 2025 (₹)</t>
  </si>
  <si>
    <t>Gross Income</t>
  </si>
  <si>
    <t>Standard Deduction</t>
  </si>
  <si>
    <t>Taxable Income (After Std Deduction)</t>
  </si>
  <si>
    <t>Section 80C Deduction</t>
  </si>
  <si>
    <t>Not Applicable</t>
  </si>
  <si>
    <t>Taxable Income after 80C</t>
  </si>
  <si>
    <t>Section 80D Deduction</t>
  </si>
  <si>
    <t>Taxable Income after 80D</t>
  </si>
  <si>
    <t>Section 80CCD(1B) Deduction (NPS)</t>
  </si>
  <si>
    <t>Taxable Income after 80CCD(1B)</t>
  </si>
  <si>
    <t>Section 80CCD(2) Deduction (Employer NPS)</t>
  </si>
  <si>
    <t>Taxable Income after 80CCD(2)</t>
  </si>
  <si>
    <t>Housing Loan Interest Deduction</t>
  </si>
  <si>
    <t>Final Taxable Income</t>
  </si>
  <si>
    <t>Tax Before Cess</t>
  </si>
  <si>
    <t>Health &amp; Education Cess (4%)</t>
  </si>
  <si>
    <t>Total Tax Liability</t>
  </si>
  <si>
    <t>0 - 2.5 lakhs(0%)</t>
  </si>
  <si>
    <t>2.5-5 lakhs (5%)</t>
  </si>
  <si>
    <t>5-10 lakhs(20%)</t>
  </si>
  <si>
    <t>Total Tax</t>
  </si>
  <si>
    <t>0-4 lakhs(0%)</t>
  </si>
  <si>
    <t>4-8 lakhs(5%)</t>
  </si>
  <si>
    <t>8-12 lakhs(10%)</t>
  </si>
  <si>
    <t>12-16 lakhs(15%)</t>
  </si>
  <si>
    <t>16-20 lakhs (20%)</t>
  </si>
  <si>
    <t>20-24 lakhs(25%)</t>
  </si>
  <si>
    <t>0-3 lakhs(0%)</t>
  </si>
  <si>
    <t>3-7 lakhs(5%)</t>
  </si>
  <si>
    <t>7-10 lakhs(10%)</t>
  </si>
  <si>
    <t>10-12 lakhs(15%)</t>
  </si>
  <si>
    <t>12-15 lakhs (20%)</t>
  </si>
  <si>
    <t>New Tax Regime 2024 (₹)</t>
  </si>
  <si>
    <t>Total (B1 - B6 - B7)</t>
  </si>
  <si>
    <t>Taxable other allowances</t>
  </si>
  <si>
    <t>Rebate</t>
  </si>
  <si>
    <t>Tax Before Cess and Rebate</t>
  </si>
  <si>
    <t>Old Tax Regime 2024/25 (₹)</t>
  </si>
  <si>
    <t>Variable Pay</t>
  </si>
  <si>
    <t>Considered of Tax Calc</t>
  </si>
  <si>
    <t xml:space="preserve"> Parents (senior)</t>
  </si>
  <si>
    <t>Salary Details</t>
  </si>
  <si>
    <t>Investment Details</t>
  </si>
  <si>
    <t>Tax Computation/Comparison</t>
  </si>
  <si>
    <t>New Tax 2025 Slabs</t>
  </si>
  <si>
    <t>Over 10 lakhs (30%)</t>
  </si>
  <si>
    <t>Over 24 Lakhs (30%)</t>
  </si>
  <si>
    <t>Over 15 lakhs (30%)</t>
  </si>
  <si>
    <t>Old Tax Regime Slabs 2024/25</t>
  </si>
  <si>
    <t>New Tax Regime 2025 Slabs</t>
  </si>
  <si>
    <t>New Tax Regime 2024 Slabs</t>
  </si>
  <si>
    <t>(1.4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</si>
</sst>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0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282828"/>
      <name val="Roboto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0" xfId="0" applyNumberFormat="1" applyBorder="1"/>
    <xf numFmtId="0" fontId="0" fillId="0" borderId="5" xfId="0" applyBorder="1"/>
    <xf numFmtId="0" fontId="0" fillId="0" borderId="0" xfId="0" applyBorder="1"/>
    <xf numFmtId="0" fontId="1" fillId="0" borderId="4" xfId="0" applyFont="1" applyBorder="1"/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1" fillId="0" borderId="6" xfId="0" applyFont="1" applyBorder="1" applyAlignment="1">
      <alignment horizontal="left" indent="2"/>
    </xf>
    <xf numFmtId="3" fontId="0" fillId="0" borderId="7" xfId="0" applyNumberFormat="1" applyBorder="1"/>
    <xf numFmtId="0" fontId="0" fillId="0" borderId="7" xfId="0" applyBorder="1"/>
    <xf numFmtId="0" fontId="0" fillId="0" borderId="8" xfId="0" applyBorder="1"/>
    <xf numFmtId="3" fontId="1" fillId="0" borderId="0" xfId="0" applyNumberFormat="1" applyFont="1" applyBorder="1"/>
    <xf numFmtId="0" fontId="2" fillId="0" borderId="1" xfId="0" applyFont="1" applyBorder="1"/>
    <xf numFmtId="3" fontId="0" fillId="0" borderId="5" xfId="0" applyNumberFormat="1" applyBorder="1"/>
    <xf numFmtId="0" fontId="0" fillId="0" borderId="6" xfId="0" applyBorder="1"/>
    <xf numFmtId="170" fontId="0" fillId="0" borderId="0" xfId="0" applyNumberFormat="1" applyBorder="1"/>
    <xf numFmtId="170" fontId="1" fillId="0" borderId="7" xfId="0" applyNumberFormat="1" applyFont="1" applyBorder="1"/>
    <xf numFmtId="0" fontId="0" fillId="0" borderId="4" xfId="0" applyFill="1" applyBorder="1" applyAlignment="1">
      <alignment horizontal="left" indent="2"/>
    </xf>
    <xf numFmtId="9" fontId="0" fillId="0" borderId="5" xfId="0" applyNumberFormat="1" applyBorder="1"/>
    <xf numFmtId="10" fontId="0" fillId="0" borderId="5" xfId="0" applyNumberFormat="1" applyBorder="1"/>
    <xf numFmtId="169" fontId="0" fillId="0" borderId="5" xfId="0" applyNumberFormat="1" applyBorder="1"/>
    <xf numFmtId="3" fontId="1" fillId="0" borderId="5" xfId="0" applyNumberFormat="1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4" fillId="0" borderId="7" xfId="0" applyNumberFormat="1" applyFont="1" applyBorder="1"/>
    <xf numFmtId="3" fontId="4" fillId="0" borderId="8" xfId="0" applyNumberFormat="1" applyFont="1" applyBorder="1"/>
    <xf numFmtId="0" fontId="1" fillId="0" borderId="0" xfId="0" applyFont="1" applyFill="1" applyBorder="1" applyAlignment="1">
      <alignment wrapText="1"/>
    </xf>
    <xf numFmtId="0" fontId="1" fillId="0" borderId="5" xfId="0" applyFont="1" applyBorder="1"/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left" indent="2"/>
    </xf>
    <xf numFmtId="0" fontId="0" fillId="0" borderId="4" xfId="0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19050</xdr:rowOff>
    </xdr:from>
    <xdr:to>
      <xdr:col>1</xdr:col>
      <xdr:colOff>9820</xdr:colOff>
      <xdr:row>35</xdr:row>
      <xdr:rowOff>58918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014F18-C5F0-F636-A5B2-F8BC92E09FA0}"/>
            </a:ext>
          </a:extLst>
        </xdr:cNvPr>
        <xdr:cNvSpPr txBox="1"/>
      </xdr:nvSpPr>
      <xdr:spPr>
        <a:xfrm>
          <a:off x="0" y="5861705"/>
          <a:ext cx="2553093" cy="786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This calculation</a:t>
          </a:r>
          <a:r>
            <a:rPr lang="en-US" sz="1100" b="1" baseline="0"/>
            <a:t> is done for a person who is paying housing loan and is not claiming HRA</a:t>
          </a:r>
        </a:p>
        <a:p>
          <a:endParaRPr lang="en-US" sz="11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5F3-6457-4F9C-BAFD-F3FE11632934}">
  <dimension ref="A1:L32"/>
  <sheetViews>
    <sheetView tabSelected="1" zoomScale="97" zoomScaleNormal="97" workbookViewId="0">
      <selection activeCell="B29" sqref="B29"/>
    </sheetView>
  </sheetViews>
  <sheetFormatPr defaultRowHeight="15" x14ac:dyDescent="0.25"/>
  <cols>
    <col min="1" max="1" width="38.140625" bestFit="1" customWidth="1"/>
    <col min="2" max="2" width="11.7109375" bestFit="1" customWidth="1"/>
    <col min="3" max="3" width="20.42578125" bestFit="1" customWidth="1"/>
    <col min="4" max="4" width="4.85546875" customWidth="1"/>
    <col min="5" max="5" width="42" customWidth="1"/>
    <col min="6" max="6" width="32.5703125" customWidth="1"/>
    <col min="7" max="7" width="28.7109375" customWidth="1"/>
    <col min="8" max="8" width="29.85546875" customWidth="1"/>
    <col min="9" max="9" width="3.85546875" customWidth="1"/>
    <col min="10" max="10" width="22.7109375" customWidth="1"/>
    <col min="11" max="11" width="20.42578125" customWidth="1"/>
    <col min="12" max="12" width="13" customWidth="1"/>
  </cols>
  <sheetData>
    <row r="1" spans="1:12" ht="15.75" thickBot="1" x14ac:dyDescent="0.3">
      <c r="A1" s="37" t="s">
        <v>62</v>
      </c>
      <c r="B1" s="38"/>
      <c r="C1" s="39"/>
      <c r="E1" s="37" t="s">
        <v>64</v>
      </c>
      <c r="F1" s="38"/>
      <c r="G1" s="38"/>
      <c r="H1" s="39"/>
    </row>
    <row r="2" spans="1:12" ht="15.75" thickBot="1" x14ac:dyDescent="0.3">
      <c r="A2" s="7" t="s">
        <v>0</v>
      </c>
      <c r="B2" s="4">
        <v>14000000</v>
      </c>
      <c r="C2" s="5" t="s">
        <v>72</v>
      </c>
      <c r="E2" s="25" t="s">
        <v>19</v>
      </c>
      <c r="F2" s="26" t="s">
        <v>58</v>
      </c>
      <c r="G2" s="27" t="s">
        <v>20</v>
      </c>
      <c r="H2" s="28" t="s">
        <v>53</v>
      </c>
      <c r="J2" s="37" t="s">
        <v>69</v>
      </c>
      <c r="K2" s="38"/>
      <c r="L2" s="39"/>
    </row>
    <row r="3" spans="1:12" x14ac:dyDescent="0.25">
      <c r="A3" s="8" t="s">
        <v>1</v>
      </c>
      <c r="B3" s="4">
        <f>_xlfn.CEILING.MATH($B$2*C3)</f>
        <v>4200000</v>
      </c>
      <c r="C3" s="21">
        <v>0.3</v>
      </c>
      <c r="E3" s="3" t="s">
        <v>21</v>
      </c>
      <c r="F3" s="4">
        <f>B17</f>
        <v>13197000</v>
      </c>
      <c r="G3" s="4">
        <f>B17</f>
        <v>13197000</v>
      </c>
      <c r="H3" s="16">
        <f>B17</f>
        <v>13197000</v>
      </c>
      <c r="J3" s="31"/>
      <c r="K3" s="14"/>
      <c r="L3" s="24">
        <f>F15</f>
        <v>12252000</v>
      </c>
    </row>
    <row r="4" spans="1:12" x14ac:dyDescent="0.25">
      <c r="A4" s="8" t="s">
        <v>2</v>
      </c>
      <c r="B4" s="4">
        <f>_xlfn.CEILING.MATH($B$2*C4)</f>
        <v>2100000</v>
      </c>
      <c r="C4" s="21">
        <v>0.15</v>
      </c>
      <c r="E4" s="3" t="s">
        <v>22</v>
      </c>
      <c r="F4" s="4">
        <v>50000</v>
      </c>
      <c r="G4" s="4">
        <v>75000</v>
      </c>
      <c r="H4" s="16">
        <v>50000</v>
      </c>
      <c r="J4" s="29" t="s">
        <v>38</v>
      </c>
      <c r="K4" s="4">
        <f>IF(L3&gt;0, MIN(250000,L3)*0%,0)</f>
        <v>0</v>
      </c>
      <c r="L4" s="16">
        <f>L3-250000</f>
        <v>12002000</v>
      </c>
    </row>
    <row r="5" spans="1:12" x14ac:dyDescent="0.25">
      <c r="A5" s="8" t="s">
        <v>59</v>
      </c>
      <c r="B5" s="4">
        <f>_xlfn.CEILING.MATH($B$2*C5)</f>
        <v>1583134</v>
      </c>
      <c r="C5" s="22">
        <v>0.113081</v>
      </c>
      <c r="E5" s="3" t="s">
        <v>23</v>
      </c>
      <c r="F5" s="4">
        <f>F3-F4</f>
        <v>13147000</v>
      </c>
      <c r="G5" s="4">
        <f>G3-G4</f>
        <v>13122000</v>
      </c>
      <c r="H5" s="16">
        <f>H3-H4</f>
        <v>13147000</v>
      </c>
      <c r="J5" s="29" t="s">
        <v>39</v>
      </c>
      <c r="K5" s="4">
        <f>IF(L4&gt;0, MIN(250000,L4)*5%,0)</f>
        <v>12500</v>
      </c>
      <c r="L5" s="16">
        <f>L4-250000</f>
        <v>11752000</v>
      </c>
    </row>
    <row r="6" spans="1:12" x14ac:dyDescent="0.25">
      <c r="A6" s="8" t="s">
        <v>3</v>
      </c>
      <c r="B6" s="4">
        <v>5000</v>
      </c>
      <c r="C6" s="22">
        <f>B6/B2</f>
        <v>3.5714285714285714E-4</v>
      </c>
      <c r="E6" s="3" t="s">
        <v>24</v>
      </c>
      <c r="F6" s="4">
        <f>C22</f>
        <v>150000</v>
      </c>
      <c r="G6" s="4" t="s">
        <v>25</v>
      </c>
      <c r="H6" s="16" t="s">
        <v>25</v>
      </c>
      <c r="J6" s="29" t="s">
        <v>40</v>
      </c>
      <c r="K6" s="4">
        <f>IF(L5&gt;0, MIN(500000,L5),0)*20%</f>
        <v>100000</v>
      </c>
      <c r="L6" s="16">
        <f>IF(L5-500000&gt;0,L5-500000,0)</f>
        <v>11252000</v>
      </c>
    </row>
    <row r="7" spans="1:12" x14ac:dyDescent="0.25">
      <c r="A7" s="8" t="s">
        <v>4</v>
      </c>
      <c r="B7" s="4">
        <f>_xlfn.CEILING.MATH($B$2*C7,10)</f>
        <v>210000</v>
      </c>
      <c r="C7" s="23">
        <v>1.4999999999999999E-2</v>
      </c>
      <c r="E7" s="3" t="s">
        <v>26</v>
      </c>
      <c r="F7" s="4">
        <f>F5-F6</f>
        <v>12997000</v>
      </c>
      <c r="G7" s="4">
        <f>G5</f>
        <v>13122000</v>
      </c>
      <c r="H7" s="16">
        <f>H5</f>
        <v>13147000</v>
      </c>
      <c r="J7" s="29" t="s">
        <v>66</v>
      </c>
      <c r="K7" s="18">
        <f>L6*30%</f>
        <v>3375600</v>
      </c>
      <c r="L7" s="5"/>
    </row>
    <row r="8" spans="1:12" ht="15.75" thickBot="1" x14ac:dyDescent="0.3">
      <c r="A8" s="8" t="s">
        <v>5</v>
      </c>
      <c r="B8" s="4">
        <f>_xlfn.CEILING.MATH($B$3*12%)</f>
        <v>504000</v>
      </c>
      <c r="C8" s="21">
        <f>B8/B2</f>
        <v>3.5999999999999997E-2</v>
      </c>
      <c r="E8" s="3" t="s">
        <v>27</v>
      </c>
      <c r="F8" s="4">
        <f>C25</f>
        <v>75000</v>
      </c>
      <c r="G8" s="4" t="s">
        <v>25</v>
      </c>
      <c r="H8" s="16" t="s">
        <v>25</v>
      </c>
      <c r="J8" s="32" t="s">
        <v>41</v>
      </c>
      <c r="K8" s="19">
        <f>K7+K6+K5</f>
        <v>3488100</v>
      </c>
      <c r="L8" s="13"/>
    </row>
    <row r="9" spans="1:12" ht="15.75" thickBot="1" x14ac:dyDescent="0.3">
      <c r="A9" s="8" t="s">
        <v>55</v>
      </c>
      <c r="B9" s="4">
        <f>B2-B3-B4-B5-B6-B7-B8</f>
        <v>5397866</v>
      </c>
      <c r="C9" s="22">
        <f>B9/B2</f>
        <v>0.38556185714285712</v>
      </c>
      <c r="E9" s="3" t="s">
        <v>28</v>
      </c>
      <c r="F9" s="4">
        <f>F7-F8</f>
        <v>12922000</v>
      </c>
      <c r="G9" s="4">
        <f>G7</f>
        <v>13122000</v>
      </c>
      <c r="H9" s="16">
        <f>H7</f>
        <v>13147000</v>
      </c>
    </row>
    <row r="10" spans="1:12" ht="15.75" thickBot="1" x14ac:dyDescent="0.3">
      <c r="A10" s="3"/>
      <c r="B10" s="6"/>
      <c r="C10" s="5"/>
      <c r="E10" s="3" t="s">
        <v>29</v>
      </c>
      <c r="F10" s="4">
        <f>C27</f>
        <v>50000</v>
      </c>
      <c r="G10" s="4">
        <f>C27</f>
        <v>50000</v>
      </c>
      <c r="H10" s="16">
        <f>C27</f>
        <v>50000</v>
      </c>
      <c r="J10" s="37" t="s">
        <v>70</v>
      </c>
      <c r="K10" s="38"/>
      <c r="L10" s="39"/>
    </row>
    <row r="11" spans="1:12" x14ac:dyDescent="0.25">
      <c r="A11" s="7" t="s">
        <v>54</v>
      </c>
      <c r="B11" s="4">
        <f>B2-B8-B7-B6</f>
        <v>13281000</v>
      </c>
      <c r="C11" s="5"/>
      <c r="E11" s="3" t="s">
        <v>30</v>
      </c>
      <c r="F11" s="4">
        <f>F9-F10</f>
        <v>12872000</v>
      </c>
      <c r="G11" s="4">
        <f>G9-G10</f>
        <v>13072000</v>
      </c>
      <c r="H11" s="16">
        <f>H9-H10</f>
        <v>13097000</v>
      </c>
      <c r="J11" s="31" t="s">
        <v>65</v>
      </c>
      <c r="K11" s="6"/>
      <c r="L11" s="24">
        <f>G15</f>
        <v>13072000</v>
      </c>
    </row>
    <row r="12" spans="1:12" x14ac:dyDescent="0.25">
      <c r="A12" s="8" t="s">
        <v>14</v>
      </c>
      <c r="B12" s="6"/>
      <c r="C12" s="5"/>
      <c r="E12" s="3" t="s">
        <v>31</v>
      </c>
      <c r="F12" s="4">
        <f>C28</f>
        <v>420000</v>
      </c>
      <c r="G12" s="4" t="s">
        <v>25</v>
      </c>
      <c r="H12" s="16" t="s">
        <v>25</v>
      </c>
      <c r="J12" s="29" t="s">
        <v>42</v>
      </c>
      <c r="K12" s="4">
        <f>IF(L11&gt;0, MIN(500000,L11),0)*0%</f>
        <v>0</v>
      </c>
      <c r="L12" s="16">
        <f>IF(L11-400000&gt;0,L11-400000,0)</f>
        <v>12672000</v>
      </c>
    </row>
    <row r="13" spans="1:12" x14ac:dyDescent="0.25">
      <c r="A13" s="9" t="s">
        <v>15</v>
      </c>
      <c r="B13" s="6">
        <v>36000</v>
      </c>
      <c r="C13" s="5"/>
      <c r="E13" s="3" t="s">
        <v>32</v>
      </c>
      <c r="F13" s="4">
        <f>F11-F12</f>
        <v>12452000</v>
      </c>
      <c r="G13" s="4">
        <f>G11</f>
        <v>13072000</v>
      </c>
      <c r="H13" s="16">
        <f>H11</f>
        <v>13097000</v>
      </c>
      <c r="J13" s="29" t="s">
        <v>43</v>
      </c>
      <c r="K13" s="4">
        <f>IF(L12&gt;0, MIN(400000,L12),0)*5%</f>
        <v>20000</v>
      </c>
      <c r="L13" s="16">
        <f>IF(L12-400000&gt;0,L12-400000,0)</f>
        <v>12272000</v>
      </c>
    </row>
    <row r="14" spans="1:12" x14ac:dyDescent="0.25">
      <c r="A14" s="9" t="s">
        <v>16</v>
      </c>
      <c r="B14" s="6">
        <v>21600</v>
      </c>
      <c r="C14" s="5"/>
      <c r="E14" s="3" t="s">
        <v>33</v>
      </c>
      <c r="F14" s="4">
        <f>C29</f>
        <v>200000</v>
      </c>
      <c r="G14" s="4" t="s">
        <v>25</v>
      </c>
      <c r="H14" s="16" t="s">
        <v>25</v>
      </c>
      <c r="J14" s="29" t="s">
        <v>44</v>
      </c>
      <c r="K14" s="4">
        <f>IF(L13&gt;0, MIN(400000,L13),0)*10%</f>
        <v>40000</v>
      </c>
      <c r="L14" s="16">
        <f>IF(L13-400000&gt;0,L13-400000,0)</f>
        <v>11872000</v>
      </c>
    </row>
    <row r="15" spans="1:12" x14ac:dyDescent="0.25">
      <c r="A15" s="9" t="s">
        <v>17</v>
      </c>
      <c r="B15" s="6">
        <v>26400</v>
      </c>
      <c r="C15" s="5"/>
      <c r="E15" s="3" t="s">
        <v>34</v>
      </c>
      <c r="F15" s="4">
        <f>F13-F14</f>
        <v>12252000</v>
      </c>
      <c r="G15" s="4">
        <f>G13</f>
        <v>13072000</v>
      </c>
      <c r="H15" s="16">
        <f>H13</f>
        <v>13097000</v>
      </c>
      <c r="J15" s="29" t="s">
        <v>45</v>
      </c>
      <c r="K15" s="4">
        <f>IF(L14&gt;0, MIN(400000,L14),0)*15%</f>
        <v>60000</v>
      </c>
      <c r="L15" s="16">
        <f>IF(L14-400000&gt;0,L14-400000,0)</f>
        <v>11472000</v>
      </c>
    </row>
    <row r="16" spans="1:12" x14ac:dyDescent="0.25">
      <c r="A16" s="20"/>
      <c r="B16" s="4"/>
      <c r="C16" s="5"/>
      <c r="E16" s="3" t="s">
        <v>57</v>
      </c>
      <c r="F16" s="4">
        <f>K8</f>
        <v>3488100</v>
      </c>
      <c r="G16" s="4">
        <f>K19</f>
        <v>3501600</v>
      </c>
      <c r="H16" s="16">
        <f>K30</f>
        <v>3619100</v>
      </c>
      <c r="J16" s="29" t="s">
        <v>46</v>
      </c>
      <c r="K16" s="4">
        <f>IF(L15&gt;0, MIN(400000,L15),0)*20%</f>
        <v>80000</v>
      </c>
      <c r="L16" s="16">
        <f>IF(L15-400000&gt;0,L15-400000,0)</f>
        <v>11072000</v>
      </c>
    </row>
    <row r="17" spans="1:12" ht="15.75" thickBot="1" x14ac:dyDescent="0.3">
      <c r="A17" s="10" t="s">
        <v>18</v>
      </c>
      <c r="B17" s="11">
        <f>B11-B13-B14-B15-B16</f>
        <v>13197000</v>
      </c>
      <c r="C17" s="13"/>
      <c r="E17" s="3" t="s">
        <v>56</v>
      </c>
      <c r="F17" s="4">
        <v>0</v>
      </c>
      <c r="G17" s="4">
        <f>IF(G5&lt;1200000,G16,0)</f>
        <v>0</v>
      </c>
      <c r="H17" s="16">
        <f>IF(H5&lt;700000,H16,0)</f>
        <v>0</v>
      </c>
      <c r="J17" s="29" t="s">
        <v>47</v>
      </c>
      <c r="K17" s="4">
        <f>IF(L16&gt;0, MIN(400000,L16),0)*25%</f>
        <v>100000</v>
      </c>
      <c r="L17" s="16">
        <f>IF(L16-400000&gt;0,L16-400000,0)</f>
        <v>10672000</v>
      </c>
    </row>
    <row r="18" spans="1:12" ht="15.75" thickBot="1" x14ac:dyDescent="0.3">
      <c r="A18" s="40"/>
      <c r="B18" s="11"/>
      <c r="C18" s="12"/>
      <c r="E18" s="3" t="s">
        <v>35</v>
      </c>
      <c r="F18" s="4">
        <f>F16-F17</f>
        <v>3488100</v>
      </c>
      <c r="G18" s="4">
        <f>G16-G17</f>
        <v>3501600</v>
      </c>
      <c r="H18" s="16">
        <f>H16-H17</f>
        <v>3619100</v>
      </c>
      <c r="J18" s="29" t="s">
        <v>67</v>
      </c>
      <c r="K18" s="4">
        <f>IF(L17&gt;0, L17,0)*30%</f>
        <v>3201600</v>
      </c>
      <c r="L18" s="5"/>
    </row>
    <row r="19" spans="1:12" ht="15.75" thickBot="1" x14ac:dyDescent="0.3">
      <c r="A19" s="37" t="s">
        <v>63</v>
      </c>
      <c r="B19" s="38"/>
      <c r="C19" s="39"/>
      <c r="E19" s="3" t="s">
        <v>36</v>
      </c>
      <c r="F19" s="4">
        <f>F18*4%</f>
        <v>139524</v>
      </c>
      <c r="G19" s="4">
        <f>G18*4%</f>
        <v>140064</v>
      </c>
      <c r="H19" s="16">
        <f>H18*4%</f>
        <v>144764</v>
      </c>
      <c r="J19" s="30" t="s">
        <v>41</v>
      </c>
      <c r="K19" s="19">
        <f>SUM(K12:K18)</f>
        <v>3501600</v>
      </c>
      <c r="L19" s="13"/>
    </row>
    <row r="20" spans="1:12" ht="21.75" thickBot="1" x14ac:dyDescent="0.4">
      <c r="A20" s="15"/>
      <c r="B20" s="1"/>
      <c r="C20" s="2" t="s">
        <v>60</v>
      </c>
      <c r="E20" s="17" t="s">
        <v>37</v>
      </c>
      <c r="F20" s="33">
        <f>F18+F19</f>
        <v>3627624</v>
      </c>
      <c r="G20" s="33">
        <f>G18+G19</f>
        <v>3641664</v>
      </c>
      <c r="H20" s="34">
        <f>H18+H19</f>
        <v>3763864</v>
      </c>
    </row>
    <row r="21" spans="1:12" ht="15.75" thickBot="1" x14ac:dyDescent="0.3">
      <c r="A21" s="7" t="s">
        <v>6</v>
      </c>
      <c r="B21" s="6"/>
      <c r="C21" s="5"/>
      <c r="J21" s="37" t="s">
        <v>71</v>
      </c>
      <c r="K21" s="38"/>
      <c r="L21" s="39"/>
    </row>
    <row r="22" spans="1:12" x14ac:dyDescent="0.25">
      <c r="A22" s="41" t="s">
        <v>7</v>
      </c>
      <c r="B22" s="4">
        <f>B8</f>
        <v>504000</v>
      </c>
      <c r="C22" s="24">
        <f xml:space="preserve"> IF(SUM(B22:B23)&gt;150000,150000,SUM(B22:B23))</f>
        <v>150000</v>
      </c>
      <c r="J22" s="31"/>
      <c r="K22" s="6"/>
      <c r="L22" s="24">
        <f>H15</f>
        <v>13097000</v>
      </c>
    </row>
    <row r="23" spans="1:12" x14ac:dyDescent="0.25">
      <c r="A23" s="41" t="s">
        <v>8</v>
      </c>
      <c r="B23" s="4">
        <v>100000</v>
      </c>
      <c r="C23" s="5"/>
      <c r="J23" s="29" t="s">
        <v>48</v>
      </c>
      <c r="K23" s="4">
        <f>IF(L22&gt;0, MIN(300000,L22),0)*0%</f>
        <v>0</v>
      </c>
      <c r="L23" s="16">
        <f>IF(L22-300000&gt;0,L22-300000,0)</f>
        <v>12797000</v>
      </c>
    </row>
    <row r="24" spans="1:12" x14ac:dyDescent="0.25">
      <c r="A24" s="7" t="s">
        <v>9</v>
      </c>
      <c r="B24" s="6"/>
      <c r="C24" s="5"/>
      <c r="J24" s="29" t="s">
        <v>49</v>
      </c>
      <c r="K24" s="4">
        <f>IF(L23&gt;0, MIN(400000,L23),0)*5%</f>
        <v>20000</v>
      </c>
      <c r="L24" s="16">
        <f>IF(L23-400000&gt;0,L23-400000,0)</f>
        <v>12397000</v>
      </c>
    </row>
    <row r="25" spans="1:12" x14ac:dyDescent="0.25">
      <c r="A25" s="9" t="s">
        <v>10</v>
      </c>
      <c r="B25" s="4">
        <v>25000</v>
      </c>
      <c r="C25" s="24">
        <f>SUM(B25:B26)</f>
        <v>75000</v>
      </c>
      <c r="J25" s="29" t="s">
        <v>50</v>
      </c>
      <c r="K25" s="4">
        <f>IF(L24&gt;0, MIN(300000,L24),0)*10%</f>
        <v>30000</v>
      </c>
      <c r="L25" s="16">
        <f>IF(L24-300000&gt;0,L24-300000,0)</f>
        <v>12097000</v>
      </c>
    </row>
    <row r="26" spans="1:12" x14ac:dyDescent="0.25">
      <c r="A26" s="9" t="s">
        <v>61</v>
      </c>
      <c r="B26" s="4">
        <v>50000</v>
      </c>
      <c r="C26" s="5"/>
      <c r="J26" s="29" t="s">
        <v>51</v>
      </c>
      <c r="K26" s="4">
        <f>IF(L25&gt;0, MIN(200000,L25),0)*15%</f>
        <v>30000</v>
      </c>
      <c r="L26" s="16">
        <f>IF(L25-200000&gt;0,L25-200000,0)</f>
        <v>11897000</v>
      </c>
    </row>
    <row r="27" spans="1:12" x14ac:dyDescent="0.25">
      <c r="A27" s="7" t="s">
        <v>12</v>
      </c>
      <c r="B27" s="6"/>
      <c r="C27" s="24">
        <v>50000</v>
      </c>
      <c r="J27" s="29" t="s">
        <v>52</v>
      </c>
      <c r="K27" s="4">
        <f>IF(L26&gt;0, MIN(300000,L26),0)*20%</f>
        <v>60000</v>
      </c>
      <c r="L27" s="16">
        <f>IF(L26-300000&gt;0,L26-300000,0)</f>
        <v>11597000</v>
      </c>
    </row>
    <row r="28" spans="1:12" x14ac:dyDescent="0.25">
      <c r="A28" s="7" t="s">
        <v>11</v>
      </c>
      <c r="B28" s="4">
        <f>10% * B3</f>
        <v>420000</v>
      </c>
      <c r="C28" s="36">
        <f>10% * B3</f>
        <v>420000</v>
      </c>
      <c r="J28" s="29" t="s">
        <v>68</v>
      </c>
      <c r="K28" s="4">
        <f>IF(L27&gt;0, L27,0)*30%</f>
        <v>3479100</v>
      </c>
      <c r="L28" s="16"/>
    </row>
    <row r="29" spans="1:12" x14ac:dyDescent="0.25">
      <c r="A29" s="7" t="s">
        <v>13</v>
      </c>
      <c r="B29" s="4">
        <v>500000</v>
      </c>
      <c r="C29" s="24">
        <f xml:space="preserve"> IF(B29&gt;200000,200000,B29)</f>
        <v>200000</v>
      </c>
      <c r="J29" s="29"/>
      <c r="K29" s="18"/>
      <c r="L29" s="5"/>
    </row>
    <row r="30" spans="1:12" ht="15.75" thickBot="1" x14ac:dyDescent="0.3">
      <c r="A30" s="17"/>
      <c r="B30" s="12"/>
      <c r="C30" s="13"/>
      <c r="J30" s="30" t="s">
        <v>41</v>
      </c>
      <c r="K30" s="19">
        <f>SUM(K23:K29)</f>
        <v>3619100</v>
      </c>
      <c r="L30" s="13"/>
    </row>
    <row r="32" spans="1:12" x14ac:dyDescent="0.25">
      <c r="A32" s="35"/>
    </row>
  </sheetData>
  <mergeCells count="6">
    <mergeCell ref="A1:C1"/>
    <mergeCell ref="A19:C19"/>
    <mergeCell ref="E1:H1"/>
    <mergeCell ref="J2:L2"/>
    <mergeCell ref="J10:L10"/>
    <mergeCell ref="J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Jogi</dc:creator>
  <cp:lastModifiedBy>kalpesh jogi</cp:lastModifiedBy>
  <dcterms:created xsi:type="dcterms:W3CDTF">2025-02-02T06:29:55Z</dcterms:created>
  <dcterms:modified xsi:type="dcterms:W3CDTF">2025-02-02T14:34:20Z</dcterms:modified>
</cp:coreProperties>
</file>