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hmsp-offers-latam\"/>
    </mc:Choice>
  </mc:AlternateContent>
  <bookViews>
    <workbookView xWindow="0" yWindow="0" windowWidth="19200" windowHeight="6585"/>
  </bookViews>
  <sheets>
    <sheet name="model" sheetId="6" r:id="rId1"/>
    <sheet name="price_lis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6" l="1"/>
  <c r="Y97" i="6" s="1"/>
  <c r="F91" i="6"/>
  <c r="Y98" i="6" s="1"/>
  <c r="F92" i="6"/>
  <c r="Y99" i="6" s="1"/>
  <c r="F89" i="6"/>
  <c r="Y96" i="6" s="1"/>
  <c r="U98" i="6"/>
  <c r="U99" i="6"/>
  <c r="U100" i="6"/>
  <c r="U101" i="6"/>
  <c r="U102" i="6"/>
  <c r="U103" i="6"/>
  <c r="U104" i="6"/>
  <c r="U105" i="6"/>
  <c r="U106" i="6"/>
  <c r="U107" i="6"/>
  <c r="U108" i="6"/>
  <c r="U97" i="6"/>
  <c r="C42" i="6"/>
  <c r="D42" i="6"/>
  <c r="E42" i="6"/>
  <c r="D40" i="6"/>
  <c r="E40" i="6"/>
  <c r="C40" i="6"/>
  <c r="C16" i="6"/>
  <c r="C15" i="6"/>
  <c r="B108" i="6" l="1"/>
  <c r="B107" i="6"/>
  <c r="B106" i="6"/>
  <c r="B105" i="6"/>
  <c r="B104" i="6"/>
  <c r="B103" i="6"/>
  <c r="B102" i="6"/>
  <c r="B101" i="6"/>
  <c r="D100" i="6"/>
  <c r="B100" i="6"/>
  <c r="D99" i="6"/>
  <c r="B99" i="6"/>
  <c r="D98" i="6"/>
  <c r="B98" i="6"/>
  <c r="D97" i="6"/>
  <c r="B97" i="6"/>
  <c r="D96" i="6"/>
  <c r="B96" i="6"/>
  <c r="C76" i="6"/>
  <c r="C77" i="6" s="1"/>
  <c r="P96" i="6" s="1"/>
  <c r="R96" i="6" s="1"/>
  <c r="E38" i="6"/>
  <c r="D38" i="6"/>
  <c r="C38" i="6"/>
  <c r="E36" i="6"/>
  <c r="D36" i="6"/>
  <c r="C36" i="6"/>
  <c r="C11" i="6"/>
  <c r="C12" i="6" s="1"/>
  <c r="C39" i="6" l="1"/>
  <c r="C41" i="6" s="1"/>
  <c r="D39" i="6"/>
  <c r="D41" i="6" s="1"/>
  <c r="E39" i="6"/>
  <c r="E41" i="6" s="1"/>
  <c r="D108" i="6"/>
  <c r="D106" i="6"/>
  <c r="D104" i="6"/>
  <c r="D102" i="6"/>
  <c r="D107" i="6"/>
  <c r="D105" i="6"/>
  <c r="D103" i="6"/>
  <c r="D101" i="6"/>
  <c r="J8" i="5"/>
  <c r="I8" i="5"/>
  <c r="J7" i="5"/>
  <c r="I7" i="5"/>
  <c r="J6" i="5"/>
  <c r="I6" i="5"/>
  <c r="J5" i="5"/>
  <c r="I5" i="5"/>
  <c r="I4" i="5"/>
  <c r="J4" i="5"/>
  <c r="I3" i="5"/>
  <c r="J3" i="5"/>
  <c r="C56" i="6" l="1" a="1"/>
  <c r="C56" i="6" s="1"/>
  <c r="C43" i="6"/>
  <c r="C44" i="6" s="1"/>
  <c r="C47" i="6"/>
  <c r="D43" i="6"/>
  <c r="D44" i="6" s="1"/>
  <c r="D47" i="6"/>
  <c r="E43" i="6"/>
  <c r="E47" i="6"/>
  <c r="C57" i="6" l="1"/>
  <c r="E65" i="6" s="1"/>
  <c r="C58" i="6"/>
  <c r="E66" i="6" s="1"/>
  <c r="C45" i="6"/>
  <c r="D45" i="6"/>
  <c r="E48" i="6"/>
  <c r="C48" i="6"/>
  <c r="E45" i="6"/>
  <c r="E44" i="6"/>
  <c r="D48" i="6"/>
  <c r="D56" i="6" a="1"/>
  <c r="C50" i="6"/>
  <c r="C51" i="6"/>
  <c r="C64" i="6"/>
  <c r="E64" i="6"/>
  <c r="D64" i="6"/>
  <c r="D65" i="6" l="1"/>
  <c r="C65" i="6"/>
  <c r="D66" i="6"/>
  <c r="C66" i="6"/>
  <c r="C52" i="6"/>
  <c r="C53" i="6" s="1"/>
  <c r="D58" i="6"/>
  <c r="D57" i="6"/>
  <c r="D56" i="6"/>
  <c r="E99" i="6"/>
  <c r="E97" i="6"/>
  <c r="E98" i="6"/>
  <c r="E100" i="6"/>
  <c r="E96" i="6"/>
  <c r="E103" i="6"/>
  <c r="E105" i="6"/>
  <c r="E102" i="6"/>
  <c r="E107" i="6"/>
  <c r="E106" i="6"/>
  <c r="E101" i="6"/>
  <c r="E108" i="6"/>
  <c r="E104" i="6"/>
  <c r="C67" i="6" l="1"/>
  <c r="C68" i="6" s="1"/>
  <c r="F97" i="6"/>
  <c r="Q97" i="6"/>
  <c r="S97" i="6" s="1"/>
  <c r="I97" i="6"/>
  <c r="O97" i="6"/>
  <c r="P97" i="6" s="1"/>
  <c r="R97" i="6" s="1"/>
  <c r="F107" i="6"/>
  <c r="Q107" i="6"/>
  <c r="S107" i="6" s="1"/>
  <c r="I107" i="6"/>
  <c r="O107" i="6"/>
  <c r="P107" i="6" s="1"/>
  <c r="R107" i="6" s="1"/>
  <c r="O106" i="6"/>
  <c r="P106" i="6" s="1"/>
  <c r="R106" i="6" s="1"/>
  <c r="F106" i="6"/>
  <c r="Q106" i="6"/>
  <c r="S106" i="6" s="1"/>
  <c r="I106" i="6"/>
  <c r="O104" i="6"/>
  <c r="P104" i="6" s="1"/>
  <c r="R104" i="6" s="1"/>
  <c r="F104" i="6"/>
  <c r="Q104" i="6"/>
  <c r="S104" i="6" s="1"/>
  <c r="I104" i="6"/>
  <c r="F96" i="6"/>
  <c r="I96" i="6"/>
  <c r="Q96" i="6"/>
  <c r="S96" i="6" s="1"/>
  <c r="T96" i="6" s="1"/>
  <c r="V96" i="6" s="1"/>
  <c r="F99" i="6"/>
  <c r="Q99" i="6"/>
  <c r="S99" i="6" s="1"/>
  <c r="I99" i="6"/>
  <c r="O99" i="6"/>
  <c r="P99" i="6" s="1"/>
  <c r="R99" i="6" s="1"/>
  <c r="T99" i="6" s="1"/>
  <c r="V99" i="6" s="1"/>
  <c r="O108" i="6"/>
  <c r="P108" i="6" s="1"/>
  <c r="R108" i="6" s="1"/>
  <c r="Q108" i="6"/>
  <c r="S108" i="6" s="1"/>
  <c r="I108" i="6"/>
  <c r="F108" i="6"/>
  <c r="O102" i="6"/>
  <c r="P102" i="6" s="1"/>
  <c r="R102" i="6" s="1"/>
  <c r="F102" i="6"/>
  <c r="Q102" i="6"/>
  <c r="S102" i="6" s="1"/>
  <c r="I102" i="6"/>
  <c r="O100" i="6"/>
  <c r="P100" i="6" s="1"/>
  <c r="R100" i="6" s="1"/>
  <c r="F100" i="6"/>
  <c r="Q100" i="6"/>
  <c r="S100" i="6" s="1"/>
  <c r="I100" i="6"/>
  <c r="E67" i="6"/>
  <c r="E68" i="6" s="1"/>
  <c r="F103" i="6"/>
  <c r="Q103" i="6"/>
  <c r="S103" i="6" s="1"/>
  <c r="I103" i="6"/>
  <c r="O103" i="6"/>
  <c r="P103" i="6" s="1"/>
  <c r="R103" i="6" s="1"/>
  <c r="F101" i="6"/>
  <c r="Q101" i="6"/>
  <c r="S101" i="6" s="1"/>
  <c r="I101" i="6"/>
  <c r="O101" i="6"/>
  <c r="P101" i="6" s="1"/>
  <c r="R101" i="6" s="1"/>
  <c r="F105" i="6"/>
  <c r="Q105" i="6"/>
  <c r="S105" i="6" s="1"/>
  <c r="I105" i="6"/>
  <c r="O105" i="6"/>
  <c r="P105" i="6" s="1"/>
  <c r="R105" i="6" s="1"/>
  <c r="O98" i="6"/>
  <c r="P98" i="6" s="1"/>
  <c r="R98" i="6" s="1"/>
  <c r="F98" i="6"/>
  <c r="I98" i="6"/>
  <c r="Q98" i="6"/>
  <c r="S98" i="6" s="1"/>
  <c r="D67" i="6"/>
  <c r="D68" i="6" s="1"/>
  <c r="T105" i="6" l="1"/>
  <c r="V105" i="6" s="1"/>
  <c r="T101" i="6"/>
  <c r="V101" i="6" s="1"/>
  <c r="T103" i="6"/>
  <c r="V103" i="6" s="1"/>
  <c r="T100" i="6"/>
  <c r="V100" i="6" s="1"/>
  <c r="T102" i="6"/>
  <c r="V102" i="6" s="1"/>
  <c r="T107" i="6"/>
  <c r="V107" i="6" s="1"/>
  <c r="T97" i="6"/>
  <c r="V97" i="6" s="1"/>
  <c r="T108" i="6"/>
  <c r="V108" i="6" s="1"/>
  <c r="T98" i="6"/>
  <c r="V98" i="6" s="1"/>
  <c r="T104" i="6"/>
  <c r="V104" i="6" s="1"/>
  <c r="T106" i="6"/>
  <c r="V106" i="6" s="1"/>
  <c r="C70" i="6"/>
  <c r="C71" i="6"/>
  <c r="C72" i="6" l="1"/>
  <c r="J107" i="6"/>
  <c r="K107" i="6" s="1"/>
  <c r="J106" i="6"/>
  <c r="K106" i="6" s="1"/>
  <c r="J103" i="6"/>
  <c r="K103" i="6" s="1"/>
  <c r="J105" i="6"/>
  <c r="K105" i="6" s="1"/>
  <c r="J98" i="6"/>
  <c r="K98" i="6" s="1"/>
  <c r="J108" i="6"/>
  <c r="K108" i="6" s="1"/>
  <c r="J102" i="6"/>
  <c r="K102" i="6" s="1"/>
  <c r="J97" i="6"/>
  <c r="K97" i="6" s="1"/>
  <c r="J104" i="6"/>
  <c r="K104" i="6" s="1"/>
  <c r="J101" i="6"/>
  <c r="K101" i="6" s="1"/>
  <c r="J96" i="6"/>
  <c r="K96" i="6" s="1"/>
  <c r="J99" i="6"/>
  <c r="K99" i="6" s="1"/>
  <c r="J100" i="6"/>
  <c r="K100" i="6" s="1"/>
  <c r="G107" i="6"/>
  <c r="G99" i="6"/>
  <c r="G102" i="6"/>
  <c r="G103" i="6"/>
  <c r="G105" i="6"/>
  <c r="G104" i="6"/>
  <c r="G97" i="6"/>
  <c r="G96" i="6"/>
  <c r="G108" i="6"/>
  <c r="G100" i="6"/>
  <c r="G101" i="6"/>
  <c r="G98" i="6"/>
  <c r="M98" i="6" s="1"/>
  <c r="N98" i="6" s="1"/>
  <c r="G106" i="6"/>
  <c r="M106" i="6" s="1"/>
  <c r="N106" i="6" s="1"/>
  <c r="M108" i="6" l="1"/>
  <c r="N108" i="6" s="1"/>
  <c r="M97" i="6"/>
  <c r="N97" i="6" s="1"/>
  <c r="M101" i="6"/>
  <c r="N101" i="6" s="1"/>
  <c r="M100" i="6"/>
  <c r="N100" i="6" s="1"/>
  <c r="M104" i="6"/>
  <c r="N104" i="6" s="1"/>
  <c r="M99" i="6"/>
  <c r="N99" i="6" s="1"/>
  <c r="M105" i="6"/>
  <c r="N105" i="6" s="1"/>
  <c r="M107" i="6"/>
  <c r="N107" i="6" s="1"/>
  <c r="M103" i="6"/>
  <c r="N103" i="6" s="1"/>
  <c r="M96" i="6"/>
  <c r="N96" i="6" s="1"/>
  <c r="M102" i="6"/>
  <c r="N102" i="6" s="1"/>
  <c r="H101" i="6"/>
  <c r="H104" i="6"/>
  <c r="H99" i="6"/>
  <c r="H102" i="6"/>
  <c r="H100" i="6"/>
  <c r="H106" i="6"/>
  <c r="H108" i="6"/>
  <c r="H105" i="6"/>
  <c r="H107" i="6"/>
  <c r="H97" i="6"/>
  <c r="H98" i="6"/>
  <c r="H96" i="6"/>
  <c r="H103" i="6"/>
  <c r="C25" i="6" l="1"/>
  <c r="D25" i="6"/>
  <c r="F25" i="6" s="1"/>
  <c r="W106" i="6"/>
  <c r="AI106" i="6"/>
  <c r="Z106" i="6"/>
  <c r="W103" i="6"/>
  <c r="X103" i="6" s="1"/>
  <c r="AI103" i="6"/>
  <c r="Z103" i="6"/>
  <c r="W107" i="6"/>
  <c r="X107" i="6" s="1"/>
  <c r="AI107" i="6"/>
  <c r="Z107" i="6"/>
  <c r="W100" i="6"/>
  <c r="Z100" i="6"/>
  <c r="AI100" i="6"/>
  <c r="W101" i="6"/>
  <c r="AI101" i="6"/>
  <c r="Z101" i="6"/>
  <c r="W97" i="6"/>
  <c r="X97" i="6" s="1"/>
  <c r="AI97" i="6"/>
  <c r="Z97" i="6"/>
  <c r="W104" i="6"/>
  <c r="X104" i="6" s="1"/>
  <c r="Z104" i="6"/>
  <c r="AI104" i="6"/>
  <c r="W96" i="6"/>
  <c r="X96" i="6" s="1"/>
  <c r="AI96" i="6"/>
  <c r="Z96" i="6"/>
  <c r="W105" i="6"/>
  <c r="AI105" i="6"/>
  <c r="AK106" i="6" s="1"/>
  <c r="Z105" i="6"/>
  <c r="AB106" i="6" s="1"/>
  <c r="W102" i="6"/>
  <c r="X102" i="6" s="1"/>
  <c r="AI102" i="6"/>
  <c r="AK103" i="6" s="1"/>
  <c r="Z102" i="6"/>
  <c r="AB103" i="6" s="1"/>
  <c r="W98" i="6"/>
  <c r="X98" i="6" s="1"/>
  <c r="AI98" i="6"/>
  <c r="Z98" i="6"/>
  <c r="Z108" i="6"/>
  <c r="AI108" i="6"/>
  <c r="W99" i="6"/>
  <c r="X99" i="6" s="1"/>
  <c r="AI99" i="6"/>
  <c r="Z99" i="6"/>
  <c r="E25" i="6"/>
  <c r="W108" i="6"/>
  <c r="X108" i="6" s="1"/>
  <c r="D26" i="6" s="1"/>
  <c r="F26" i="6" s="1"/>
  <c r="X105" i="6"/>
  <c r="L108" i="6"/>
  <c r="X106" i="6"/>
  <c r="X100" i="6"/>
  <c r="X101" i="6"/>
  <c r="L99" i="6"/>
  <c r="L107" i="6"/>
  <c r="L101" i="6"/>
  <c r="L100" i="6"/>
  <c r="L98" i="6"/>
  <c r="L106" i="6"/>
  <c r="L104" i="6"/>
  <c r="L102" i="6"/>
  <c r="L97" i="6"/>
  <c r="L105" i="6"/>
  <c r="L103" i="6"/>
  <c r="L96" i="6"/>
  <c r="AK101" i="6" l="1"/>
  <c r="AK99" i="6"/>
  <c r="AK108" i="6"/>
  <c r="AK102" i="6"/>
  <c r="AK107" i="6"/>
  <c r="AJ96" i="6"/>
  <c r="AP96" i="6"/>
  <c r="AN99" i="6"/>
  <c r="AN101" i="6"/>
  <c r="AN103" i="6"/>
  <c r="AN105" i="6"/>
  <c r="AN107" i="6"/>
  <c r="AM96" i="6"/>
  <c r="AK97" i="6"/>
  <c r="AN98" i="6"/>
  <c r="AN104" i="6"/>
  <c r="AO96" i="6"/>
  <c r="AP100" i="6"/>
  <c r="AP104" i="6"/>
  <c r="AP106" i="6"/>
  <c r="AO100" i="6"/>
  <c r="AO106" i="6"/>
  <c r="AP97" i="6"/>
  <c r="AP99" i="6"/>
  <c r="AP101" i="6"/>
  <c r="AP103" i="6"/>
  <c r="AP105" i="6"/>
  <c r="AP107" i="6"/>
  <c r="AN97" i="6"/>
  <c r="AN100" i="6"/>
  <c r="AN106" i="6"/>
  <c r="AN108" i="6"/>
  <c r="D23" i="6" s="1"/>
  <c r="F23" i="6" s="1"/>
  <c r="AP98" i="6"/>
  <c r="AP102" i="6"/>
  <c r="AP108" i="6"/>
  <c r="D28" i="6" s="1"/>
  <c r="AO98" i="6"/>
  <c r="AO102" i="6"/>
  <c r="AO108" i="6"/>
  <c r="D24" i="6" s="1"/>
  <c r="F24" i="6" s="1"/>
  <c r="AN96" i="6"/>
  <c r="AN102" i="6"/>
  <c r="AO104" i="6"/>
  <c r="AO101" i="6"/>
  <c r="AO107" i="6"/>
  <c r="AO99" i="6"/>
  <c r="AO97" i="6"/>
  <c r="AO105" i="6"/>
  <c r="AO103" i="6"/>
  <c r="E26" i="6"/>
  <c r="C26" i="6"/>
  <c r="AK100" i="6"/>
  <c r="AK105" i="6"/>
  <c r="AM102" i="6"/>
  <c r="AM99" i="6"/>
  <c r="AM107" i="6"/>
  <c r="AK98" i="6"/>
  <c r="AM106" i="6"/>
  <c r="AM103" i="6"/>
  <c r="AM98" i="6"/>
  <c r="AM100" i="6"/>
  <c r="AM101" i="6"/>
  <c r="AM97" i="6"/>
  <c r="AM108" i="6"/>
  <c r="D22" i="6" s="1"/>
  <c r="F22" i="6" s="1"/>
  <c r="AM105" i="6"/>
  <c r="AM104" i="6"/>
  <c r="AK104" i="6"/>
  <c r="AB105" i="6"/>
  <c r="AB100" i="6"/>
  <c r="AA96" i="6"/>
  <c r="AG98" i="6"/>
  <c r="AG102" i="6"/>
  <c r="AG106" i="6"/>
  <c r="AG96" i="6"/>
  <c r="AE100" i="6"/>
  <c r="AE104" i="6"/>
  <c r="AE108" i="6"/>
  <c r="C23" i="6" s="1"/>
  <c r="AG100" i="6"/>
  <c r="AG108" i="6"/>
  <c r="C28" i="6" s="1"/>
  <c r="AE98" i="6"/>
  <c r="AE106" i="6"/>
  <c r="AE99" i="6"/>
  <c r="AE103" i="6"/>
  <c r="AE107" i="6"/>
  <c r="AD96" i="6"/>
  <c r="AG99" i="6"/>
  <c r="AG103" i="6"/>
  <c r="AG107" i="6"/>
  <c r="AE101" i="6"/>
  <c r="AE105" i="6"/>
  <c r="AE97" i="6"/>
  <c r="AG104" i="6"/>
  <c r="AE102" i="6"/>
  <c r="AE96" i="6"/>
  <c r="AG101" i="6"/>
  <c r="AG105" i="6"/>
  <c r="AG97" i="6"/>
  <c r="AB97" i="6"/>
  <c r="AF101" i="6"/>
  <c r="AF99" i="6"/>
  <c r="AF96" i="6"/>
  <c r="AF100" i="6"/>
  <c r="AF105" i="6"/>
  <c r="AF106" i="6"/>
  <c r="AF102" i="6"/>
  <c r="AF108" i="6"/>
  <c r="C24" i="6" s="1"/>
  <c r="E24" i="6" s="1"/>
  <c r="AF107" i="6"/>
  <c r="AF98" i="6"/>
  <c r="AF104" i="6"/>
  <c r="AF103" i="6"/>
  <c r="AF97" i="6"/>
  <c r="AB102" i="6"/>
  <c r="AB101" i="6"/>
  <c r="AB107" i="6"/>
  <c r="AB98" i="6"/>
  <c r="AD106" i="6"/>
  <c r="AD107" i="6"/>
  <c r="AD98" i="6"/>
  <c r="AD108" i="6"/>
  <c r="C22" i="6" s="1"/>
  <c r="AD102" i="6"/>
  <c r="AD105" i="6"/>
  <c r="AD103" i="6"/>
  <c r="AD97" i="6"/>
  <c r="AD104" i="6"/>
  <c r="AD101" i="6"/>
  <c r="AD99" i="6"/>
  <c r="AD100" i="6"/>
  <c r="AB104" i="6"/>
  <c r="AB99" i="6"/>
  <c r="AB108" i="6"/>
  <c r="D30" i="6" l="1"/>
  <c r="F30" i="6" s="1"/>
  <c r="AJ97" i="6"/>
  <c r="AL97" i="6" s="1"/>
  <c r="AQ96" i="6"/>
  <c r="C30" i="6"/>
  <c r="E30" i="6" s="1"/>
  <c r="AA97" i="6"/>
  <c r="AC97" i="6" s="1"/>
  <c r="E22" i="6"/>
  <c r="AH96" i="6"/>
  <c r="AQ97" i="6" l="1"/>
  <c r="AJ98" i="6"/>
  <c r="AL98" i="6" s="1"/>
  <c r="AH97" i="6"/>
  <c r="AA98" i="6"/>
  <c r="AH98" i="6" s="1"/>
  <c r="AJ99" i="6" l="1"/>
  <c r="AQ99" i="6" s="1"/>
  <c r="AQ98" i="6"/>
  <c r="AA99" i="6"/>
  <c r="AC99" i="6" s="1"/>
  <c r="AC98" i="6"/>
  <c r="AJ100" i="6" l="1"/>
  <c r="AL100" i="6" s="1"/>
  <c r="AL99" i="6"/>
  <c r="AH99" i="6"/>
  <c r="AA100" i="6"/>
  <c r="AC100" i="6" s="1"/>
  <c r="AJ101" i="6" l="1"/>
  <c r="AL101" i="6" s="1"/>
  <c r="AQ100" i="6"/>
  <c r="AA101" i="6"/>
  <c r="AC101" i="6" s="1"/>
  <c r="AH100" i="6"/>
  <c r="AJ102" i="6" l="1"/>
  <c r="AL102" i="6" s="1"/>
  <c r="AQ101" i="6"/>
  <c r="AA102" i="6"/>
  <c r="AC102" i="6" s="1"/>
  <c r="AH101" i="6"/>
  <c r="AJ103" i="6" l="1"/>
  <c r="AL103" i="6" s="1"/>
  <c r="AQ102" i="6"/>
  <c r="AA103" i="6"/>
  <c r="AC103" i="6" s="1"/>
  <c r="AH102" i="6"/>
  <c r="AQ103" i="6" l="1"/>
  <c r="AJ104" i="6"/>
  <c r="AL104" i="6" s="1"/>
  <c r="AA104" i="6"/>
  <c r="AC104" i="6" s="1"/>
  <c r="AH103" i="6"/>
  <c r="AJ105" i="6" l="1"/>
  <c r="AL105" i="6" s="1"/>
  <c r="AQ104" i="6"/>
  <c r="AA105" i="6"/>
  <c r="AC105" i="6" s="1"/>
  <c r="AH104" i="6"/>
  <c r="AQ105" i="6" l="1"/>
  <c r="AJ106" i="6"/>
  <c r="AL106" i="6" s="1"/>
  <c r="AA106" i="6"/>
  <c r="AC106" i="6" s="1"/>
  <c r="AH105" i="6"/>
  <c r="E23" i="6"/>
  <c r="AJ107" i="6" l="1"/>
  <c r="AL107" i="6" s="1"/>
  <c r="AQ106" i="6"/>
  <c r="AA107" i="6"/>
  <c r="AC107" i="6" s="1"/>
  <c r="AH106" i="6"/>
  <c r="AJ108" i="6" l="1"/>
  <c r="AQ108" i="6" s="1"/>
  <c r="D27" i="6" s="1"/>
  <c r="AQ107" i="6"/>
  <c r="AH107" i="6"/>
  <c r="AA108" i="6"/>
  <c r="AC108" i="6" s="1"/>
  <c r="C29" i="6" s="1"/>
  <c r="E29" i="6" s="1"/>
  <c r="AH108" i="6" l="1"/>
  <c r="C27" i="6" s="1"/>
  <c r="AL108" i="6"/>
  <c r="D29" i="6" s="1"/>
  <c r="F29" i="6" s="1"/>
</calcChain>
</file>

<file path=xl/sharedStrings.xml><?xml version="1.0" encoding="utf-8"?>
<sst xmlns="http://schemas.openxmlformats.org/spreadsheetml/2006/main" count="165" uniqueCount="135">
  <si>
    <t>month</t>
  </si>
  <si>
    <t>CSP discount %</t>
  </si>
  <si>
    <t>discounted price</t>
  </si>
  <si>
    <t>growth_rate</t>
  </si>
  <si>
    <t>MSFT revenue</t>
  </si>
  <si>
    <t>growth_period</t>
  </si>
  <si>
    <t>std</t>
  </si>
  <si>
    <t>prm</t>
  </si>
  <si>
    <t>adv</t>
  </si>
  <si>
    <t>azure backup unit price per mo</t>
  </si>
  <si>
    <t>max backup capacity in GB</t>
  </si>
  <si>
    <t>storage unit price per mo</t>
  </si>
  <si>
    <t>storage type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</si>
  <si>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</si>
  <si>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</si>
  <si>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</si>
  <si>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</si>
  <si>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</si>
  <si>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</si>
  <si>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</si>
  <si>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</si>
  <si>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</si>
  <si>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</si>
  <si>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</si>
  <si>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</si>
  <si>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</si>
  <si>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</si>
  <si>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</si>
  <si>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</si>
  <si>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</si>
  <si>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</si>
  <si>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</si>
  <si>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</si>
  <si>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</si>
  <si>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</si>
  <si>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</si>
  <si>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</si>
  <si>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</si>
  <si>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</si>
  <si>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average expected gross margin in %</t>
  </si>
  <si>
    <t>average ticket price for upsell add-ons</t>
  </si>
  <si>
    <t>average ticket cost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</si>
  <si>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</si>
  <si>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</si>
  <si>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</si>
  <si>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</si>
  <si>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</si>
  <si>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</si>
  <si>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</si>
  <si>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</si>
  <si>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</si>
  <si>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</si>
  <si>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average GM for base plans</t>
  </si>
  <si>
    <t>average ticket GM for upsell add-ons %</t>
  </si>
  <si>
    <t>average GM for base plans %</t>
  </si>
  <si>
    <t>avrg work hours/mo</t>
  </si>
  <si>
    <t>avrg work minutes/mo</t>
  </si>
  <si>
    <t>avrg service time per unit for project svcs (minutes)</t>
  </si>
  <si>
    <t># req FTEs for prj svcs</t>
  </si>
  <si>
    <t># req FTEs for mngd svcs</t>
  </si>
  <si>
    <t xml:space="preserve">avg support monthly calls per unit </t>
  </si>
  <si>
    <t>NPV</t>
  </si>
  <si>
    <t>last month MRR for partner</t>
  </si>
  <si>
    <t>sales proportion</t>
  </si>
  <si>
    <t>lower peak of acum</t>
  </si>
  <si>
    <t>lower peak of cashflow</t>
  </si>
  <si>
    <t>payback</t>
  </si>
  <si>
    <t>payback month</t>
  </si>
  <si>
    <t>breakeven month</t>
  </si>
  <si>
    <t>breakeven</t>
  </si>
  <si>
    <t>IRR</t>
  </si>
  <si>
    <t>MIRR</t>
  </si>
  <si>
    <t>lowest acum peak</t>
  </si>
  <si>
    <t>lowest cashflow peak</t>
  </si>
  <si>
    <t>reinvest rate (monthly)</t>
  </si>
  <si>
    <t>base plans sold (in units)</t>
  </si>
  <si>
    <t>base plans revenue (in $)</t>
  </si>
  <si>
    <t>upsell revenue (in $)</t>
  </si>
  <si>
    <t>total sales (in $)</t>
  </si>
  <si>
    <t>sales forecast</t>
  </si>
  <si>
    <t>Disaster Recovery as a Service</t>
  </si>
  <si>
    <t>last month of growth</t>
  </si>
  <si>
    <t>initial month of growth</t>
  </si>
  <si>
    <t>expected MSFT MRR by last month of growth</t>
  </si>
  <si>
    <t>expected MSFT MRR by initial month of growth</t>
  </si>
  <si>
    <t>last month of projection</t>
  </si>
  <si>
    <t>cost of capital rate (monthly)</t>
  </si>
  <si>
    <t>next 12month rebate (FY17 secured; FY18 expected)</t>
  </si>
  <si>
    <t>financial results</t>
  </si>
  <si>
    <t xml:space="preserve">sales forecast </t>
  </si>
  <si>
    <t>top-down costs analysis</t>
  </si>
  <si>
    <t>average retail price (ARP) for base plans</t>
  </si>
  <si>
    <t>unit price as % of ARP | ERP</t>
  </si>
  <si>
    <t>bottom-up costs analysis</t>
  </si>
  <si>
    <t>base plans gm (in $)</t>
  </si>
  <si>
    <t>upsell gm (in $)</t>
  </si>
  <si>
    <t>top-down cost analysis</t>
  </si>
  <si>
    <t>net seats added (in units)</t>
  </si>
  <si>
    <t>prj + mngd svcs costs (in $)</t>
  </si>
  <si>
    <t>ip svcs costs (in $)</t>
  </si>
  <si>
    <t>avg monthly cost per FTE for prj svcs</t>
  </si>
  <si>
    <t>avg monthly cost per FTE for mngd svcs</t>
  </si>
  <si>
    <t>avrg service time per unit for mngd svcs (minutes)</t>
  </si>
  <si>
    <t># req FTEs for prj svcs (min)</t>
  </si>
  <si>
    <t># req FTEs for mngd svcs (min)</t>
  </si>
  <si>
    <t>avg monthly amortization costs for ip svcs</t>
  </si>
  <si>
    <t>bottom-up analysis</t>
  </si>
  <si>
    <t>set-up investments</t>
  </si>
  <si>
    <t>month 0</t>
  </si>
  <si>
    <t>month 1</t>
  </si>
  <si>
    <t>month 2</t>
  </si>
  <si>
    <t>month 3</t>
  </si>
  <si>
    <t>model assumptions (inputs=orange; parameters=yellow)</t>
  </si>
  <si>
    <t>model outputs</t>
  </si>
  <si>
    <t>hardware or software</t>
  </si>
  <si>
    <t>implementation</t>
  </si>
  <si>
    <t>operations</t>
  </si>
  <si>
    <t>total</t>
  </si>
  <si>
    <t>cashflow (top-down)</t>
  </si>
  <si>
    <t>cashflow (bottom-up)</t>
  </si>
  <si>
    <t>acum (top-down)</t>
  </si>
  <si>
    <t>acum (bottom-up)</t>
  </si>
  <si>
    <t>financial results (top-down)</t>
  </si>
  <si>
    <t>top-down</t>
  </si>
  <si>
    <t>bottom-up</t>
  </si>
  <si>
    <t>financial results (bottom-up)</t>
  </si>
  <si>
    <t>check</t>
  </si>
  <si>
    <t>total cogs top-down (in $)</t>
  </si>
  <si>
    <t>total gm top-down (in $)</t>
  </si>
  <si>
    <t>total gm top-down (in %)</t>
  </si>
  <si>
    <t>upsell cogs top-down (in $)</t>
  </si>
  <si>
    <t>total cogs bottom-up (in $)</t>
  </si>
  <si>
    <t>total gm bottom-up (in $)</t>
  </si>
  <si>
    <t>total gm bottom-up (in %)</t>
  </si>
  <si>
    <t>last month expected GM % for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</si>
</sst>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164" fontId="0" fillId="0" borderId="0" xfId="3" applyNumberFormat="1" applyFont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8" fontId="0" fillId="2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0" fontId="3" fillId="0" borderId="0" xfId="0" applyFont="1"/>
    <xf numFmtId="42" fontId="2" fillId="3" borderId="0" xfId="2" applyFont="1" applyFill="1"/>
    <xf numFmtId="9" fontId="0" fillId="4" borderId="0" xfId="3" applyFont="1" applyFill="1"/>
    <xf numFmtId="165" fontId="0" fillId="4" borderId="0" xfId="2" applyNumberFormat="1" applyFont="1" applyFill="1"/>
    <xf numFmtId="9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1" fontId="2" fillId="3" borderId="0" xfId="1" applyFont="1" applyFill="1"/>
    <xf numFmtId="164" fontId="2" fillId="3" borderId="0" xfId="3" applyNumberFormat="1" applyFont="1" applyFill="1"/>
    <xf numFmtId="0" fontId="0" fillId="5" borderId="0" xfId="0" applyFill="1"/>
    <xf numFmtId="42" fontId="0" fillId="5" borderId="0" xfId="2" applyFont="1" applyFill="1"/>
    <xf numFmtId="41" fontId="0" fillId="5" borderId="0" xfId="1" applyFont="1" applyFill="1"/>
    <xf numFmtId="42" fontId="0" fillId="5" borderId="0" xfId="0" applyNumberFormat="1" applyFill="1"/>
    <xf numFmtId="164" fontId="0" fillId="5" borderId="0" xfId="3" applyNumberFormat="1" applyFont="1" applyFill="1"/>
    <xf numFmtId="167" fontId="0" fillId="5" borderId="0" xfId="1" applyNumberFormat="1" applyFont="1" applyFill="1"/>
    <xf numFmtId="9" fontId="0" fillId="5" borderId="0" xfId="0" applyNumberFormat="1" applyFill="1"/>
    <xf numFmtId="164" fontId="0" fillId="4" borderId="0" xfId="3" applyNumberFormat="1" applyFont="1" applyFill="1"/>
    <xf numFmtId="164" fontId="0" fillId="2" borderId="0" xfId="0" applyNumberFormat="1" applyFill="1"/>
    <xf numFmtId="9" fontId="0" fillId="3" borderId="0" xfId="3" applyFont="1" applyFill="1"/>
    <xf numFmtId="0" fontId="4" fillId="7" borderId="0" xfId="0" applyFont="1" applyFill="1" applyAlignment="1">
      <alignment horizontal="center"/>
    </xf>
    <xf numFmtId="170" fontId="0" fillId="0" borderId="0" xfId="0" applyNumberFormat="1"/>
    <xf numFmtId="170" fontId="0" fillId="5" borderId="0" xfId="0" applyNumberFormat="1" applyFill="1"/>
    <xf numFmtId="164" fontId="2" fillId="0" borderId="0" xfId="3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0" fontId="2" fillId="0" borderId="0" xfId="3" applyNumberFormat="1" applyFont="1" applyFill="1" applyAlignment="1">
      <alignment vertical="top" wrapText="1"/>
    </xf>
    <xf numFmtId="42" fontId="0" fillId="3" borderId="0" xfId="2" applyFont="1" applyFill="1"/>
    <xf numFmtId="0" fontId="2" fillId="5" borderId="0" xfId="0" applyFont="1" applyFill="1"/>
    <xf numFmtId="9" fontId="0" fillId="0" borderId="0" xfId="3" applyFont="1"/>
    <xf numFmtId="9" fontId="0" fillId="5" borderId="0" xfId="3" applyFont="1" applyFill="1"/>
    <xf numFmtId="0" fontId="2" fillId="6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9" borderId="0" xfId="0" applyFont="1" applyFill="1" applyAlignme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(top-down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model!$AA$95</c:f>
              <c:strCache>
                <c:ptCount val="1"/>
                <c:pt idx="0">
                  <c:v>acum (top-down)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model!$AA$96:$AA$108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-2000</c:v>
                </c:pt>
                <c:pt idx="2">
                  <c:v>-3000</c:v>
                </c:pt>
                <c:pt idx="3">
                  <c:v>-4000</c:v>
                </c:pt>
                <c:pt idx="4">
                  <c:v>-3180.3308823529414</c:v>
                </c:pt>
                <c:pt idx="5">
                  <c:v>-2087.2845466881877</c:v>
                </c:pt>
                <c:pt idx="6">
                  <c:v>-629.68383173165194</c:v>
                </c:pt>
                <c:pt idx="7">
                  <c:v>1314.057961199474</c:v>
                </c:pt>
                <c:pt idx="8">
                  <c:v>3906.079300664695</c:v>
                </c:pt>
                <c:pt idx="9">
                  <c:v>7362.5953094662545</c:v>
                </c:pt>
                <c:pt idx="10">
                  <c:v>11971.933487818767</c:v>
                </c:pt>
                <c:pt idx="11">
                  <c:v>18118.584736740497</c:v>
                </c:pt>
                <c:pt idx="12">
                  <c:v>26315.275913211088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model!$Z$95</c:f>
              <c:strCache>
                <c:ptCount val="1"/>
                <c:pt idx="0">
                  <c:v>cashflow (top-down)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model!$Z$96:$Z$108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819.66911764705856</c:v>
                </c:pt>
                <c:pt idx="5">
                  <c:v>1093.0463356647538</c:v>
                </c:pt>
                <c:pt idx="6">
                  <c:v>1457.6007149565357</c:v>
                </c:pt>
                <c:pt idx="7">
                  <c:v>1943.7417929311259</c:v>
                </c:pt>
                <c:pt idx="8">
                  <c:v>2592.021339465221</c:v>
                </c:pt>
                <c:pt idx="9">
                  <c:v>3456.51600880156</c:v>
                </c:pt>
                <c:pt idx="10">
                  <c:v>4609.3381783525128</c:v>
                </c:pt>
                <c:pt idx="11">
                  <c:v>6146.6512489217293</c:v>
                </c:pt>
                <c:pt idx="12">
                  <c:v>8196.691176470591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5169.9434097697122</c:v>
                </c:pt>
                <c:pt idx="8">
                  <c:v>6894.2303399994444</c:v>
                </c:pt>
                <c:pt idx="9">
                  <c:v>9193.6039166599003</c:v>
                </c:pt>
                <c:pt idx="10">
                  <c:v>12259.867861686655</c:v>
                </c:pt>
                <c:pt idx="11">
                  <c:v>16348.796549049495</c:v>
                </c:pt>
                <c:pt idx="12">
                  <c:v>21801.470588235294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9-4725-BCFD-B5E247298214}"/>
            </c:ext>
          </c:extLst>
        </c:ser>
        <c:ser>
          <c:idx val="4"/>
          <c:order val="3"/>
          <c:tx>
            <c:strRef>
              <c:f>model!$N$95</c:f>
              <c:strCache>
                <c:ptCount val="1"/>
                <c:pt idx="0">
                  <c:v>total cogs top-down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model!$N$96:$N$108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1360.4779411764707</c:v>
                </c:pt>
                <c:pt idx="5">
                  <c:v>1814.2264925442573</c:v>
                </c:pt>
                <c:pt idx="6">
                  <c:v>2419.3099106062627</c:v>
                </c:pt>
                <c:pt idx="7">
                  <c:v>3226.2016168385862</c:v>
                </c:pt>
                <c:pt idx="8">
                  <c:v>4302.2090005342234</c:v>
                </c:pt>
                <c:pt idx="9">
                  <c:v>5737.0879078583403</c:v>
                </c:pt>
                <c:pt idx="10">
                  <c:v>7650.5296833341417</c:v>
                </c:pt>
                <c:pt idx="11">
                  <c:v>10202.145300127766</c:v>
                </c:pt>
                <c:pt idx="12">
                  <c:v>13604.779411764703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model!$F$95</c:f>
              <c:strCache>
                <c:ptCount val="1"/>
                <c:pt idx="0">
                  <c:v>base plans revenue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model!$F$96:$F$108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1470.5882352941176</c:v>
                </c:pt>
                <c:pt idx="5">
                  <c:v>1961.0609296519469</c:v>
                </c:pt>
                <c:pt idx="6">
                  <c:v>2615.1167794690041</c:v>
                </c:pt>
                <c:pt idx="7">
                  <c:v>3487.3142730318459</c:v>
                </c:pt>
                <c:pt idx="8">
                  <c:v>4650.4083237770283</c:v>
                </c:pt>
                <c:pt idx="9">
                  <c:v>6201.4191680673857</c:v>
                </c:pt>
                <c:pt idx="10">
                  <c:v>8269.7253704463092</c:v>
                </c:pt>
                <c:pt idx="11">
                  <c:v>11027.856019594938</c:v>
                </c:pt>
                <c:pt idx="12">
                  <c:v>14705.882352941175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F-409D-8193-DF9FF51A931A}"/>
            </c:ext>
          </c:extLst>
        </c:ser>
        <c:ser>
          <c:idx val="2"/>
          <c:order val="2"/>
          <c:tx>
            <c:strRef>
              <c:f>model!$G$95</c:f>
              <c:strCache>
                <c:ptCount val="1"/>
                <c:pt idx="0">
                  <c:v>upsell revenue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model!$G$96:$G$108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709.55882352941182</c:v>
                </c:pt>
                <c:pt idx="5">
                  <c:v>946.21189855706439</c:v>
                </c:pt>
                <c:pt idx="6">
                  <c:v>1261.7938460937946</c:v>
                </c:pt>
                <c:pt idx="7">
                  <c:v>1682.6291367378658</c:v>
                </c:pt>
                <c:pt idx="8">
                  <c:v>2243.8220162224161</c:v>
                </c:pt>
                <c:pt idx="9">
                  <c:v>2992.1847485925136</c:v>
                </c:pt>
                <c:pt idx="10">
                  <c:v>3990.142491240345</c:v>
                </c:pt>
                <c:pt idx="11">
                  <c:v>5320.9405294545577</c:v>
                </c:pt>
                <c:pt idx="12">
                  <c:v>7095.5882352941171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5169.9434097697122</c:v>
                </c:pt>
                <c:pt idx="8">
                  <c:v>6894.2303399994444</c:v>
                </c:pt>
                <c:pt idx="9">
                  <c:v>9193.6039166599003</c:v>
                </c:pt>
                <c:pt idx="10">
                  <c:v>12259.867861686655</c:v>
                </c:pt>
                <c:pt idx="11">
                  <c:v>16348.796549049495</c:v>
                </c:pt>
                <c:pt idx="12">
                  <c:v>21801.470588235294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Gross Margin Composition (top-down)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model!$I$95</c:f>
              <c:strCache>
                <c:ptCount val="1"/>
                <c:pt idx="0">
                  <c:v>base plans gm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model!$I$96:$I$108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470.58823529411751</c:v>
                </c:pt>
                <c:pt idx="5">
                  <c:v>627.53949748862283</c:v>
                </c:pt>
                <c:pt idx="6">
                  <c:v>836.83736943008103</c:v>
                </c:pt>
                <c:pt idx="7">
                  <c:v>1115.9405673701904</c:v>
                </c:pt>
                <c:pt idx="8">
                  <c:v>1488.1306636086485</c:v>
                </c:pt>
                <c:pt idx="9">
                  <c:v>1984.4541337815629</c:v>
                </c:pt>
                <c:pt idx="10">
                  <c:v>2646.3121185428186</c:v>
                </c:pt>
                <c:pt idx="11">
                  <c:v>3528.9139262703789</c:v>
                </c:pt>
                <c:pt idx="12">
                  <c:v>4705.8823529411738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8D9-8B61-184FF7813811}"/>
            </c:ext>
          </c:extLst>
        </c:ser>
        <c:ser>
          <c:idx val="2"/>
          <c:order val="2"/>
          <c:tx>
            <c:strRef>
              <c:f>model!$J$95</c:f>
              <c:strCache>
                <c:ptCount val="1"/>
                <c:pt idx="0">
                  <c:v>upsell gm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model!$J$96:$J$108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349.08088235294122</c:v>
                </c:pt>
                <c:pt idx="5">
                  <c:v>465.50683817613088</c:v>
                </c:pt>
                <c:pt idx="6">
                  <c:v>620.76334552645494</c:v>
                </c:pt>
                <c:pt idx="7">
                  <c:v>827.80122556093454</c:v>
                </c:pt>
                <c:pt idx="8">
                  <c:v>1103.8906758565722</c:v>
                </c:pt>
                <c:pt idx="9">
                  <c:v>1472.0618750199958</c:v>
                </c:pt>
                <c:pt idx="10">
                  <c:v>1963.0260598096929</c:v>
                </c:pt>
                <c:pt idx="11">
                  <c:v>2617.7373226513487</c:v>
                </c:pt>
                <c:pt idx="12">
                  <c:v>3490.8088235294117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model!$K$95</c:f>
              <c:strCache>
                <c:ptCount val="1"/>
                <c:pt idx="0">
                  <c:v>total gm top-down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model!$K$96:$K$108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819.66911764705878</c:v>
                </c:pt>
                <c:pt idx="5">
                  <c:v>1093.0463356647538</c:v>
                </c:pt>
                <c:pt idx="6">
                  <c:v>1457.600714956536</c:v>
                </c:pt>
                <c:pt idx="7">
                  <c:v>1943.741792931125</c:v>
                </c:pt>
                <c:pt idx="8">
                  <c:v>2592.021339465221</c:v>
                </c:pt>
                <c:pt idx="9">
                  <c:v>3456.5160088015587</c:v>
                </c:pt>
                <c:pt idx="10">
                  <c:v>4609.338178352511</c:v>
                </c:pt>
                <c:pt idx="11">
                  <c:v>6146.6512489217275</c:v>
                </c:pt>
                <c:pt idx="12">
                  <c:v>8196.6911764705856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Composition of Revenue and Units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model!$B$46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model!$C$46:$E$46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A-478B-A494-967BF92852EF}"/>
            </c:ext>
          </c:extLst>
        </c:ser>
        <c:ser>
          <c:idx val="1"/>
          <c:order val="1"/>
          <c:tx>
            <c:strRef>
              <c:f>model!$B$48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model!$C$48:$E$48</c:f>
              <c:numCache>
                <c:formatCode>0%</c:formatCode>
                <c:ptCount val="3"/>
                <c:pt idx="0">
                  <c:v>0.23076923076923075</c:v>
                </c:pt>
                <c:pt idx="1">
                  <c:v>0.30769230769230771</c:v>
                </c:pt>
                <c:pt idx="2">
                  <c:v>0.46153846153846151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A-478B-A494-967BF928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(bottom-up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model!$AJ$95</c:f>
              <c:strCache>
                <c:ptCount val="1"/>
                <c:pt idx="0">
                  <c:v>acum (bottom-up)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model!$AJ$96:$AJ$108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-2500</c:v>
                </c:pt>
                <c:pt idx="2">
                  <c:v>-4000</c:v>
                </c:pt>
                <c:pt idx="3">
                  <c:v>-5500</c:v>
                </c:pt>
                <c:pt idx="4">
                  <c:v>-7319.8529411764703</c:v>
                </c:pt>
                <c:pt idx="5">
                  <c:v>-8746.1015451307831</c:v>
                </c:pt>
                <c:pt idx="6">
                  <c:v>-9647.4703296069074</c:v>
                </c:pt>
                <c:pt idx="7">
                  <c:v>-9848.9006254988508</c:v>
                </c:pt>
                <c:pt idx="8">
                  <c:v>-9116.9479456677855</c:v>
                </c:pt>
                <c:pt idx="9">
                  <c:v>-7140.3090632937074</c:v>
                </c:pt>
                <c:pt idx="10">
                  <c:v>-3503.854453510543</c:v>
                </c:pt>
                <c:pt idx="11">
                  <c:v>2346.0000022143959</c:v>
                </c:pt>
                <c:pt idx="12">
                  <c:v>11147.470590449691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model!$AI$95</c:f>
              <c:strCache>
                <c:ptCount val="1"/>
                <c:pt idx="0">
                  <c:v>cashflow (bottom-up)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model!$AI$96:$AI$108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-1500</c:v>
                </c:pt>
                <c:pt idx="2">
                  <c:v>-1500</c:v>
                </c:pt>
                <c:pt idx="3">
                  <c:v>-1500</c:v>
                </c:pt>
                <c:pt idx="4">
                  <c:v>-1819.8529411764707</c:v>
                </c:pt>
                <c:pt idx="5">
                  <c:v>-1426.2486039543128</c:v>
                </c:pt>
                <c:pt idx="6">
                  <c:v>-901.36878447612435</c:v>
                </c:pt>
                <c:pt idx="7">
                  <c:v>-201.43029589194339</c:v>
                </c:pt>
                <c:pt idx="8">
                  <c:v>731.95267983106532</c:v>
                </c:pt>
                <c:pt idx="9">
                  <c:v>1976.6388823740781</c:v>
                </c:pt>
                <c:pt idx="10">
                  <c:v>3636.4546097831644</c:v>
                </c:pt>
                <c:pt idx="11">
                  <c:v>5849.8544557249388</c:v>
                </c:pt>
                <c:pt idx="12">
                  <c:v>8801.4705882352955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5169.9434097697122</c:v>
                </c:pt>
                <c:pt idx="8">
                  <c:v>6894.2303399994444</c:v>
                </c:pt>
                <c:pt idx="9">
                  <c:v>9193.6039166599003</c:v>
                </c:pt>
                <c:pt idx="10">
                  <c:v>12259.867861686655</c:v>
                </c:pt>
                <c:pt idx="11">
                  <c:v>16348.796549049495</c:v>
                </c:pt>
                <c:pt idx="12">
                  <c:v>21801.470588235294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4A55-B947-1D3AAF123A2A}"/>
            </c:ext>
          </c:extLst>
        </c:ser>
        <c:ser>
          <c:idx val="4"/>
          <c:order val="3"/>
          <c:tx>
            <c:strRef>
              <c:f>model!$V$95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model!$V$96:$V$108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Composition (bottom-up)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model!$D$95</c:f>
              <c:strCache>
                <c:ptCount val="1"/>
                <c:pt idx="0">
                  <c:v>MSFT revenue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model!$D$96:$D$108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1333.5214321633239</c:v>
                </c:pt>
                <c:pt idx="6">
                  <c:v>1778.2794100389228</c:v>
                </c:pt>
                <c:pt idx="7">
                  <c:v>2371.3737056616551</c:v>
                </c:pt>
                <c:pt idx="8">
                  <c:v>3162.277660168379</c:v>
                </c:pt>
                <c:pt idx="9">
                  <c:v>4216.9650342858222</c:v>
                </c:pt>
                <c:pt idx="10">
                  <c:v>5623.4132519034902</c:v>
                </c:pt>
                <c:pt idx="11">
                  <c:v>7498.9420933245574</c:v>
                </c:pt>
                <c:pt idx="12">
                  <c:v>9999.9999999999982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5-4E23-8CC7-A621CAD6425A}"/>
            </c:ext>
          </c:extLst>
        </c:ser>
        <c:ser>
          <c:idx val="2"/>
          <c:order val="2"/>
          <c:tx>
            <c:strRef>
              <c:f>model!$T$95</c:f>
              <c:strCache>
                <c:ptCount val="1"/>
                <c:pt idx="0">
                  <c:v>prj + mngd svcs costs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model!$T$96:$T$108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  <c:pt idx="10">
                  <c:v>2500</c:v>
                </c:pt>
                <c:pt idx="11">
                  <c:v>2500</c:v>
                </c:pt>
                <c:pt idx="1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5-4E23-8CC7-A621CAD6425A}"/>
            </c:ext>
          </c:extLst>
        </c:ser>
        <c:ser>
          <c:idx val="1"/>
          <c:order val="3"/>
          <c:tx>
            <c:strRef>
              <c:f>model!$U$95</c:f>
              <c:strCache>
                <c:ptCount val="1"/>
                <c:pt idx="0">
                  <c:v>ip svcs costs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model!$U$96:$U$108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model!$V$95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model!$C$96:$C$108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model!$V$96:$V$108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5-4E23-8CC7-A621CAD6425A}"/>
            </c:ext>
          </c:extLst>
        </c:ser>
        <c:ser>
          <c:idx val="4"/>
          <c:order val="4"/>
          <c:tx>
            <c:strRef>
              <c:f>model!$H$95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model!$H$96:$H$108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2180.1470588235293</c:v>
                </c:pt>
                <c:pt idx="5">
                  <c:v>2907.2728282090111</c:v>
                </c:pt>
                <c:pt idx="6">
                  <c:v>3876.9106255627985</c:v>
                </c:pt>
                <c:pt idx="7">
                  <c:v>5169.9434097697122</c:v>
                </c:pt>
                <c:pt idx="8">
                  <c:v>6894.2303399994444</c:v>
                </c:pt>
                <c:pt idx="9">
                  <c:v>9193.6039166599003</c:v>
                </c:pt>
                <c:pt idx="10">
                  <c:v>12259.867861686655</c:v>
                </c:pt>
                <c:pt idx="11">
                  <c:v>16348.796549049495</c:v>
                </c:pt>
                <c:pt idx="12">
                  <c:v>21801.470588235294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405012</xdr:colOff>
      <xdr:row>2</xdr:row>
      <xdr:rowOff>174606</xdr:rowOff>
    </xdr:from>
    <xdr:to>
      <xdr:col>11</xdr:col>
      <xdr:colOff>418941</xdr:colOff>
      <xdr:row>26</xdr:row>
      <xdr:rowOff>85892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28FDC-59BA-4705-A1D6-6C6339D9E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636135</xdr:colOff>
      <xdr:row>27</xdr:row>
      <xdr:rowOff>135386</xdr:rowOff>
    </xdr:from>
    <xdr:to>
      <xdr:col>17</xdr:col>
      <xdr:colOff>228242</xdr:colOff>
      <xdr:row>43</xdr:row>
      <xdr:rowOff>76245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B23E-B3FA-44E7-86AA-BCEE4EF1E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401413</xdr:colOff>
      <xdr:row>44</xdr:row>
      <xdr:rowOff>97287</xdr:rowOff>
    </xdr:from>
    <xdr:to>
      <xdr:col>11</xdr:col>
      <xdr:colOff>415342</xdr:colOff>
      <xdr:row>59</xdr:row>
      <xdr:rowOff>49714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75706-927A-4DA5-B919-A6795415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408213</xdr:colOff>
      <xdr:row>27</xdr:row>
      <xdr:rowOff>119740</xdr:rowOff>
    </xdr:from>
    <xdr:to>
      <xdr:col>11</xdr:col>
      <xdr:colOff>421821</xdr:colOff>
      <xdr:row>43</xdr:row>
      <xdr:rowOff>60597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FE811-0CA5-46EF-809B-12187DE6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612319</xdr:colOff>
      <xdr:row>2</xdr:row>
      <xdr:rowOff>176894</xdr:rowOff>
    </xdr:from>
    <xdr:to>
      <xdr:col>17</xdr:col>
      <xdr:colOff>204426</xdr:colOff>
      <xdr:row>26</xdr:row>
      <xdr:rowOff>88180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66A683-12F9-4B4E-B1D5-90ABBAF61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625928</xdr:colOff>
      <xdr:row>44</xdr:row>
      <xdr:rowOff>115662</xdr:rowOff>
    </xdr:from>
    <xdr:to>
      <xdr:col>17</xdr:col>
      <xdr:colOff>218035</xdr:colOff>
      <xdr:row>59</xdr:row>
      <xdr:rowOff>68089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B15ED2-EA68-4D0B-88D0-0C921221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2"/>
  <sheetViews>
    <sheetView tabSelected="1" topLeftCell="A25" zoomScale="70" zoomScaleNormal="70" workbookViewId="0">
      <selection activeCell="E39" sqref="E39"/>
    </sheetView>
  </sheetViews>
  <sheetFormatPr defaultRowHeight="14.25" x14ac:dyDescent="0.45"/>
  <cols>
    <col min="2" max="2" width="44.53125" customWidth="1"/>
    <col min="3" max="5" width="15.265625" customWidth="1"/>
    <col min="6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4" width="11.6640625" customWidth="1"/>
    <col min="15" max="15" width="9.59765625" customWidth="1"/>
    <col min="16" max="16" width="9.3984375" customWidth="1"/>
    <col min="17" max="17" width="9.59765625" customWidth="1"/>
    <col min="20" max="20" width="10.3984375" bestFit="1" customWidth="1"/>
    <col min="21" max="21" width="10.59765625" customWidth="1"/>
    <col min="22" max="22" width="10.86328125" customWidth="1"/>
    <col min="23" max="23" width="11.33203125" customWidth="1"/>
    <col min="24" max="24" width="9.53125" customWidth="1"/>
    <col min="25" max="25" width="11.796875" customWidth="1"/>
    <col min="26" max="43" width="10.59765625" customWidth="1"/>
  </cols>
  <sheetData>
    <row r="2" spans="2:6" ht="21" x14ac:dyDescent="0.65">
      <c r="B2" s="36" t="s">
        <v>80</v>
      </c>
    </row>
    <row r="3" spans="2:6" x14ac:dyDescent="0.45">
      <c r="B3" s="4"/>
      <c r="C3" s="4"/>
    </row>
    <row r="4" spans="2:6" x14ac:dyDescent="0.45">
      <c r="B4" s="68" t="s">
        <v>112</v>
      </c>
      <c r="C4" s="68"/>
      <c r="D4" s="68"/>
      <c r="E4" s="68"/>
      <c r="F4" s="68"/>
    </row>
    <row r="5" spans="2:6" x14ac:dyDescent="0.45">
      <c r="B5" s="4"/>
      <c r="C5" s="4"/>
    </row>
    <row r="6" spans="2:6" x14ac:dyDescent="0.45">
      <c r="B6" s="4" t="s">
        <v>84</v>
      </c>
      <c r="C6" s="41">
        <v>1000</v>
      </c>
      <c r="D6" t="s">
        <v>89</v>
      </c>
    </row>
    <row r="7" spans="2:6" x14ac:dyDescent="0.45">
      <c r="B7" s="4" t="s">
        <v>83</v>
      </c>
      <c r="C7" s="41">
        <v>10000</v>
      </c>
      <c r="D7" t="s">
        <v>89</v>
      </c>
    </row>
    <row r="8" spans="2:6" x14ac:dyDescent="0.45">
      <c r="B8" s="4" t="s">
        <v>82</v>
      </c>
      <c r="C8" s="42">
        <v>4</v>
      </c>
      <c r="D8" t="s">
        <v>89</v>
      </c>
    </row>
    <row r="9" spans="2:6" x14ac:dyDescent="0.45">
      <c r="B9" s="4" t="s">
        <v>81</v>
      </c>
      <c r="C9" s="41">
        <v>12</v>
      </c>
      <c r="D9" t="s">
        <v>89</v>
      </c>
    </row>
    <row r="10" spans="2:6" x14ac:dyDescent="0.45">
      <c r="B10" s="4" t="s">
        <v>85</v>
      </c>
      <c r="C10" s="41">
        <v>12</v>
      </c>
      <c r="D10" t="s">
        <v>89</v>
      </c>
    </row>
    <row r="11" spans="2:6" x14ac:dyDescent="0.45">
      <c r="B11" s="4" t="s">
        <v>5</v>
      </c>
      <c r="C11" s="14">
        <f>C9-C8</f>
        <v>8</v>
      </c>
    </row>
    <row r="12" spans="2:6" x14ac:dyDescent="0.45">
      <c r="B12" s="4" t="s">
        <v>3</v>
      </c>
      <c r="C12" s="15">
        <f>EXP(LN($C$7/$C$6)/$C$11)-1</f>
        <v>0.33352143216332397</v>
      </c>
    </row>
    <row r="13" spans="2:6" x14ac:dyDescent="0.45">
      <c r="B13" s="4" t="s">
        <v>1</v>
      </c>
      <c r="C13" s="52">
        <v>0.15</v>
      </c>
      <c r="D13" t="s">
        <v>90</v>
      </c>
    </row>
    <row r="14" spans="2:6" x14ac:dyDescent="0.45">
      <c r="B14" s="4" t="s">
        <v>87</v>
      </c>
      <c r="C14" s="52">
        <v>0.2</v>
      </c>
      <c r="D14" t="s">
        <v>90</v>
      </c>
    </row>
    <row r="15" spans="2:6" x14ac:dyDescent="0.45">
      <c r="B15" s="4" t="s">
        <v>86</v>
      </c>
      <c r="C15" s="53">
        <f>NOMINAL(30%,12)/12</f>
        <v>2.2104450593615876E-2</v>
      </c>
      <c r="D15" t="s">
        <v>88</v>
      </c>
    </row>
    <row r="16" spans="2:6" x14ac:dyDescent="0.45">
      <c r="B16" s="4" t="s">
        <v>74</v>
      </c>
      <c r="C16" s="53">
        <f>NOMINAL(6%,12)/12</f>
        <v>4.8675505653430484E-3</v>
      </c>
      <c r="D16" t="s">
        <v>88</v>
      </c>
    </row>
    <row r="19" spans="2:6" x14ac:dyDescent="0.45">
      <c r="B19" s="68" t="s">
        <v>113</v>
      </c>
      <c r="C19" s="68"/>
      <c r="D19" s="68"/>
      <c r="E19" s="68"/>
      <c r="F19" s="68"/>
    </row>
    <row r="21" spans="2:6" x14ac:dyDescent="0.45">
      <c r="B21" s="4"/>
      <c r="C21" s="4" t="s">
        <v>123</v>
      </c>
      <c r="D21" s="4" t="s">
        <v>124</v>
      </c>
      <c r="E21" s="4" t="s">
        <v>126</v>
      </c>
      <c r="F21" s="4" t="s">
        <v>126</v>
      </c>
    </row>
    <row r="22" spans="2:6" x14ac:dyDescent="0.45">
      <c r="B22" s="4" t="s">
        <v>61</v>
      </c>
      <c r="C22" s="37">
        <f>INDEX($AD$96:$AD$108,$C$10+1,0)</f>
        <v>20662.260964297344</v>
      </c>
      <c r="D22" s="37">
        <f>INDEX($AM$96:$AM$108,$C$10+1,0)</f>
        <v>7312.5216149143889</v>
      </c>
      <c r="E22" t="str">
        <f>IF(C22&gt;=0,"good!","warnning!")</f>
        <v>good!</v>
      </c>
      <c r="F22" t="str">
        <f>IF(D22&gt;=0,"good!","warnning!")</f>
        <v>good!</v>
      </c>
    </row>
    <row r="23" spans="2:6" x14ac:dyDescent="0.45">
      <c r="B23" s="4" t="s">
        <v>70</v>
      </c>
      <c r="C23" s="44">
        <f>INDEX($AE$96:$AE$108,$C$10+1,0)</f>
        <v>0.30327075576430595</v>
      </c>
      <c r="D23" s="44">
        <f>INDEX($AN$96:$AN$108,$C$10+1,0)</f>
        <v>9.9371216546409569E-2</v>
      </c>
      <c r="E23" t="str">
        <f>IF(C23&gt;=C15,"good!","warnning!")</f>
        <v>good!</v>
      </c>
      <c r="F23" t="str">
        <f>IF(D23&gt;=C15,"good!","warnning!")</f>
        <v>good!</v>
      </c>
    </row>
    <row r="24" spans="2:6" x14ac:dyDescent="0.45">
      <c r="B24" s="4" t="s">
        <v>71</v>
      </c>
      <c r="C24" s="44">
        <f>INDEX($AF$96:$AF$108,$C$10+1,0)</f>
        <v>0.18816568950222146</v>
      </c>
      <c r="D24" s="44">
        <f>INDEX($AO$96:$AO$108,$C$10+1,0)</f>
        <v>7.1466326337456643E-2</v>
      </c>
      <c r="E24" t="str">
        <f>IF(C24&gt;=C15,"good!","warnning!")</f>
        <v>good!</v>
      </c>
      <c r="F24" t="str">
        <f>IF(D24&gt;=C15,"good!","warnning!")</f>
        <v>good!</v>
      </c>
    </row>
    <row r="25" spans="2:6" x14ac:dyDescent="0.45">
      <c r="B25" s="4" t="s">
        <v>62</v>
      </c>
      <c r="C25" s="37">
        <f>INDEX($H$96:$H$108,$C$10+1,0)</f>
        <v>21801.470588235294</v>
      </c>
      <c r="D25" s="37">
        <f>INDEX($H$96:$H$108,$C$10+1,0)</f>
        <v>21801.470588235294</v>
      </c>
      <c r="E25" t="str">
        <f>IF(C25&gt;=2*C7,"good!","warnning!")</f>
        <v>good!</v>
      </c>
      <c r="F25" t="str">
        <f>IF(D25&gt;=2*C7,"good!","warnning!")</f>
        <v>good!</v>
      </c>
    </row>
    <row r="26" spans="2:6" x14ac:dyDescent="0.45">
      <c r="B26" s="4" t="s">
        <v>134</v>
      </c>
      <c r="C26" s="44">
        <f>INDEX($L$96:$L$108,$C$10+1,0)</f>
        <v>0.37596964586846532</v>
      </c>
      <c r="D26" s="44">
        <f>INDEX($X$96:$X$108,$C$10+1,0)</f>
        <v>0.40370994940978083</v>
      </c>
      <c r="E26" t="str">
        <f>IF(C26&gt;=(1-(1-$C$13)*(1-$C$14)),"good!","warnning!")</f>
        <v>good!</v>
      </c>
      <c r="F26" t="str">
        <f>IF(D26&gt;=(1-(1-$C$13)*(1-$C$14)),"good!","warnning!")</f>
        <v>good!</v>
      </c>
    </row>
    <row r="27" spans="2:6" x14ac:dyDescent="0.45">
      <c r="B27" s="4" t="s">
        <v>64</v>
      </c>
      <c r="C27" s="37">
        <f>INDEX($AH$96:$AH$108,$C$10+1,0)</f>
        <v>-4000</v>
      </c>
      <c r="D27" s="37">
        <f>INDEX($AQ$96:$AQ$108,$C$10+1,0)</f>
        <v>-9848.9006254988508</v>
      </c>
    </row>
    <row r="28" spans="2:6" x14ac:dyDescent="0.45">
      <c r="B28" s="4" t="s">
        <v>65</v>
      </c>
      <c r="C28" s="37">
        <f>INDEX($AG$96:$AG$108,$C$10+1,0)</f>
        <v>-1000</v>
      </c>
      <c r="D28" s="37">
        <f>INDEX($AP$96:$AP$108,$C$10+1,0)</f>
        <v>-1819.8529411764707</v>
      </c>
    </row>
    <row r="29" spans="2:6" x14ac:dyDescent="0.45">
      <c r="B29" s="4" t="s">
        <v>67</v>
      </c>
      <c r="C29" s="43">
        <f>INDEX($C$96:$C$108,MATCH("payback",$AC$96:$AC$108,0),0)</f>
        <v>7</v>
      </c>
      <c r="D29" s="43">
        <f>INDEX($C$96:$C$108,MATCH("payback",$AL$96:$AL$108,0),0)</f>
        <v>11</v>
      </c>
      <c r="E29" t="str">
        <f>IF(C29&lt;=12,"good!","warnning!")</f>
        <v>good!</v>
      </c>
      <c r="F29" t="str">
        <f>IF(D29&lt;=12,"good!","warnning!")</f>
        <v>good!</v>
      </c>
    </row>
    <row r="30" spans="2:6" x14ac:dyDescent="0.45">
      <c r="B30" s="4" t="s">
        <v>68</v>
      </c>
      <c r="C30" s="43">
        <f>INDEX($C$96:$C$108,MATCH("breakeven",$AB$96:$AB$108,0),0)</f>
        <v>4</v>
      </c>
      <c r="D30" s="43">
        <f>INDEX($C$96:$C$108,MATCH("breakeven",$AK$96:$AK$108,0),0)</f>
        <v>8</v>
      </c>
      <c r="E30" t="str">
        <f>IF(C30&lt;=12,"good!","warnning!")</f>
        <v>good!</v>
      </c>
      <c r="F30" t="str">
        <f>IF(D30&lt;=12,"good!","warnning!")</f>
        <v>good!</v>
      </c>
    </row>
    <row r="31" spans="2:6" x14ac:dyDescent="0.45">
      <c r="C31" s="15"/>
    </row>
    <row r="32" spans="2:6" x14ac:dyDescent="0.45">
      <c r="B32" s="68" t="s">
        <v>90</v>
      </c>
      <c r="C32" s="68"/>
      <c r="D32" s="68"/>
      <c r="E32" s="68"/>
      <c r="F32" s="68"/>
    </row>
    <row r="34" spans="2:13" x14ac:dyDescent="0.45">
      <c r="B34" s="4" t="s">
        <v>34</v>
      </c>
      <c r="C34" s="59" t="s">
        <v>6</v>
      </c>
      <c r="D34" s="60" t="s">
        <v>8</v>
      </c>
      <c r="E34" s="59" t="s">
        <v>7</v>
      </c>
      <c r="F34" s="59"/>
    </row>
    <row r="35" spans="2:13" x14ac:dyDescent="0.45">
      <c r="B35" s="4" t="s">
        <v>10</v>
      </c>
      <c r="C35" s="18">
        <v>50</v>
      </c>
      <c r="D35" s="18">
        <v>500</v>
      </c>
      <c r="E35" s="18">
        <v>1000</v>
      </c>
    </row>
    <row r="36" spans="2:13" x14ac:dyDescent="0.45">
      <c r="B36" s="4" t="s">
        <v>9</v>
      </c>
      <c r="C36" s="5">
        <f>IF(C35&lt;=50,5,ROUNDUP(C35/500,0)*10)</f>
        <v>5</v>
      </c>
      <c r="D36" s="5">
        <f t="shared" ref="D36:E36" si="0">IF(D35&lt;=50,5,ROUNDUP(D35/500,0)*10)</f>
        <v>10</v>
      </c>
      <c r="E36" s="5">
        <f t="shared" si="0"/>
        <v>20</v>
      </c>
    </row>
    <row r="37" spans="2:13" x14ac:dyDescent="0.45">
      <c r="B37" s="4" t="s">
        <v>12</v>
      </c>
      <c r="C37" s="5" t="s">
        <v>21</v>
      </c>
      <c r="D37" s="5" t="s">
        <v>13</v>
      </c>
      <c r="E37" s="5" t="s">
        <v>13</v>
      </c>
    </row>
    <row r="38" spans="2:13" x14ac:dyDescent="0.45">
      <c r="B38" s="4" t="s">
        <v>11</v>
      </c>
      <c r="C38" s="22">
        <f>VLOOKUP(C37,price_list!$F$3:$K$8,6,)</f>
        <v>0.01</v>
      </c>
      <c r="D38" s="22">
        <f>VLOOKUP(D37,price_list!$F$3:$K$8,6,)</f>
        <v>2.4E-2</v>
      </c>
      <c r="E38" s="22">
        <f>VLOOKUP(E37,price_list!$F$3:$K$8,6,)</f>
        <v>2.4E-2</v>
      </c>
    </row>
    <row r="39" spans="2:13" x14ac:dyDescent="0.45">
      <c r="B39" s="4" t="s">
        <v>27</v>
      </c>
      <c r="C39" s="39">
        <f>C35*C38+C36</f>
        <v>5.5</v>
      </c>
      <c r="D39" s="39">
        <f>D35*D38+D36</f>
        <v>22</v>
      </c>
      <c r="E39" s="39">
        <f>E35*E38+E36</f>
        <v>44</v>
      </c>
    </row>
    <row r="40" spans="2:13" x14ac:dyDescent="0.45">
      <c r="B40" s="4" t="s">
        <v>1</v>
      </c>
      <c r="C40" s="9">
        <f>$C$13</f>
        <v>0.15</v>
      </c>
      <c r="D40" s="9">
        <f>$C$13</f>
        <v>0.15</v>
      </c>
      <c r="E40" s="9">
        <f>$C$13</f>
        <v>0.15</v>
      </c>
    </row>
    <row r="41" spans="2:13" x14ac:dyDescent="0.45">
      <c r="B41" s="4" t="s">
        <v>2</v>
      </c>
      <c r="C41" s="21">
        <f>C39*(1-C40)</f>
        <v>4.6749999999999998</v>
      </c>
      <c r="D41" s="21">
        <f>D39*(1-D40)</f>
        <v>18.7</v>
      </c>
      <c r="E41" s="21">
        <f>E39*(1-E40)</f>
        <v>37.4</v>
      </c>
    </row>
    <row r="42" spans="2:13" x14ac:dyDescent="0.45">
      <c r="B42" s="4" t="s">
        <v>28</v>
      </c>
      <c r="C42" s="9">
        <f>$C$14</f>
        <v>0.2</v>
      </c>
      <c r="D42" s="9">
        <f>$C$14</f>
        <v>0.2</v>
      </c>
      <c r="E42" s="9">
        <f>$C$14</f>
        <v>0.2</v>
      </c>
    </row>
    <row r="43" spans="2:13" x14ac:dyDescent="0.45">
      <c r="B43" s="4" t="s">
        <v>29</v>
      </c>
      <c r="C43" s="21">
        <f>C41*(1-C42)</f>
        <v>3.74</v>
      </c>
      <c r="D43" s="21">
        <f t="shared" ref="D43:E43" si="1">D41*(1-D42)</f>
        <v>14.96</v>
      </c>
      <c r="E43" s="21">
        <f t="shared" si="1"/>
        <v>29.92</v>
      </c>
    </row>
    <row r="44" spans="2:13" x14ac:dyDescent="0.45">
      <c r="B44" s="4" t="s">
        <v>33</v>
      </c>
      <c r="C44" s="10">
        <f>1-C43/C39</f>
        <v>0.31999999999999995</v>
      </c>
      <c r="D44" s="10">
        <f t="shared" ref="D44:E44" si="2">1-D43/D39</f>
        <v>0.31999999999999995</v>
      </c>
      <c r="E44" s="10">
        <f t="shared" si="2"/>
        <v>0.31999999999999995</v>
      </c>
    </row>
    <row r="45" spans="2:13" x14ac:dyDescent="0.45">
      <c r="B45" s="4" t="s">
        <v>32</v>
      </c>
      <c r="C45" s="21">
        <f>C39-C43</f>
        <v>1.7599999999999998</v>
      </c>
      <c r="D45" s="21">
        <f t="shared" ref="D45:E45" si="3">D39-D43</f>
        <v>7.0399999999999991</v>
      </c>
      <c r="E45" s="21">
        <f t="shared" si="3"/>
        <v>14.079999999999998</v>
      </c>
      <c r="G45" s="2"/>
      <c r="H45" s="2"/>
      <c r="I45" s="2"/>
      <c r="J45" s="2"/>
      <c r="M45" s="2"/>
    </row>
    <row r="46" spans="2:13" x14ac:dyDescent="0.45">
      <c r="B46" s="26" t="s">
        <v>31</v>
      </c>
      <c r="C46" s="38">
        <v>0.6</v>
      </c>
      <c r="D46" s="38">
        <v>0.2</v>
      </c>
      <c r="E46" s="38">
        <v>0.15</v>
      </c>
      <c r="G46" s="3"/>
      <c r="H46" s="3"/>
      <c r="I46" s="3"/>
      <c r="J46" s="3"/>
      <c r="M46" s="3"/>
    </row>
    <row r="47" spans="2:13" x14ac:dyDescent="0.45">
      <c r="B47" s="4" t="s">
        <v>63</v>
      </c>
      <c r="C47" s="24">
        <f>C46*C41</f>
        <v>2.8049999999999997</v>
      </c>
      <c r="D47" s="24">
        <f>D46*D41</f>
        <v>3.74</v>
      </c>
      <c r="E47" s="24">
        <f>E46*E41</f>
        <v>5.6099999999999994</v>
      </c>
    </row>
    <row r="48" spans="2:13" x14ac:dyDescent="0.45">
      <c r="B48" s="26" t="s">
        <v>30</v>
      </c>
      <c r="C48" s="54">
        <f>C47/SUM($C$47:$E$47)</f>
        <v>0.23076923076923075</v>
      </c>
      <c r="D48" s="54">
        <f>D47/SUM($C$47:$E$47)</f>
        <v>0.30769230769230771</v>
      </c>
      <c r="E48" s="54">
        <f>E47/SUM($C$47:$E$47)</f>
        <v>0.46153846153846151</v>
      </c>
      <c r="G48" s="2"/>
      <c r="H48" s="2"/>
      <c r="I48" s="2"/>
      <c r="J48" s="2"/>
      <c r="M48" s="2"/>
    </row>
    <row r="49" spans="2:13" x14ac:dyDescent="0.45">
      <c r="D49" s="15"/>
    </row>
    <row r="50" spans="2:13" x14ac:dyDescent="0.45">
      <c r="B50" s="4" t="s">
        <v>41</v>
      </c>
      <c r="C50" s="27">
        <f>SUMPRODUCT(C46:E46,C43:E43)</f>
        <v>9.7240000000000002</v>
      </c>
      <c r="D50" s="15"/>
    </row>
    <row r="51" spans="2:13" x14ac:dyDescent="0.45">
      <c r="B51" s="4" t="s">
        <v>91</v>
      </c>
      <c r="C51" s="27">
        <f>SUMPRODUCT(C39:E39,C46:E46)</f>
        <v>14.3</v>
      </c>
      <c r="D51" s="15"/>
      <c r="E51" s="19"/>
    </row>
    <row r="52" spans="2:13" x14ac:dyDescent="0.45">
      <c r="B52" s="4" t="s">
        <v>52</v>
      </c>
      <c r="C52" s="27">
        <f>SUMPRODUCT(C46:E46,C45:E45)</f>
        <v>4.5759999999999987</v>
      </c>
      <c r="D52" s="8"/>
      <c r="E52" s="7"/>
    </row>
    <row r="53" spans="2:13" x14ac:dyDescent="0.45">
      <c r="B53" s="4" t="s">
        <v>54</v>
      </c>
      <c r="C53" s="25">
        <f>C52/C51</f>
        <v>0.3199999999999999</v>
      </c>
      <c r="D53" s="8"/>
      <c r="E53" s="7"/>
    </row>
    <row r="54" spans="2:13" x14ac:dyDescent="0.45">
      <c r="B54" s="4"/>
      <c r="C54" s="4"/>
      <c r="D54" s="15"/>
      <c r="G54" s="2"/>
    </row>
    <row r="55" spans="2:13" ht="42.75" x14ac:dyDescent="0.45">
      <c r="C55" s="59" t="s">
        <v>27</v>
      </c>
      <c r="D55" s="60" t="s">
        <v>31</v>
      </c>
      <c r="E55" s="59"/>
      <c r="F55" s="59"/>
      <c r="G55" s="2"/>
    </row>
    <row r="56" spans="2:13" x14ac:dyDescent="0.45">
      <c r="B56" s="4" t="s">
        <v>46</v>
      </c>
      <c r="C56" s="21">
        <f t="array" ref="C56:C58">TRANSPOSE(C39:E39)</f>
        <v>5.5</v>
      </c>
      <c r="D56" s="9">
        <f t="array" ref="D56:D58">TRANSPOSE(C46:E46)</f>
        <v>0.6</v>
      </c>
      <c r="G56" s="2"/>
    </row>
    <row r="57" spans="2:13" x14ac:dyDescent="0.45">
      <c r="B57" s="4" t="s">
        <v>47</v>
      </c>
      <c r="C57" s="21">
        <v>22</v>
      </c>
      <c r="D57" s="9">
        <v>0.2</v>
      </c>
      <c r="G57" s="19"/>
      <c r="H57" s="19"/>
      <c r="I57" s="19"/>
      <c r="J57" s="19"/>
      <c r="M57" s="19"/>
    </row>
    <row r="58" spans="2:13" x14ac:dyDescent="0.45">
      <c r="B58" s="4" t="s">
        <v>48</v>
      </c>
      <c r="C58" s="21">
        <v>44</v>
      </c>
      <c r="D58" s="9">
        <v>0.15</v>
      </c>
      <c r="G58" s="23"/>
      <c r="H58" s="23"/>
      <c r="I58" s="23"/>
      <c r="J58" s="23"/>
      <c r="M58" s="23"/>
    </row>
    <row r="59" spans="2:13" x14ac:dyDescent="0.45">
      <c r="C59" s="15"/>
      <c r="D59" s="1"/>
      <c r="E59" s="1"/>
      <c r="G59" s="23"/>
      <c r="H59" s="23"/>
      <c r="I59" s="23"/>
      <c r="J59" s="23"/>
      <c r="M59" s="23"/>
    </row>
    <row r="60" spans="2:13" x14ac:dyDescent="0.45">
      <c r="B60" s="4" t="s">
        <v>38</v>
      </c>
      <c r="C60" s="59" t="s">
        <v>35</v>
      </c>
      <c r="D60" s="60" t="s">
        <v>36</v>
      </c>
      <c r="E60" s="59" t="s">
        <v>37</v>
      </c>
      <c r="F60" s="59"/>
      <c r="G60" s="3"/>
      <c r="H60" s="3"/>
      <c r="I60" s="3"/>
      <c r="J60" s="3"/>
      <c r="K60" s="12"/>
      <c r="L60" s="28"/>
      <c r="M60" s="3"/>
    </row>
    <row r="61" spans="2:13" x14ac:dyDescent="0.45">
      <c r="B61" t="s">
        <v>42</v>
      </c>
      <c r="C61" s="38">
        <v>0.75</v>
      </c>
      <c r="D61" s="38">
        <v>0.85</v>
      </c>
      <c r="E61" s="38">
        <v>0.35</v>
      </c>
      <c r="G61" s="3"/>
      <c r="H61" s="3"/>
      <c r="I61" s="3"/>
      <c r="J61" s="3"/>
      <c r="K61" s="12"/>
      <c r="L61" s="28"/>
      <c r="M61" s="3"/>
    </row>
    <row r="62" spans="2:13" x14ac:dyDescent="0.45">
      <c r="B62" t="s">
        <v>92</v>
      </c>
      <c r="C62" s="38">
        <v>0.15</v>
      </c>
      <c r="D62" s="38">
        <v>0.25</v>
      </c>
      <c r="E62" s="38">
        <v>0.45</v>
      </c>
      <c r="G62" s="3"/>
      <c r="H62" s="3"/>
      <c r="I62" s="3"/>
      <c r="J62" s="3"/>
      <c r="K62" s="12"/>
      <c r="L62" s="28"/>
      <c r="M62" s="3"/>
    </row>
    <row r="63" spans="2:13" x14ac:dyDescent="0.45">
      <c r="B63" t="s">
        <v>39</v>
      </c>
      <c r="C63" s="38">
        <v>0.35</v>
      </c>
      <c r="D63" s="40">
        <v>0.45</v>
      </c>
      <c r="E63" s="40">
        <v>0.65</v>
      </c>
      <c r="G63" s="3"/>
      <c r="H63" s="3"/>
      <c r="I63" s="3"/>
      <c r="J63" s="3"/>
      <c r="K63" s="12"/>
      <c r="L63" s="28"/>
      <c r="M63" s="3"/>
    </row>
    <row r="64" spans="2:13" x14ac:dyDescent="0.45">
      <c r="B64" t="s">
        <v>43</v>
      </c>
      <c r="C64" s="8">
        <f t="shared" ref="C64:E66" si="4">$C56*C$62</f>
        <v>0.82499999999999996</v>
      </c>
      <c r="D64" s="8">
        <f t="shared" si="4"/>
        <v>1.375</v>
      </c>
      <c r="E64" s="8">
        <f t="shared" si="4"/>
        <v>2.4750000000000001</v>
      </c>
      <c r="G64" s="3"/>
      <c r="H64" s="3"/>
      <c r="I64" s="3"/>
      <c r="J64" s="3"/>
      <c r="K64" s="12"/>
      <c r="L64" s="28"/>
      <c r="M64" s="3"/>
    </row>
    <row r="65" spans="2:13" x14ac:dyDescent="0.45">
      <c r="B65" t="s">
        <v>44</v>
      </c>
      <c r="C65" s="8">
        <f t="shared" si="4"/>
        <v>3.3</v>
      </c>
      <c r="D65" s="8">
        <f t="shared" si="4"/>
        <v>5.5</v>
      </c>
      <c r="E65" s="8">
        <f t="shared" si="4"/>
        <v>9.9</v>
      </c>
      <c r="G65" s="3"/>
      <c r="H65" s="3"/>
      <c r="I65" s="3"/>
      <c r="J65" s="3"/>
      <c r="K65" s="12"/>
      <c r="L65" s="28"/>
      <c r="M65" s="3"/>
    </row>
    <row r="66" spans="2:13" x14ac:dyDescent="0.45">
      <c r="B66" t="s">
        <v>45</v>
      </c>
      <c r="C66" s="8">
        <f t="shared" si="4"/>
        <v>6.6</v>
      </c>
      <c r="D66" s="8">
        <f t="shared" si="4"/>
        <v>11</v>
      </c>
      <c r="E66" s="8">
        <f t="shared" si="4"/>
        <v>19.8</v>
      </c>
      <c r="G66" s="3"/>
      <c r="H66" s="3"/>
      <c r="I66" s="3"/>
      <c r="J66" s="3"/>
      <c r="K66" s="12"/>
      <c r="L66" s="28"/>
      <c r="M66" s="3"/>
    </row>
    <row r="67" spans="2:13" x14ac:dyDescent="0.45">
      <c r="B67" t="s">
        <v>49</v>
      </c>
      <c r="C67" s="8">
        <f>SUMPRODUCT(C64:C66,$D$56:$D$58)*C61</f>
        <v>1.6087500000000001</v>
      </c>
      <c r="D67" s="8">
        <f>SUMPRODUCT(D64:D66,$D$56:$D$58)*D61</f>
        <v>3.0387500000000003</v>
      </c>
      <c r="E67" s="8">
        <f>SUMPRODUCT(E64:E66,$D$56:$D$58)*E61</f>
        <v>2.2522500000000001</v>
      </c>
      <c r="K67" s="12"/>
      <c r="L67" s="29"/>
    </row>
    <row r="68" spans="2:13" x14ac:dyDescent="0.45">
      <c r="B68" t="s">
        <v>50</v>
      </c>
      <c r="C68" s="8">
        <f>C67*C63</f>
        <v>0.56306250000000002</v>
      </c>
      <c r="D68" s="8">
        <f>D67*D63</f>
        <v>1.3674375000000001</v>
      </c>
      <c r="E68" s="8">
        <f>E67*E63</f>
        <v>1.4639625000000001</v>
      </c>
      <c r="K68" s="16"/>
    </row>
    <row r="69" spans="2:13" x14ac:dyDescent="0.45">
      <c r="C69" s="15"/>
      <c r="D69" s="1"/>
      <c r="E69" s="1"/>
      <c r="K69" s="16"/>
    </row>
    <row r="70" spans="2:13" x14ac:dyDescent="0.45">
      <c r="B70" s="4" t="s">
        <v>40</v>
      </c>
      <c r="C70" s="27">
        <f>SUM(C67:E67)</f>
        <v>6.8997500000000009</v>
      </c>
      <c r="D70" s="1"/>
      <c r="E70" s="1"/>
      <c r="K70" s="16"/>
    </row>
    <row r="71" spans="2:13" s="33" customFormat="1" x14ac:dyDescent="0.45">
      <c r="B71" s="4" t="s">
        <v>51</v>
      </c>
      <c r="C71" s="27">
        <f>SUM(C68:E68)</f>
        <v>3.3944625000000004</v>
      </c>
      <c r="D71" s="1"/>
      <c r="E71" s="1"/>
      <c r="K71" s="34"/>
    </row>
    <row r="72" spans="2:13" s="33" customFormat="1" x14ac:dyDescent="0.45">
      <c r="B72" s="4" t="s">
        <v>53</v>
      </c>
      <c r="C72" s="25">
        <f>C71/C70</f>
        <v>0.49196891191709846</v>
      </c>
      <c r="D72" s="1"/>
      <c r="E72" s="1"/>
      <c r="K72" s="34"/>
    </row>
    <row r="73" spans="2:13" s="33" customFormat="1" x14ac:dyDescent="0.45">
      <c r="K73" s="34"/>
    </row>
    <row r="74" spans="2:13" s="33" customFormat="1" x14ac:dyDescent="0.45">
      <c r="B74" s="68" t="s">
        <v>93</v>
      </c>
      <c r="C74" s="68"/>
      <c r="D74" s="68"/>
      <c r="E74" s="68"/>
      <c r="F74" s="68"/>
      <c r="K74" s="34"/>
    </row>
    <row r="75" spans="2:13" s="33" customFormat="1" x14ac:dyDescent="0.45">
      <c r="B75" s="32"/>
      <c r="C75" s="10"/>
      <c r="D75" s="13"/>
      <c r="E75" s="13"/>
      <c r="K75" s="34"/>
    </row>
    <row r="76" spans="2:13" s="33" customFormat="1" x14ac:dyDescent="0.45">
      <c r="B76" s="32" t="s">
        <v>55</v>
      </c>
      <c r="C76" s="17">
        <f>(52-2)*5*8/12</f>
        <v>166.66666666666666</v>
      </c>
      <c r="D76" s="13"/>
      <c r="E76" s="13"/>
      <c r="K76" s="34"/>
    </row>
    <row r="77" spans="2:13" s="33" customFormat="1" x14ac:dyDescent="0.45">
      <c r="B77" s="32" t="s">
        <v>56</v>
      </c>
      <c r="C77" s="17">
        <f>C76*60</f>
        <v>10000</v>
      </c>
      <c r="D77" s="13"/>
      <c r="E77" s="13"/>
      <c r="K77" s="34"/>
    </row>
    <row r="78" spans="2:13" s="33" customFormat="1" x14ac:dyDescent="0.45">
      <c r="B78" s="35" t="s">
        <v>57</v>
      </c>
      <c r="C78" s="18">
        <v>10</v>
      </c>
      <c r="D78" s="13"/>
      <c r="E78" s="13"/>
      <c r="K78" s="34"/>
    </row>
    <row r="79" spans="2:13" s="33" customFormat="1" x14ac:dyDescent="0.45">
      <c r="B79" s="35" t="s">
        <v>102</v>
      </c>
      <c r="C79" s="18">
        <v>5</v>
      </c>
      <c r="D79" s="13"/>
      <c r="E79" s="13"/>
      <c r="K79" s="34"/>
    </row>
    <row r="80" spans="2:13" s="33" customFormat="1" x14ac:dyDescent="0.45">
      <c r="B80" s="35" t="s">
        <v>60</v>
      </c>
      <c r="C80" s="30">
        <v>0.5</v>
      </c>
      <c r="D80" s="13"/>
      <c r="E80" s="13"/>
      <c r="K80" s="34"/>
    </row>
    <row r="81" spans="2:43" s="33" customFormat="1" x14ac:dyDescent="0.45">
      <c r="B81" s="35" t="s">
        <v>100</v>
      </c>
      <c r="C81" s="5">
        <v>1500</v>
      </c>
      <c r="D81" s="13"/>
      <c r="E81" s="13"/>
      <c r="K81" s="34"/>
    </row>
    <row r="82" spans="2:43" s="33" customFormat="1" x14ac:dyDescent="0.45">
      <c r="B82" s="35" t="s">
        <v>101</v>
      </c>
      <c r="C82" s="5">
        <v>1000</v>
      </c>
      <c r="D82" s="13"/>
      <c r="E82" s="13"/>
      <c r="K82" s="34"/>
    </row>
    <row r="83" spans="2:43" s="33" customFormat="1" x14ac:dyDescent="0.45">
      <c r="B83" s="35" t="s">
        <v>105</v>
      </c>
      <c r="C83" s="5">
        <v>500</v>
      </c>
      <c r="D83" s="13"/>
      <c r="E83" s="13"/>
      <c r="K83" s="34"/>
    </row>
    <row r="84" spans="2:43" s="33" customFormat="1" x14ac:dyDescent="0.45">
      <c r="B84" s="35"/>
      <c r="C84" s="3"/>
      <c r="D84" s="13"/>
      <c r="E84" s="13"/>
      <c r="K84" s="34"/>
    </row>
    <row r="85" spans="2:43" s="33" customFormat="1" x14ac:dyDescent="0.45">
      <c r="B85" s="68" t="s">
        <v>107</v>
      </c>
      <c r="C85" s="68"/>
      <c r="D85" s="68"/>
      <c r="E85" s="68"/>
      <c r="F85" s="68"/>
      <c r="K85" s="34"/>
    </row>
    <row r="86" spans="2:43" s="33" customFormat="1" x14ac:dyDescent="0.45">
      <c r="B86" s="32"/>
      <c r="C86" s="10"/>
      <c r="D86" s="13"/>
      <c r="E86" s="13"/>
      <c r="K86" s="34"/>
    </row>
    <row r="87" spans="2:43" s="33" customFormat="1" x14ac:dyDescent="0.45">
      <c r="B87" s="32"/>
      <c r="C87" s="10"/>
      <c r="D87" s="13"/>
      <c r="E87" s="13"/>
      <c r="K87" s="34"/>
    </row>
    <row r="88" spans="2:43" s="33" customFormat="1" ht="28.5" x14ac:dyDescent="0.45">
      <c r="B88" s="32"/>
      <c r="C88" s="58" t="s">
        <v>114</v>
      </c>
      <c r="D88" s="58" t="s">
        <v>115</v>
      </c>
      <c r="E88" s="58" t="s">
        <v>116</v>
      </c>
      <c r="F88" s="58" t="s">
        <v>117</v>
      </c>
      <c r="K88" s="34"/>
    </row>
    <row r="89" spans="2:43" s="33" customFormat="1" x14ac:dyDescent="0.45">
      <c r="B89" s="32" t="s">
        <v>108</v>
      </c>
      <c r="C89" s="17"/>
      <c r="D89" s="5">
        <v>500</v>
      </c>
      <c r="E89" s="5">
        <v>500</v>
      </c>
      <c r="F89" s="61">
        <f>SUM(C89:E89)</f>
        <v>1000</v>
      </c>
      <c r="K89" s="34"/>
    </row>
    <row r="90" spans="2:43" s="33" customFormat="1" x14ac:dyDescent="0.45">
      <c r="B90" s="32" t="s">
        <v>109</v>
      </c>
      <c r="C90" s="17"/>
      <c r="D90" s="5">
        <v>500</v>
      </c>
      <c r="E90" s="5">
        <v>500</v>
      </c>
      <c r="F90" s="61">
        <f t="shared" ref="F90:F92" si="5">SUM(C90:E90)</f>
        <v>1000</v>
      </c>
      <c r="K90" s="34"/>
    </row>
    <row r="91" spans="2:43" s="33" customFormat="1" x14ac:dyDescent="0.45">
      <c r="B91" s="32" t="s">
        <v>110</v>
      </c>
      <c r="C91" s="17"/>
      <c r="D91" s="5">
        <v>500</v>
      </c>
      <c r="E91" s="5">
        <v>500</v>
      </c>
      <c r="F91" s="61">
        <f t="shared" si="5"/>
        <v>1000</v>
      </c>
      <c r="K91" s="34"/>
    </row>
    <row r="92" spans="2:43" s="33" customFormat="1" x14ac:dyDescent="0.45">
      <c r="B92" s="32" t="s">
        <v>111</v>
      </c>
      <c r="C92" s="17"/>
      <c r="D92" s="5">
        <v>500</v>
      </c>
      <c r="E92" s="5">
        <v>500</v>
      </c>
      <c r="F92" s="61">
        <f t="shared" si="5"/>
        <v>1000</v>
      </c>
      <c r="K92" s="34"/>
    </row>
    <row r="93" spans="2:43" x14ac:dyDescent="0.45">
      <c r="B93" s="35"/>
      <c r="C93" s="3"/>
    </row>
    <row r="94" spans="2:43" x14ac:dyDescent="0.45">
      <c r="B94" s="35"/>
      <c r="C94" s="3"/>
      <c r="D94" s="55" t="s">
        <v>79</v>
      </c>
      <c r="E94" s="55"/>
      <c r="F94" s="55"/>
      <c r="G94" s="55"/>
      <c r="H94" s="55"/>
      <c r="I94" s="69" t="s">
        <v>96</v>
      </c>
      <c r="J94" s="69"/>
      <c r="K94" s="69"/>
      <c r="L94" s="69"/>
      <c r="M94" s="69"/>
      <c r="N94" s="69"/>
      <c r="O94" s="67" t="s">
        <v>106</v>
      </c>
      <c r="P94" s="67"/>
      <c r="Q94" s="67"/>
      <c r="R94" s="67"/>
      <c r="S94" s="67"/>
      <c r="T94" s="67"/>
      <c r="U94" s="67"/>
      <c r="V94" s="67"/>
      <c r="W94" s="67"/>
      <c r="X94" s="67"/>
      <c r="Z94" s="68" t="s">
        <v>122</v>
      </c>
      <c r="AA94" s="68"/>
      <c r="AB94" s="68"/>
      <c r="AC94" s="68"/>
      <c r="AD94" s="68"/>
      <c r="AE94" s="68"/>
      <c r="AF94" s="68"/>
      <c r="AG94" s="68"/>
      <c r="AH94" s="68"/>
      <c r="AI94" s="69" t="s">
        <v>125</v>
      </c>
      <c r="AJ94" s="69"/>
      <c r="AK94" s="69"/>
      <c r="AL94" s="69"/>
      <c r="AM94" s="69"/>
      <c r="AN94" s="69"/>
      <c r="AO94" s="69"/>
      <c r="AP94" s="69"/>
      <c r="AQ94" s="69"/>
    </row>
    <row r="95" spans="2:43" ht="42.75" x14ac:dyDescent="0.45">
      <c r="B95" s="31"/>
      <c r="C95" s="59" t="s">
        <v>0</v>
      </c>
      <c r="D95" s="59" t="s">
        <v>4</v>
      </c>
      <c r="E95" s="59" t="s">
        <v>75</v>
      </c>
      <c r="F95" s="59" t="s">
        <v>76</v>
      </c>
      <c r="G95" s="59" t="s">
        <v>77</v>
      </c>
      <c r="H95" s="59" t="s">
        <v>78</v>
      </c>
      <c r="I95" s="59" t="s">
        <v>94</v>
      </c>
      <c r="J95" s="59" t="s">
        <v>95</v>
      </c>
      <c r="K95" s="65" t="s">
        <v>128</v>
      </c>
      <c r="L95" s="65" t="s">
        <v>129</v>
      </c>
      <c r="M95" s="59" t="s">
        <v>130</v>
      </c>
      <c r="N95" s="66" t="s">
        <v>127</v>
      </c>
      <c r="O95" s="59" t="s">
        <v>97</v>
      </c>
      <c r="P95" s="59" t="s">
        <v>58</v>
      </c>
      <c r="Q95" s="59" t="s">
        <v>59</v>
      </c>
      <c r="R95" s="59" t="s">
        <v>103</v>
      </c>
      <c r="S95" s="59" t="s">
        <v>104</v>
      </c>
      <c r="T95" s="59" t="s">
        <v>98</v>
      </c>
      <c r="U95" s="59" t="s">
        <v>99</v>
      </c>
      <c r="V95" s="66" t="s">
        <v>131</v>
      </c>
      <c r="W95" s="65" t="s">
        <v>132</v>
      </c>
      <c r="X95" s="65" t="s">
        <v>133</v>
      </c>
      <c r="Y95" s="59" t="s">
        <v>107</v>
      </c>
      <c r="Z95" s="59" t="s">
        <v>118</v>
      </c>
      <c r="AA95" s="59" t="s">
        <v>120</v>
      </c>
      <c r="AB95" s="59" t="s">
        <v>69</v>
      </c>
      <c r="AC95" s="59" t="s">
        <v>66</v>
      </c>
      <c r="AD95" s="59" t="s">
        <v>61</v>
      </c>
      <c r="AE95" s="59" t="s">
        <v>70</v>
      </c>
      <c r="AF95" s="59" t="s">
        <v>71</v>
      </c>
      <c r="AG95" s="59" t="s">
        <v>73</v>
      </c>
      <c r="AH95" s="59" t="s">
        <v>72</v>
      </c>
      <c r="AI95" s="59" t="s">
        <v>119</v>
      </c>
      <c r="AJ95" s="59" t="s">
        <v>121</v>
      </c>
      <c r="AK95" s="59" t="s">
        <v>69</v>
      </c>
      <c r="AL95" s="59" t="s">
        <v>66</v>
      </c>
      <c r="AM95" s="59" t="s">
        <v>61</v>
      </c>
      <c r="AN95" s="59" t="s">
        <v>70</v>
      </c>
      <c r="AO95" s="59" t="s">
        <v>71</v>
      </c>
      <c r="AP95" s="59" t="s">
        <v>73</v>
      </c>
      <c r="AQ95" s="59" t="s">
        <v>72</v>
      </c>
    </row>
    <row r="96" spans="2:43" x14ac:dyDescent="0.45">
      <c r="B96" s="4" t="str">
        <f t="shared" ref="B96:B108" si="6">IF($C$8=C96,$B$8,IF($C$9=C96,$B$9,""))</f>
        <v/>
      </c>
      <c r="C96">
        <v>0</v>
      </c>
      <c r="D96" s="3">
        <f t="shared" ref="D96:D108" si="7">IF($C$8=C96,$C$6,IF(C96&lt;$C$8,0,IF($C$9&lt;C96,$C$7,$C$6*(1+$C$12)^(C96-$C$8))))</f>
        <v>0</v>
      </c>
      <c r="E96" s="2">
        <f t="shared" ref="E96:E108" si="8">D96/$C$50</f>
        <v>0</v>
      </c>
      <c r="F96" s="3">
        <f t="shared" ref="F96:F108" si="9">E96*$C$51</f>
        <v>0</v>
      </c>
      <c r="G96" s="3">
        <f t="shared" ref="G96:G108" si="10">E96*$C$70</f>
        <v>0</v>
      </c>
      <c r="H96" s="12">
        <f t="shared" ref="H96:H108" si="11">F96+G96</f>
        <v>0</v>
      </c>
      <c r="I96" s="12">
        <f t="shared" ref="I96:I108" si="12">E96*$C$52</f>
        <v>0</v>
      </c>
      <c r="J96" s="12">
        <f t="shared" ref="J96:J108" si="13">E96*$C$71</f>
        <v>0</v>
      </c>
      <c r="K96" s="12">
        <f>I96+J96</f>
        <v>0</v>
      </c>
      <c r="L96" s="6" t="e">
        <f>K96/H96</f>
        <v>#DIV/0!</v>
      </c>
      <c r="M96" s="12">
        <f t="shared" ref="M96:M108" si="14">G96-J96</f>
        <v>0</v>
      </c>
      <c r="N96" s="12">
        <f t="shared" ref="N96:N108" si="15">D96+M96</f>
        <v>0</v>
      </c>
      <c r="O96" s="2">
        <v>0</v>
      </c>
      <c r="P96" s="24">
        <f t="shared" ref="P96:P108" si="16">(O96*$C$78)/$C$77</f>
        <v>0</v>
      </c>
      <c r="Q96" s="24">
        <f t="shared" ref="Q96:Q108" si="17">(E96*$C$79*$C$80)/$C$77</f>
        <v>0</v>
      </c>
      <c r="R96" s="56">
        <f>ROUNDUP(P96,0)</f>
        <v>0</v>
      </c>
      <c r="S96" s="56">
        <f>ROUNDUP(Q96,0)</f>
        <v>0</v>
      </c>
      <c r="T96" s="3">
        <f>R96*$C$81+S96*$C$82</f>
        <v>0</v>
      </c>
      <c r="U96" s="3">
        <v>0</v>
      </c>
      <c r="V96" s="12">
        <f t="shared" ref="V96:V108" si="18">D96+T96+U96</f>
        <v>0</v>
      </c>
      <c r="W96" s="12">
        <f t="shared" ref="W96:W108" si="19">H96-V96</f>
        <v>0</v>
      </c>
      <c r="X96" s="6" t="e">
        <f t="shared" ref="X96:X108" si="20">W96/H96</f>
        <v>#DIV/0!</v>
      </c>
      <c r="Y96" s="12">
        <f>F89</f>
        <v>1000</v>
      </c>
      <c r="Z96" s="12">
        <f t="shared" ref="Z96:Z108" si="21">H96-N96-Y96</f>
        <v>-1000</v>
      </c>
      <c r="AA96" s="12">
        <f>Z96</f>
        <v>-1000</v>
      </c>
      <c r="AD96" s="12">
        <f>Z96</f>
        <v>-1000</v>
      </c>
      <c r="AE96" s="1" t="str">
        <f>IFERROR(IRR(Z$96:Z96),"N/A")</f>
        <v>N/A</v>
      </c>
      <c r="AF96" s="1" t="str">
        <f>IFERROR(MIRR(Z$96:Z96,$C$15,$C$16),"N/A")</f>
        <v>N/A</v>
      </c>
      <c r="AG96" s="12">
        <f>MIN(Z$96:Z96)</f>
        <v>-1000</v>
      </c>
      <c r="AH96" s="12">
        <f>MIN(AA$96:AA96)</f>
        <v>-1000</v>
      </c>
      <c r="AI96" s="12">
        <f t="shared" ref="AI96:AI108" si="22">H96-V96-Y96</f>
        <v>-1000</v>
      </c>
      <c r="AJ96" s="12">
        <f>AI96</f>
        <v>-1000</v>
      </c>
      <c r="AM96" s="3">
        <f>AI96</f>
        <v>-1000</v>
      </c>
      <c r="AN96" s="63" t="str">
        <f>IFERROR(IRR(AI$96:AI96),"N/A")</f>
        <v>N/A</v>
      </c>
      <c r="AO96" s="63" t="str">
        <f>IFERROR(MIRR(AI$96:AI96,$C$15,$C$16),"N/A")</f>
        <v>N/A</v>
      </c>
      <c r="AP96" s="3">
        <f>MIN(AI$96:AI96)</f>
        <v>-1000</v>
      </c>
      <c r="AQ96" s="3">
        <f>MIN(AJ$96:AJ96)</f>
        <v>-1000</v>
      </c>
    </row>
    <row r="97" spans="2:43" x14ac:dyDescent="0.45">
      <c r="B97" s="4" t="str">
        <f t="shared" si="6"/>
        <v/>
      </c>
      <c r="C97">
        <v>1</v>
      </c>
      <c r="D97" s="3">
        <f t="shared" si="7"/>
        <v>0</v>
      </c>
      <c r="E97" s="2">
        <f t="shared" si="8"/>
        <v>0</v>
      </c>
      <c r="F97" s="3">
        <f t="shared" si="9"/>
        <v>0</v>
      </c>
      <c r="G97" s="3">
        <f t="shared" si="10"/>
        <v>0</v>
      </c>
      <c r="H97" s="12">
        <f t="shared" si="11"/>
        <v>0</v>
      </c>
      <c r="I97" s="12">
        <f t="shared" si="12"/>
        <v>0</v>
      </c>
      <c r="J97" s="12">
        <f t="shared" si="13"/>
        <v>0</v>
      </c>
      <c r="K97" s="12">
        <f t="shared" ref="K97:K108" si="23">I97+J97</f>
        <v>0</v>
      </c>
      <c r="L97" s="6" t="e">
        <f t="shared" ref="L97:L108" si="24">K97/H97</f>
        <v>#DIV/0!</v>
      </c>
      <c r="M97" s="12">
        <f t="shared" si="14"/>
        <v>0</v>
      </c>
      <c r="N97" s="12">
        <f t="shared" si="15"/>
        <v>0</v>
      </c>
      <c r="O97" s="2">
        <f t="shared" ref="O97:O108" si="25">E97-E96</f>
        <v>0</v>
      </c>
      <c r="P97" s="24">
        <f t="shared" si="16"/>
        <v>0</v>
      </c>
      <c r="Q97" s="24">
        <f t="shared" si="17"/>
        <v>0</v>
      </c>
      <c r="R97" s="56">
        <f t="shared" ref="R97:R108" si="26">ROUNDUP(P97,0)</f>
        <v>0</v>
      </c>
      <c r="S97" s="56">
        <f t="shared" ref="S97:S108" si="27">ROUNDUP(Q97,0)</f>
        <v>0</v>
      </c>
      <c r="T97" s="3">
        <f t="shared" ref="T97:T108" si="28">R97*$C$81+S97*$C$82</f>
        <v>0</v>
      </c>
      <c r="U97" s="3">
        <f t="shared" ref="U97:U108" si="29">$C$83</f>
        <v>500</v>
      </c>
      <c r="V97" s="12">
        <f t="shared" si="18"/>
        <v>500</v>
      </c>
      <c r="W97" s="12">
        <f t="shared" si="19"/>
        <v>-500</v>
      </c>
      <c r="X97" s="6" t="e">
        <f t="shared" si="20"/>
        <v>#DIV/0!</v>
      </c>
      <c r="Y97" s="12">
        <f t="shared" ref="Y97:Y99" si="30">F90</f>
        <v>1000</v>
      </c>
      <c r="Z97" s="12">
        <f t="shared" si="21"/>
        <v>-1000</v>
      </c>
      <c r="AA97" s="12">
        <f t="shared" ref="AA97:AA108" si="31">Z97+AA96</f>
        <v>-2000</v>
      </c>
      <c r="AB97" t="str">
        <f t="shared" ref="AB97:AB108" si="32">IF(AND(Z96&lt;0,Z97&gt;=0),"breakeven","")</f>
        <v/>
      </c>
      <c r="AC97" t="str">
        <f t="shared" ref="AC97:AC108" si="33">IF(AND(AA96&lt;0,AA97&gt;=0),"payback","")</f>
        <v/>
      </c>
      <c r="AD97" s="3">
        <f>NPV($C$15,Z$97:Z97)+$Z$96</f>
        <v>-1978.3735893325011</v>
      </c>
      <c r="AE97" s="1" t="str">
        <f>IFERROR(IRR(Z$96:Z97),"N/A")</f>
        <v>N/A</v>
      </c>
      <c r="AF97" s="1">
        <f>IFERROR(MIRR(Z$96:Z97,$C$15,$C$16),"N/A")</f>
        <v>-1</v>
      </c>
      <c r="AG97" s="12">
        <f>MIN(Z$96:Z97)</f>
        <v>-1000</v>
      </c>
      <c r="AH97" s="12">
        <f>MIN(AA$96:AA97)</f>
        <v>-2000</v>
      </c>
      <c r="AI97" s="12">
        <f t="shared" si="22"/>
        <v>-1500</v>
      </c>
      <c r="AJ97" s="12">
        <f t="shared" ref="AJ97:AJ108" si="34">AI97+AJ96</f>
        <v>-2500</v>
      </c>
      <c r="AK97" t="str">
        <f>IF(AND(AI96&lt;0,AI97&gt;=0),"breakeven","")</f>
        <v/>
      </c>
      <c r="AL97" t="str">
        <f>IF(AND(AJ96&lt;0,AJ97&gt;=0),"payback","")</f>
        <v/>
      </c>
      <c r="AM97" s="3">
        <f>NPV($C$15,AI$97:AI97)+$AI$96</f>
        <v>-2467.5603839987516</v>
      </c>
      <c r="AN97" s="63" t="str">
        <f>IFERROR(IRR(AI$96:AI97),"N/A")</f>
        <v>N/A</v>
      </c>
      <c r="AO97" s="63">
        <f>IFERROR(MIRR(AI$96:AI97,$C$15,$C$16),"N/A")</f>
        <v>-1</v>
      </c>
      <c r="AP97" s="3">
        <f>MIN(AI$96:AI97)</f>
        <v>-1500</v>
      </c>
      <c r="AQ97" s="3">
        <f>MIN(AJ$96:AJ97)</f>
        <v>-2500</v>
      </c>
    </row>
    <row r="98" spans="2:43" x14ac:dyDescent="0.45">
      <c r="B98" s="4" t="str">
        <f t="shared" si="6"/>
        <v/>
      </c>
      <c r="C98">
        <v>2</v>
      </c>
      <c r="D98" s="3">
        <f t="shared" si="7"/>
        <v>0</v>
      </c>
      <c r="E98" s="2">
        <f t="shared" si="8"/>
        <v>0</v>
      </c>
      <c r="F98" s="3">
        <f t="shared" si="9"/>
        <v>0</v>
      </c>
      <c r="G98" s="3">
        <f t="shared" si="10"/>
        <v>0</v>
      </c>
      <c r="H98" s="12">
        <f t="shared" si="11"/>
        <v>0</v>
      </c>
      <c r="I98" s="12">
        <f t="shared" si="12"/>
        <v>0</v>
      </c>
      <c r="J98" s="12">
        <f t="shared" si="13"/>
        <v>0</v>
      </c>
      <c r="K98" s="12">
        <f t="shared" si="23"/>
        <v>0</v>
      </c>
      <c r="L98" s="6" t="e">
        <f t="shared" si="24"/>
        <v>#DIV/0!</v>
      </c>
      <c r="M98" s="12">
        <f t="shared" si="14"/>
        <v>0</v>
      </c>
      <c r="N98" s="12">
        <f t="shared" si="15"/>
        <v>0</v>
      </c>
      <c r="O98" s="2">
        <f t="shared" si="25"/>
        <v>0</v>
      </c>
      <c r="P98" s="24">
        <f t="shared" si="16"/>
        <v>0</v>
      </c>
      <c r="Q98" s="24">
        <f t="shared" si="17"/>
        <v>0</v>
      </c>
      <c r="R98" s="56">
        <f t="shared" si="26"/>
        <v>0</v>
      </c>
      <c r="S98" s="56">
        <f t="shared" si="27"/>
        <v>0</v>
      </c>
      <c r="T98" s="3">
        <f t="shared" si="28"/>
        <v>0</v>
      </c>
      <c r="U98" s="3">
        <f t="shared" si="29"/>
        <v>500</v>
      </c>
      <c r="V98" s="12">
        <f t="shared" si="18"/>
        <v>500</v>
      </c>
      <c r="W98" s="12">
        <f t="shared" si="19"/>
        <v>-500</v>
      </c>
      <c r="X98" s="6" t="e">
        <f t="shared" si="20"/>
        <v>#DIV/0!</v>
      </c>
      <c r="Y98" s="12">
        <f t="shared" si="30"/>
        <v>1000</v>
      </c>
      <c r="Z98" s="12">
        <f t="shared" si="21"/>
        <v>-1000</v>
      </c>
      <c r="AA98" s="12">
        <f t="shared" si="31"/>
        <v>-3000</v>
      </c>
      <c r="AB98" t="str">
        <f t="shared" si="32"/>
        <v/>
      </c>
      <c r="AC98" t="str">
        <f t="shared" si="33"/>
        <v/>
      </c>
      <c r="AD98" s="3">
        <f>NPV($C$15,Z$97:Z98)+$Z$96</f>
        <v>-2935.5884696358626</v>
      </c>
      <c r="AE98" s="1" t="str">
        <f>IFERROR(IRR(Z$96:Z98),"N/A")</f>
        <v>N/A</v>
      </c>
      <c r="AF98" s="1">
        <f>IFERROR(MIRR(Z$96:Z98,$C$15,$C$16),"N/A")</f>
        <v>-1</v>
      </c>
      <c r="AG98" s="12">
        <f>MIN(Z$96:Z98)</f>
        <v>-1000</v>
      </c>
      <c r="AH98" s="12">
        <f>MIN(AA$96:AA98)</f>
        <v>-3000</v>
      </c>
      <c r="AI98" s="12">
        <f t="shared" si="22"/>
        <v>-1500</v>
      </c>
      <c r="AJ98" s="12">
        <f t="shared" si="34"/>
        <v>-4000</v>
      </c>
      <c r="AK98" t="str">
        <f t="shared" ref="AK98:AK108" si="35">IF(AND(AI97&lt;0,AI98&gt;=0),"breakeven","")</f>
        <v/>
      </c>
      <c r="AL98" t="str">
        <f t="shared" ref="AL98:AL108" si="36">IF(AND(AJ97&lt;0,AJ98&gt;=0),"payback","")</f>
        <v/>
      </c>
      <c r="AM98" s="3">
        <f>NPV($C$15,AI$97:AI98)+$AI$96</f>
        <v>-3903.3827044537938</v>
      </c>
      <c r="AN98" s="63" t="str">
        <f>IFERROR(IRR(AI$96:AI98),"N/A")</f>
        <v>N/A</v>
      </c>
      <c r="AO98" s="63">
        <f>IFERROR(MIRR(AI$96:AI98,$C$15,$C$16),"N/A")</f>
        <v>-1</v>
      </c>
      <c r="AP98" s="3">
        <f>MIN(AI$96:AI98)</f>
        <v>-1500</v>
      </c>
      <c r="AQ98" s="3">
        <f>MIN(AJ$96:AJ98)</f>
        <v>-4000</v>
      </c>
    </row>
    <row r="99" spans="2:43" x14ac:dyDescent="0.45">
      <c r="B99" s="4" t="str">
        <f t="shared" si="6"/>
        <v/>
      </c>
      <c r="C99">
        <v>3</v>
      </c>
      <c r="D99" s="3">
        <f t="shared" si="7"/>
        <v>0</v>
      </c>
      <c r="E99" s="2">
        <f t="shared" si="8"/>
        <v>0</v>
      </c>
      <c r="F99" s="3">
        <f t="shared" si="9"/>
        <v>0</v>
      </c>
      <c r="G99" s="3">
        <f t="shared" si="10"/>
        <v>0</v>
      </c>
      <c r="H99" s="12">
        <f t="shared" si="11"/>
        <v>0</v>
      </c>
      <c r="I99" s="12">
        <f t="shared" si="12"/>
        <v>0</v>
      </c>
      <c r="J99" s="12">
        <f t="shared" si="13"/>
        <v>0</v>
      </c>
      <c r="K99" s="12">
        <f t="shared" si="23"/>
        <v>0</v>
      </c>
      <c r="L99" s="6" t="e">
        <f t="shared" si="24"/>
        <v>#DIV/0!</v>
      </c>
      <c r="M99" s="12">
        <f t="shared" si="14"/>
        <v>0</v>
      </c>
      <c r="N99" s="12">
        <f t="shared" si="15"/>
        <v>0</v>
      </c>
      <c r="O99" s="2">
        <f t="shared" si="25"/>
        <v>0</v>
      </c>
      <c r="P99" s="24">
        <f t="shared" si="16"/>
        <v>0</v>
      </c>
      <c r="Q99" s="24">
        <f t="shared" si="17"/>
        <v>0</v>
      </c>
      <c r="R99" s="56">
        <f t="shared" si="26"/>
        <v>0</v>
      </c>
      <c r="S99" s="56">
        <f t="shared" si="27"/>
        <v>0</v>
      </c>
      <c r="T99" s="3">
        <f t="shared" si="28"/>
        <v>0</v>
      </c>
      <c r="U99" s="3">
        <f t="shared" si="29"/>
        <v>500</v>
      </c>
      <c r="V99" s="12">
        <f t="shared" si="18"/>
        <v>500</v>
      </c>
      <c r="W99" s="12">
        <f t="shared" si="19"/>
        <v>-500</v>
      </c>
      <c r="X99" s="6" t="e">
        <f t="shared" si="20"/>
        <v>#DIV/0!</v>
      </c>
      <c r="Y99" s="12">
        <f t="shared" si="30"/>
        <v>1000</v>
      </c>
      <c r="Z99" s="12">
        <f t="shared" si="21"/>
        <v>-1000</v>
      </c>
      <c r="AA99" s="12">
        <f t="shared" si="31"/>
        <v>-4000</v>
      </c>
      <c r="AB99" t="str">
        <f t="shared" si="32"/>
        <v/>
      </c>
      <c r="AC99" t="str">
        <f t="shared" si="33"/>
        <v/>
      </c>
      <c r="AD99" s="3">
        <f>NPV($C$15,Z$97:Z99)+$Z$96</f>
        <v>-3872.1022278407427</v>
      </c>
      <c r="AE99" s="1" t="str">
        <f>IFERROR(IRR(Z$96:Z99),"N/A")</f>
        <v>N/A</v>
      </c>
      <c r="AF99" s="1">
        <f>IFERROR(MIRR(Z$96:Z99,$C$15,$C$16),"N/A")</f>
        <v>-1</v>
      </c>
      <c r="AG99" s="12">
        <f>MIN(Z$96:Z99)</f>
        <v>-1000</v>
      </c>
      <c r="AH99" s="12">
        <f>MIN(AA$96:AA99)</f>
        <v>-4000</v>
      </c>
      <c r="AI99" s="12">
        <f t="shared" si="22"/>
        <v>-1500</v>
      </c>
      <c r="AJ99" s="12">
        <f t="shared" si="34"/>
        <v>-5500</v>
      </c>
      <c r="AK99" t="str">
        <f t="shared" si="35"/>
        <v/>
      </c>
      <c r="AL99" t="str">
        <f t="shared" si="36"/>
        <v/>
      </c>
      <c r="AM99" s="3">
        <f>NPV($C$15,AI$97:AI99)+$AI$96</f>
        <v>-5308.1533417611145</v>
      </c>
      <c r="AN99" s="63" t="str">
        <f>IFERROR(IRR(AI$96:AI99),"N/A")</f>
        <v>N/A</v>
      </c>
      <c r="AO99" s="63">
        <f>IFERROR(MIRR(AI$96:AI99,$C$15,$C$16),"N/A")</f>
        <v>-1</v>
      </c>
      <c r="AP99" s="3">
        <f>MIN(AI$96:AI99)</f>
        <v>-1500</v>
      </c>
      <c r="AQ99" s="3">
        <f>MIN(AJ$96:AJ99)</f>
        <v>-5500</v>
      </c>
    </row>
    <row r="100" spans="2:43" x14ac:dyDescent="0.45">
      <c r="B100" s="4" t="str">
        <f t="shared" si="6"/>
        <v>initial month of growth</v>
      </c>
      <c r="C100">
        <v>4</v>
      </c>
      <c r="D100" s="3">
        <f t="shared" si="7"/>
        <v>1000</v>
      </c>
      <c r="E100" s="2">
        <f t="shared" si="8"/>
        <v>102.83833813245577</v>
      </c>
      <c r="F100" s="3">
        <f t="shared" si="9"/>
        <v>1470.5882352941176</v>
      </c>
      <c r="G100" s="3">
        <f t="shared" si="10"/>
        <v>709.55882352941182</v>
      </c>
      <c r="H100" s="12">
        <f t="shared" si="11"/>
        <v>2180.1470588235293</v>
      </c>
      <c r="I100" s="12">
        <f t="shared" si="12"/>
        <v>470.58823529411751</v>
      </c>
      <c r="J100" s="12">
        <f t="shared" si="13"/>
        <v>349.08088235294122</v>
      </c>
      <c r="K100" s="12">
        <f t="shared" si="23"/>
        <v>819.66911764705878</v>
      </c>
      <c r="L100" s="6">
        <f t="shared" si="24"/>
        <v>0.37596964586846543</v>
      </c>
      <c r="M100" s="12">
        <f t="shared" si="14"/>
        <v>360.47794117647061</v>
      </c>
      <c r="N100" s="12">
        <f t="shared" si="15"/>
        <v>1360.4779411764707</v>
      </c>
      <c r="O100" s="2">
        <f t="shared" si="25"/>
        <v>102.83833813245577</v>
      </c>
      <c r="P100" s="24">
        <f t="shared" si="16"/>
        <v>0.10283833813245578</v>
      </c>
      <c r="Q100" s="24">
        <f t="shared" si="17"/>
        <v>2.5709584533113946E-2</v>
      </c>
      <c r="R100" s="56">
        <f t="shared" si="26"/>
        <v>1</v>
      </c>
      <c r="S100" s="56">
        <f t="shared" si="27"/>
        <v>1</v>
      </c>
      <c r="T100" s="3">
        <f t="shared" si="28"/>
        <v>2500</v>
      </c>
      <c r="U100" s="3">
        <f t="shared" si="29"/>
        <v>500</v>
      </c>
      <c r="V100" s="12">
        <f t="shared" si="18"/>
        <v>4000</v>
      </c>
      <c r="W100" s="12">
        <f t="shared" si="19"/>
        <v>-1819.8529411764707</v>
      </c>
      <c r="X100" s="6">
        <f t="shared" si="20"/>
        <v>-0.83473861720067466</v>
      </c>
      <c r="Y100" s="12"/>
      <c r="Z100" s="12">
        <f t="shared" si="21"/>
        <v>819.66911764705856</v>
      </c>
      <c r="AA100" s="12">
        <f t="shared" si="31"/>
        <v>-3180.3308823529414</v>
      </c>
      <c r="AB100" t="str">
        <f t="shared" si="32"/>
        <v>breakeven</v>
      </c>
      <c r="AC100" t="str">
        <f t="shared" si="33"/>
        <v/>
      </c>
      <c r="AD100" s="3">
        <f>NPV($C$15,Z$97:Z100)+$Z$96</f>
        <v>-3121.0719340128458</v>
      </c>
      <c r="AE100" s="1" t="str">
        <f>IFERROR(IRR(Z$96:Z100),"N/A")</f>
        <v>N/A</v>
      </c>
      <c r="AF100" s="1">
        <f>IFERROR(MIRR(Z$96:Z100,$C$15,$C$16),"N/A")</f>
        <v>-0.32169824692905835</v>
      </c>
      <c r="AG100" s="12">
        <f>MIN(Z$96:Z100)</f>
        <v>-1000</v>
      </c>
      <c r="AH100" s="12">
        <f>MIN(AA$96:AA100)</f>
        <v>-4000</v>
      </c>
      <c r="AI100" s="12">
        <f t="shared" si="22"/>
        <v>-1819.8529411764707</v>
      </c>
      <c r="AJ100" s="12">
        <f t="shared" si="34"/>
        <v>-7319.8529411764703</v>
      </c>
      <c r="AK100" t="str">
        <f t="shared" si="35"/>
        <v/>
      </c>
      <c r="AL100" t="str">
        <f t="shared" si="36"/>
        <v/>
      </c>
      <c r="AM100" s="3">
        <f>NPV($C$15,AI$97:AI100)+$AI$96</f>
        <v>-6975.6123928703737</v>
      </c>
      <c r="AN100" s="63" t="str">
        <f>IFERROR(IRR(AI$96:AI100),"N/A")</f>
        <v>N/A</v>
      </c>
      <c r="AO100" s="63">
        <f>IFERROR(MIRR(AI$96:AI100,$C$15,$C$16),"N/A")</f>
        <v>-1</v>
      </c>
      <c r="AP100" s="3">
        <f>MIN(AI$96:AI100)</f>
        <v>-1819.8529411764707</v>
      </c>
      <c r="AQ100" s="3">
        <f>MIN(AJ$96:AJ100)</f>
        <v>-7319.8529411764703</v>
      </c>
    </row>
    <row r="101" spans="2:43" x14ac:dyDescent="0.45">
      <c r="B101" s="4" t="str">
        <f t="shared" si="6"/>
        <v/>
      </c>
      <c r="C101">
        <v>5</v>
      </c>
      <c r="D101" s="3">
        <f t="shared" si="7"/>
        <v>1333.5214321633239</v>
      </c>
      <c r="E101" s="2">
        <f t="shared" si="8"/>
        <v>137.13712794768858</v>
      </c>
      <c r="F101" s="3">
        <f t="shared" si="9"/>
        <v>1961.0609296519469</v>
      </c>
      <c r="G101" s="3">
        <f t="shared" si="10"/>
        <v>946.21189855706439</v>
      </c>
      <c r="H101" s="12">
        <f t="shared" si="11"/>
        <v>2907.2728282090111</v>
      </c>
      <c r="I101" s="12">
        <f t="shared" si="12"/>
        <v>627.53949748862283</v>
      </c>
      <c r="J101" s="12">
        <f t="shared" si="13"/>
        <v>465.50683817613088</v>
      </c>
      <c r="K101" s="12">
        <f t="shared" si="23"/>
        <v>1093.0463356647538</v>
      </c>
      <c r="L101" s="6">
        <f t="shared" si="24"/>
        <v>0.37596964586846543</v>
      </c>
      <c r="M101" s="12">
        <f t="shared" si="14"/>
        <v>480.7050603809335</v>
      </c>
      <c r="N101" s="12">
        <f t="shared" si="15"/>
        <v>1814.2264925442573</v>
      </c>
      <c r="O101" s="2">
        <f t="shared" si="25"/>
        <v>34.298789815232809</v>
      </c>
      <c r="P101" s="24">
        <f t="shared" si="16"/>
        <v>3.4298789815232808E-2</v>
      </c>
      <c r="Q101" s="24">
        <f t="shared" si="17"/>
        <v>3.4284281986922141E-2</v>
      </c>
      <c r="R101" s="56">
        <f t="shared" si="26"/>
        <v>1</v>
      </c>
      <c r="S101" s="56">
        <f t="shared" si="27"/>
        <v>1</v>
      </c>
      <c r="T101" s="3">
        <f t="shared" si="28"/>
        <v>2500</v>
      </c>
      <c r="U101" s="3">
        <f t="shared" si="29"/>
        <v>500</v>
      </c>
      <c r="V101" s="12">
        <f t="shared" si="18"/>
        <v>4333.5214321633239</v>
      </c>
      <c r="W101" s="12">
        <f t="shared" si="19"/>
        <v>-1426.2486039543128</v>
      </c>
      <c r="X101" s="6">
        <f t="shared" si="20"/>
        <v>-0.49057955280823623</v>
      </c>
      <c r="Y101" s="12"/>
      <c r="Z101" s="12">
        <f t="shared" si="21"/>
        <v>1093.0463356647538</v>
      </c>
      <c r="AA101" s="12">
        <f t="shared" si="31"/>
        <v>-2087.2845466881877</v>
      </c>
      <c r="AB101" t="str">
        <f t="shared" si="32"/>
        <v/>
      </c>
      <c r="AC101" t="str">
        <f t="shared" si="33"/>
        <v/>
      </c>
      <c r="AD101" s="3">
        <f>NPV($C$15,Z$97:Z101)+$Z$96</f>
        <v>-2141.2161155182075</v>
      </c>
      <c r="AE101" s="1">
        <f>IFERROR(IRR(Z$96:Z101),"N/A")</f>
        <v>-0.2214978315134859</v>
      </c>
      <c r="AF101" s="1">
        <f>IFERROR(MIRR(Z$96:Z101,$C$15,$C$16),"N/A")</f>
        <v>-0.13119621788776559</v>
      </c>
      <c r="AG101" s="12">
        <f>MIN(Z$96:Z101)</f>
        <v>-1000</v>
      </c>
      <c r="AH101" s="12">
        <f>MIN(AA$96:AA101)</f>
        <v>-4000</v>
      </c>
      <c r="AI101" s="12">
        <f t="shared" si="22"/>
        <v>-1426.2486039543128</v>
      </c>
      <c r="AJ101" s="12">
        <f t="shared" si="34"/>
        <v>-8746.1015451307831</v>
      </c>
      <c r="AK101" t="str">
        <f t="shared" si="35"/>
        <v/>
      </c>
      <c r="AL101" t="str">
        <f t="shared" si="36"/>
        <v/>
      </c>
      <c r="AM101" s="3">
        <f>NPV($C$15,AI$97:AI101)+$AI$96</f>
        <v>-8254.1656870951465</v>
      </c>
      <c r="AN101" s="63" t="str">
        <f>IFERROR(IRR(AI$96:AI101),"N/A")</f>
        <v>N/A</v>
      </c>
      <c r="AO101" s="63">
        <f>IFERROR(MIRR(AI$96:AI101,$C$15,$C$16),"N/A")</f>
        <v>-1</v>
      </c>
      <c r="AP101" s="3">
        <f>MIN(AI$96:AI101)</f>
        <v>-1819.8529411764707</v>
      </c>
      <c r="AQ101" s="3">
        <f>MIN(AJ$96:AJ101)</f>
        <v>-8746.1015451307831</v>
      </c>
    </row>
    <row r="102" spans="2:43" x14ac:dyDescent="0.45">
      <c r="B102" s="4" t="str">
        <f t="shared" si="6"/>
        <v/>
      </c>
      <c r="C102">
        <v>6</v>
      </c>
      <c r="D102" s="3">
        <f t="shared" si="7"/>
        <v>1778.2794100389228</v>
      </c>
      <c r="E102" s="2">
        <f t="shared" si="8"/>
        <v>182.87529926356672</v>
      </c>
      <c r="F102" s="3">
        <f t="shared" si="9"/>
        <v>2615.1167794690041</v>
      </c>
      <c r="G102" s="3">
        <f t="shared" si="10"/>
        <v>1261.7938460937946</v>
      </c>
      <c r="H102" s="12">
        <f t="shared" si="11"/>
        <v>3876.9106255627985</v>
      </c>
      <c r="I102" s="12">
        <f t="shared" si="12"/>
        <v>836.83736943008103</v>
      </c>
      <c r="J102" s="12">
        <f t="shared" si="13"/>
        <v>620.76334552645494</v>
      </c>
      <c r="K102" s="12">
        <f t="shared" si="23"/>
        <v>1457.600714956536</v>
      </c>
      <c r="L102" s="6">
        <f t="shared" si="24"/>
        <v>0.37596964586846537</v>
      </c>
      <c r="M102" s="12">
        <f t="shared" si="14"/>
        <v>641.03050056733969</v>
      </c>
      <c r="N102" s="12">
        <f t="shared" si="15"/>
        <v>2419.3099106062627</v>
      </c>
      <c r="O102" s="2">
        <f t="shared" si="25"/>
        <v>45.738171315878134</v>
      </c>
      <c r="P102" s="24">
        <f t="shared" si="16"/>
        <v>4.5738171315878137E-2</v>
      </c>
      <c r="Q102" s="24">
        <f t="shared" si="17"/>
        <v>4.5718824815891679E-2</v>
      </c>
      <c r="R102" s="56">
        <f t="shared" si="26"/>
        <v>1</v>
      </c>
      <c r="S102" s="56">
        <f t="shared" si="27"/>
        <v>1</v>
      </c>
      <c r="T102" s="3">
        <f t="shared" si="28"/>
        <v>2500</v>
      </c>
      <c r="U102" s="3">
        <f t="shared" si="29"/>
        <v>500</v>
      </c>
      <c r="V102" s="12">
        <f t="shared" si="18"/>
        <v>4778.2794100389228</v>
      </c>
      <c r="W102" s="12">
        <f t="shared" si="19"/>
        <v>-901.36878447612435</v>
      </c>
      <c r="X102" s="6">
        <f t="shared" si="20"/>
        <v>-0.23249666333107061</v>
      </c>
      <c r="Y102" s="12"/>
      <c r="Z102" s="12">
        <f t="shared" si="21"/>
        <v>1457.6007149565357</v>
      </c>
      <c r="AA102" s="12">
        <f t="shared" si="31"/>
        <v>-629.68383173165194</v>
      </c>
      <c r="AB102" t="str">
        <f t="shared" si="32"/>
        <v/>
      </c>
      <c r="AC102" t="str">
        <f t="shared" si="33"/>
        <v/>
      </c>
      <c r="AD102" s="3">
        <f>NPV($C$15,Z$97:Z102)+$Z$96</f>
        <v>-862.81571951791921</v>
      </c>
      <c r="AE102" s="1">
        <f>IFERROR(IRR(Z$96:Z102),"N/A")</f>
        <v>-4.5539391289354914E-2</v>
      </c>
      <c r="AF102" s="1">
        <f>IFERROR(MIRR(Z$96:Z102,$C$15,$C$16),"N/A")</f>
        <v>-2.2223799774617525E-2</v>
      </c>
      <c r="AG102" s="12">
        <f>MIN(Z$96:Z102)</f>
        <v>-1000</v>
      </c>
      <c r="AH102" s="12">
        <f>MIN(AA$96:AA102)</f>
        <v>-4000</v>
      </c>
      <c r="AI102" s="12">
        <f t="shared" si="22"/>
        <v>-901.36878447612435</v>
      </c>
      <c r="AJ102" s="12">
        <f t="shared" si="34"/>
        <v>-9647.4703296069074</v>
      </c>
      <c r="AK102" t="str">
        <f t="shared" si="35"/>
        <v/>
      </c>
      <c r="AL102" t="str">
        <f t="shared" si="36"/>
        <v/>
      </c>
      <c r="AM102" s="3">
        <f>NPV($C$15,AI$97:AI102)+$AI$96</f>
        <v>-9044.7184078729624</v>
      </c>
      <c r="AN102" s="63" t="str">
        <f>IFERROR(IRR(AI$96:AI102),"N/A")</f>
        <v>N/A</v>
      </c>
      <c r="AO102" s="63">
        <f>IFERROR(MIRR(AI$96:AI102,$C$15,$C$16),"N/A")</f>
        <v>-1</v>
      </c>
      <c r="AP102" s="3">
        <f>MIN(AI$96:AI102)</f>
        <v>-1819.8529411764707</v>
      </c>
      <c r="AQ102" s="3">
        <f>MIN(AJ$96:AJ102)</f>
        <v>-9647.4703296069074</v>
      </c>
    </row>
    <row r="103" spans="2:43" x14ac:dyDescent="0.45">
      <c r="B103" s="4" t="str">
        <f t="shared" si="6"/>
        <v/>
      </c>
      <c r="C103">
        <v>7</v>
      </c>
      <c r="D103" s="3">
        <f t="shared" si="7"/>
        <v>2371.3737056616551</v>
      </c>
      <c r="E103" s="2">
        <f t="shared" si="8"/>
        <v>243.86813098124796</v>
      </c>
      <c r="F103" s="3">
        <f t="shared" si="9"/>
        <v>3487.3142730318459</v>
      </c>
      <c r="G103" s="3">
        <f t="shared" si="10"/>
        <v>1682.6291367378658</v>
      </c>
      <c r="H103" s="12">
        <f t="shared" si="11"/>
        <v>5169.9434097697122</v>
      </c>
      <c r="I103" s="12">
        <f t="shared" si="12"/>
        <v>1115.9405673701904</v>
      </c>
      <c r="J103" s="12">
        <f t="shared" si="13"/>
        <v>827.80122556093454</v>
      </c>
      <c r="K103" s="12">
        <f t="shared" si="23"/>
        <v>1943.741792931125</v>
      </c>
      <c r="L103" s="6">
        <f t="shared" si="24"/>
        <v>0.37596964586846537</v>
      </c>
      <c r="M103" s="12">
        <f t="shared" si="14"/>
        <v>854.82791117693125</v>
      </c>
      <c r="N103" s="12">
        <f t="shared" si="15"/>
        <v>3226.2016168385862</v>
      </c>
      <c r="O103" s="2">
        <f t="shared" si="25"/>
        <v>60.992831717681241</v>
      </c>
      <c r="P103" s="24">
        <f t="shared" si="16"/>
        <v>6.0992831717681245E-2</v>
      </c>
      <c r="Q103" s="24">
        <f t="shared" si="17"/>
        <v>6.0967032745311983E-2</v>
      </c>
      <c r="R103" s="56">
        <f t="shared" si="26"/>
        <v>1</v>
      </c>
      <c r="S103" s="56">
        <f t="shared" si="27"/>
        <v>1</v>
      </c>
      <c r="T103" s="3">
        <f t="shared" si="28"/>
        <v>2500</v>
      </c>
      <c r="U103" s="3">
        <f t="shared" si="29"/>
        <v>500</v>
      </c>
      <c r="V103" s="12">
        <f t="shared" si="18"/>
        <v>5371.3737056616555</v>
      </c>
      <c r="W103" s="12">
        <f t="shared" si="19"/>
        <v>-201.43029589194339</v>
      </c>
      <c r="X103" s="6">
        <f t="shared" si="20"/>
        <v>-3.8961798984355964E-2</v>
      </c>
      <c r="Y103" s="12"/>
      <c r="Z103" s="12">
        <f t="shared" si="21"/>
        <v>1943.7417929311259</v>
      </c>
      <c r="AA103" s="12">
        <f t="shared" si="31"/>
        <v>1314.057961199474</v>
      </c>
      <c r="AB103" t="str">
        <f t="shared" si="32"/>
        <v/>
      </c>
      <c r="AC103" t="str">
        <f t="shared" si="33"/>
        <v>payback</v>
      </c>
      <c r="AD103" s="3">
        <f>NPV($C$15,Z$97:Z103)+$Z$96</f>
        <v>805.09045774446395</v>
      </c>
      <c r="AE103" s="1">
        <f>IFERROR(IRR(Z$96:Z103),"N/A")</f>
        <v>6.7417996257769452E-2</v>
      </c>
      <c r="AF103" s="1">
        <f>IFERROR(MIRR(Z$96:Z103,$C$15,$C$16),"N/A")</f>
        <v>4.7096596176106731E-2</v>
      </c>
      <c r="AG103" s="12">
        <f>MIN(Z$96:Z103)</f>
        <v>-1000</v>
      </c>
      <c r="AH103" s="12">
        <f>MIN(AA$96:AA103)</f>
        <v>-4000</v>
      </c>
      <c r="AI103" s="12">
        <f t="shared" si="22"/>
        <v>-201.43029589194339</v>
      </c>
      <c r="AJ103" s="12">
        <f t="shared" si="34"/>
        <v>-9848.9006254988508</v>
      </c>
      <c r="AK103" t="str">
        <f t="shared" si="35"/>
        <v/>
      </c>
      <c r="AL103" t="str">
        <f t="shared" si="36"/>
        <v/>
      </c>
      <c r="AM103" s="3">
        <f>NPV($C$15,AI$97:AI103)+$AI$96</f>
        <v>-9217.5638115308866</v>
      </c>
      <c r="AN103" s="63" t="str">
        <f>IFERROR(IRR(AI$96:AI103),"N/A")</f>
        <v>N/A</v>
      </c>
      <c r="AO103" s="63">
        <f>IFERROR(MIRR(AI$96:AI103,$C$15,$C$16),"N/A")</f>
        <v>-1</v>
      </c>
      <c r="AP103" s="3">
        <f>MIN(AI$96:AI103)</f>
        <v>-1819.8529411764707</v>
      </c>
      <c r="AQ103" s="3">
        <f>MIN(AJ$96:AJ103)</f>
        <v>-9848.9006254988508</v>
      </c>
    </row>
    <row r="104" spans="2:43" x14ac:dyDescent="0.45">
      <c r="B104" s="4" t="str">
        <f t="shared" si="6"/>
        <v/>
      </c>
      <c r="C104">
        <v>8</v>
      </c>
      <c r="D104" s="3">
        <f t="shared" si="7"/>
        <v>3162.277660168379</v>
      </c>
      <c r="E104" s="2">
        <f t="shared" si="8"/>
        <v>325.20337928510685</v>
      </c>
      <c r="F104" s="3">
        <f t="shared" si="9"/>
        <v>4650.4083237770283</v>
      </c>
      <c r="G104" s="3">
        <f t="shared" si="10"/>
        <v>2243.8220162224161</v>
      </c>
      <c r="H104" s="12">
        <f t="shared" si="11"/>
        <v>6894.2303399994444</v>
      </c>
      <c r="I104" s="12">
        <f t="shared" si="12"/>
        <v>1488.1306636086485</v>
      </c>
      <c r="J104" s="12">
        <f t="shared" si="13"/>
        <v>1103.8906758565722</v>
      </c>
      <c r="K104" s="12">
        <f t="shared" si="23"/>
        <v>2592.021339465221</v>
      </c>
      <c r="L104" s="6">
        <f t="shared" si="24"/>
        <v>0.37596964586846543</v>
      </c>
      <c r="M104" s="12">
        <f t="shared" si="14"/>
        <v>1139.9313403658439</v>
      </c>
      <c r="N104" s="12">
        <f t="shared" si="15"/>
        <v>4302.2090005342234</v>
      </c>
      <c r="O104" s="2">
        <f t="shared" si="25"/>
        <v>81.33524830385889</v>
      </c>
      <c r="P104" s="24">
        <f t="shared" si="16"/>
        <v>8.1335248303858881E-2</v>
      </c>
      <c r="Q104" s="24">
        <f t="shared" si="17"/>
        <v>8.130084482127671E-2</v>
      </c>
      <c r="R104" s="56">
        <f t="shared" si="26"/>
        <v>1</v>
      </c>
      <c r="S104" s="56">
        <f t="shared" si="27"/>
        <v>1</v>
      </c>
      <c r="T104" s="3">
        <f t="shared" si="28"/>
        <v>2500</v>
      </c>
      <c r="U104" s="3">
        <f t="shared" si="29"/>
        <v>500</v>
      </c>
      <c r="V104" s="12">
        <f t="shared" si="18"/>
        <v>6162.277660168379</v>
      </c>
      <c r="W104" s="12">
        <f t="shared" si="19"/>
        <v>731.95267983106532</v>
      </c>
      <c r="X104" s="6">
        <f t="shared" si="20"/>
        <v>0.10616887509318761</v>
      </c>
      <c r="Y104" s="12"/>
      <c r="Z104" s="12">
        <f t="shared" si="21"/>
        <v>2592.021339465221</v>
      </c>
      <c r="AA104" s="12">
        <f t="shared" si="31"/>
        <v>3906.079300664695</v>
      </c>
      <c r="AB104" t="str">
        <f t="shared" si="32"/>
        <v/>
      </c>
      <c r="AC104" t="str">
        <f t="shared" si="33"/>
        <v/>
      </c>
      <c r="AD104" s="3">
        <f>NPV($C$15,Z$97:Z104)+$Z$96</f>
        <v>2981.1778751558913</v>
      </c>
      <c r="AE104" s="1">
        <f>IFERROR(IRR(Z$96:Z104),"N/A")</f>
        <v>0.14553013037096973</v>
      </c>
      <c r="AF104" s="1">
        <f>IFERROR(MIRR(Z$96:Z104,$C$15,$C$16),"N/A")</f>
        <v>9.4292954418970565E-2</v>
      </c>
      <c r="AG104" s="12">
        <f>MIN(Z$96:Z104)</f>
        <v>-1000</v>
      </c>
      <c r="AH104" s="12">
        <f>MIN(AA$96:AA104)</f>
        <v>-4000</v>
      </c>
      <c r="AI104" s="12">
        <f t="shared" si="22"/>
        <v>731.95267983106532</v>
      </c>
      <c r="AJ104" s="12">
        <f t="shared" si="34"/>
        <v>-9116.9479456677855</v>
      </c>
      <c r="AK104" t="str">
        <f t="shared" si="35"/>
        <v>breakeven</v>
      </c>
      <c r="AL104" t="str">
        <f t="shared" si="36"/>
        <v/>
      </c>
      <c r="AM104" s="3">
        <f>NPV($C$15,AI$97:AI104)+$AI$96</f>
        <v>-8603.0653919115575</v>
      </c>
      <c r="AN104" s="63" t="str">
        <f>IFERROR(IRR(AI$96:AI104),"N/A")</f>
        <v>N/A</v>
      </c>
      <c r="AO104" s="63">
        <f>IFERROR(MIRR(AI$96:AI104,$C$15,$C$16),"N/A")</f>
        <v>-0.27140974777020455</v>
      </c>
      <c r="AP104" s="3">
        <f>MIN(AI$96:AI104)</f>
        <v>-1819.8529411764707</v>
      </c>
      <c r="AQ104" s="3">
        <f>MIN(AJ$96:AJ104)</f>
        <v>-9848.9006254988508</v>
      </c>
    </row>
    <row r="105" spans="2:43" x14ac:dyDescent="0.45">
      <c r="B105" s="4" t="str">
        <f t="shared" si="6"/>
        <v/>
      </c>
      <c r="C105">
        <v>9</v>
      </c>
      <c r="D105" s="3">
        <f t="shared" si="7"/>
        <v>4216.9650342858222</v>
      </c>
      <c r="E105" s="2">
        <f t="shared" si="8"/>
        <v>433.66567608862835</v>
      </c>
      <c r="F105" s="3">
        <f t="shared" si="9"/>
        <v>6201.4191680673857</v>
      </c>
      <c r="G105" s="3">
        <f t="shared" si="10"/>
        <v>2992.1847485925136</v>
      </c>
      <c r="H105" s="12">
        <f t="shared" si="11"/>
        <v>9193.6039166599003</v>
      </c>
      <c r="I105" s="12">
        <f t="shared" si="12"/>
        <v>1984.4541337815629</v>
      </c>
      <c r="J105" s="12">
        <f t="shared" si="13"/>
        <v>1472.0618750199958</v>
      </c>
      <c r="K105" s="12">
        <f t="shared" si="23"/>
        <v>3456.5160088015587</v>
      </c>
      <c r="L105" s="6">
        <f t="shared" si="24"/>
        <v>0.37596964586846532</v>
      </c>
      <c r="M105" s="12">
        <f t="shared" si="14"/>
        <v>1520.1228735725178</v>
      </c>
      <c r="N105" s="12">
        <f t="shared" si="15"/>
        <v>5737.0879078583403</v>
      </c>
      <c r="O105" s="2">
        <f t="shared" si="25"/>
        <v>108.4622968035215</v>
      </c>
      <c r="P105" s="24">
        <f t="shared" si="16"/>
        <v>0.10846229680352149</v>
      </c>
      <c r="Q105" s="24">
        <f t="shared" si="17"/>
        <v>0.10841641902215708</v>
      </c>
      <c r="R105" s="56">
        <f t="shared" si="26"/>
        <v>1</v>
      </c>
      <c r="S105" s="56">
        <f t="shared" si="27"/>
        <v>1</v>
      </c>
      <c r="T105" s="3">
        <f t="shared" si="28"/>
        <v>2500</v>
      </c>
      <c r="U105" s="3">
        <f t="shared" si="29"/>
        <v>500</v>
      </c>
      <c r="V105" s="12">
        <f t="shared" si="18"/>
        <v>7216.9650342858222</v>
      </c>
      <c r="W105" s="12">
        <f t="shared" si="19"/>
        <v>1976.6388823740781</v>
      </c>
      <c r="X105" s="6">
        <f t="shared" si="20"/>
        <v>0.21500152718045359</v>
      </c>
      <c r="Y105" s="12"/>
      <c r="Z105" s="12">
        <f t="shared" si="21"/>
        <v>3456.51600880156</v>
      </c>
      <c r="AA105" s="12">
        <f t="shared" si="31"/>
        <v>7362.5953094662545</v>
      </c>
      <c r="AB105" t="str">
        <f t="shared" si="32"/>
        <v/>
      </c>
      <c r="AC105" t="str">
        <f t="shared" si="33"/>
        <v/>
      </c>
      <c r="AD105" s="3">
        <f>NPV($C$15,Z$97:Z105)+$Z$96</f>
        <v>5820.2802855736727</v>
      </c>
      <c r="AE105" s="1">
        <f>IFERROR(IRR(Z$96:Z105),"N/A")</f>
        <v>0.20218473602451925</v>
      </c>
      <c r="AF105" s="1">
        <f>IFERROR(MIRR(Z$96:Z105,$C$15,$C$16),"N/A")</f>
        <v>0.1281004132679362</v>
      </c>
      <c r="AG105" s="12">
        <f>MIN(Z$96:Z105)</f>
        <v>-1000</v>
      </c>
      <c r="AH105" s="12">
        <f>MIN(AA$96:AA105)</f>
        <v>-4000</v>
      </c>
      <c r="AI105" s="12">
        <f t="shared" si="22"/>
        <v>1976.6388823740781</v>
      </c>
      <c r="AJ105" s="12">
        <f t="shared" si="34"/>
        <v>-7140.3090632937074</v>
      </c>
      <c r="AK105" t="str">
        <f t="shared" si="35"/>
        <v/>
      </c>
      <c r="AL105" t="str">
        <f t="shared" si="36"/>
        <v/>
      </c>
      <c r="AM105" s="3">
        <f>NPV($C$15,AI$97:AI105)+$AI$96</f>
        <v>-6979.4998706803972</v>
      </c>
      <c r="AN105" s="63">
        <f>IFERROR(IRR(AI$96:AI105),"N/A")</f>
        <v>-0.21807376112540744</v>
      </c>
      <c r="AO105" s="63">
        <f>IFERROR(MIRR(AI$96:AI105,$C$15,$C$16),"N/A")</f>
        <v>-0.12709602208634696</v>
      </c>
      <c r="AP105" s="3">
        <f>MIN(AI$96:AI105)</f>
        <v>-1819.8529411764707</v>
      </c>
      <c r="AQ105" s="3">
        <f>MIN(AJ$96:AJ105)</f>
        <v>-9848.9006254988508</v>
      </c>
    </row>
    <row r="106" spans="2:43" x14ac:dyDescent="0.45">
      <c r="B106" s="4" t="str">
        <f t="shared" si="6"/>
        <v/>
      </c>
      <c r="C106">
        <v>10</v>
      </c>
      <c r="D106" s="3">
        <f t="shared" si="7"/>
        <v>5623.4132519034902</v>
      </c>
      <c r="E106" s="2">
        <f t="shared" si="8"/>
        <v>578.30247345778389</v>
      </c>
      <c r="F106" s="3">
        <f t="shared" si="9"/>
        <v>8269.7253704463092</v>
      </c>
      <c r="G106" s="3">
        <f t="shared" si="10"/>
        <v>3990.142491240345</v>
      </c>
      <c r="H106" s="12">
        <f t="shared" si="11"/>
        <v>12259.867861686655</v>
      </c>
      <c r="I106" s="12">
        <f t="shared" si="12"/>
        <v>2646.3121185428186</v>
      </c>
      <c r="J106" s="12">
        <f t="shared" si="13"/>
        <v>1963.0260598096929</v>
      </c>
      <c r="K106" s="12">
        <f t="shared" si="23"/>
        <v>4609.338178352511</v>
      </c>
      <c r="L106" s="6">
        <f t="shared" si="24"/>
        <v>0.37596964586846537</v>
      </c>
      <c r="M106" s="12">
        <f t="shared" si="14"/>
        <v>2027.116431430652</v>
      </c>
      <c r="N106" s="12">
        <f t="shared" si="15"/>
        <v>7650.5296833341417</v>
      </c>
      <c r="O106" s="2">
        <f t="shared" si="25"/>
        <v>144.63679736915554</v>
      </c>
      <c r="P106" s="24">
        <f t="shared" si="16"/>
        <v>0.14463679736915555</v>
      </c>
      <c r="Q106" s="24">
        <f t="shared" si="17"/>
        <v>0.14457561836444596</v>
      </c>
      <c r="R106" s="56">
        <f t="shared" si="26"/>
        <v>1</v>
      </c>
      <c r="S106" s="56">
        <f t="shared" si="27"/>
        <v>1</v>
      </c>
      <c r="T106" s="3">
        <f t="shared" si="28"/>
        <v>2500</v>
      </c>
      <c r="U106" s="3">
        <f t="shared" si="29"/>
        <v>500</v>
      </c>
      <c r="V106" s="12">
        <f t="shared" si="18"/>
        <v>8623.4132519034902</v>
      </c>
      <c r="W106" s="12">
        <f t="shared" si="19"/>
        <v>3636.4546097831644</v>
      </c>
      <c r="X106" s="6">
        <f t="shared" si="20"/>
        <v>0.29661450276698809</v>
      </c>
      <c r="Y106" s="12"/>
      <c r="Z106" s="12">
        <f t="shared" si="21"/>
        <v>4609.3381783525128</v>
      </c>
      <c r="AA106" s="12">
        <f t="shared" si="31"/>
        <v>11971.933487818767</v>
      </c>
      <c r="AB106" t="str">
        <f t="shared" si="32"/>
        <v/>
      </c>
      <c r="AC106" t="str">
        <f t="shared" si="33"/>
        <v/>
      </c>
      <c r="AD106" s="3">
        <f>NPV($C$15,Z$97:Z106)+$Z$96</f>
        <v>9524.4065225740469</v>
      </c>
      <c r="AE106" s="1">
        <f>IFERROR(IRR(Z$96:Z106),"N/A")</f>
        <v>0.24470995383432892</v>
      </c>
      <c r="AF106" s="1">
        <f>IFERROR(MIRR(Z$96:Z106,$C$15,$C$16),"N/A")</f>
        <v>0.15331490280052207</v>
      </c>
      <c r="AG106" s="12">
        <f>MIN(Z$96:Z106)</f>
        <v>-1000</v>
      </c>
      <c r="AH106" s="12">
        <f>MIN(AA$96:AA106)</f>
        <v>-4000</v>
      </c>
      <c r="AI106" s="12">
        <f t="shared" si="22"/>
        <v>3636.4546097831644</v>
      </c>
      <c r="AJ106" s="12">
        <f t="shared" si="34"/>
        <v>-3503.854453510543</v>
      </c>
      <c r="AK106" t="str">
        <f t="shared" si="35"/>
        <v/>
      </c>
      <c r="AL106" t="str">
        <f t="shared" si="36"/>
        <v/>
      </c>
      <c r="AM106" s="3">
        <f>NPV($C$15,AI$97:AI106)+$AI$96</f>
        <v>-4057.1959718214875</v>
      </c>
      <c r="AN106" s="63">
        <f>IFERROR(IRR(AI$96:AI106),"N/A")</f>
        <v>-6.7624504764914883E-2</v>
      </c>
      <c r="AO106" s="63">
        <f>IFERROR(MIRR(AI$96:AI106,$C$15,$C$16),"N/A")</f>
        <v>-3.6400739952758721E-2</v>
      </c>
      <c r="AP106" s="3">
        <f>MIN(AI$96:AI106)</f>
        <v>-1819.8529411764707</v>
      </c>
      <c r="AQ106" s="3">
        <f>MIN(AJ$96:AJ106)</f>
        <v>-9848.9006254988508</v>
      </c>
    </row>
    <row r="107" spans="2:43" x14ac:dyDescent="0.45">
      <c r="B107" s="4" t="str">
        <f t="shared" si="6"/>
        <v/>
      </c>
      <c r="C107">
        <v>11</v>
      </c>
      <c r="D107" s="3">
        <f t="shared" si="7"/>
        <v>7498.9420933245574</v>
      </c>
      <c r="E107" s="2">
        <f t="shared" si="8"/>
        <v>771.1787426290166</v>
      </c>
      <c r="F107" s="3">
        <f t="shared" si="9"/>
        <v>11027.856019594938</v>
      </c>
      <c r="G107" s="3">
        <f t="shared" si="10"/>
        <v>5320.9405294545577</v>
      </c>
      <c r="H107" s="12">
        <f t="shared" si="11"/>
        <v>16348.796549049495</v>
      </c>
      <c r="I107" s="12">
        <f t="shared" si="12"/>
        <v>3528.9139262703789</v>
      </c>
      <c r="J107" s="12">
        <f t="shared" si="13"/>
        <v>2617.7373226513487</v>
      </c>
      <c r="K107" s="12">
        <f t="shared" si="23"/>
        <v>6146.6512489217275</v>
      </c>
      <c r="L107" s="6">
        <f t="shared" si="24"/>
        <v>0.37596964586846537</v>
      </c>
      <c r="M107" s="12">
        <f t="shared" si="14"/>
        <v>2703.203206803209</v>
      </c>
      <c r="N107" s="12">
        <f t="shared" si="15"/>
        <v>10202.145300127766</v>
      </c>
      <c r="O107" s="2">
        <f t="shared" si="25"/>
        <v>192.87626917123271</v>
      </c>
      <c r="P107" s="24">
        <f t="shared" si="16"/>
        <v>0.19287626917123271</v>
      </c>
      <c r="Q107" s="24">
        <f t="shared" si="17"/>
        <v>0.19279468565725416</v>
      </c>
      <c r="R107" s="56">
        <f t="shared" si="26"/>
        <v>1</v>
      </c>
      <c r="S107" s="56">
        <f t="shared" si="27"/>
        <v>1</v>
      </c>
      <c r="T107" s="3">
        <f t="shared" si="28"/>
        <v>2500</v>
      </c>
      <c r="U107" s="3">
        <f t="shared" si="29"/>
        <v>500</v>
      </c>
      <c r="V107" s="12">
        <f t="shared" si="18"/>
        <v>10498.942093324556</v>
      </c>
      <c r="W107" s="12">
        <f t="shared" si="19"/>
        <v>5849.8544557249388</v>
      </c>
      <c r="X107" s="6">
        <f t="shared" si="20"/>
        <v>0.35781560056572143</v>
      </c>
      <c r="Y107" s="12"/>
      <c r="Z107" s="12">
        <f t="shared" si="21"/>
        <v>6146.6512489217293</v>
      </c>
      <c r="AA107" s="12">
        <f t="shared" si="31"/>
        <v>18118.584736740497</v>
      </c>
      <c r="AB107" t="str">
        <f t="shared" si="32"/>
        <v/>
      </c>
      <c r="AC107" t="str">
        <f t="shared" si="33"/>
        <v/>
      </c>
      <c r="AD107" s="3">
        <f>NPV($C$15,Z$97:Z107)+$Z$96</f>
        <v>14357.113905473818</v>
      </c>
      <c r="AE107" s="1">
        <f>IFERROR(IRR(Z$96:Z107),"N/A")</f>
        <v>0.27748059857955742</v>
      </c>
      <c r="AF107" s="1">
        <f>IFERROR(MIRR(Z$96:Z107,$C$15,$C$16),"N/A")</f>
        <v>0.17275491761772188</v>
      </c>
      <c r="AG107" s="12">
        <f>MIN(Z$96:Z107)</f>
        <v>-1000</v>
      </c>
      <c r="AH107" s="12">
        <f>MIN(AA$96:AA107)</f>
        <v>-4000</v>
      </c>
      <c r="AI107" s="12">
        <f t="shared" si="22"/>
        <v>5849.8544557249388</v>
      </c>
      <c r="AJ107" s="12">
        <f t="shared" si="34"/>
        <v>2346.0000022143959</v>
      </c>
      <c r="AK107" t="str">
        <f t="shared" si="35"/>
        <v/>
      </c>
      <c r="AL107" t="str">
        <f t="shared" si="36"/>
        <v>payback</v>
      </c>
      <c r="AM107" s="3">
        <f>NPV($C$15,AI$97:AI107)+$AI$96</f>
        <v>542.15962396416649</v>
      </c>
      <c r="AN107" s="63">
        <f>IFERROR(IRR(AI$96:AI107),"N/A")</f>
        <v>3.0251519866570931E-2</v>
      </c>
      <c r="AO107" s="63">
        <f>IFERROR(MIRR(AI$96:AI107,$C$15,$C$16),"N/A")</f>
        <v>2.6136956978353831E-2</v>
      </c>
      <c r="AP107" s="3">
        <f>MIN(AI$96:AI107)</f>
        <v>-1819.8529411764707</v>
      </c>
      <c r="AQ107" s="3">
        <f>MIN(AJ$96:AJ107)</f>
        <v>-9848.9006254988508</v>
      </c>
    </row>
    <row r="108" spans="2:43" s="45" customFormat="1" x14ac:dyDescent="0.45">
      <c r="B108" s="62" t="str">
        <f t="shared" si="6"/>
        <v>last month of growth</v>
      </c>
      <c r="C108" s="45">
        <v>12</v>
      </c>
      <c r="D108" s="46">
        <f t="shared" si="7"/>
        <v>9999.9999999999982</v>
      </c>
      <c r="E108" s="47">
        <f t="shared" si="8"/>
        <v>1028.3833813245576</v>
      </c>
      <c r="F108" s="46">
        <f t="shared" si="9"/>
        <v>14705.882352941175</v>
      </c>
      <c r="G108" s="46">
        <f t="shared" si="10"/>
        <v>7095.5882352941171</v>
      </c>
      <c r="H108" s="48">
        <f t="shared" si="11"/>
        <v>21801.470588235294</v>
      </c>
      <c r="I108" s="48">
        <f t="shared" si="12"/>
        <v>4705.8823529411738</v>
      </c>
      <c r="J108" s="48">
        <f t="shared" si="13"/>
        <v>3490.8088235294117</v>
      </c>
      <c r="K108" s="48">
        <f t="shared" si="23"/>
        <v>8196.6911764705856</v>
      </c>
      <c r="L108" s="49">
        <f t="shared" si="24"/>
        <v>0.37596964586846532</v>
      </c>
      <c r="M108" s="48">
        <f t="shared" si="14"/>
        <v>3604.7794117647054</v>
      </c>
      <c r="N108" s="48">
        <f t="shared" si="15"/>
        <v>13604.779411764703</v>
      </c>
      <c r="O108" s="47">
        <f t="shared" si="25"/>
        <v>257.20463869554101</v>
      </c>
      <c r="P108" s="50">
        <f t="shared" si="16"/>
        <v>0.257204638695541</v>
      </c>
      <c r="Q108" s="50">
        <f t="shared" si="17"/>
        <v>0.25709584533113938</v>
      </c>
      <c r="R108" s="57">
        <f t="shared" si="26"/>
        <v>1</v>
      </c>
      <c r="S108" s="57">
        <f t="shared" si="27"/>
        <v>1</v>
      </c>
      <c r="T108" s="46">
        <f t="shared" si="28"/>
        <v>2500</v>
      </c>
      <c r="U108" s="46">
        <f t="shared" si="29"/>
        <v>500</v>
      </c>
      <c r="V108" s="48">
        <f t="shared" si="18"/>
        <v>12999.999999999998</v>
      </c>
      <c r="W108" s="48">
        <f t="shared" si="19"/>
        <v>8801.4705882352955</v>
      </c>
      <c r="X108" s="49">
        <f t="shared" si="20"/>
        <v>0.40370994940978083</v>
      </c>
      <c r="Y108" s="48"/>
      <c r="Z108" s="48">
        <f t="shared" si="21"/>
        <v>8196.691176470591</v>
      </c>
      <c r="AA108" s="48">
        <f t="shared" si="31"/>
        <v>26315.275913211088</v>
      </c>
      <c r="AB108" s="45" t="str">
        <f t="shared" si="32"/>
        <v/>
      </c>
      <c r="AC108" s="45" t="str">
        <f t="shared" si="33"/>
        <v/>
      </c>
      <c r="AD108" s="46">
        <f>NPV($C$15,Z$97:Z108)+$Z$96</f>
        <v>20662.260964297344</v>
      </c>
      <c r="AE108" s="51">
        <f>IFERROR(IRR(Z$96:Z108),"N/A")</f>
        <v>0.30327075576430595</v>
      </c>
      <c r="AF108" s="51">
        <f>IFERROR(MIRR(Z$96:Z108,$C$15,$C$16),"N/A")</f>
        <v>0.18816568950222146</v>
      </c>
      <c r="AG108" s="48">
        <f>MIN(Z$96:Z108)</f>
        <v>-1000</v>
      </c>
      <c r="AH108" s="48">
        <f>MIN(AA$96:AA108)</f>
        <v>-4000</v>
      </c>
      <c r="AI108" s="48">
        <f t="shared" si="22"/>
        <v>8801.4705882352955</v>
      </c>
      <c r="AJ108" s="48">
        <f t="shared" si="34"/>
        <v>11147.470590449691</v>
      </c>
      <c r="AK108" s="48" t="str">
        <f t="shared" si="35"/>
        <v/>
      </c>
      <c r="AL108" s="45" t="str">
        <f t="shared" si="36"/>
        <v/>
      </c>
      <c r="AM108" s="46">
        <f>NPV($C$15,AI$97:AI108)+$AI$96</f>
        <v>7312.5216149143889</v>
      </c>
      <c r="AN108" s="64">
        <f>IFERROR(IRR(AI$96:AI108),"N/A")</f>
        <v>9.9371216546409569E-2</v>
      </c>
      <c r="AO108" s="64">
        <f>IFERROR(MIRR(AI$96:AI108,$C$15,$C$16),"N/A")</f>
        <v>7.1466326337456643E-2</v>
      </c>
      <c r="AP108" s="46">
        <f>MIN(AI$96:AI108)</f>
        <v>-1819.8529411764707</v>
      </c>
      <c r="AQ108" s="46">
        <f>MIN(AJ$96:AJ108)</f>
        <v>-9848.9006254988508</v>
      </c>
    </row>
    <row r="109" spans="2:43" x14ac:dyDescent="0.45">
      <c r="D109" s="3"/>
      <c r="E109" s="2"/>
      <c r="F109" s="3"/>
      <c r="G109" s="3"/>
      <c r="H109" s="12"/>
      <c r="I109" s="12"/>
      <c r="J109" s="12"/>
      <c r="K109" s="12"/>
      <c r="L109" s="6"/>
      <c r="M109" s="12"/>
      <c r="N109" s="12"/>
      <c r="O109" s="2"/>
      <c r="P109" s="24"/>
      <c r="Q109" s="24"/>
      <c r="R109" s="11"/>
      <c r="S109" s="3"/>
      <c r="T109" s="12"/>
      <c r="V109" s="12"/>
      <c r="X109" s="12"/>
      <c r="Y109" s="12"/>
      <c r="Z109" s="6"/>
      <c r="AA109" s="3"/>
      <c r="AB109" s="1"/>
      <c r="AC109" s="1"/>
      <c r="AD109" s="12"/>
      <c r="AE109" s="12"/>
    </row>
    <row r="110" spans="2:43" x14ac:dyDescent="0.45">
      <c r="D110" s="3"/>
      <c r="E110" s="2"/>
      <c r="F110" s="3"/>
      <c r="G110" s="3"/>
      <c r="H110" s="12"/>
      <c r="I110" s="12"/>
      <c r="J110" s="12"/>
      <c r="K110" s="12"/>
      <c r="L110" s="6"/>
      <c r="M110" s="12"/>
      <c r="N110" s="12"/>
      <c r="O110" s="2"/>
      <c r="P110" s="24"/>
      <c r="Q110" s="24"/>
      <c r="R110" s="11"/>
      <c r="S110" s="3"/>
      <c r="T110" s="12"/>
      <c r="V110" s="12"/>
      <c r="X110" s="12"/>
      <c r="Y110" s="12"/>
      <c r="Z110" s="6"/>
      <c r="AA110" s="3"/>
      <c r="AB110" s="1"/>
      <c r="AC110" s="1"/>
      <c r="AD110" s="12"/>
      <c r="AE110" s="12"/>
    </row>
    <row r="111" spans="2:43" x14ac:dyDescent="0.45">
      <c r="D111" s="3"/>
      <c r="E111" s="2"/>
      <c r="F111" s="3"/>
      <c r="G111" s="3"/>
      <c r="H111" s="12"/>
      <c r="I111" s="12"/>
      <c r="J111" s="12"/>
      <c r="K111" s="12"/>
      <c r="L111" s="6"/>
      <c r="M111" s="12"/>
      <c r="N111" s="12"/>
      <c r="O111" s="2"/>
      <c r="P111" s="24"/>
      <c r="Q111" s="24"/>
      <c r="R111" s="11"/>
      <c r="S111" s="3"/>
      <c r="T111" s="12"/>
      <c r="V111" s="12"/>
      <c r="X111" s="12"/>
      <c r="Y111" s="12"/>
      <c r="Z111" s="6"/>
      <c r="AA111" s="3"/>
      <c r="AB111" s="1"/>
      <c r="AC111" s="1"/>
      <c r="AD111" s="12"/>
      <c r="AE111" s="12"/>
    </row>
    <row r="112" spans="2:43" x14ac:dyDescent="0.45">
      <c r="D112" s="3"/>
      <c r="E112" s="2"/>
      <c r="F112" s="3"/>
      <c r="G112" s="3"/>
      <c r="H112" s="12"/>
      <c r="I112" s="12"/>
      <c r="J112" s="12"/>
      <c r="K112" s="12"/>
      <c r="L112" s="6"/>
      <c r="M112" s="12"/>
      <c r="N112" s="12"/>
      <c r="O112" s="2"/>
      <c r="P112" s="24"/>
      <c r="Q112" s="24"/>
      <c r="R112" s="11"/>
      <c r="S112" s="3"/>
      <c r="T112" s="12"/>
      <c r="V112" s="12"/>
      <c r="X112" s="12"/>
      <c r="Y112" s="12"/>
      <c r="Z112" s="6"/>
      <c r="AA112" s="3"/>
      <c r="AB112" s="1"/>
      <c r="AC112" s="1"/>
      <c r="AD112" s="12"/>
      <c r="AE112" s="12"/>
    </row>
    <row r="113" spans="4:31" x14ac:dyDescent="0.45">
      <c r="D113" s="3"/>
      <c r="E113" s="2"/>
      <c r="F113" s="3"/>
      <c r="G113" s="3"/>
      <c r="H113" s="12"/>
      <c r="I113" s="12"/>
      <c r="J113" s="12"/>
      <c r="K113" s="12"/>
      <c r="L113" s="6"/>
      <c r="M113" s="12"/>
      <c r="N113" s="12"/>
      <c r="O113" s="2"/>
      <c r="P113" s="24"/>
      <c r="Q113" s="24"/>
      <c r="R113" s="11"/>
      <c r="S113" s="3"/>
      <c r="T113" s="12"/>
      <c r="V113" s="12"/>
      <c r="X113" s="12"/>
      <c r="Y113" s="12"/>
      <c r="Z113" s="6"/>
      <c r="AA113" s="3"/>
      <c r="AB113" s="1"/>
      <c r="AC113" s="1"/>
      <c r="AD113" s="12"/>
      <c r="AE113" s="12"/>
    </row>
    <row r="114" spans="4:31" x14ac:dyDescent="0.45">
      <c r="D114" s="3"/>
      <c r="E114" s="2"/>
      <c r="F114" s="3"/>
      <c r="G114" s="3"/>
      <c r="H114" s="12"/>
      <c r="I114" s="12"/>
      <c r="J114" s="12"/>
      <c r="K114" s="12"/>
      <c r="L114" s="6"/>
      <c r="M114" s="12"/>
      <c r="N114" s="12"/>
      <c r="O114" s="2"/>
      <c r="P114" s="24"/>
      <c r="Q114" s="24"/>
      <c r="R114" s="11"/>
      <c r="S114" s="3"/>
      <c r="T114" s="12"/>
      <c r="V114" s="12"/>
      <c r="X114" s="12"/>
      <c r="Y114" s="12"/>
      <c r="Z114" s="6"/>
      <c r="AA114" s="3"/>
      <c r="AB114" s="1"/>
      <c r="AC114" s="1"/>
      <c r="AD114" s="12"/>
      <c r="AE114" s="12"/>
    </row>
    <row r="115" spans="4:31" x14ac:dyDescent="0.45">
      <c r="D115" s="3"/>
      <c r="E115" s="2"/>
      <c r="F115" s="3"/>
      <c r="G115" s="3"/>
      <c r="H115" s="12"/>
      <c r="I115" s="12"/>
      <c r="J115" s="12"/>
      <c r="K115" s="12"/>
      <c r="L115" s="6"/>
      <c r="M115" s="12"/>
      <c r="N115" s="12"/>
      <c r="O115" s="2"/>
      <c r="P115" s="24"/>
      <c r="Q115" s="24"/>
      <c r="R115" s="11"/>
      <c r="S115" s="3"/>
      <c r="T115" s="12"/>
      <c r="V115" s="12"/>
      <c r="X115" s="12"/>
      <c r="Y115" s="12"/>
      <c r="Z115" s="6"/>
      <c r="AA115" s="3"/>
      <c r="AB115" s="1"/>
      <c r="AC115" s="1"/>
      <c r="AD115" s="12"/>
      <c r="AE115" s="12"/>
    </row>
    <row r="116" spans="4:31" x14ac:dyDescent="0.45">
      <c r="D116" s="3"/>
      <c r="E116" s="2"/>
      <c r="F116" s="3"/>
      <c r="G116" s="3"/>
      <c r="H116" s="12"/>
      <c r="I116" s="12"/>
      <c r="J116" s="12"/>
      <c r="K116" s="12"/>
      <c r="L116" s="6"/>
      <c r="M116" s="12"/>
      <c r="N116" s="12"/>
      <c r="O116" s="2"/>
      <c r="P116" s="24"/>
      <c r="Q116" s="24"/>
      <c r="R116" s="11"/>
      <c r="S116" s="3"/>
      <c r="T116" s="12"/>
      <c r="V116" s="12"/>
      <c r="X116" s="12"/>
      <c r="Y116" s="12"/>
      <c r="Z116" s="6"/>
      <c r="AA116" s="3"/>
      <c r="AB116" s="1"/>
      <c r="AC116" s="1"/>
      <c r="AD116" s="12"/>
      <c r="AE116" s="12"/>
    </row>
    <row r="117" spans="4:31" x14ac:dyDescent="0.45">
      <c r="D117" s="3"/>
      <c r="E117" s="2"/>
      <c r="F117" s="3"/>
      <c r="G117" s="3"/>
      <c r="H117" s="12"/>
      <c r="I117" s="12"/>
      <c r="J117" s="12"/>
      <c r="K117" s="12"/>
      <c r="L117" s="6"/>
      <c r="M117" s="12"/>
      <c r="N117" s="12"/>
      <c r="O117" s="2"/>
      <c r="P117" s="24"/>
      <c r="Q117" s="24"/>
      <c r="R117" s="11"/>
      <c r="S117" s="3"/>
      <c r="T117" s="12"/>
      <c r="V117" s="12"/>
      <c r="X117" s="12"/>
      <c r="Y117" s="12"/>
      <c r="Z117" s="6"/>
      <c r="AA117" s="3"/>
      <c r="AB117" s="1"/>
      <c r="AC117" s="1"/>
      <c r="AD117" s="12"/>
      <c r="AE117" s="12"/>
    </row>
    <row r="118" spans="4:31" x14ac:dyDescent="0.45">
      <c r="D118" s="3"/>
      <c r="E118" s="2"/>
      <c r="F118" s="3"/>
      <c r="G118" s="3"/>
      <c r="H118" s="12"/>
      <c r="I118" s="12"/>
      <c r="J118" s="12"/>
      <c r="K118" s="12"/>
      <c r="L118" s="6"/>
      <c r="M118" s="12"/>
      <c r="N118" s="12"/>
      <c r="O118" s="2"/>
      <c r="P118" s="24"/>
      <c r="Q118" s="24"/>
      <c r="R118" s="11"/>
      <c r="S118" s="3"/>
      <c r="T118" s="12"/>
      <c r="V118" s="12"/>
      <c r="X118" s="12"/>
      <c r="Y118" s="12"/>
      <c r="Z118" s="6"/>
      <c r="AA118" s="3"/>
      <c r="AB118" s="1"/>
      <c r="AC118" s="1"/>
      <c r="AD118" s="12"/>
      <c r="AE118" s="12"/>
    </row>
    <row r="119" spans="4:31" x14ac:dyDescent="0.45">
      <c r="D119" s="3"/>
      <c r="E119" s="2"/>
      <c r="F119" s="3"/>
      <c r="G119" s="3"/>
      <c r="H119" s="12"/>
      <c r="I119" s="12"/>
      <c r="J119" s="12"/>
      <c r="K119" s="12"/>
      <c r="L119" s="6"/>
      <c r="M119" s="12"/>
      <c r="N119" s="12"/>
      <c r="O119" s="2"/>
      <c r="P119" s="24"/>
      <c r="Q119" s="24"/>
      <c r="R119" s="11"/>
      <c r="S119" s="3"/>
      <c r="T119" s="12"/>
      <c r="V119" s="12"/>
      <c r="X119" s="12"/>
      <c r="Y119" s="12"/>
      <c r="Z119" s="6"/>
      <c r="AA119" s="3"/>
      <c r="AB119" s="1"/>
      <c r="AC119" s="1"/>
      <c r="AD119" s="12"/>
      <c r="AE119" s="12"/>
    </row>
    <row r="120" spans="4:31" x14ac:dyDescent="0.45">
      <c r="D120" s="3"/>
      <c r="E120" s="2"/>
      <c r="F120" s="3"/>
      <c r="G120" s="3"/>
      <c r="H120" s="12"/>
      <c r="I120" s="12"/>
      <c r="J120" s="12"/>
      <c r="K120" s="12"/>
      <c r="L120" s="6"/>
      <c r="M120" s="12"/>
      <c r="N120" s="12"/>
      <c r="O120" s="2"/>
      <c r="P120" s="24"/>
      <c r="Q120" s="24"/>
      <c r="R120" s="11"/>
      <c r="S120" s="3"/>
      <c r="T120" s="12"/>
      <c r="V120" s="12"/>
      <c r="X120" s="12"/>
      <c r="Y120" s="12"/>
      <c r="Z120" s="6"/>
      <c r="AA120" s="3"/>
      <c r="AB120" s="1"/>
      <c r="AC120" s="1"/>
      <c r="AD120" s="12"/>
      <c r="AE120" s="12"/>
    </row>
    <row r="121" spans="4:31" x14ac:dyDescent="0.45">
      <c r="D121" s="3"/>
      <c r="E121" s="2"/>
      <c r="F121" s="3"/>
      <c r="G121" s="3"/>
      <c r="H121" s="12"/>
      <c r="I121" s="12"/>
      <c r="J121" s="12"/>
      <c r="K121" s="12"/>
      <c r="L121" s="6"/>
      <c r="M121" s="12"/>
      <c r="N121" s="12"/>
      <c r="O121" s="2"/>
      <c r="P121" s="24"/>
      <c r="Q121" s="24"/>
      <c r="R121" s="11"/>
      <c r="S121" s="3"/>
      <c r="T121" s="12"/>
      <c r="V121" s="12"/>
      <c r="X121" s="12"/>
      <c r="Y121" s="12"/>
      <c r="Z121" s="6"/>
      <c r="AA121" s="3"/>
      <c r="AB121" s="1"/>
      <c r="AC121" s="1"/>
      <c r="AD121" s="12"/>
      <c r="AE121" s="12"/>
    </row>
    <row r="122" spans="4:31" x14ac:dyDescent="0.45">
      <c r="D122" s="3"/>
      <c r="E122" s="2"/>
      <c r="F122" s="3"/>
      <c r="G122" s="3"/>
      <c r="H122" s="12"/>
      <c r="I122" s="12"/>
      <c r="J122" s="12"/>
      <c r="K122" s="12"/>
      <c r="L122" s="6"/>
      <c r="M122" s="12"/>
      <c r="N122" s="12"/>
      <c r="O122" s="2"/>
      <c r="P122" s="24"/>
      <c r="Q122" s="24"/>
      <c r="R122" s="11"/>
      <c r="S122" s="3"/>
      <c r="T122" s="12"/>
      <c r="V122" s="12"/>
      <c r="X122" s="12"/>
      <c r="Y122" s="12"/>
      <c r="Z122" s="6"/>
      <c r="AA122" s="3"/>
      <c r="AB122" s="1"/>
      <c r="AC122" s="1"/>
      <c r="AD122" s="12"/>
      <c r="AE122" s="12"/>
    </row>
    <row r="123" spans="4:31" x14ac:dyDescent="0.45">
      <c r="D123" s="3"/>
      <c r="E123" s="2"/>
      <c r="F123" s="3"/>
      <c r="G123" s="3"/>
      <c r="H123" s="12"/>
      <c r="I123" s="12"/>
      <c r="J123" s="12"/>
      <c r="K123" s="12"/>
      <c r="L123" s="6"/>
      <c r="M123" s="12"/>
      <c r="N123" s="12"/>
      <c r="O123" s="2"/>
      <c r="P123" s="24"/>
      <c r="Q123" s="24"/>
      <c r="R123" s="11"/>
      <c r="S123" s="3"/>
      <c r="T123" s="12"/>
      <c r="V123" s="12"/>
      <c r="X123" s="12"/>
      <c r="Y123" s="12"/>
      <c r="Z123" s="6"/>
      <c r="AA123" s="3"/>
      <c r="AB123" s="1"/>
      <c r="AC123" s="1"/>
      <c r="AD123" s="12"/>
      <c r="AE123" s="12"/>
    </row>
    <row r="124" spans="4:31" x14ac:dyDescent="0.45">
      <c r="D124" s="3"/>
      <c r="E124" s="2"/>
      <c r="F124" s="3"/>
      <c r="G124" s="3"/>
      <c r="H124" s="12"/>
      <c r="I124" s="12"/>
      <c r="J124" s="12"/>
      <c r="K124" s="12"/>
      <c r="L124" s="6"/>
      <c r="M124" s="12"/>
      <c r="N124" s="12"/>
      <c r="O124" s="2"/>
      <c r="P124" s="24"/>
      <c r="Q124" s="24"/>
      <c r="R124" s="11"/>
      <c r="S124" s="3"/>
      <c r="T124" s="12"/>
      <c r="V124" s="12"/>
      <c r="X124" s="12"/>
      <c r="Y124" s="12"/>
      <c r="Z124" s="6"/>
      <c r="AA124" s="3"/>
      <c r="AB124" s="1"/>
      <c r="AC124" s="1"/>
      <c r="AD124" s="12"/>
      <c r="AE124" s="12"/>
    </row>
    <row r="125" spans="4:31" x14ac:dyDescent="0.45">
      <c r="D125" s="3"/>
      <c r="E125" s="2"/>
      <c r="F125" s="3"/>
      <c r="G125" s="3"/>
      <c r="H125" s="12"/>
      <c r="I125" s="12"/>
      <c r="J125" s="12"/>
      <c r="K125" s="12"/>
      <c r="L125" s="6"/>
      <c r="M125" s="12"/>
      <c r="N125" s="12"/>
      <c r="O125" s="2"/>
      <c r="P125" s="24"/>
      <c r="Q125" s="24"/>
      <c r="R125" s="11"/>
      <c r="S125" s="3"/>
      <c r="T125" s="12"/>
      <c r="V125" s="12"/>
      <c r="X125" s="12"/>
      <c r="Y125" s="12"/>
      <c r="Z125" s="6"/>
      <c r="AA125" s="3"/>
      <c r="AB125" s="1"/>
      <c r="AC125" s="1"/>
      <c r="AD125" s="12"/>
      <c r="AE125" s="12"/>
    </row>
    <row r="126" spans="4:31" x14ac:dyDescent="0.45">
      <c r="D126" s="3"/>
      <c r="E126" s="2"/>
      <c r="F126" s="3"/>
      <c r="G126" s="3"/>
      <c r="H126" s="12"/>
      <c r="I126" s="12"/>
      <c r="J126" s="12"/>
      <c r="K126" s="12"/>
      <c r="L126" s="6"/>
      <c r="M126" s="12"/>
      <c r="N126" s="12"/>
      <c r="O126" s="2"/>
      <c r="P126" s="24"/>
      <c r="Q126" s="24"/>
      <c r="R126" s="11"/>
      <c r="S126" s="3"/>
      <c r="T126" s="12"/>
      <c r="V126" s="12"/>
      <c r="X126" s="12"/>
      <c r="Y126" s="12"/>
      <c r="Z126" s="6"/>
      <c r="AA126" s="3"/>
      <c r="AB126" s="1"/>
      <c r="AC126" s="1"/>
      <c r="AD126" s="12"/>
      <c r="AE126" s="12"/>
    </row>
    <row r="127" spans="4:31" x14ac:dyDescent="0.45">
      <c r="D127" s="3"/>
      <c r="E127" s="2"/>
      <c r="F127" s="3"/>
      <c r="G127" s="3"/>
      <c r="H127" s="12"/>
      <c r="I127" s="12"/>
      <c r="J127" s="12"/>
      <c r="K127" s="12"/>
      <c r="L127" s="6"/>
      <c r="M127" s="12"/>
      <c r="N127" s="12"/>
      <c r="O127" s="2"/>
      <c r="P127" s="24"/>
      <c r="Q127" s="24"/>
      <c r="R127" s="11"/>
      <c r="S127" s="3"/>
      <c r="T127" s="12"/>
      <c r="V127" s="12"/>
      <c r="X127" s="12"/>
      <c r="Y127" s="12"/>
      <c r="Z127" s="6"/>
      <c r="AA127" s="3"/>
      <c r="AB127" s="1"/>
      <c r="AC127" s="1"/>
      <c r="AD127" s="12"/>
      <c r="AE127" s="12"/>
    </row>
    <row r="128" spans="4:31" x14ac:dyDescent="0.45">
      <c r="D128" s="3"/>
      <c r="E128" s="2"/>
      <c r="F128" s="3"/>
      <c r="G128" s="3"/>
      <c r="H128" s="12"/>
      <c r="I128" s="12"/>
      <c r="J128" s="12"/>
      <c r="K128" s="12"/>
      <c r="L128" s="6"/>
      <c r="M128" s="12"/>
      <c r="N128" s="12"/>
      <c r="O128" s="2"/>
      <c r="P128" s="24"/>
      <c r="Q128" s="24"/>
      <c r="R128" s="11"/>
      <c r="S128" s="3"/>
      <c r="T128" s="12"/>
      <c r="V128" s="12"/>
      <c r="X128" s="12"/>
      <c r="Y128" s="12"/>
      <c r="Z128" s="6"/>
      <c r="AA128" s="3"/>
      <c r="AB128" s="1"/>
      <c r="AC128" s="1"/>
      <c r="AD128" s="12"/>
      <c r="AE128" s="12"/>
    </row>
    <row r="129" spans="4:31" x14ac:dyDescent="0.45">
      <c r="D129" s="3"/>
      <c r="E129" s="2"/>
      <c r="F129" s="3"/>
      <c r="G129" s="3"/>
      <c r="H129" s="12"/>
      <c r="I129" s="12"/>
      <c r="J129" s="12"/>
      <c r="K129" s="12"/>
      <c r="L129" s="6"/>
      <c r="M129" s="12"/>
      <c r="N129" s="12"/>
      <c r="O129" s="2"/>
      <c r="P129" s="24"/>
      <c r="Q129" s="24"/>
      <c r="R129" s="11"/>
      <c r="S129" s="3"/>
      <c r="T129" s="12"/>
      <c r="V129" s="12"/>
      <c r="X129" s="12"/>
      <c r="Y129" s="12"/>
      <c r="Z129" s="6"/>
      <c r="AA129" s="3"/>
      <c r="AB129" s="1"/>
      <c r="AC129" s="1"/>
      <c r="AD129" s="12"/>
      <c r="AE129" s="12"/>
    </row>
    <row r="130" spans="4:31" x14ac:dyDescent="0.45">
      <c r="D130" s="3"/>
      <c r="E130" s="2"/>
      <c r="F130" s="3"/>
      <c r="G130" s="3"/>
      <c r="H130" s="12"/>
      <c r="I130" s="12"/>
      <c r="J130" s="12"/>
      <c r="K130" s="12"/>
      <c r="L130" s="6"/>
      <c r="M130" s="12"/>
      <c r="N130" s="12"/>
      <c r="O130" s="2"/>
      <c r="P130" s="24"/>
      <c r="Q130" s="24"/>
      <c r="R130" s="11"/>
      <c r="S130" s="3"/>
      <c r="T130" s="12"/>
      <c r="V130" s="12"/>
      <c r="X130" s="12"/>
      <c r="Y130" s="12"/>
      <c r="Z130" s="6"/>
      <c r="AA130" s="3"/>
      <c r="AB130" s="1"/>
      <c r="AC130" s="1"/>
      <c r="AD130" s="12"/>
      <c r="AE130" s="12"/>
    </row>
    <row r="131" spans="4:31" x14ac:dyDescent="0.45">
      <c r="D131" s="3"/>
      <c r="E131" s="2"/>
      <c r="F131" s="3"/>
      <c r="G131" s="3"/>
      <c r="H131" s="12"/>
      <c r="I131" s="12"/>
      <c r="J131" s="12"/>
      <c r="K131" s="12"/>
      <c r="L131" s="6"/>
      <c r="M131" s="12"/>
      <c r="N131" s="12"/>
      <c r="O131" s="2"/>
      <c r="P131" s="24"/>
      <c r="Q131" s="24"/>
      <c r="R131" s="11"/>
      <c r="S131" s="3"/>
      <c r="T131" s="12"/>
      <c r="V131" s="12"/>
      <c r="X131" s="12"/>
      <c r="Y131" s="12"/>
      <c r="Z131" s="6"/>
      <c r="AA131" s="3"/>
      <c r="AB131" s="1"/>
      <c r="AC131" s="1"/>
      <c r="AD131" s="12"/>
      <c r="AE131" s="12"/>
    </row>
    <row r="132" spans="4:31" x14ac:dyDescent="0.45">
      <c r="D132" s="3"/>
      <c r="E132" s="2"/>
      <c r="F132" s="3"/>
      <c r="G132" s="3"/>
      <c r="H132" s="12"/>
      <c r="I132" s="12"/>
      <c r="J132" s="12"/>
      <c r="K132" s="12"/>
      <c r="L132" s="6"/>
      <c r="M132" s="12"/>
      <c r="N132" s="12"/>
      <c r="O132" s="2"/>
      <c r="P132" s="24"/>
      <c r="Q132" s="24"/>
      <c r="R132" s="11"/>
      <c r="S132" s="3"/>
      <c r="T132" s="12"/>
      <c r="V132" s="12"/>
      <c r="X132" s="12"/>
      <c r="Y132" s="12"/>
      <c r="Z132" s="6"/>
      <c r="AA132" s="3"/>
      <c r="AB132" s="1"/>
      <c r="AC132" s="1"/>
      <c r="AD132" s="12"/>
      <c r="AE132" s="12"/>
    </row>
  </sheetData>
  <mergeCells count="8">
    <mergeCell ref="Z94:AH94"/>
    <mergeCell ref="B4:F4"/>
    <mergeCell ref="AI94:AQ94"/>
    <mergeCell ref="B32:F32"/>
    <mergeCell ref="B74:F74"/>
    <mergeCell ref="B85:F85"/>
    <mergeCell ref="B19:F19"/>
    <mergeCell ref="I94:N94"/>
  </mergeCells>
  <pageMargins left="0.7" right="0.7" top="0.75" bottom="0.75" header="0.3" footer="0.3"/>
  <pageSetup orientation="portrait" r:id="rId1"/>
  <ignoredErrors>
    <ignoredError sqref="C42:E42" formula="1"/>
    <ignoredError sqref="L96:L99 X96:X99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price_list!$F$3:$F$8</xm:f>
          </x14:formula1>
          <xm:sqref>C37:E37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8"/>
  <sheetViews>
    <sheetView workbookViewId="0">
      <selection activeCell="C18" sqref="C18"/>
    </sheetView>
  </sheetViews>
  <sheetFormatPr defaultRowHeight="14.25" x14ac:dyDescent="0.45"/>
  <cols>
    <col min="6" max="6" width="11.59765625" bestFit="1" customWidth="1"/>
  </cols>
  <sheetData>
    <row r="2" spans="5:11" x14ac:dyDescent="0.45">
      <c r="E2" t="s">
        <v>24</v>
      </c>
      <c r="F2" t="s">
        <v>25</v>
      </c>
      <c r="G2" t="s">
        <v>18</v>
      </c>
      <c r="H2" t="s">
        <v>19</v>
      </c>
      <c r="I2" t="s">
        <v>16</v>
      </c>
      <c r="J2" t="s">
        <v>17</v>
      </c>
      <c r="K2" t="s">
        <v>20</v>
      </c>
    </row>
    <row r="3" spans="5:11" x14ac:dyDescent="0.45">
      <c r="E3" t="s">
        <v>26</v>
      </c>
      <c r="F3" t="s">
        <v>13</v>
      </c>
      <c r="G3">
        <v>0</v>
      </c>
      <c r="H3">
        <v>100</v>
      </c>
      <c r="I3">
        <f>G3*1024</f>
        <v>0</v>
      </c>
      <c r="J3">
        <f>H3*1024</f>
        <v>102400</v>
      </c>
      <c r="K3" s="20">
        <v>2.4E-2</v>
      </c>
    </row>
    <row r="4" spans="5:11" x14ac:dyDescent="0.45">
      <c r="E4" t="s">
        <v>26</v>
      </c>
      <c r="F4" t="s">
        <v>21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0">
        <v>0.01</v>
      </c>
    </row>
    <row r="5" spans="5:11" x14ac:dyDescent="0.45">
      <c r="E5" t="s">
        <v>26</v>
      </c>
      <c r="F5" t="s">
        <v>14</v>
      </c>
      <c r="G5">
        <v>0</v>
      </c>
      <c r="H5">
        <v>100</v>
      </c>
      <c r="I5">
        <f>G5*1024</f>
        <v>0</v>
      </c>
      <c r="J5">
        <f>H5*1024</f>
        <v>102400</v>
      </c>
      <c r="K5" s="20">
        <v>4.8000000000000001E-2</v>
      </c>
    </row>
    <row r="6" spans="5:11" x14ac:dyDescent="0.45">
      <c r="E6" t="s">
        <v>26</v>
      </c>
      <c r="F6" t="s">
        <v>22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0">
        <v>0.02</v>
      </c>
    </row>
    <row r="7" spans="5:11" x14ac:dyDescent="0.45">
      <c r="E7" t="s">
        <v>26</v>
      </c>
      <c r="F7" t="s">
        <v>15</v>
      </c>
      <c r="G7">
        <v>0</v>
      </c>
      <c r="H7">
        <v>100</v>
      </c>
      <c r="I7">
        <f>G7*1024</f>
        <v>0</v>
      </c>
      <c r="J7">
        <f>H7*1024</f>
        <v>102400</v>
      </c>
      <c r="K7" s="20">
        <v>6.0999999999999999E-2</v>
      </c>
    </row>
    <row r="8" spans="5:11" x14ac:dyDescent="0.45">
      <c r="E8" t="s">
        <v>26</v>
      </c>
      <c r="F8" t="s">
        <v>23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2017-01-16T23:20:45Z</dcterms:modified>
</cp:coreProperties>
</file>